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516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5 -" sheetId="40" r:id="rId40"/>
    <sheet name="- 46 -" sheetId="41" r:id="rId41"/>
    <sheet name="- 48 -" sheetId="42" r:id="rId42"/>
    <sheet name="- 50 - " sheetId="43" r:id="rId43"/>
    <sheet name="- 51 -" sheetId="44" r:id="rId44"/>
    <sheet name="- 52 -" sheetId="45" r:id="rId45"/>
    <sheet name="- 53 -" sheetId="46" r:id="rId46"/>
    <sheet name="- 54 -" sheetId="47" r:id="rId47"/>
    <sheet name="- 55 -" sheetId="48" r:id="rId48"/>
    <sheet name="- 56 -" sheetId="49" r:id="rId49"/>
    <sheet name="- 57 -" sheetId="50" r:id="rId50"/>
    <sheet name="- 58 -" sheetId="51" r:id="rId51"/>
    <sheet name="- 59 -" sheetId="52" r:id="rId52"/>
  </sheets>
  <externalReferences>
    <externalReference r:id="rId55"/>
  </externalReferences>
  <definedNames>
    <definedName name="_Fill" hidden="1">#REF!</definedName>
    <definedName name="capyear">#REF!</definedName>
    <definedName name="DIV">'[1]Data'!$A$9:$A$696</definedName>
    <definedName name="HTML_CodePage" hidden="1">1252</definedName>
    <definedName name="HTML_Control" localSheetId="18" hidden="1">{"'- 4 -'!$A$1:$G$76","'-3 -'!$A$1:$G$77"}</definedName>
    <definedName name="HTML_Control" localSheetId="19" hidden="1">{"'- 4 -'!$A$1:$G$76","'-3 -'!$A$1:$G$77"}</definedName>
    <definedName name="HTML_Control" localSheetId="42" hidden="1">{"'- 4 -'!$A$1:$G$76","'-3 -'!$A$1:$G$77"}</definedName>
    <definedName name="HTML_Control" localSheetId="45" hidden="1">{"'- 4 -'!$A$1:$G$76","'-3 -'!$A$1:$G$77"}</definedName>
    <definedName name="HTML_Control" localSheetId="49" hidden="1">{"'- 4 -'!$A$1:$G$76","'-3 -'!$A$1:$G$77"}</definedName>
    <definedName name="HTML_Control" localSheetId="50" hidden="1">{"'- 4 -'!$A$1:$G$76","'-3 -'!$A$1:$G$77"}</definedName>
    <definedName name="HTML_Control" localSheetId="51"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'- 10 -'!$A$1:$L$34</definedName>
    <definedName name="_xlnm.Print_Area" localSheetId="8">'- 12 -'!$A$2:$L$53</definedName>
    <definedName name="_xlnm.Print_Area" localSheetId="9">'- 13 -'!$A$2:$L$55</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'- 21 -'!$A$1:$J$59</definedName>
    <definedName name="_xlnm.Print_Area" localSheetId="17">'- 22 -'!$A$1:$J$58</definedName>
    <definedName name="_xlnm.Print_Area" localSheetId="18">'- 23 -'!$A$1:$E$59</definedName>
    <definedName name="_xlnm.Print_Area" localSheetId="19">'- 24 -'!$A$1:$F$59</definedName>
    <definedName name="_xlnm.Print_Area" localSheetId="20">'- 25 -'!$A$1:$I$59</definedName>
    <definedName name="_xlnm.Print_Area" localSheetId="21">'- 26 -'!$A$1:$J$59</definedName>
    <definedName name="_xlnm.Print_Area" localSheetId="22">'- 27 -'!$A$1:$E$59</definedName>
    <definedName name="_xlnm.Print_Area" localSheetId="23">'- 28 -'!$A$1:$J$59</definedName>
    <definedName name="_xlnm.Print_Area" localSheetId="24">'- 29 -'!$A$1:$G$59</definedName>
    <definedName name="_xlnm.Print_Area" localSheetId="1">'- 3 -'!$A$1:$F$59</definedName>
    <definedName name="_xlnm.Print_Area" localSheetId="25">'- 30 -'!$A$1:$G$59</definedName>
    <definedName name="_xlnm.Print_Area" localSheetId="26">'- 31 -'!$A$1:$F$59</definedName>
    <definedName name="_xlnm.Print_Area" localSheetId="27">'- 32 -'!$A$1:$G$59</definedName>
    <definedName name="_xlnm.Print_Area" localSheetId="28">'- 33 -'!$A$1:$F$59</definedName>
    <definedName name="_xlnm.Print_Area" localSheetId="29">'- 34 -'!$A$1:$F$59</definedName>
    <definedName name="_xlnm.Print_Area" localSheetId="30">'- 35 -'!$A$1:$H$59</definedName>
    <definedName name="_xlnm.Print_Area" localSheetId="31">'- 36 -'!$A$1:$E$59</definedName>
    <definedName name="_xlnm.Print_Area" localSheetId="32">'- 37 -'!$A$1:$G$59</definedName>
    <definedName name="_xlnm.Print_Area" localSheetId="33">'- 38 -'!$A$1:$J$59</definedName>
    <definedName name="_xlnm.Print_Area" localSheetId="34">'- 39 -'!$A$1:$H$58</definedName>
    <definedName name="_xlnm.Print_Area" localSheetId="2">'- 4 -'!$A$1:$E$59</definedName>
    <definedName name="_xlnm.Print_Area" localSheetId="35">'- 41 -'!$A$1:$H$59</definedName>
    <definedName name="_xlnm.Print_Area" localSheetId="36">'- 42 -'!$A$1:$I$64</definedName>
    <definedName name="_xlnm.Print_Area" localSheetId="37">'- 43 -'!$A$1:$I$59</definedName>
    <definedName name="_xlnm.Print_Area" localSheetId="38">'- 44 -'!$A$1:$I$59</definedName>
    <definedName name="_xlnm.Print_Area" localSheetId="39">'- 45 -'!$A$1:$C$60</definedName>
    <definedName name="_xlnm.Print_Area" localSheetId="40">'- 46 -'!$A$1:$D$58</definedName>
    <definedName name="_xlnm.Print_Area" localSheetId="41">'- 48 -'!$A$1:$G$57</definedName>
    <definedName name="_xlnm.Print_Area" localSheetId="43">'- 51 -'!$A$1:$F$57</definedName>
    <definedName name="_xlnm.Print_Area" localSheetId="44">'- 52 -'!$A$1:$F$59</definedName>
    <definedName name="_xlnm.Print_Area" localSheetId="45">'- 53 -'!$A$1:$G$59</definedName>
    <definedName name="_xlnm.Print_Area" localSheetId="46">'- 54 -'!$A$1:$F$57</definedName>
    <definedName name="_xlnm.Print_Area" localSheetId="47">'- 55 -'!$A$1:$F$59</definedName>
    <definedName name="_xlnm.Print_Area" localSheetId="48">'- 56 -'!$A$1:$G$61</definedName>
    <definedName name="_xlnm.Print_Area" localSheetId="49">'- 57 -'!$A$2:$G$64</definedName>
    <definedName name="_xlnm.Print_Area" localSheetId="50">'- 58 -'!$A$1:$G$56</definedName>
    <definedName name="_xlnm.Print_Area" localSheetId="51">'- 59 -'!$A$1:$I$56</definedName>
    <definedName name="_xlnm.Print_Area" localSheetId="3">'- 6 -'!$A$1:$H$59</definedName>
    <definedName name="_xlnm.Print_Area" localSheetId="4">'- 7 -'!$A$1:$G$59</definedName>
    <definedName name="_xlnm.Print_Area" localSheetId="5">'- 8 -'!$A$1:$G$59</definedName>
    <definedName name="_xlnm.Print_Area" localSheetId="6">'- 9 -'!$A$1:$D$57</definedName>
    <definedName name="_xlnm.Print_Area" localSheetId="0">'README'!$B$3:$B$20</definedName>
    <definedName name="REVYEAR">'- 42 -'!$B$1</definedName>
    <definedName name="STATDATE">'- 6 -'!$B$3</definedName>
    <definedName name="TAXYEAR">'- 46 -'!$B$3</definedName>
    <definedName name="YEAR" localSheetId="0">#REF!</definedName>
    <definedName name="YEAR">#REF!</definedName>
  </definedNames>
  <calcPr fullCalcOnLoad="1"/>
</workbook>
</file>

<file path=xl/sharedStrings.xml><?xml version="1.0" encoding="utf-8"?>
<sst xmlns="http://schemas.openxmlformats.org/spreadsheetml/2006/main" count="2988" uniqueCount="577">
  <si>
    <t>PUPIL / EDUCATOR</t>
  </si>
  <si>
    <t>RATIO</t>
  </si>
  <si>
    <t>PAGE 1 OF 3</t>
  </si>
  <si>
    <t xml:space="preserve"> </t>
  </si>
  <si>
    <t>PAGE 2 OF 3</t>
  </si>
  <si>
    <t>PAGE 3 OF 3</t>
  </si>
  <si>
    <t xml:space="preserve"> FRAME STUDENT STATISTICS</t>
  </si>
  <si>
    <t>PAGE 1 OF 2</t>
  </si>
  <si>
    <t xml:space="preserve">PAGE 2 OF 2 </t>
  </si>
  <si>
    <t xml:space="preserve"> FUNCTION 100: REGULAR INSTRUCTION</t>
  </si>
  <si>
    <t>ADMINISTRATION /</t>
  </si>
  <si>
    <t>CLINICAL AND</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</si>
  <si>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</si>
  <si>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</si>
  <si>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</si>
  <si>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</si>
  <si>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</si>
  <si>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</si>
  <si>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</si>
  <si>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</si>
  <si>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</si>
  <si>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</si>
  <si>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</si>
  <si>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</si>
  <si>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</si>
  <si>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</si>
  <si>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</si>
  <si>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</si>
  <si>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</si>
  <si>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</si>
  <si>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</si>
  <si>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</si>
  <si>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</si>
  <si>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</si>
  <si>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</si>
  <si>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</si>
  <si>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SUPPORT SERVICES</t>
  </si>
  <si>
    <t>COMMUNITY SERVICES</t>
  </si>
  <si>
    <t>BOARD OF TRUSTEES</t>
  </si>
  <si>
    <t>AND ADMINISTRATION</t>
  </si>
  <si>
    <t>ADMIN. SERVICES</t>
  </si>
  <si>
    <t>INFORMATION SERVICES</t>
  </si>
  <si>
    <t>STAFF DEVELOPMENT</t>
  </si>
  <si>
    <t>AND DEVELOPMENT</t>
  </si>
  <si>
    <t>OTHER</t>
  </si>
  <si>
    <t>ALLOWANCES IN LIEU</t>
  </si>
  <si>
    <t>BOARDING OF</t>
  </si>
  <si>
    <t>SCHOOL BUILDINGS</t>
  </si>
  <si>
    <t>HEALTH AND</t>
  </si>
  <si>
    <t>REGULAR INSTRUCTION</t>
  </si>
  <si>
    <t>COMMUNITY EDUCATION</t>
  </si>
  <si>
    <t>OF PUPILS</t>
  </si>
  <si>
    <t>MAINTENANCE</t>
  </si>
  <si>
    <t>FISCAL</t>
  </si>
  <si>
    <t>TOTAL</t>
  </si>
  <si>
    <t>(PROGRAM 720)</t>
  </si>
  <si>
    <t>(PROGRAMS 710, 720 AND 790)</t>
  </si>
  <si>
    <t>REPLACEMENTS</t>
  </si>
  <si>
    <t>COMMUNITY</t>
  </si>
  <si>
    <t>PER</t>
  </si>
  <si>
    <t>&amp; RECREATION</t>
  </si>
  <si>
    <t>REGULAR</t>
  </si>
  <si>
    <t>OF TRANSPORTATION</t>
  </si>
  <si>
    <t>STUDENTS</t>
  </si>
  <si>
    <t>OTHER BUILDINGS</t>
  </si>
  <si>
    <t>GROUNDS</t>
  </si>
  <si>
    <t>DEBT SERVICES</t>
  </si>
  <si>
    <t>EDUCATION LEVY</t>
  </si>
  <si>
    <t>ENGLISH</t>
  </si>
  <si>
    <t>FRENCH</t>
  </si>
  <si>
    <t>NURSERY</t>
  </si>
  <si>
    <t xml:space="preserve">REGULAR </t>
  </si>
  <si>
    <t>TOTAL KM.</t>
  </si>
  <si>
    <t>COST</t>
  </si>
  <si>
    <t>LOADED</t>
  </si>
  <si>
    <t>COST PER</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</si>
  <si>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</si>
  <si>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</si>
  <si>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</si>
  <si>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</si>
  <si>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</si>
  <si>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</si>
  <si>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</si>
  <si>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</si>
  <si>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</si>
  <si>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</si>
  <si>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</si>
  <si>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</si>
  <si>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</si>
  <si>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</si>
  <si>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</si>
  <si>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</si>
  <si>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</si>
  <si>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TOTAL PORTIONED ASSESSMENT, SPECIAL LEVY AND MILL RATES</t>
  </si>
  <si>
    <t>PROVINCIAL GOVERNMENT</t>
  </si>
  <si>
    <t>BASE SUPPORT</t>
  </si>
  <si>
    <t>CATEGORICAL SUPPORT</t>
  </si>
  <si>
    <t>PRIVATE</t>
  </si>
  <si>
    <t>% OF OPERATING FUND REVENUES</t>
  </si>
  <si>
    <t>PORTIONED ASSESSMENT</t>
  </si>
  <si>
    <t>FEDERAL</t>
  </si>
  <si>
    <t>MUNICIPAL</t>
  </si>
  <si>
    <t>OTHER SCHOOL</t>
  </si>
  <si>
    <t>ORGANIZATIONS</t>
  </si>
  <si>
    <t>NON-PROVINCIAL</t>
  </si>
  <si>
    <t>OPERATING</t>
  </si>
  <si>
    <t>GOVERNMENTS</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</si>
  <si>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</si>
  <si>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</si>
  <si>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</si>
  <si>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</si>
  <si>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</si>
  <si>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</si>
  <si>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</si>
  <si>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</si>
  <si>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</si>
  <si>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</si>
  <si>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</si>
  <si>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</si>
  <si>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</si>
  <si>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</si>
  <si>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</si>
  <si>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</si>
  <si>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</si>
  <si>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</si>
  <si>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</si>
  <si>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</si>
  <si>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DEBT</t>
  </si>
  <si>
    <t>CAPITAL</t>
  </si>
  <si>
    <t>AND FARM</t>
  </si>
  <si>
    <t>LAND AND</t>
  </si>
  <si>
    <t>LEVY</t>
  </si>
  <si>
    <t>SUPPORT</t>
  </si>
  <si>
    <t>OCCUPANCY</t>
  </si>
  <si>
    <t>AND GUIDANCE</t>
  </si>
  <si>
    <t>SERVICES</t>
  </si>
  <si>
    <t>DEVELOPMENT</t>
  </si>
  <si>
    <t>NATIONS</t>
  </si>
  <si>
    <t>INDIVIDUALS</t>
  </si>
  <si>
    <t>BUILDINGS</t>
  </si>
  <si>
    <t>EQUIPMENT</t>
  </si>
  <si>
    <t>RESIDENTIAL</t>
  </si>
  <si>
    <t xml:space="preserve">OTHER  </t>
  </si>
  <si>
    <t>SPECIAL LEVY</t>
  </si>
  <si>
    <t>OBJECT</t>
  </si>
  <si>
    <t>EMPLOYEE</t>
  </si>
  <si>
    <t>SUPPLIES AND</t>
  </si>
  <si>
    <t>SALARIES</t>
  </si>
  <si>
    <t>BENEFITS</t>
  </si>
  <si>
    <t>MATERIALS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</si>
  <si>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</si>
  <si>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</si>
  <si>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</si>
  <si>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</si>
  <si>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</si>
  <si>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</si>
  <si>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</si>
  <si>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</si>
  <si>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</si>
  <si>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</si>
  <si>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NO. OF</t>
  </si>
  <si>
    <t>%  IN DUAL TRACK SCHOOLS</t>
  </si>
  <si>
    <t>F.T.E.</t>
  </si>
  <si>
    <t>ENROLMENTS - HEADCOUNT, FRAME AND ELIGIBLE</t>
  </si>
  <si>
    <t>ENROLMENT</t>
  </si>
  <si>
    <t>FRAME PUPIL / TEACHER RATIOS</t>
  </si>
  <si>
    <t>PUPIL / TEACHER RATIOS</t>
  </si>
  <si>
    <t>INSURANCE</t>
  </si>
  <si>
    <t>OTHER RESOURCE</t>
  </si>
  <si>
    <t>DIVISIONAL</t>
  </si>
  <si>
    <t>DIVISIONAL ADMINISTRATION</t>
  </si>
  <si>
    <t xml:space="preserve"> FUNCTION 500: DIVISIONAL ADMINISTRATION</t>
  </si>
  <si>
    <t>PRE-KINDERGARTEN</t>
  </si>
  <si>
    <t xml:space="preserve">N/A </t>
  </si>
  <si>
    <t>ACTUAL</t>
  </si>
  <si>
    <t>ESTIMATE</t>
  </si>
  <si>
    <t>SENIOR YEARS</t>
  </si>
  <si>
    <t>EXPENDITURE</t>
  </si>
  <si>
    <t>(1)</t>
  </si>
  <si>
    <t>- 10 -</t>
  </si>
  <si>
    <t>PER RESIDENT</t>
  </si>
  <si>
    <t>STATISTICAL SUMMARY</t>
  </si>
  <si>
    <t>TRANSPORTED</t>
  </si>
  <si>
    <t>CURRICULAR</t>
  </si>
  <si>
    <t>INFORMATION</t>
  </si>
  <si>
    <t>EARLY</t>
  </si>
  <si>
    <t>INTERVENTION</t>
  </si>
  <si>
    <t>PAGE 1 OF 5</t>
  </si>
  <si>
    <t>PAGE 2 OF 5</t>
  </si>
  <si>
    <t>PAGE 3 OF 5</t>
  </si>
  <si>
    <t>PAGE 4 OF 5</t>
  </si>
  <si>
    <t>PAGE 5 OF 5</t>
  </si>
  <si>
    <t>ABORIGINAL</t>
  </si>
  <si>
    <t>ACADEMIC</t>
  </si>
  <si>
    <t>PROGRAMS</t>
  </si>
  <si>
    <t>LITERACY</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</si>
  <si>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</si>
  <si>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</si>
  <si>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</si>
  <si>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</si>
  <si>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</si>
  <si>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</si>
  <si>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</si>
  <si>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</si>
  <si>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</si>
  <si>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</si>
  <si>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</si>
  <si>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</si>
  <si>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</si>
  <si>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</si>
  <si>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</si>
  <si>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</si>
  <si>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</si>
  <si>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</si>
  <si>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</si>
  <si>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</si>
  <si>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</si>
  <si>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</si>
  <si>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</si>
  <si>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</si>
  <si>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</si>
  <si>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</si>
  <si>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</si>
  <si>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</si>
  <si>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</si>
  <si>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</si>
  <si>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</si>
  <si>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</si>
  <si>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</si>
  <si>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</si>
  <si>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</si>
  <si>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</si>
  <si>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</si>
  <si>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</si>
  <si>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</si>
  <si>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</si>
  <si>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</si>
  <si>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</si>
  <si>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</si>
  <si>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</si>
  <si>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</si>
  <si>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</si>
  <si>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</si>
  <si>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</si>
  <si>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</si>
  <si>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</si>
  <si>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</si>
  <si>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</si>
  <si>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</si>
  <si>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</si>
  <si>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</si>
  <si>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</si>
  <si>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</si>
  <si>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</si>
  <si>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 xml:space="preserve"> D.S.F.M.</t>
  </si>
  <si>
    <t>MEDIA CENTRE</t>
  </si>
  <si>
    <t xml:space="preserve"> L.G.D. OF PINAWA</t>
  </si>
  <si>
    <t xml:space="preserve"> NOT IN ANY DIVISION</t>
  </si>
  <si>
    <t xml:space="preserve"> DIVISION/DISTRICT TOTAL</t>
  </si>
  <si>
    <t>FIELD TRIPS</t>
  </si>
  <si>
    <t>EXPENSES</t>
  </si>
  <si>
    <t>OPERATIONS &amp;</t>
  </si>
  <si>
    <t>CURRICULUM</t>
  </si>
  <si>
    <t>FUNCTION 500</t>
  </si>
  <si>
    <t>PROGRAM 605</t>
  </si>
  <si>
    <t>PROGRAM 710</t>
  </si>
  <si>
    <t>PROGRAM 810</t>
  </si>
  <si>
    <t>CONSULTING /</t>
  </si>
  <si>
    <t>PORTION OF</t>
  </si>
  <si>
    <t>SELF-FUNDED</t>
  </si>
  <si>
    <t>ADMIN.</t>
  </si>
  <si>
    <t xml:space="preserve"> &amp; ADMIN.</t>
  </si>
  <si>
    <t>CENTRES</t>
  </si>
  <si>
    <t>PLUS</t>
  </si>
  <si>
    <t>TO</t>
  </si>
  <si>
    <t>AS % OF</t>
  </si>
  <si>
    <t>LESS ADULT</t>
  </si>
  <si>
    <t>LEARNING</t>
  </si>
  <si>
    <t xml:space="preserve"> FUNCTION 300: ADULT LEARNING CENTRES</t>
  </si>
  <si>
    <t>LOCAL TAXATION AND ASSESSMENT PER RESIDENT PUPIL</t>
  </si>
  <si>
    <t>MILL RATE</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</si>
  <si>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</si>
  <si>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</si>
  <si>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</si>
  <si>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</si>
  <si>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</si>
  <si>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</si>
  <si>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</si>
  <si>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</si>
  <si>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</si>
  <si>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</si>
  <si>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</si>
  <si>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</si>
  <si>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</si>
  <si>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</si>
  <si>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</si>
  <si>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</si>
  <si>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</si>
  <si>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</si>
  <si>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</si>
  <si>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</si>
  <si>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</si>
  <si>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</si>
  <si>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</si>
  <si>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</si>
  <si>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</si>
  <si>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</si>
  <si>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</si>
  <si>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</si>
  <si>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</si>
  <si>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</si>
  <si>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</si>
  <si>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</si>
  <si>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</si>
  <si>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</si>
  <si>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PAGE 1 0F 2</t>
  </si>
  <si>
    <t>PAGE 2 0F 2</t>
  </si>
  <si>
    <t>ADJUSTED</t>
  </si>
  <si>
    <t>(from page 3)</t>
  </si>
  <si>
    <t>CALCULATION OF EXPENDITURE BASE AND ADMINISTRATION PERCENTAGE</t>
  </si>
  <si>
    <t xml:space="preserve"> WPG. TECHNICAL COLL.</t>
  </si>
  <si>
    <t>CURRICULUM CONSULTING AND</t>
  </si>
  <si>
    <t>ACTUAL AND ESTIMATES AS OF SEPTEMBER 30</t>
  </si>
  <si>
    <t>Reallocation of administration costs associated with Adult Learning Centre operations from Function 500 to Function 300.</t>
  </si>
  <si>
    <t>(2)</t>
  </si>
  <si>
    <t>Health and Education Support Levy.</t>
  </si>
  <si>
    <t>DEVELOPMENT ADMINISTRATION</t>
  </si>
  <si>
    <t>EDUCATION, CITIZENSHIP AND YOUTH</t>
  </si>
  <si>
    <t>(3)</t>
  </si>
  <si>
    <t>(4)</t>
  </si>
  <si>
    <r>
      <t xml:space="preserve">EXPENSES </t>
    </r>
    <r>
      <rPr>
        <b/>
        <vertAlign val="superscript"/>
        <sz val="9"/>
        <rFont val="Arial"/>
        <family val="2"/>
      </rPr>
      <t>(1)</t>
    </r>
  </si>
  <si>
    <r>
      <t xml:space="preserve">TRANSFERS </t>
    </r>
    <r>
      <rPr>
        <b/>
        <vertAlign val="superscript"/>
        <sz val="9"/>
        <rFont val="Arial"/>
        <family val="2"/>
      </rPr>
      <t>(2)</t>
    </r>
  </si>
  <si>
    <r>
      <t xml:space="preserve">&amp; SERVICES </t>
    </r>
    <r>
      <rPr>
        <b/>
        <vertAlign val="superscript"/>
        <sz val="9"/>
        <rFont val="Arial"/>
        <family val="2"/>
      </rPr>
      <t>(4)</t>
    </r>
  </si>
  <si>
    <r>
      <t xml:space="preserve">COSTS </t>
    </r>
    <r>
      <rPr>
        <b/>
        <vertAlign val="superscript"/>
        <sz val="9"/>
        <rFont val="Arial"/>
        <family val="2"/>
      </rPr>
      <t>(5)</t>
    </r>
  </si>
  <si>
    <r>
      <t>(3)</t>
    </r>
    <r>
      <rPr>
        <sz val="9"/>
        <rFont val="Arial"/>
        <family val="2"/>
      </rPr>
      <t xml:space="preserve">  As reported on pages 10 and 13 (on a provincial basis).</t>
    </r>
  </si>
  <si>
    <r>
      <t>(5)</t>
    </r>
    <r>
      <rPr>
        <sz val="9"/>
        <rFont val="Arial"/>
        <family val="2"/>
      </rPr>
      <t xml:space="preserve">  As reported on page 4.</t>
    </r>
  </si>
  <si>
    <r>
      <t xml:space="preserve">SINGLE TRACK </t>
    </r>
    <r>
      <rPr>
        <b/>
        <vertAlign val="superscript"/>
        <sz val="9"/>
        <rFont val="Arial"/>
        <family val="2"/>
      </rPr>
      <t>(1)</t>
    </r>
  </si>
  <si>
    <r>
      <t xml:space="preserve">DUAL TRACK </t>
    </r>
    <r>
      <rPr>
        <b/>
        <vertAlign val="superscript"/>
        <sz val="9"/>
        <rFont val="Arial"/>
        <family val="2"/>
      </rPr>
      <t>(2)</t>
    </r>
  </si>
  <si>
    <r>
      <t xml:space="preserve">INSTRUCTION </t>
    </r>
    <r>
      <rPr>
        <b/>
        <vertAlign val="superscript"/>
        <sz val="9"/>
        <rFont val="Arial"/>
        <family val="2"/>
      </rPr>
      <t>(1)</t>
    </r>
  </si>
  <si>
    <r>
      <t xml:space="preserve">EDUCATOR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</si>
  <si>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</si>
  <si>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</si>
  <si>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</si>
  <si>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r>
      <t>(2)</t>
    </r>
    <r>
      <rPr>
        <sz val="9"/>
        <rFont val="Arial"/>
        <family val="2"/>
      </rPr>
      <t xml:space="preserve">  No one language program comprises 90% or more of Regular Instruction enrolment.</t>
    </r>
  </si>
  <si>
    <r>
      <t>(1)</t>
    </r>
    <r>
      <rPr>
        <sz val="9"/>
        <rFont val="Arial"/>
        <family val="2"/>
      </rPr>
      <t xml:space="preserve">  90% or more of Regular Instruction enrolment is in one language program.</t>
    </r>
  </si>
  <si>
    <r>
      <t>(1)</t>
    </r>
    <r>
      <rPr>
        <sz val="9"/>
        <rFont val="Arial"/>
        <family val="2"/>
      </rPr>
      <t xml:space="preserve">  Pupils taught in schools, whether or not they are counted for grant purposes.</t>
    </r>
  </si>
  <si>
    <r>
      <t>(2)</t>
    </r>
    <r>
      <rPr>
        <sz val="9"/>
        <rFont val="Arial"/>
        <family val="2"/>
      </rPr>
      <t xml:space="preserve">  The total number of pupils enrolled in schools adjusted for full time equivalence (F.T.E.).  Full time equivalent means pupils are counted on the</t>
    </r>
  </si>
  <si>
    <t xml:space="preserve">      basis of time attending school - eg. Kindergarten as 1/2.  This total is the same as reported on page 7.</t>
  </si>
  <si>
    <r>
      <t>(2)</t>
    </r>
    <r>
      <rPr>
        <sz val="9"/>
        <rFont val="Arial"/>
        <family val="2"/>
      </rPr>
      <t xml:space="preserve">  Based on total instructional-teaching (excluding Community Education and Adult Learning Centres) as well as school-based administrative</t>
    </r>
  </si>
  <si>
    <t xml:space="preserve">      are excluded.  While this definition is consistent with Statistics Canada's, the provincial ratio may not agree exactly due to different data sources.</t>
  </si>
  <si>
    <r>
      <t xml:space="preserve">SQ. FT. </t>
    </r>
    <r>
      <rPr>
        <b/>
        <vertAlign val="superscript"/>
        <sz val="9"/>
        <rFont val="Arial"/>
        <family val="2"/>
      </rPr>
      <t>(1)</t>
    </r>
  </si>
  <si>
    <r>
      <t xml:space="preserve">PUPIL </t>
    </r>
    <r>
      <rPr>
        <b/>
        <vertAlign val="superscript"/>
        <sz val="9"/>
        <rFont val="Arial"/>
        <family val="2"/>
      </rPr>
      <t>(2)</t>
    </r>
  </si>
  <si>
    <t xml:space="preserve"> FUNCTION 800: (CONT'D)</t>
  </si>
  <si>
    <t xml:space="preserve"> FUNCTION 700: TRANSPORTATION (CONT'D)</t>
  </si>
  <si>
    <t xml:space="preserve"> FUNCTION 500: (CONT'D)</t>
  </si>
  <si>
    <r>
      <t xml:space="preserve">GIFTED EDUCATION </t>
    </r>
    <r>
      <rPr>
        <b/>
        <vertAlign val="superscript"/>
        <sz val="9"/>
        <rFont val="Arial"/>
        <family val="2"/>
      </rPr>
      <t>(1)</t>
    </r>
  </si>
  <si>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</si>
  <si>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</si>
  <si>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</si>
  <si>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r>
      <t xml:space="preserve">PROGRAM </t>
    </r>
    <r>
      <rPr>
        <b/>
        <vertAlign val="superscript"/>
        <sz val="9"/>
        <rFont val="Arial"/>
        <family val="2"/>
      </rPr>
      <t>(1)</t>
    </r>
  </si>
  <si>
    <r>
      <t xml:space="preserve">RESIDENT PUPIL </t>
    </r>
    <r>
      <rPr>
        <b/>
        <vertAlign val="superscript"/>
        <sz val="9"/>
        <rFont val="Arial"/>
        <family val="2"/>
      </rPr>
      <t>(1)</t>
    </r>
  </si>
  <si>
    <r>
      <t xml:space="preserve">PER PUPIL </t>
    </r>
    <r>
      <rPr>
        <b/>
        <vertAlign val="superscript"/>
        <sz val="9"/>
        <rFont val="Arial"/>
        <family val="2"/>
      </rPr>
      <t>(1)</t>
    </r>
  </si>
  <si>
    <r>
      <t xml:space="preserve">FUNCTION 300 </t>
    </r>
    <r>
      <rPr>
        <b/>
        <vertAlign val="superscript"/>
        <sz val="9"/>
        <rFont val="Arial"/>
        <family val="2"/>
      </rPr>
      <t>(1)</t>
    </r>
  </si>
  <si>
    <r>
      <t xml:space="preserve">SUPPORT </t>
    </r>
    <r>
      <rPr>
        <b/>
        <vertAlign val="superscript"/>
        <sz val="9"/>
        <rFont val="Arial"/>
        <family val="2"/>
      </rPr>
      <t>(1)</t>
    </r>
  </si>
  <si>
    <r>
      <t xml:space="preserve">CATEGORICAL </t>
    </r>
    <r>
      <rPr>
        <b/>
        <vertAlign val="superscript"/>
        <sz val="9"/>
        <rFont val="Arial"/>
        <family val="2"/>
      </rPr>
      <t>(1)</t>
    </r>
  </si>
  <si>
    <r>
      <t xml:space="preserve">NEEDS </t>
    </r>
    <r>
      <rPr>
        <b/>
        <vertAlign val="superscript"/>
        <sz val="9"/>
        <rFont val="Arial"/>
        <family val="2"/>
      </rPr>
      <t>(2)</t>
    </r>
  </si>
  <si>
    <r>
      <t xml:space="preserve">SUPPORT </t>
    </r>
    <r>
      <rPr>
        <b/>
        <vertAlign val="superscript"/>
        <sz val="9"/>
        <rFont val="Arial"/>
        <family val="2"/>
      </rPr>
      <t>(2)</t>
    </r>
  </si>
  <si>
    <t xml:space="preserve">      per pupil costs.</t>
  </si>
  <si>
    <r>
      <t>(2)</t>
    </r>
    <r>
      <rPr>
        <sz val="9"/>
        <rFont val="Arial"/>
        <family val="2"/>
      </rPr>
      <t xml:space="preserve">  Operating fund transfers are payments to other school divisions, organizations and individuals.  These are removed to provide more accurate</t>
    </r>
  </si>
  <si>
    <t xml:space="preserve">      400 (Community Education and Services).</t>
  </si>
  <si>
    <r>
      <t>(1)</t>
    </r>
    <r>
      <rPr>
        <sz val="9"/>
        <rFont val="Arial"/>
        <family val="2"/>
      </rPr>
      <t xml:space="preserve">  Operating fund transfers (i.e. payments to other school divisions, organizations and individuals) are excluded to provide more accurate per pupil</t>
    </r>
  </si>
  <si>
    <t xml:space="preserve">      music, ESL, etc. in addition to regular classroom teachers.  School-based administrative personnel are excluded.</t>
  </si>
  <si>
    <r>
      <t>(1)</t>
    </r>
    <r>
      <rPr>
        <sz val="9"/>
        <rFont val="Arial"/>
        <family val="2"/>
      </rPr>
      <t xml:space="preserve">  Based on object code 330 instructional-teaching personnel and F.T.E. students in Function 100.  Included are teachers in physical education,</t>
    </r>
  </si>
  <si>
    <r>
      <t>(1)</t>
    </r>
    <r>
      <rPr>
        <sz val="9"/>
        <rFont val="Arial"/>
        <family val="2"/>
      </rPr>
      <t xml:space="preserve">  Assessment per resident pupil is based on total portioned assessment adjusted for allocations to the D.S.F.M. and corresponds to data provided</t>
    </r>
  </si>
  <si>
    <t xml:space="preserve">      in the calculation of support to school divisions.  Assessment per resident pupil for Flin Flon, Frontier and Mystery Lake reflects non-assessed</t>
  </si>
  <si>
    <t xml:space="preserve">      mining properties.  D.S.F.M. assessment per resident pupil is derived on a pro rata basis according to enrolment within D.S.F.M. boundaries.</t>
  </si>
  <si>
    <r>
      <t>(1)</t>
    </r>
    <r>
      <rPr>
        <sz val="9"/>
        <rFont val="Arial"/>
        <family val="2"/>
      </rPr>
      <t xml:space="preserve">  Equalization is provided to recognize the varying ability of school divisions to meet the cost of unsupported program requirements through the</t>
    </r>
  </si>
  <si>
    <t xml:space="preserve">      property tax base of the school division.</t>
  </si>
  <si>
    <r>
      <t>(3)</t>
    </r>
    <r>
      <rPr>
        <sz val="9"/>
        <rFont val="Arial"/>
        <family val="2"/>
      </rPr>
      <t xml:space="preserve">  Administration, supervision and coordination of Curriculum Consulting and Development (Function 600, Program 610).</t>
    </r>
  </si>
  <si>
    <t xml:space="preserve">      categories exclude administration at the school level (Function 100 - Regular Instruction, Program 110) and special needs administration (Function</t>
  </si>
  <si>
    <r>
      <t>(1)</t>
    </r>
    <r>
      <rPr>
        <sz val="9"/>
        <rFont val="Arial"/>
        <family val="2"/>
      </rPr>
      <t xml:space="preserve">  From page 4 (for more information, see page 4).</t>
    </r>
  </si>
  <si>
    <r>
      <t>(2)</t>
    </r>
    <r>
      <rPr>
        <sz val="9"/>
        <rFont val="Arial"/>
        <family val="2"/>
      </rPr>
      <t xml:space="preserve">  From page 9 (for more information, see page 9).</t>
    </r>
  </si>
  <si>
    <t>PROPERTY</t>
  </si>
  <si>
    <r>
      <t xml:space="preserve">TAX CREDIT </t>
    </r>
    <r>
      <rPr>
        <b/>
        <vertAlign val="superscript"/>
        <sz val="9"/>
        <rFont val="Arial"/>
        <family val="2"/>
      </rPr>
      <t>(2)</t>
    </r>
  </si>
  <si>
    <t xml:space="preserve"> WPG. TECH. COLLEGE</t>
  </si>
  <si>
    <r>
      <t>(1)</t>
    </r>
    <r>
      <rPr>
        <sz val="9"/>
        <rFont val="Arial"/>
        <family val="2"/>
      </rPr>
      <t xml:space="preserve">  See appendix for more detail.</t>
    </r>
  </si>
  <si>
    <r>
      <t xml:space="preserve">REVENUE </t>
    </r>
    <r>
      <rPr>
        <b/>
        <vertAlign val="superscript"/>
        <sz val="9"/>
        <rFont val="Arial"/>
        <family val="2"/>
      </rPr>
      <t>(4)</t>
    </r>
  </si>
  <si>
    <r>
      <t>(1)</t>
    </r>
    <r>
      <rPr>
        <sz val="9"/>
        <rFont val="Arial"/>
        <family val="2"/>
      </rPr>
      <t xml:space="preserve">  90% or more of Regular Instruction enrolment is in one language.</t>
    </r>
  </si>
  <si>
    <r>
      <t>(1)</t>
    </r>
    <r>
      <rPr>
        <sz val="9"/>
        <rFont val="Arial"/>
        <family val="2"/>
      </rPr>
      <t xml:space="preserve">  No one language program comprises 90% or more of Regular Instruction enrolment.</t>
    </r>
  </si>
  <si>
    <r>
      <t>(2)</t>
    </r>
    <r>
      <rPr>
        <sz val="9"/>
        <rFont val="Arial"/>
        <family val="2"/>
      </rPr>
      <t xml:space="preserve">  Square footage (as per note above) divided by total F.T.E. enrolment (from page 7).</t>
    </r>
  </si>
  <si>
    <r>
      <t>(2)</t>
    </r>
    <r>
      <rPr>
        <sz val="9"/>
        <rFont val="Arial"/>
        <family val="2"/>
      </rPr>
      <t xml:space="preserve">  Provided in recognition of the higher costs associated with sparsely populated rural and northern divisions.</t>
    </r>
  </si>
  <si>
    <r>
      <t>(1)</t>
    </r>
    <r>
      <rPr>
        <sz val="9"/>
        <rFont val="Arial"/>
        <family val="2"/>
      </rPr>
      <t xml:space="preserve">  Includes vehicle support for school buses.</t>
    </r>
  </si>
  <si>
    <r>
      <t xml:space="preserve">REVENUE </t>
    </r>
    <r>
      <rPr>
        <b/>
        <vertAlign val="superscript"/>
        <sz val="9"/>
        <rFont val="Arial"/>
        <family val="2"/>
      </rPr>
      <t>(5)</t>
    </r>
  </si>
  <si>
    <r>
      <t xml:space="preserve">GOVERNMENT </t>
    </r>
    <r>
      <rPr>
        <b/>
        <vertAlign val="superscript"/>
        <sz val="9"/>
        <rFont val="Arial"/>
        <family val="2"/>
      </rPr>
      <t>(1)</t>
    </r>
  </si>
  <si>
    <r>
      <t xml:space="preserve">MILL RATE </t>
    </r>
    <r>
      <rPr>
        <b/>
        <vertAlign val="superscript"/>
        <sz val="9"/>
        <rFont val="Arial"/>
        <family val="2"/>
      </rPr>
      <t>(2)</t>
    </r>
  </si>
  <si>
    <r>
      <t xml:space="preserve">LEVY </t>
    </r>
    <r>
      <rPr>
        <b/>
        <vertAlign val="superscript"/>
        <sz val="9"/>
        <rFont val="Arial"/>
        <family val="2"/>
      </rPr>
      <t>(1)</t>
    </r>
  </si>
  <si>
    <r>
      <t>(2)</t>
    </r>
    <r>
      <rPr>
        <sz val="9"/>
        <rFont val="Arial"/>
        <family val="2"/>
      </rPr>
      <t xml:space="preserve">  Mill rates for Flin Flon and Mystery Lake are adjusted for mining revenue.</t>
    </r>
  </si>
  <si>
    <t xml:space="preserve">      defined categories to 4% (urban school divisions), 4.5% (rural school divisions) and 5.0% (northern school divisions).  Frontier School Division,</t>
  </si>
  <si>
    <r>
      <t xml:space="preserve">INFORMATION SERVICES </t>
    </r>
    <r>
      <rPr>
        <b/>
        <vertAlign val="superscript"/>
        <sz val="9"/>
        <rFont val="Arial"/>
        <family val="2"/>
      </rPr>
      <t>(2)</t>
    </r>
  </si>
  <si>
    <t xml:space="preserve">      D.S.F.M. and the Winnipeg Technical College are exempt from these limits and are not reflected in the above totals.  The defined administration</t>
  </si>
  <si>
    <r>
      <t>(1)</t>
    </r>
    <r>
      <rPr>
        <sz val="9"/>
        <rFont val="Arial"/>
        <family val="2"/>
      </rPr>
      <t xml:space="preserve">  For a definition of Adult Learning Centres, see expenditure definitions, page iii.  Expenditures shown here may differ from those shown for Adult</t>
    </r>
  </si>
  <si>
    <t xml:space="preserve">      Learning Centres on page 15 owing to the inclusion of operating transfers for the purpose of calculating administration costs.</t>
  </si>
  <si>
    <t xml:space="preserve">  TRAVEL AND MEETINGS</t>
  </si>
  <si>
    <t>ENGLISH AS A SECOND</t>
  </si>
  <si>
    <t>LANGUAGE FOR ADULTS</t>
  </si>
  <si>
    <t xml:space="preserve">      directly to school divisions as revenue from the Province of Manitoba to more accurately reflect the amount of provincial funding provided in</t>
  </si>
  <si>
    <t>STUDENT</t>
  </si>
  <si>
    <t>ENGLISH AS AN</t>
  </si>
  <si>
    <t>ADDITIONAL</t>
  </si>
  <si>
    <t>CHILDHOOD</t>
  </si>
  <si>
    <t>SEP. 30, 2006</t>
  </si>
  <si>
    <t>PAGE 1 OF 17</t>
  </si>
  <si>
    <t>PAGE 15 OF 17</t>
  </si>
  <si>
    <t>PAGE 14 OF 17</t>
  </si>
  <si>
    <t>PAGE 13 OF 17</t>
  </si>
  <si>
    <t>PAGE 12 OF 17</t>
  </si>
  <si>
    <t>PAGE 11 OF 17</t>
  </si>
  <si>
    <t>PAGE 10 OF 17</t>
  </si>
  <si>
    <t>PAGE 9 OF 17</t>
  </si>
  <si>
    <t>PAGE 8 OF 17</t>
  </si>
  <si>
    <t>PAGE 7 OF 17</t>
  </si>
  <si>
    <t>PAGE 6 OF 17</t>
  </si>
  <si>
    <t>PAGE 5 OF 17</t>
  </si>
  <si>
    <t>PAGE 4 OF 17</t>
  </si>
  <si>
    <t>PAGE 3 OF 17</t>
  </si>
  <si>
    <t>PAGE 2 OF 17</t>
  </si>
  <si>
    <t>PAGE 16 OF 17</t>
  </si>
  <si>
    <t>PAGE 17 OF 17</t>
  </si>
  <si>
    <t xml:space="preserve"> FUNCTION 200: STUDENT SUPPORT SERVICES</t>
  </si>
  <si>
    <t xml:space="preserve"> FUNCTION 200: STUDENT SUPPORT SERVICES (CONT'D)</t>
  </si>
  <si>
    <t>STUDENT SUPPORT SERVICES</t>
  </si>
  <si>
    <t xml:space="preserve">STUDENT SUPPORT </t>
  </si>
  <si>
    <t xml:space="preserve">      page 42 for EPTC revenue.</t>
  </si>
  <si>
    <t xml:space="preserve">      the Education Property Tax Credit.  See pages 42 and 43 for more detail.</t>
  </si>
  <si>
    <r>
      <t xml:space="preserve">PORTIONED ASSESSMENT AND EDUCATION SUPPORT LEVY   </t>
    </r>
    <r>
      <rPr>
        <b/>
        <vertAlign val="superscript"/>
        <sz val="10"/>
        <rFont val="Arial"/>
        <family val="2"/>
      </rPr>
      <t>(1)</t>
    </r>
  </si>
  <si>
    <t>PORTIONED</t>
  </si>
  <si>
    <t xml:space="preserve"> SUPPORT LEVY</t>
  </si>
  <si>
    <t xml:space="preserve">      division for more information.   Does not include costs related to generalized enrichment activities undertaken by school divisions, or</t>
  </si>
  <si>
    <t xml:space="preserve">      International Baccalaureate and Advanced Placement classes.</t>
  </si>
  <si>
    <t>LESS:   LIABILITY</t>
  </si>
  <si>
    <r>
      <t xml:space="preserve">(2) </t>
    </r>
    <r>
      <rPr>
        <sz val="9"/>
        <rFont val="Arial"/>
        <family val="2"/>
      </rPr>
      <t xml:space="preserve"> Effective from the 2005 tax year, the Resident Homeowner Advance portion of the Manitoba Education Property Tax Credit (EPTC) is provided</t>
    </r>
  </si>
  <si>
    <t xml:space="preserve">      support of education.  Amounts shown here do not include the Farmland School Tax Rebate nor the income tax portion of the EPTC nor the</t>
  </si>
  <si>
    <t xml:space="preserve">      Pensioner’s School Tax Assistance (PSTA) because these are not quantifiable on a school division basis.  For these amounts shown on a</t>
  </si>
  <si>
    <t>AMALGAMATED</t>
  </si>
  <si>
    <t>SCHOOL DIVISION</t>
  </si>
  <si>
    <r>
      <t>(1)</t>
    </r>
    <r>
      <rPr>
        <sz val="9"/>
        <rFont val="Arial"/>
        <family val="2"/>
      </rPr>
      <t xml:space="preserve">  All other categorical support not shown elsewhere (eg. Heritage Language, Northern Allowance, etc.).</t>
    </r>
  </si>
  <si>
    <r>
      <t xml:space="preserve">PLACEMENT </t>
    </r>
    <r>
      <rPr>
        <b/>
        <vertAlign val="superscript"/>
        <sz val="10"/>
        <rFont val="Arial"/>
        <family val="2"/>
      </rPr>
      <t>(1)</t>
    </r>
  </si>
  <si>
    <r>
      <t xml:space="preserve">GUARANTEE </t>
    </r>
    <r>
      <rPr>
        <b/>
        <vertAlign val="superscript"/>
        <sz val="9"/>
        <rFont val="Arial"/>
        <family val="2"/>
      </rPr>
      <t>(3)</t>
    </r>
  </si>
  <si>
    <r>
      <t>(3)</t>
    </r>
    <r>
      <rPr>
        <sz val="9"/>
        <rFont val="Arial"/>
        <family val="2"/>
      </rPr>
      <t xml:space="preserve">  A guarantee is provided to ensure amalgamated divisions receive no less funding than they would have received if they were unamalgamated.</t>
    </r>
  </si>
  <si>
    <r>
      <t>(2)</t>
    </r>
    <r>
      <rPr>
        <sz val="9"/>
        <rFont val="Arial"/>
        <family val="2"/>
      </rPr>
      <t xml:space="preserve">  Additional Equalization is provided to specifically assist school divisions or districts that have both higher than average tax effort and lower than</t>
    </r>
  </si>
  <si>
    <t>NON K-12</t>
  </si>
  <si>
    <t>STUDENT SUPPORT</t>
  </si>
  <si>
    <t>K-12  F.T.E.</t>
  </si>
  <si>
    <t>N-12</t>
  </si>
  <si>
    <t>K-12</t>
  </si>
  <si>
    <t xml:space="preserve">      staff - eg. department heads, coordinators, principals and vice-principals - and K-12 F.T.E. enrolment.  Division administrators (Function 500)</t>
  </si>
  <si>
    <t>2007/2008 BUDGET</t>
  </si>
  <si>
    <t>SEP. 30, 2007</t>
  </si>
  <si>
    <r>
      <t xml:space="preserve">  RECHARGE </t>
    </r>
    <r>
      <rPr>
        <vertAlign val="superscript"/>
        <sz val="9"/>
        <rFont val="Arial"/>
        <family val="2"/>
      </rPr>
      <t>(1)</t>
    </r>
  </si>
  <si>
    <r>
      <t>(1)</t>
    </r>
    <r>
      <rPr>
        <sz val="9"/>
        <rFont val="Arial"/>
        <family val="2"/>
      </rPr>
      <t xml:space="preserve">  Reallocation of administration costs associated with Adult Learning Centre operations from Function 500 to Function 300.</t>
    </r>
  </si>
  <si>
    <t>GUIDANCE</t>
  </si>
  <si>
    <t>2007</t>
  </si>
  <si>
    <t>2007/08</t>
  </si>
  <si>
    <r>
      <t>(1)</t>
    </r>
    <r>
      <rPr>
        <sz val="9"/>
        <rFont val="Arial"/>
        <family val="2"/>
      </rPr>
      <t xml:space="preserve">  Reallocation of school building costs associated with Adult Learning Centre operations to Function 300</t>
    </r>
  </si>
  <si>
    <t>Reallocation of school building costs associated with Adult Learning Centre operations to Function 300</t>
  </si>
  <si>
    <t xml:space="preserve">      provincial basis, see page i.</t>
  </si>
  <si>
    <t>PLACEMENT</t>
  </si>
  <si>
    <t xml:space="preserve">  PROPERTY TAXES</t>
  </si>
  <si>
    <t xml:space="preserve"> FUNCTION 200: (CONT'D)</t>
  </si>
  <si>
    <t>INSTRUCTIONAL &amp; OTHER</t>
  </si>
  <si>
    <t>INSTRUCTIONAL AND OTHER SUPPORT SERVICES</t>
  </si>
  <si>
    <t xml:space="preserve"> FUNCTION 600: INSTRUCTIONAL &amp; OTHER SUPPORT SERVICES</t>
  </si>
  <si>
    <t xml:space="preserve"> FUNCTION 600: INSTRUCTIONAL &amp; OTHER SUPPORT SERVICES (CONT'D)</t>
  </si>
  <si>
    <t>2008/2009 BUDGET</t>
  </si>
  <si>
    <t>OPERATING FUND EXPENSE PER PUPIL</t>
  </si>
  <si>
    <r>
      <t xml:space="preserve">EXPENSES </t>
    </r>
    <r>
      <rPr>
        <b/>
        <vertAlign val="superscript"/>
        <sz val="10"/>
        <rFont val="Arial"/>
        <family val="2"/>
      </rPr>
      <t xml:space="preserve">(1)    </t>
    </r>
    <r>
      <rPr>
        <b/>
        <sz val="9"/>
        <rFont val="Arial"/>
        <family val="2"/>
      </rPr>
      <t xml:space="preserve">                                               </t>
    </r>
  </si>
  <si>
    <r>
      <t xml:space="preserve">OF TRANSFERS </t>
    </r>
    <r>
      <rPr>
        <b/>
        <vertAlign val="superscript"/>
        <sz val="9"/>
        <rFont val="Arial"/>
        <family val="2"/>
      </rPr>
      <t>(3)</t>
    </r>
  </si>
  <si>
    <t>EXPENSES NET</t>
  </si>
  <si>
    <t>RECONCILIATION  OF  EXPENSES</t>
  </si>
  <si>
    <r>
      <t>(1)</t>
    </r>
    <r>
      <rPr>
        <sz val="9"/>
        <rFont val="Arial"/>
        <family val="2"/>
      </rPr>
      <t xml:space="preserve">  Total operating expenses as reported on the Schedule of Revenues and Expenses in each school division's budget.</t>
    </r>
  </si>
  <si>
    <r>
      <t>(4)</t>
    </r>
    <r>
      <rPr>
        <sz val="9"/>
        <rFont val="Arial"/>
        <family val="2"/>
      </rPr>
      <t xml:space="preserve">  Expenses for Adult Learning Centres and Community Education and Services (Functions 300 and 400).</t>
    </r>
  </si>
  <si>
    <t>SEP. 30, 2008</t>
  </si>
  <si>
    <r>
      <t>(3)</t>
    </r>
    <r>
      <rPr>
        <sz val="9"/>
        <rFont val="Arial"/>
        <family val="2"/>
      </rPr>
      <t xml:space="preserve">  Provincially supported pupils (actual September 30, 2007 for 2008/09 and actual September 30, 2006 for 2007/08).</t>
    </r>
  </si>
  <si>
    <t>BAD DEBT</t>
  </si>
  <si>
    <t>EXPENSE</t>
  </si>
  <si>
    <t>EXPENSE BY FUNCTION AND OBJECT</t>
  </si>
  <si>
    <t xml:space="preserve">  BAD DEBT EXPENSE</t>
  </si>
  <si>
    <t>FOR THE 2008 TAXATION YEAR</t>
  </si>
  <si>
    <r>
      <t xml:space="preserve"> INFORMATION TECHNOLOGY EXPENSES  </t>
    </r>
    <r>
      <rPr>
        <b/>
        <vertAlign val="superscript"/>
        <sz val="9"/>
        <rFont val="Arial"/>
        <family val="2"/>
      </rPr>
      <t>(1)</t>
    </r>
  </si>
  <si>
    <r>
      <t>(1)</t>
    </r>
    <r>
      <rPr>
        <sz val="9"/>
        <rFont val="Arial"/>
        <family val="2"/>
      </rPr>
      <t xml:space="preserve">  Excludes information technology expenses in Function 300 (Adult Learning Centres) and Function 400 (Community Education and Services).</t>
    </r>
  </si>
  <si>
    <r>
      <t>(2)</t>
    </r>
    <r>
      <rPr>
        <sz val="9"/>
        <rFont val="Arial"/>
        <family val="2"/>
      </rPr>
      <t xml:space="preserve">  Total Management Information Services expenses in Function 500 (from page 27).</t>
    </r>
  </si>
  <si>
    <t>ANALYSIS OF EXPENSE BY PROGRAM</t>
  </si>
  <si>
    <t>ANALYSIS OF  TRANSPORTATION EXPENSES</t>
  </si>
  <si>
    <t>ANALYSIS OF  TRANSPORTATION EXPENSES (CONT'D)</t>
  </si>
  <si>
    <t xml:space="preserve"> ANALYSIS OF OPERATIONS AND MAINTENANCE EXPENSES FOR SCHOOL BUILDINGS</t>
  </si>
  <si>
    <t>ANALYSIS OF EXPENSE BY FUNCTION</t>
  </si>
  <si>
    <r>
      <t>(1)</t>
    </r>
    <r>
      <rPr>
        <sz val="9"/>
        <rFont val="Arial"/>
        <family val="2"/>
      </rPr>
      <t xml:space="preserve">  Excludes information technology expenses in Function 300 (Adult Learning Centres) and Function 400 (Community Education and</t>
    </r>
  </si>
  <si>
    <r>
      <t>(1)</t>
    </r>
    <r>
      <rPr>
        <sz val="9"/>
        <rFont val="Arial"/>
        <family val="2"/>
      </rPr>
      <t xml:space="preserve">  Based on area (square footage) of active school buildings as at June 30, 2008.  Includes rented and leased space.</t>
    </r>
  </si>
  <si>
    <t>PHYSICAL</t>
  </si>
  <si>
    <t>FORMULA</t>
  </si>
  <si>
    <t>NET TRANSFERS</t>
  </si>
  <si>
    <r>
      <t>(1)</t>
    </r>
    <r>
      <rPr>
        <sz val="9"/>
        <rFont val="Arial"/>
        <family val="2"/>
      </rPr>
      <t xml:space="preserve"> Effective 2006, the Education Support Levy is no longer raised on residential property.  The mill rate for other property in 2008 is 16.08.</t>
    </r>
  </si>
  <si>
    <r>
      <t xml:space="preserve">CAPITAL FUND </t>
    </r>
    <r>
      <rPr>
        <b/>
        <vertAlign val="superscript"/>
        <sz val="10"/>
        <rFont val="Arial"/>
        <family val="2"/>
      </rPr>
      <t>(1)</t>
    </r>
  </si>
  <si>
    <t>2008/09</t>
  </si>
  <si>
    <r>
      <t xml:space="preserve">2008/09 </t>
    </r>
    <r>
      <rPr>
        <b/>
        <vertAlign val="superscript"/>
        <sz val="9"/>
        <rFont val="Arial"/>
        <family val="2"/>
      </rPr>
      <t>(2)</t>
    </r>
  </si>
  <si>
    <r>
      <t xml:space="preserve">2008 </t>
    </r>
    <r>
      <rPr>
        <b/>
        <vertAlign val="superscript"/>
        <sz val="9"/>
        <rFont val="Arial"/>
        <family val="2"/>
      </rPr>
      <t>(3)</t>
    </r>
  </si>
  <si>
    <r>
      <t>(4)</t>
    </r>
    <r>
      <rPr>
        <sz val="9"/>
        <rFont val="Arial"/>
        <family val="2"/>
      </rPr>
      <t xml:space="preserve">  From page 48 (for more information, see page 48).</t>
    </r>
  </si>
  <si>
    <r>
      <t xml:space="preserve">2008 </t>
    </r>
    <r>
      <rPr>
        <b/>
        <vertAlign val="superscript"/>
        <sz val="9"/>
        <rFont val="Arial"/>
        <family val="2"/>
      </rPr>
      <t>(4)</t>
    </r>
  </si>
  <si>
    <r>
      <t>(3)</t>
    </r>
    <r>
      <rPr>
        <sz val="9"/>
        <rFont val="Arial"/>
        <family val="2"/>
      </rPr>
      <t xml:space="preserve">  From page 50 (for more information, see page 50).</t>
    </r>
  </si>
  <si>
    <t>EXPENSE BY 2ND LEVEL OBJECT</t>
  </si>
  <si>
    <t>AS A PERCENTAGE OF TOTAL OPERATING FUND EXPENSES</t>
  </si>
  <si>
    <t>June 30 / 08</t>
  </si>
  <si>
    <r>
      <t>(1)</t>
    </r>
    <r>
      <rPr>
        <sz val="9"/>
        <rFont val="Arial"/>
        <family val="2"/>
      </rPr>
      <t xml:space="preserve">  Gross special levy requisitioned by school divisions for the 2008 tax year.  Actual remittance to school divisions by municipalities is reduced by</t>
    </r>
  </si>
  <si>
    <r>
      <t>(1)</t>
    </r>
    <r>
      <rPr>
        <sz val="9"/>
        <rFont val="Arial"/>
        <family val="2"/>
      </rPr>
      <t xml:space="preserve">  Municipal Government revenue is net of $140,352,028 in Education Property Tax Credit (EPTC) revenue paid directly to school divisions.  See</t>
    </r>
  </si>
  <si>
    <r>
      <t>(1)</t>
    </r>
    <r>
      <rPr>
        <sz val="9"/>
        <rFont val="Arial"/>
        <family val="2"/>
      </rPr>
      <t xml:space="preserve">  Based on a grant per eligible pupil at September 30, 2007.</t>
    </r>
  </si>
  <si>
    <t xml:space="preserve">      page 52 and Special Needs).</t>
  </si>
  <si>
    <r>
      <t>(2)</t>
    </r>
    <r>
      <rPr>
        <sz val="9"/>
        <rFont val="Arial"/>
        <family val="2"/>
      </rPr>
      <t xml:space="preserve">  Includes support for coordinators, clinicians and Level II and III pupils.  Note: total special needs support is $154,928,032 (Student Services,</t>
    </r>
  </si>
  <si>
    <t xml:space="preserve">      average assessment per pupil.  Please see 2008/09 Funding of Schools Booklet for more information.</t>
  </si>
  <si>
    <r>
      <t>(5)</t>
    </r>
    <r>
      <rPr>
        <sz val="9"/>
        <rFont val="Arial"/>
        <family val="2"/>
      </rPr>
      <t xml:space="preserve">  Includes School Buildings "D" Support, Technology Education Equipment and other minor capital support.</t>
    </r>
  </si>
  <si>
    <r>
      <t xml:space="preserve">GUARANTEE </t>
    </r>
    <r>
      <rPr>
        <b/>
        <vertAlign val="superscript"/>
        <sz val="9"/>
        <rFont val="Arial"/>
        <family val="2"/>
      </rPr>
      <t>(4)</t>
    </r>
  </si>
  <si>
    <r>
      <t xml:space="preserve">SUPPORT </t>
    </r>
    <r>
      <rPr>
        <b/>
        <vertAlign val="superscript"/>
        <sz val="9"/>
        <rFont val="Arial"/>
        <family val="2"/>
      </rPr>
      <t>(5)</t>
    </r>
  </si>
  <si>
    <t xml:space="preserve">      200 - Student Support Services, Program 210).  This appendix provides an analysis of the defined administration expenses as a percentage of the</t>
  </si>
  <si>
    <r>
      <t xml:space="preserve">(1)  </t>
    </r>
    <r>
      <rPr>
        <sz val="9"/>
        <rFont val="Arial"/>
        <family val="2"/>
      </rPr>
      <t>Effective from fiscal year 2003/2004 on, school divisions are required to limit the proportion of the budget spent on administration expenses in</t>
    </r>
  </si>
  <si>
    <r>
      <t xml:space="preserve">(from page 32) </t>
    </r>
    <r>
      <rPr>
        <b/>
        <vertAlign val="superscript"/>
        <sz val="9"/>
        <rFont val="Arial"/>
        <family val="2"/>
      </rPr>
      <t>(5)</t>
    </r>
  </si>
  <si>
    <r>
      <t xml:space="preserve">(2)  </t>
    </r>
    <r>
      <rPr>
        <sz val="9"/>
        <rFont val="Arial"/>
        <family val="2"/>
      </rPr>
      <t>For a definition of Divisional Administration, see expense definitions, page iii.</t>
    </r>
  </si>
  <si>
    <r>
      <t xml:space="preserve">(4)  </t>
    </r>
    <r>
      <rPr>
        <sz val="9"/>
        <rFont val="Arial"/>
        <family val="2"/>
      </rPr>
      <t>Administration of Pupil Transportation.  For a definition of Transportation of Pupils, see expense definitions, page iii.</t>
    </r>
  </si>
  <si>
    <r>
      <t xml:space="preserve">(5)  </t>
    </r>
    <r>
      <rPr>
        <sz val="9"/>
        <rFont val="Arial"/>
        <family val="2"/>
      </rPr>
      <t>Administration of Operations and Maintenance.  For a definition of Operations and Maintenance, see expense definitions, page iii.</t>
    </r>
  </si>
  <si>
    <r>
      <t xml:space="preserve">ADMINISTRATION EXPENSES </t>
    </r>
    <r>
      <rPr>
        <b/>
        <vertAlign val="superscript"/>
        <sz val="9"/>
        <rFont val="Arial"/>
        <family val="2"/>
      </rPr>
      <t>(1)</t>
    </r>
    <r>
      <rPr>
        <b/>
        <sz val="9"/>
        <rFont val="Arial"/>
        <family val="2"/>
      </rPr>
      <t xml:space="preserve"> 2008/2009 BUDGET</t>
    </r>
  </si>
  <si>
    <t>TOTAL DEFINED ADMINISTRATION EXPENSES</t>
  </si>
  <si>
    <t>(from page 56)</t>
  </si>
  <si>
    <r>
      <t>(1)</t>
    </r>
    <r>
      <rPr>
        <sz val="9"/>
        <rFont val="Arial"/>
        <family val="2"/>
      </rPr>
      <t xml:space="preserve">  Expenses shown are extra costs associated with special needs students in regular classes, not the total cost of educating those students.</t>
    </r>
  </si>
  <si>
    <r>
      <t>(1)</t>
    </r>
    <r>
      <rPr>
        <sz val="9"/>
        <rFont val="Arial"/>
        <family val="2"/>
      </rPr>
      <t xml:space="preserve">  All expenses related to gifted programming may not be included due to the difficulty of costing certain programming.  Contact your school</t>
    </r>
  </si>
  <si>
    <t xml:space="preserve">      Services) and Management Information Services in Function 500. Total expenses for Management Information Services are included</t>
  </si>
  <si>
    <t xml:space="preserve">      on page 39 and form part of total Information Technology Expenses.</t>
  </si>
  <si>
    <r>
      <t>PROVINCIAL</t>
    </r>
    <r>
      <rPr>
        <vertAlign val="superscript"/>
        <sz val="9"/>
        <rFont val="Arial"/>
        <family val="2"/>
      </rPr>
      <t>(1)</t>
    </r>
  </si>
  <si>
    <r>
      <t xml:space="preserve">(1)  </t>
    </r>
    <r>
      <rPr>
        <sz val="9"/>
        <rFont val="Arial"/>
        <family val="2"/>
      </rPr>
      <t>The portion shown here is comprised of operating support only.  The total provincial contribution to K-12 public school education, which also</t>
    </r>
  </si>
  <si>
    <t>__________________________________________________________________________________________________________________</t>
  </si>
  <si>
    <t xml:space="preserve">      for more information.</t>
  </si>
  <si>
    <r>
      <t>(1)</t>
    </r>
    <r>
      <rPr>
        <sz val="9"/>
        <rFont val="Arial"/>
        <family val="2"/>
      </rPr>
      <t xml:space="preserve">  Includes food services, health services, and other activities related to instructional and other support not included in previous programs.</t>
    </r>
  </si>
  <si>
    <t>____________________________________________________________________________________________________________________________________________________</t>
  </si>
  <si>
    <r>
      <t>OTHER</t>
    </r>
    <r>
      <rPr>
        <b/>
        <vertAlign val="superscript"/>
        <sz val="9"/>
        <rFont val="Arial"/>
        <family val="2"/>
      </rPr>
      <t>(1)</t>
    </r>
  </si>
  <si>
    <t>T0 / (FROM)</t>
  </si>
  <si>
    <t>NET TRANSFERS TO / (FROM) CAPITAL FUND</t>
  </si>
  <si>
    <t xml:space="preserve">      in this report owing to the inclusion of operating transfers for the purpose of calculating administration costs.</t>
  </si>
  <si>
    <t xml:space="preserve">      adjusted operating expense base.  Expenses shown for Function 500 or Program 710 may differ from corresponding amounts shown elsewhere</t>
  </si>
  <si>
    <t>ANALYSIS OF INFORMATION TECHNOLOGY EXPENSES</t>
  </si>
  <si>
    <t xml:space="preserve">      costs.  Also excluded are expenses for educational services not provided to K-12 pupils: Function 300 (Adult Learning Centres) and Function</t>
  </si>
  <si>
    <r>
      <t>(4)</t>
    </r>
    <r>
      <rPr>
        <sz val="9"/>
        <rFont val="Arial"/>
        <family val="2"/>
      </rPr>
      <t xml:space="preserve">  Formula Guarantee is provided to ensure that every school division will receive at least a 2% increase in 2008/09 formula funding under the</t>
    </r>
  </si>
  <si>
    <r>
      <t xml:space="preserve">      </t>
    </r>
    <r>
      <rPr>
        <sz val="9"/>
        <rFont val="Arial"/>
        <family val="2"/>
      </rPr>
      <t xml:space="preserve"> Funding of Schools Program as compared to 2007/08 formula funding.</t>
    </r>
  </si>
  <si>
    <r>
      <t>(1)</t>
    </r>
    <r>
      <rPr>
        <sz val="9"/>
        <rFont val="Arial"/>
        <family val="2"/>
      </rPr>
      <t xml:space="preserve">  Includes transfers to bus reserves and other capital reserves.</t>
    </r>
  </si>
  <si>
    <t>GROSS SPECIAL</t>
  </si>
  <si>
    <t>TAX INCENTIVE</t>
  </si>
  <si>
    <t>NET SPECIAL</t>
  </si>
  <si>
    <t xml:space="preserve">      includes teachers' retirement allowances, capital support and the education property tax credit, is projected to be 74.5% in 2008/09.  See page i  </t>
  </si>
  <si>
    <r>
      <t>GRANT</t>
    </r>
    <r>
      <rPr>
        <b/>
        <vertAlign val="superscript"/>
        <sz val="9"/>
        <rFont val="Arial"/>
        <family val="2"/>
      </rPr>
      <t xml:space="preserve"> (1)</t>
    </r>
  </si>
  <si>
    <t xml:space="preserve">TAX  </t>
  </si>
  <si>
    <t>INCENTIVE</t>
  </si>
  <si>
    <r>
      <t>GRANT</t>
    </r>
    <r>
      <rPr>
        <b/>
        <vertAlign val="superscript"/>
        <sz val="9"/>
        <rFont val="Arial"/>
        <family val="2"/>
      </rPr>
      <t>(3)</t>
    </r>
  </si>
  <si>
    <r>
      <t xml:space="preserve">REVENUE </t>
    </r>
    <r>
      <rPr>
        <b/>
        <vertAlign val="superscript"/>
        <sz val="9"/>
        <rFont val="Arial"/>
        <family val="2"/>
      </rPr>
      <t>(6)</t>
    </r>
  </si>
  <si>
    <r>
      <t>(4)</t>
    </r>
    <r>
      <rPr>
        <sz val="9"/>
        <rFont val="Arial"/>
        <family val="2"/>
      </rPr>
      <t xml:space="preserve">  Includes other miscellaneous support (Institutional Programs, Adult Learning Centres, General Support Grant, etc.).</t>
    </r>
  </si>
  <si>
    <r>
      <t>(5)</t>
    </r>
    <r>
      <rPr>
        <sz val="9"/>
        <rFont val="Arial"/>
        <family val="2"/>
      </rPr>
      <t xml:space="preserve">  Includes revenue from other provincial government departments.</t>
    </r>
  </si>
  <si>
    <r>
      <t>(6)</t>
    </r>
    <r>
      <rPr>
        <sz val="9"/>
        <rFont val="Arial"/>
        <family val="2"/>
      </rPr>
      <t xml:space="preserve">  Total provincial contribution to public education is 74.5%.  See page i for more details.</t>
    </r>
  </si>
  <si>
    <r>
      <t xml:space="preserve">(3)  </t>
    </r>
    <r>
      <rPr>
        <sz val="9"/>
        <rFont val="Arial"/>
        <family val="2"/>
      </rPr>
      <t xml:space="preserve">For 2008/09 a Tax Incentive Grant (TIG) was offered to school divisions that held their 2008 mill rate at the 2007 mill rate. The TIG reduces </t>
    </r>
  </si>
  <si>
    <r>
      <t xml:space="preserve">(1) </t>
    </r>
    <r>
      <rPr>
        <sz val="9"/>
        <rFont val="Arial"/>
        <family val="2"/>
      </rPr>
      <t>For 2008/09 a Tax Incentive Grant (TIG) was offered to school divisions that held their 2008 mill rate at the 2007 mill rate.  The TIG reduces the</t>
    </r>
  </si>
  <si>
    <t xml:space="preserve">  amount of Special Levy that would otherwise have to be raised through an increased mill rate. </t>
  </si>
  <si>
    <t xml:space="preserve">       the amount of Special Levy that would otherwise have to be raised through an increased mill rate.  The 2008 TIG is applicable to both the </t>
  </si>
  <si>
    <t xml:space="preserve">       2007/08 and the 2008/09 revenue, therefore only the 2008/09 portion is recorded here. See page 50 for the full amount.</t>
  </si>
  <si>
    <t>ESTIMATE SEPTEMBER 30,2008</t>
  </si>
  <si>
    <t xml:space="preserve"> SUMMARY OF OPERATING FUND REVENUE: 2008/2009 BUDGET</t>
  </si>
  <si>
    <t xml:space="preserve"> ANALYSIS OF OPERATING FUND REVENUE: 2008/2009 BUDGET</t>
  </si>
  <si>
    <r>
      <t xml:space="preserve">ADMINISTRATION EXPENSES </t>
    </r>
    <r>
      <rPr>
        <b/>
        <sz val="9"/>
        <rFont val="Arial"/>
        <family val="2"/>
      </rPr>
      <t>2008/2009 BUDGET</t>
    </r>
  </si>
  <si>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</si>
  <si>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</si>
  <si>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just click the worksheet tab named "- 15 -".</t>
  </si>
  <si>
    <t>FRAME Report: 2008/09 Budget</t>
  </si>
  <si>
    <t>The cover page, table of contents, forward and introduction, etc. as well as the graphs (e.g. pie charts, bar charts, etc.) are not included.  If you need to see these and do not already have a copy of the report, you can download the PDF version from the same site on which you found this Excel file.</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</si>
  <si>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the Manitoba Govenment web site remain the final authority.</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</si>
</sst>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 numFmtId="198" formatCode="0.000"/>
    <numFmt numFmtId="199" formatCode="_(* #,##0.000_);_(* \(#,##0.000\);_(* &quot;-&quot;??_);_(@_)"/>
    <numFmt numFmtId="200" formatCode="_(* #,##0.0_);_(* \(#,##0.0\);_(* &quot;-&quot;??_);_(@_)"/>
    <numFmt numFmtId="201" formatCode="_-* #,##0.0_-;\-* #,##0.0_-;_-* &quot;-&quot;?_-;_-@_-"/>
    <numFmt numFmtId="202" formatCode="_(* #,##0.0_);_(* \(#,##0.0\);_(* &quot;-&quot;?_);_(@_)"/>
    <numFmt numFmtId="203" formatCode="_(&quot;$&quot;* #,##0.0_);_(&quot;$&quot;* \(#,##0.0\);_(&quot;$&quot;* &quot;-&quot;??_);_(@_)"/>
    <numFmt numFmtId="204" formatCode="&quot;$&quot;#,##0.0_);[Red]\(&quot;$&quot;#,##0.0\)"/>
    <numFmt numFmtId="205" formatCode="#,##0.0\ [$$-C0C]"/>
    <numFmt numFmtId="206" formatCode="#,##0.0,,"/>
    <numFmt numFmtId="207" formatCode="_(* #,##0.0__\);_(* \(#,##0.0\);_(* &quot;-&quot;?_);_(@_)"/>
    <numFmt numFmtId="208" formatCode="_(* #,##0.0,_);_(* \(#,##0.0\);_(* &quot;-&quot;?_);_(@_)"/>
    <numFmt numFmtId="209" formatCode="_ #,##0.0__;_(* \(#,##0.0\);_(* &quot;-&quot;?_);_(@_)"/>
    <numFmt numFmtId="210" formatCode="_ #,##0.0___;_(* \(###0.0\);_(* &quot;-&quot;?_);_(@_)"/>
    <numFmt numFmtId="211" formatCode="_ #,##0.0___;_(* \(###0.0\)"/>
    <numFmt numFmtId="212" formatCode="_ #,##0.0___;"/>
    <numFmt numFmtId="213" formatCode="&quot;$&quot;#,##0.0_);\(&quot;$&quot;#,##0.0\)"/>
    <numFmt numFmtId="214" formatCode="[$-1009]mmmm\ d\,\ yyyy"/>
    <numFmt numFmtId="215" formatCode="[$-F800]dddd\,\ mmmm\ dd\,\ yyyy"/>
    <numFmt numFmtId="216" formatCode="#,##0.00_ ;\(#,##0.00\)"/>
    <numFmt numFmtId="217" formatCode="[$-409]dddd\,\ mmmm\ dd\,\ yyyy"/>
  </numFmts>
  <fonts count="19">
    <font>
      <sz val="9"/>
      <name val="Times New Roman"/>
      <family val="0"/>
    </font>
    <font>
      <sz val="10"/>
      <name val="Times New Roman"/>
      <family val="0"/>
    </font>
    <font>
      <sz val="10"/>
      <name val="Courier"/>
      <family val="0"/>
    </font>
    <font>
      <b/>
      <sz val="9"/>
      <name val="Arial"/>
      <family val="2"/>
    </font>
    <font>
      <b/>
      <sz val="11"/>
      <color indexed="9"/>
      <name val="Arial"/>
      <family val="2"/>
    </font>
    <font>
      <sz val="11"/>
      <color indexed="9"/>
      <name val="Arial"/>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val="single"/>
      <sz val="9"/>
      <name val="Arial"/>
      <family val="2"/>
    </font>
    <font>
      <b/>
      <sz val="12"/>
      <name val="Arial"/>
      <family val="2"/>
    </font>
    <font>
      <sz val="10"/>
      <name val="Arial"/>
      <family val="2"/>
    </font>
    <font>
      <b/>
      <vertAlign val="superscript"/>
      <sz val="10"/>
      <name val="Arial"/>
      <family val="2"/>
    </font>
    <font>
      <u val="single"/>
      <sz val="10"/>
      <color indexed="36"/>
      <name val="Arial"/>
      <family val="0"/>
    </font>
    <font>
      <u val="single"/>
      <sz val="10"/>
      <color indexed="12"/>
      <name val="Arial"/>
      <family val="0"/>
    </font>
    <font>
      <sz val="11"/>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57"/>
        <bgColor indexed="64"/>
      </patternFill>
    </fill>
  </fills>
  <borders count="50">
    <border>
      <left/>
      <right/>
      <top/>
      <bottom/>
      <diagonal/>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style="double">
        <color indexed="8"/>
      </left>
      <right>
        <color indexed="63"/>
      </right>
      <top>
        <color indexed="63"/>
      </top>
      <bottom style="thin">
        <color indexed="8"/>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color indexed="8"/>
      </bottom>
    </border>
    <border>
      <left style="thin"/>
      <right style="thin"/>
      <top style="thin"/>
      <bottom style="thin"/>
    </border>
    <border>
      <left>
        <color indexed="63"/>
      </left>
      <right>
        <color indexed="63"/>
      </right>
      <top style="thin"/>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color indexed="8"/>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color indexed="8"/>
      </top>
      <bottom style="thin">
        <color indexed="8"/>
      </bottom>
    </border>
    <border>
      <left style="thin">
        <color indexed="8"/>
      </left>
      <right style="thin"/>
      <top style="thin"/>
      <bottom style="thin"/>
    </border>
    <border>
      <left style="thin"/>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color indexed="8"/>
      </right>
      <top style="thin"/>
      <bottom style="thin"/>
    </border>
    <border>
      <left style="thin"/>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571">
    <xf numFmtId="37" fontId="0" fillId="0" borderId="0" xfId="0" applyAlignment="1">
      <alignment/>
    </xf>
    <xf numFmtId="37" fontId="6" fillId="0" borderId="0" xfId="0" applyFont="1" applyAlignment="1">
      <alignment/>
    </xf>
    <xf numFmtId="49" fontId="6" fillId="0" borderId="0" xfId="0" applyNumberFormat="1" applyFont="1" applyAlignment="1">
      <alignment/>
    </xf>
    <xf numFmtId="172" fontId="6" fillId="0" borderId="0" xfId="0" applyNumberFormat="1" applyFont="1" applyAlignment="1" applyProtection="1">
      <alignment/>
      <protection/>
    </xf>
    <xf numFmtId="37" fontId="6" fillId="3" borderId="0" xfId="0" applyFont="1" applyFill="1" applyAlignment="1">
      <alignment/>
    </xf>
    <xf numFmtId="37" fontId="3" fillId="3" borderId="2" xfId="0" applyFont="1" applyFill="1" applyBorder="1" applyAlignment="1">
      <alignment horizontal="centerContinuous" vertical="center"/>
    </xf>
    <xf numFmtId="37" fontId="6"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6" fillId="3" borderId="3" xfId="0" applyFont="1" applyFill="1" applyBorder="1" applyAlignment="1">
      <alignment horizontal="centerContinuous"/>
    </xf>
    <xf numFmtId="37" fontId="7" fillId="3" borderId="3" xfId="0" applyFont="1" applyFill="1" applyBorder="1" applyAlignment="1">
      <alignment horizontal="centerContinuous"/>
    </xf>
    <xf numFmtId="37" fontId="6" fillId="3" borderId="0" xfId="0" applyFont="1" applyFill="1" applyAlignment="1">
      <alignment horizontal="center"/>
    </xf>
    <xf numFmtId="37" fontId="3" fillId="3" borderId="4" xfId="0" applyFont="1" applyFill="1" applyBorder="1" applyAlignment="1">
      <alignment horizontal="center"/>
    </xf>
    <xf numFmtId="0" fontId="3" fillId="3" borderId="5" xfId="0" applyNumberFormat="1" applyFont="1" applyFill="1" applyBorder="1" applyAlignment="1">
      <alignment horizontal="center"/>
    </xf>
    <xf numFmtId="37" fontId="3" fillId="3" borderId="5" xfId="0" applyFont="1" applyFill="1" applyBorder="1" applyAlignment="1">
      <alignment horizontal="center"/>
    </xf>
    <xf numFmtId="37" fontId="3" fillId="3" borderId="1" xfId="0" applyFont="1" applyFill="1" applyBorder="1" applyAlignment="1">
      <alignment horizontal="center"/>
    </xf>
    <xf numFmtId="0" fontId="3" fillId="3" borderId="6" xfId="0" applyNumberFormat="1" applyFont="1" applyFill="1" applyBorder="1" applyAlignment="1">
      <alignment horizontal="center"/>
    </xf>
    <xf numFmtId="37" fontId="3" fillId="3" borderId="6" xfId="0" applyFont="1" applyFill="1" applyBorder="1" applyAlignment="1">
      <alignment horizontal="center"/>
    </xf>
    <xf numFmtId="49" fontId="3" fillId="0" borderId="7" xfId="0" applyNumberFormat="1" applyFont="1" applyBorder="1" applyAlignment="1">
      <alignment/>
    </xf>
    <xf numFmtId="37" fontId="3" fillId="3" borderId="2" xfId="0" applyFont="1" applyFill="1" applyBorder="1" applyAlignment="1">
      <alignment horizontal="center"/>
    </xf>
    <xf numFmtId="49" fontId="3" fillId="0" borderId="8" xfId="0" applyNumberFormat="1" applyFont="1" applyBorder="1" applyAlignment="1">
      <alignment/>
    </xf>
    <xf numFmtId="37" fontId="3" fillId="3" borderId="9" xfId="0" applyFont="1" applyFill="1" applyBorder="1" applyAlignment="1">
      <alignment horizontal="center" vertical="top"/>
    </xf>
    <xf numFmtId="37" fontId="3" fillId="3" borderId="10" xfId="0" applyFont="1" applyFill="1" applyBorder="1" applyAlignment="1">
      <alignment horizontal="center" vertical="top"/>
    </xf>
    <xf numFmtId="49" fontId="3" fillId="0" borderId="0" xfId="0" applyNumberFormat="1" applyFont="1" applyAlignment="1">
      <alignment/>
    </xf>
    <xf numFmtId="49" fontId="6" fillId="0" borderId="1" xfId="0" applyNumberFormat="1" applyFont="1" applyBorder="1" applyAlignment="1">
      <alignment vertical="center"/>
    </xf>
    <xf numFmtId="191" fontId="6" fillId="0" borderId="1" xfId="0" applyNumberFormat="1" applyFont="1" applyBorder="1" applyAlignment="1">
      <alignment vertical="center"/>
    </xf>
    <xf numFmtId="49" fontId="6" fillId="0" borderId="0" xfId="0" applyNumberFormat="1" applyFont="1" applyAlignment="1">
      <alignment vertical="center"/>
    </xf>
    <xf numFmtId="192" fontId="6" fillId="0" borderId="0" xfId="0" applyNumberFormat="1" applyFont="1" applyAlignment="1">
      <alignment vertical="center"/>
    </xf>
    <xf numFmtId="37" fontId="6" fillId="0" borderId="11" xfId="0" applyFont="1" applyBorder="1" applyAlignment="1">
      <alignment/>
    </xf>
    <xf numFmtId="37" fontId="6" fillId="0" borderId="0" xfId="0" applyFont="1" applyAlignment="1">
      <alignment horizontal="left"/>
    </xf>
    <xf numFmtId="49" fontId="6" fillId="0" borderId="0" xfId="0" applyNumberFormat="1" applyFont="1" applyAlignment="1">
      <alignment horizontal="left"/>
    </xf>
    <xf numFmtId="37" fontId="6" fillId="3" borderId="0" xfId="0" applyFont="1" applyFill="1" applyBorder="1" applyAlignment="1">
      <alignment/>
    </xf>
    <xf numFmtId="37" fontId="6" fillId="0" borderId="0" xfId="0" applyNumberFormat="1" applyFont="1" applyBorder="1" applyAlignment="1" applyProtection="1">
      <alignment/>
      <protection/>
    </xf>
    <xf numFmtId="37" fontId="3" fillId="0" borderId="4" xfId="0" applyFont="1" applyBorder="1" applyAlignment="1">
      <alignment/>
    </xf>
    <xf numFmtId="37" fontId="3" fillId="3" borderId="5" xfId="0" applyFont="1" applyFill="1" applyBorder="1" applyAlignment="1">
      <alignment horizontal="right"/>
    </xf>
    <xf numFmtId="37" fontId="3" fillId="3" borderId="5" xfId="0" applyFont="1" applyFill="1" applyBorder="1" applyAlignment="1">
      <alignment/>
    </xf>
    <xf numFmtId="37" fontId="3" fillId="0" borderId="8" xfId="0" applyFont="1" applyBorder="1" applyAlignment="1">
      <alignment/>
    </xf>
    <xf numFmtId="37" fontId="3" fillId="0" borderId="10" xfId="0" applyFont="1" applyBorder="1" applyAlignment="1">
      <alignment horizontal="right"/>
    </xf>
    <xf numFmtId="37" fontId="3" fillId="0" borderId="0" xfId="0" applyFont="1" applyAlignment="1">
      <alignment/>
    </xf>
    <xf numFmtId="191" fontId="6" fillId="0" borderId="1" xfId="0" applyNumberFormat="1" applyFont="1" applyBorder="1" applyAlignment="1">
      <alignment horizontal="right" vertical="center"/>
    </xf>
    <xf numFmtId="37" fontId="6" fillId="0" borderId="0" xfId="0" applyFont="1" applyAlignment="1">
      <alignment/>
    </xf>
    <xf numFmtId="49" fontId="9" fillId="0" borderId="0" xfId="0" applyNumberFormat="1" applyFont="1" applyAlignment="1">
      <alignment/>
    </xf>
    <xf numFmtId="49" fontId="9" fillId="0" borderId="0" xfId="0" applyNumberFormat="1" applyFont="1" applyAlignment="1" quotePrefix="1">
      <alignment/>
    </xf>
    <xf numFmtId="37" fontId="6" fillId="3" borderId="0" xfId="0" applyFont="1" applyFill="1" applyAlignment="1" applyProtection="1">
      <alignment/>
      <protection/>
    </xf>
    <xf numFmtId="172" fontId="6" fillId="0" borderId="2" xfId="0" applyNumberFormat="1" applyFont="1" applyBorder="1" applyAlignment="1" applyProtection="1">
      <alignment/>
      <protection/>
    </xf>
    <xf numFmtId="37" fontId="3" fillId="3" borderId="2" xfId="0" applyFont="1" applyFill="1" applyBorder="1" applyAlignment="1" applyProtection="1">
      <alignment horizontal="centerContinuous" vertical="center"/>
      <protection/>
    </xf>
    <xf numFmtId="37" fontId="6" fillId="3" borderId="2" xfId="0" applyFont="1" applyFill="1" applyBorder="1" applyAlignment="1" applyProtection="1">
      <alignment horizontal="centerContinuous"/>
      <protection/>
    </xf>
    <xf numFmtId="37" fontId="6" fillId="3" borderId="2" xfId="0" applyFont="1" applyFill="1" applyBorder="1" applyAlignment="1" applyProtection="1">
      <alignment horizontal="right"/>
      <protection/>
    </xf>
    <xf numFmtId="172" fontId="6" fillId="0" borderId="3" xfId="0" applyNumberFormat="1" applyFont="1" applyBorder="1" applyAlignment="1" applyProtection="1">
      <alignment/>
      <protection/>
    </xf>
    <xf numFmtId="37" fontId="3" fillId="3" borderId="3" xfId="0" applyFont="1" applyFill="1" applyBorder="1" applyAlignment="1" applyProtection="1" quotePrefix="1">
      <alignment horizontal="centerContinuous" vertical="center"/>
      <protection/>
    </xf>
    <xf numFmtId="37" fontId="6" fillId="3" borderId="3" xfId="0" applyFont="1" applyFill="1" applyBorder="1" applyAlignment="1" applyProtection="1">
      <alignment horizontal="centerContinuous"/>
      <protection/>
    </xf>
    <xf numFmtId="37" fontId="6" fillId="3" borderId="3" xfId="0" applyFont="1" applyFill="1" applyBorder="1" applyAlignment="1" applyProtection="1" quotePrefix="1">
      <alignment horizontal="centerContinuous"/>
      <protection/>
    </xf>
    <xf numFmtId="37" fontId="6" fillId="3" borderId="3" xfId="0" applyFont="1" applyFill="1" applyBorder="1" applyAlignment="1" applyProtection="1">
      <alignment/>
      <protection/>
    </xf>
    <xf numFmtId="182" fontId="6" fillId="3" borderId="0" xfId="0" applyNumberFormat="1" applyFont="1" applyFill="1" applyAlignment="1" applyProtection="1">
      <alignment/>
      <protection/>
    </xf>
    <xf numFmtId="37" fontId="3" fillId="0" borderId="12" xfId="0" applyFont="1" applyBorder="1" applyAlignment="1" applyProtection="1">
      <alignment horizontal="centerContinuous"/>
      <protection/>
    </xf>
    <xf numFmtId="37" fontId="3" fillId="0" borderId="3" xfId="0" applyFont="1" applyBorder="1" applyAlignment="1" applyProtection="1">
      <alignment horizontal="centerContinuous"/>
      <protection/>
    </xf>
    <xf numFmtId="37" fontId="3" fillId="0" borderId="13" xfId="0" applyFont="1" applyBorder="1" applyAlignment="1" applyProtection="1">
      <alignment horizontal="centerContinuous"/>
      <protection/>
    </xf>
    <xf numFmtId="37" fontId="3" fillId="0" borderId="10" xfId="0" applyFont="1" applyBorder="1" applyAlignment="1" applyProtection="1">
      <alignment horizontal="centerContinuous"/>
      <protection/>
    </xf>
    <xf numFmtId="37" fontId="3" fillId="0" borderId="7" xfId="0" applyFont="1" applyBorder="1" applyAlignment="1">
      <alignment vertical="center"/>
    </xf>
    <xf numFmtId="37" fontId="3" fillId="0" borderId="0" xfId="0" applyFont="1" applyBorder="1" applyAlignment="1" applyProtection="1">
      <alignment horizontal="center" vertical="center"/>
      <protection/>
    </xf>
    <xf numFmtId="37" fontId="3" fillId="0" borderId="14" xfId="0" applyFont="1" applyBorder="1" applyAlignment="1" applyProtection="1">
      <alignment vertical="center"/>
      <protection/>
    </xf>
    <xf numFmtId="37" fontId="3" fillId="0" borderId="14" xfId="0" applyFont="1" applyBorder="1" applyAlignment="1" applyProtection="1">
      <alignment horizontal="center" vertical="center"/>
      <protection/>
    </xf>
    <xf numFmtId="37" fontId="3" fillId="0" borderId="15" xfId="0" applyFont="1" applyBorder="1" applyAlignment="1" applyProtection="1">
      <alignment horizontal="center" vertical="center"/>
      <protection/>
    </xf>
    <xf numFmtId="37" fontId="3" fillId="0" borderId="1" xfId="0" applyFont="1" applyBorder="1" applyAlignment="1" applyProtection="1">
      <alignment horizontal="center" vertical="center"/>
      <protection/>
    </xf>
    <xf numFmtId="37" fontId="3" fillId="0" borderId="8" xfId="0" applyFont="1" applyBorder="1" applyAlignment="1">
      <alignment vertical="center"/>
    </xf>
    <xf numFmtId="37" fontId="3" fillId="0" borderId="3" xfId="0" applyFont="1" applyBorder="1" applyAlignment="1" applyProtection="1">
      <alignment horizontal="center" vertical="center"/>
      <protection/>
    </xf>
    <xf numFmtId="37" fontId="3" fillId="0" borderId="12" xfId="0" applyFont="1" applyBorder="1" applyAlignment="1" applyProtection="1">
      <alignment horizontal="center" vertical="center"/>
      <protection/>
    </xf>
    <xf numFmtId="37" fontId="3" fillId="0" borderId="13" xfId="0" applyFont="1" applyBorder="1" applyAlignment="1" applyProtection="1">
      <alignment horizontal="center" vertical="center"/>
      <protection/>
    </xf>
    <xf numFmtId="37" fontId="3" fillId="0" borderId="9" xfId="0" applyFont="1" applyBorder="1" applyAlignment="1" applyProtection="1">
      <alignment horizontal="center" vertical="center"/>
      <protection/>
    </xf>
    <xf numFmtId="37" fontId="6" fillId="0" borderId="0" xfId="0" applyFont="1" applyAlignment="1" applyProtection="1">
      <alignment/>
      <protection/>
    </xf>
    <xf numFmtId="196" fontId="6" fillId="0" borderId="1" xfId="0" applyNumberFormat="1" applyFont="1" applyBorder="1" applyAlignment="1">
      <alignment vertical="center"/>
    </xf>
    <xf numFmtId="196" fontId="6" fillId="0" borderId="16" xfId="0" applyNumberFormat="1" applyFont="1" applyBorder="1" applyAlignment="1">
      <alignment vertical="center"/>
    </xf>
    <xf numFmtId="196" fontId="6" fillId="0" borderId="6" xfId="0" applyNumberFormat="1" applyFont="1" applyBorder="1" applyAlignment="1">
      <alignment vertical="center"/>
    </xf>
    <xf numFmtId="196" fontId="6" fillId="0" borderId="0" xfId="0" applyNumberFormat="1" applyFont="1" applyAlignment="1">
      <alignment vertical="center"/>
    </xf>
    <xf numFmtId="37" fontId="6" fillId="0" borderId="11" xfId="0" applyFont="1" applyBorder="1" applyAlignment="1" applyProtection="1">
      <alignment/>
      <protection/>
    </xf>
    <xf numFmtId="37" fontId="6" fillId="0" borderId="17" xfId="0" applyFont="1" applyBorder="1" applyAlignment="1">
      <alignment/>
    </xf>
    <xf numFmtId="37" fontId="3" fillId="0" borderId="17" xfId="0" applyFont="1" applyBorder="1" applyAlignment="1">
      <alignment horizontal="centerContinuous" vertical="center"/>
    </xf>
    <xf numFmtId="37" fontId="3" fillId="3" borderId="0" xfId="0" applyFont="1" applyFill="1" applyAlignment="1">
      <alignment horizontal="centerContinuous"/>
    </xf>
    <xf numFmtId="37" fontId="6" fillId="3" borderId="0" xfId="0" applyFont="1" applyFill="1" applyAlignment="1">
      <alignment horizontal="centerContinuous"/>
    </xf>
    <xf numFmtId="37" fontId="6" fillId="0" borderId="18" xfId="0" applyFont="1" applyBorder="1" applyAlignment="1">
      <alignment/>
    </xf>
    <xf numFmtId="37" fontId="6" fillId="0" borderId="5" xfId="0" applyFont="1" applyBorder="1" applyAlignment="1">
      <alignment/>
    </xf>
    <xf numFmtId="37" fontId="3" fillId="0" borderId="19" xfId="0" applyFont="1" applyBorder="1" applyAlignment="1">
      <alignment/>
    </xf>
    <xf numFmtId="191" fontId="6" fillId="0" borderId="1" xfId="0" applyNumberFormat="1" applyFont="1" applyBorder="1" applyAlignment="1" applyProtection="1">
      <alignment/>
      <protection/>
    </xf>
    <xf numFmtId="191" fontId="6" fillId="0" borderId="6" xfId="0" applyNumberFormat="1" applyFont="1" applyBorder="1" applyAlignment="1" applyProtection="1">
      <alignment/>
      <protection/>
    </xf>
    <xf numFmtId="37" fontId="6" fillId="0" borderId="6" xfId="0" applyFont="1" applyBorder="1" applyAlignment="1">
      <alignment/>
    </xf>
    <xf numFmtId="172" fontId="6" fillId="0" borderId="14" xfId="0" applyNumberFormat="1" applyFont="1" applyBorder="1" applyAlignment="1" applyProtection="1">
      <alignment/>
      <protection/>
    </xf>
    <xf numFmtId="191" fontId="6" fillId="0" borderId="14" xfId="0" applyNumberFormat="1" applyFont="1" applyBorder="1" applyAlignment="1" applyProtection="1">
      <alignment/>
      <protection/>
    </xf>
    <xf numFmtId="49" fontId="10" fillId="0" borderId="6" xfId="0" applyNumberFormat="1" applyFont="1" applyBorder="1" applyAlignment="1">
      <alignment/>
    </xf>
    <xf numFmtId="37" fontId="6" fillId="0" borderId="1" xfId="0" applyNumberFormat="1" applyFont="1" applyBorder="1" applyAlignment="1" applyProtection="1">
      <alignment/>
      <protection/>
    </xf>
    <xf numFmtId="37" fontId="6" fillId="0" borderId="6" xfId="0" applyNumberFormat="1" applyFont="1" applyBorder="1" applyAlignment="1" applyProtection="1">
      <alignment/>
      <protection/>
    </xf>
    <xf numFmtId="37" fontId="3" fillId="0" borderId="19" xfId="0" applyFont="1" applyBorder="1" applyAlignment="1">
      <alignment vertical="top"/>
    </xf>
    <xf numFmtId="37" fontId="6" fillId="0" borderId="14" xfId="0" applyFont="1" applyBorder="1" applyAlignment="1">
      <alignment horizontal="right" textRotation="180"/>
    </xf>
    <xf numFmtId="191" fontId="6" fillId="0" borderId="0" xfId="0" applyNumberFormat="1" applyFont="1" applyAlignment="1" applyProtection="1">
      <alignment/>
      <protection/>
    </xf>
    <xf numFmtId="49" fontId="10" fillId="0" borderId="0" xfId="0" applyNumberFormat="1" applyFont="1" applyAlignment="1">
      <alignment/>
    </xf>
    <xf numFmtId="37" fontId="6" fillId="0" borderId="14" xfId="0" applyNumberFormat="1" applyFont="1" applyBorder="1" applyAlignment="1" applyProtection="1">
      <alignment/>
      <protection/>
    </xf>
    <xf numFmtId="37" fontId="6" fillId="0" borderId="0" xfId="0" applyNumberFormat="1" applyFont="1" applyAlignment="1" applyProtection="1">
      <alignment/>
      <protection/>
    </xf>
    <xf numFmtId="37" fontId="6" fillId="0" borderId="20" xfId="0" applyFont="1" applyBorder="1" applyAlignment="1">
      <alignment/>
    </xf>
    <xf numFmtId="37" fontId="3" fillId="0" borderId="21" xfId="0" applyFont="1" applyBorder="1" applyAlignment="1">
      <alignment/>
    </xf>
    <xf numFmtId="191" fontId="3" fillId="0" borderId="22" xfId="0" applyNumberFormat="1" applyFont="1" applyBorder="1" applyAlignment="1" applyProtection="1">
      <alignment/>
      <protection/>
    </xf>
    <xf numFmtId="191" fontId="3" fillId="0" borderId="21" xfId="0" applyNumberFormat="1" applyFont="1" applyBorder="1" applyAlignment="1" applyProtection="1">
      <alignment/>
      <protection/>
    </xf>
    <xf numFmtId="191" fontId="3" fillId="0" borderId="17" xfId="0" applyNumberFormat="1" applyFont="1" applyBorder="1" applyAlignment="1" applyProtection="1">
      <alignment/>
      <protection/>
    </xf>
    <xf numFmtId="191" fontId="6" fillId="0" borderId="17" xfId="0" applyNumberFormat="1" applyFont="1" applyBorder="1" applyAlignment="1">
      <alignment/>
    </xf>
    <xf numFmtId="39" fontId="6" fillId="0" borderId="0" xfId="0" applyNumberFormat="1" applyFont="1" applyAlignment="1">
      <alignment/>
    </xf>
    <xf numFmtId="37" fontId="6" fillId="3" borderId="2" xfId="0" applyFont="1" applyFill="1" applyBorder="1" applyAlignment="1">
      <alignment horizontal="center"/>
    </xf>
    <xf numFmtId="37" fontId="6" fillId="3" borderId="3" xfId="0" applyFont="1" applyFill="1" applyBorder="1" applyAlignment="1">
      <alignment/>
    </xf>
    <xf numFmtId="37" fontId="3" fillId="0" borderId="7" xfId="0" applyFont="1" applyBorder="1" applyAlignment="1">
      <alignment/>
    </xf>
    <xf numFmtId="37" fontId="3" fillId="3" borderId="0" xfId="0" applyFont="1" applyFill="1" applyBorder="1" applyAlignment="1">
      <alignment horizontal="right"/>
    </xf>
    <xf numFmtId="37" fontId="3" fillId="3" borderId="1" xfId="0" applyFont="1" applyFill="1" applyBorder="1" applyAlignment="1">
      <alignment/>
    </xf>
    <xf numFmtId="37" fontId="3" fillId="3" borderId="0" xfId="0" applyFont="1" applyFill="1" applyAlignment="1">
      <alignment/>
    </xf>
    <xf numFmtId="37" fontId="6" fillId="3" borderId="2" xfId="0" applyFont="1" applyFill="1" applyBorder="1" applyAlignment="1">
      <alignment/>
    </xf>
    <xf numFmtId="37" fontId="3" fillId="3" borderId="3" xfId="0" applyFont="1" applyFill="1" applyBorder="1" applyAlignment="1" applyProtection="1">
      <alignment horizontal="centerContinuous" vertical="center"/>
      <protection/>
    </xf>
    <xf numFmtId="37" fontId="6" fillId="3" borderId="3" xfId="0" applyFont="1" applyFill="1" applyBorder="1" applyAlignment="1">
      <alignment/>
    </xf>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37" fontId="3" fillId="3" borderId="4" xfId="0" applyFont="1" applyFill="1" applyBorder="1" applyAlignment="1">
      <alignment horizontal="centerContinuous"/>
    </xf>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3" fillId="0" borderId="9" xfId="0" applyFont="1" applyBorder="1" applyAlignment="1">
      <alignment horizontal="centerContinuous"/>
    </xf>
    <xf numFmtId="37" fontId="6" fillId="0" borderId="0" xfId="0" applyFont="1" applyAlignment="1">
      <alignment horizontal="centerContinuous"/>
    </xf>
    <xf numFmtId="175" fontId="6" fillId="0" borderId="0" xfId="0" applyNumberFormat="1" applyFont="1" applyAlignment="1" applyProtection="1">
      <alignment horizontal="centerContinuous"/>
      <protection/>
    </xf>
    <xf numFmtId="37" fontId="6" fillId="3" borderId="2" xfId="0" applyFont="1" applyFill="1" applyBorder="1" applyAlignment="1">
      <alignment horizontal="right"/>
    </xf>
    <xf numFmtId="37" fontId="3" fillId="0" borderId="9" xfId="0" applyFont="1" applyBorder="1" applyAlignment="1">
      <alignment/>
    </xf>
    <xf numFmtId="37" fontId="3" fillId="0" borderId="9" xfId="0" applyFont="1" applyBorder="1" applyAlignment="1">
      <alignment horizontal="center"/>
    </xf>
    <xf numFmtId="37" fontId="3" fillId="4" borderId="1" xfId="0" applyFont="1" applyFill="1" applyBorder="1" applyAlignment="1">
      <alignment horizontal="center"/>
    </xf>
    <xf numFmtId="37" fontId="6" fillId="4" borderId="0" xfId="0" applyFont="1" applyFill="1" applyBorder="1" applyAlignment="1">
      <alignment/>
    </xf>
    <xf numFmtId="175" fontId="6" fillId="5" borderId="0" xfId="0" applyNumberFormat="1" applyFont="1" applyFill="1" applyBorder="1" applyAlignment="1" applyProtection="1">
      <alignment/>
      <protection/>
    </xf>
    <xf numFmtId="175" fontId="3" fillId="5" borderId="0" xfId="0" applyNumberFormat="1" applyFont="1" applyFill="1" applyBorder="1" applyAlignment="1" applyProtection="1">
      <alignment/>
      <protection/>
    </xf>
    <xf numFmtId="37" fontId="9" fillId="0" borderId="0" xfId="0" applyFont="1" applyAlignment="1" applyProtection="1">
      <alignment/>
      <protection/>
    </xf>
    <xf numFmtId="37" fontId="9" fillId="0" borderId="0" xfId="0" applyFont="1" applyAlignment="1">
      <alignment horizontal="left"/>
    </xf>
    <xf numFmtId="37" fontId="9" fillId="0" borderId="0" xfId="0" applyFont="1" applyAlignment="1">
      <alignment/>
    </xf>
    <xf numFmtId="49" fontId="3" fillId="0" borderId="25" xfId="0" applyNumberFormat="1" applyFont="1" applyBorder="1" applyAlignment="1">
      <alignment horizontal="center" vertical="center"/>
    </xf>
    <xf numFmtId="37" fontId="3" fillId="0" borderId="10" xfId="0" applyFont="1" applyBorder="1" applyAlignment="1">
      <alignment horizontal="centerContinuous" vertical="center"/>
    </xf>
    <xf numFmtId="37" fontId="3" fillId="0" borderId="9" xfId="0" applyFont="1" applyBorder="1" applyAlignment="1">
      <alignment horizontal="centerContinuous" vertical="center"/>
    </xf>
    <xf numFmtId="37" fontId="3" fillId="3" borderId="2" xfId="0" applyFont="1" applyFill="1" applyBorder="1" applyAlignment="1">
      <alignment horizontal="centerContinuous"/>
    </xf>
    <xf numFmtId="175" fontId="6" fillId="0" borderId="11" xfId="0" applyNumberFormat="1" applyFont="1" applyBorder="1" applyAlignment="1" applyProtection="1">
      <alignment horizontal="right"/>
      <protection/>
    </xf>
    <xf numFmtId="37" fontId="3" fillId="0" borderId="17" xfId="0" applyFont="1" applyBorder="1" applyAlignment="1">
      <alignment horizontal="centerContinuous"/>
    </xf>
    <xf numFmtId="37" fontId="6" fillId="0" borderId="17" xfId="0" applyFont="1" applyBorder="1" applyAlignment="1">
      <alignment horizontal="centerContinuous"/>
    </xf>
    <xf numFmtId="37" fontId="6" fillId="0" borderId="17" xfId="0" applyFont="1" applyBorder="1" applyAlignment="1">
      <alignment/>
    </xf>
    <xf numFmtId="37" fontId="6" fillId="0" borderId="17" xfId="0" applyFont="1" applyBorder="1" applyAlignment="1">
      <alignment horizontal="right"/>
    </xf>
    <xf numFmtId="37" fontId="3" fillId="0" borderId="0" xfId="0" applyFont="1" applyAlignment="1">
      <alignment horizontal="centerContinuous"/>
    </xf>
    <xf numFmtId="37" fontId="3" fillId="0" borderId="20" xfId="0" applyFont="1" applyBorder="1" applyAlignment="1">
      <alignment horizontal="centerContinuous"/>
    </xf>
    <xf numFmtId="37" fontId="6" fillId="0" borderId="21" xfId="0" applyFont="1" applyBorder="1" applyAlignment="1">
      <alignment horizontal="centerContinuous"/>
    </xf>
    <xf numFmtId="37" fontId="3" fillId="3" borderId="26"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6" fillId="0" borderId="2" xfId="0" applyFont="1" applyBorder="1" applyAlignment="1">
      <alignment/>
    </xf>
    <xf numFmtId="191" fontId="6" fillId="3" borderId="7" xfId="0" applyNumberFormat="1" applyFont="1" applyFill="1" applyBorder="1" applyAlignment="1" applyProtection="1">
      <alignment/>
      <protection/>
    </xf>
    <xf numFmtId="37" fontId="6" fillId="3" borderId="23" xfId="0" applyFont="1" applyFill="1" applyBorder="1" applyAlignment="1">
      <alignment/>
    </xf>
    <xf numFmtId="191" fontId="6" fillId="3" borderId="23" xfId="0" applyNumberFormat="1" applyFont="1" applyFill="1" applyBorder="1" applyAlignment="1" applyProtection="1">
      <alignment/>
      <protection/>
    </xf>
    <xf numFmtId="37" fontId="6" fillId="0" borderId="23" xfId="0" applyFont="1" applyBorder="1" applyAlignment="1">
      <alignment/>
    </xf>
    <xf numFmtId="191" fontId="6" fillId="0" borderId="23" xfId="0" applyNumberFormat="1" applyFont="1" applyBorder="1" applyAlignment="1" applyProtection="1">
      <alignment/>
      <protection/>
    </xf>
    <xf numFmtId="191" fontId="6" fillId="0" borderId="23" xfId="0" applyNumberFormat="1" applyFont="1" applyBorder="1" applyAlignment="1">
      <alignment/>
    </xf>
    <xf numFmtId="37" fontId="6" fillId="0" borderId="8" xfId="0" applyFont="1" applyBorder="1" applyAlignment="1">
      <alignment horizontal="left"/>
    </xf>
    <xf numFmtId="191" fontId="6" fillId="0" borderId="8" xfId="0" applyNumberFormat="1" applyFont="1" applyBorder="1" applyAlignment="1" applyProtection="1">
      <alignment/>
      <protection/>
    </xf>
    <xf numFmtId="37" fontId="3" fillId="0" borderId="26" xfId="0" applyFont="1" applyFill="1" applyBorder="1" applyAlignment="1">
      <alignment/>
    </xf>
    <xf numFmtId="37" fontId="6" fillId="0" borderId="23" xfId="0" applyNumberFormat="1" applyFont="1" applyBorder="1" applyAlignment="1" applyProtection="1">
      <alignment/>
      <protection/>
    </xf>
    <xf numFmtId="37" fontId="6" fillId="0" borderId="23" xfId="0" applyFont="1" applyBorder="1" applyAlignment="1" quotePrefix="1">
      <alignment horizontal="left"/>
    </xf>
    <xf numFmtId="37" fontId="6" fillId="0" borderId="8" xfId="0" applyFont="1" applyBorder="1" applyAlignment="1">
      <alignment/>
    </xf>
    <xf numFmtId="37" fontId="3" fillId="0" borderId="7" xfId="0" applyFont="1" applyFill="1" applyBorder="1" applyAlignment="1">
      <alignment/>
    </xf>
    <xf numFmtId="37" fontId="6" fillId="0" borderId="8" xfId="0" applyNumberFormat="1" applyFont="1" applyBorder="1" applyAlignment="1" applyProtection="1">
      <alignment/>
      <protection/>
    </xf>
    <xf numFmtId="191" fontId="3" fillId="0" borderId="26" xfId="0" applyNumberFormat="1" applyFont="1" applyFill="1" applyBorder="1" applyAlignment="1">
      <alignment/>
    </xf>
    <xf numFmtId="174" fontId="6" fillId="0" borderId="0" xfId="0" applyNumberFormat="1" applyFont="1" applyAlignment="1" applyProtection="1">
      <alignment/>
      <protection/>
    </xf>
    <xf numFmtId="49" fontId="6" fillId="0" borderId="0" xfId="0" applyNumberFormat="1" applyFont="1" applyAlignment="1">
      <alignment/>
    </xf>
    <xf numFmtId="49" fontId="9" fillId="0" borderId="0" xfId="0" applyNumberFormat="1" applyFont="1" applyAlignment="1">
      <alignment/>
    </xf>
    <xf numFmtId="37" fontId="6" fillId="0" borderId="0" xfId="0" applyFont="1" applyAlignment="1">
      <alignment horizontal="right"/>
    </xf>
    <xf numFmtId="37" fontId="6" fillId="0" borderId="0" xfId="0" applyNumberFormat="1" applyFont="1" applyAlignment="1" applyProtection="1">
      <alignment horizontal="right"/>
      <protection/>
    </xf>
    <xf numFmtId="49" fontId="6" fillId="0" borderId="0" xfId="0" applyNumberFormat="1" applyFont="1" applyBorder="1" applyAlignment="1" quotePrefix="1">
      <alignment horizontal="left"/>
    </xf>
    <xf numFmtId="37" fontId="6" fillId="0" borderId="0" xfId="0" applyFont="1" applyAlignment="1" quotePrefix="1">
      <alignment horizontal="left"/>
    </xf>
    <xf numFmtId="172" fontId="6" fillId="0" borderId="2" xfId="0" applyNumberFormat="1" applyFont="1" applyBorder="1" applyAlignment="1" applyProtection="1">
      <alignment vertical="center"/>
      <protection/>
    </xf>
    <xf numFmtId="37" fontId="6" fillId="0" borderId="27" xfId="0" applyFont="1" applyBorder="1" applyAlignment="1">
      <alignment horizontal="centerContinuous"/>
    </xf>
    <xf numFmtId="37" fontId="7" fillId="0" borderId="2" xfId="0" applyFont="1" applyBorder="1" applyAlignment="1" applyProtection="1">
      <alignment/>
      <protection locked="0"/>
    </xf>
    <xf numFmtId="172" fontId="6" fillId="0" borderId="3" xfId="0" applyNumberFormat="1" applyFont="1" applyBorder="1" applyAlignment="1" applyProtection="1">
      <alignment vertical="center"/>
      <protection/>
    </xf>
    <xf numFmtId="37" fontId="7" fillId="0" borderId="3" xfId="0" applyFont="1" applyBorder="1" applyAlignment="1" applyProtection="1">
      <alignment/>
      <protection locked="0"/>
    </xf>
    <xf numFmtId="37" fontId="3" fillId="3" borderId="20" xfId="0" applyFont="1" applyFill="1" applyBorder="1" applyAlignment="1">
      <alignment horizontal="left"/>
    </xf>
    <xf numFmtId="37" fontId="6" fillId="3" borderId="17" xfId="0" applyFont="1" applyFill="1" applyBorder="1" applyAlignment="1">
      <alignment/>
    </xf>
    <xf numFmtId="37" fontId="6" fillId="3" borderId="21" xfId="0" applyFont="1" applyFill="1" applyBorder="1" applyAlignment="1">
      <alignment/>
    </xf>
    <xf numFmtId="37" fontId="3" fillId="3" borderId="6" xfId="0" applyFont="1" applyFill="1" applyBorder="1" applyAlignment="1">
      <alignment horizontal="centerContinuous"/>
    </xf>
    <xf numFmtId="37" fontId="3" fillId="3" borderId="6" xfId="0" applyFont="1" applyFill="1" applyBorder="1" applyAlignment="1">
      <alignment/>
    </xf>
    <xf numFmtId="191" fontId="6" fillId="0" borderId="1" xfId="0" applyNumberFormat="1" applyFont="1" applyBorder="1" applyAlignment="1">
      <alignment/>
    </xf>
    <xf numFmtId="191" fontId="6" fillId="0" borderId="0" xfId="0" applyNumberFormat="1" applyFont="1" applyAlignment="1">
      <alignment/>
    </xf>
    <xf numFmtId="37" fontId="6" fillId="0" borderId="27" xfId="0" applyFont="1" applyBorder="1" applyAlignment="1">
      <alignment/>
    </xf>
    <xf numFmtId="37" fontId="3" fillId="3" borderId="17" xfId="0" applyFont="1" applyFill="1" applyBorder="1" applyAlignment="1">
      <alignment/>
    </xf>
    <xf numFmtId="37" fontId="6" fillId="3" borderId="2" xfId="0" applyFont="1" applyFill="1" applyBorder="1" applyAlignment="1">
      <alignment horizontal="centerContinuous" vertical="center"/>
    </xf>
    <xf numFmtId="37" fontId="6" fillId="3" borderId="3" xfId="0" applyFont="1" applyFill="1" applyBorder="1" applyAlignment="1">
      <alignment horizontal="centerContinuous" vertical="center"/>
    </xf>
    <xf numFmtId="37" fontId="6" fillId="0" borderId="11" xfId="0" applyFont="1" applyBorder="1" applyAlignment="1">
      <alignment horizontal="centerContinuous"/>
    </xf>
    <xf numFmtId="39" fontId="6" fillId="0" borderId="1" xfId="0" applyNumberFormat="1" applyFont="1" applyBorder="1" applyAlignment="1">
      <alignment/>
    </xf>
    <xf numFmtId="0" fontId="6" fillId="3" borderId="2" xfId="0" applyNumberFormat="1" applyFont="1" applyFill="1" applyBorder="1" applyAlignment="1">
      <alignment/>
    </xf>
    <xf numFmtId="0" fontId="6" fillId="3" borderId="3" xfId="0" applyNumberFormat="1" applyFont="1" applyFill="1" applyBorder="1" applyAlignment="1">
      <alignment/>
    </xf>
    <xf numFmtId="37" fontId="6" fillId="3" borderId="6" xfId="0" applyFont="1" applyFill="1" applyBorder="1" applyAlignment="1">
      <alignment/>
    </xf>
    <xf numFmtId="37" fontId="3" fillId="0" borderId="5" xfId="0" applyFont="1" applyBorder="1" applyAlignment="1">
      <alignment horizontal="centerContinuous"/>
    </xf>
    <xf numFmtId="39" fontId="6" fillId="0" borderId="0" xfId="0" applyNumberFormat="1" applyFont="1" applyAlignment="1" applyProtection="1">
      <alignment/>
      <protection/>
    </xf>
    <xf numFmtId="37" fontId="6" fillId="3" borderId="2" xfId="0" applyFont="1" applyFill="1" applyBorder="1" applyAlignment="1">
      <alignment horizontal="right" vertical="center"/>
    </xf>
    <xf numFmtId="37" fontId="3" fillId="3" borderId="20" xfId="0" applyFont="1" applyFill="1" applyBorder="1" applyAlignment="1">
      <alignment/>
    </xf>
    <xf numFmtId="37" fontId="3" fillId="3" borderId="17" xfId="0" applyFont="1" applyFill="1" applyBorder="1" applyAlignment="1">
      <alignment/>
    </xf>
    <xf numFmtId="37" fontId="6" fillId="3" borderId="17" xfId="0" applyFont="1" applyFill="1" applyBorder="1" applyAlignment="1">
      <alignment/>
    </xf>
    <xf numFmtId="37" fontId="6" fillId="3" borderId="21" xfId="0" applyFont="1" applyFill="1" applyBorder="1" applyAlignment="1">
      <alignment/>
    </xf>
    <xf numFmtId="37" fontId="3" fillId="0" borderId="21" xfId="0" applyFont="1" applyBorder="1" applyAlignment="1">
      <alignment horizontal="centerContinuous"/>
    </xf>
    <xf numFmtId="172" fontId="6" fillId="0" borderId="2" xfId="0" applyNumberFormat="1" applyFont="1" applyBorder="1" applyAlignment="1" applyProtection="1">
      <alignment horizontal="centerContinuous"/>
      <protection/>
    </xf>
    <xf numFmtId="172" fontId="6" fillId="0" borderId="3" xfId="0" applyNumberFormat="1" applyFont="1" applyBorder="1" applyAlignment="1" applyProtection="1">
      <alignment horizontal="centerContinuous"/>
      <protection/>
    </xf>
    <xf numFmtId="37" fontId="3" fillId="3" borderId="21" xfId="0" applyFont="1" applyFill="1" applyBorder="1" applyAlignment="1">
      <alignment horizontal="centerContinuous"/>
    </xf>
    <xf numFmtId="37" fontId="3" fillId="0" borderId="22" xfId="0" applyFont="1" applyBorder="1" applyAlignment="1">
      <alignment horizontal="centerContinuous"/>
    </xf>
    <xf numFmtId="37" fontId="3" fillId="3" borderId="17" xfId="0" applyFont="1" applyFill="1" applyBorder="1" applyAlignment="1">
      <alignment horizontal="centerContinuous"/>
    </xf>
    <xf numFmtId="37" fontId="6" fillId="3" borderId="17" xfId="0" applyFont="1" applyFill="1" applyBorder="1" applyAlignment="1">
      <alignment horizontal="centerContinuous"/>
    </xf>
    <xf numFmtId="37" fontId="6" fillId="3" borderId="21" xfId="0" applyFont="1" applyFill="1" applyBorder="1" applyAlignment="1">
      <alignment horizontal="centerContinuous"/>
    </xf>
    <xf numFmtId="10" fontId="6" fillId="3" borderId="2" xfId="0" applyNumberFormat="1" applyFont="1" applyFill="1" applyBorder="1" applyAlignment="1" applyProtection="1">
      <alignment horizontal="centerContinuous"/>
      <protection/>
    </xf>
    <xf numFmtId="37" fontId="6" fillId="3" borderId="3" xfId="0" applyFont="1" applyFill="1" applyBorder="1" applyAlignment="1" applyProtection="1">
      <alignment horizontal="centerContinuous"/>
      <protection locked="0"/>
    </xf>
    <xf numFmtId="37" fontId="3" fillId="3" borderId="17" xfId="0" applyFont="1" applyFill="1" applyBorder="1" applyAlignment="1" applyProtection="1">
      <alignment/>
      <protection/>
    </xf>
    <xf numFmtId="37" fontId="6" fillId="3" borderId="17" xfId="0" applyFont="1" applyFill="1" applyBorder="1" applyAlignment="1" applyProtection="1">
      <alignment/>
      <protection/>
    </xf>
    <xf numFmtId="37" fontId="6" fillId="3" borderId="21" xfId="0" applyFont="1" applyFill="1" applyBorder="1" applyAlignment="1" applyProtection="1">
      <alignment/>
      <protection/>
    </xf>
    <xf numFmtId="37" fontId="3" fillId="3" borderId="5" xfId="0" applyFont="1" applyFill="1" applyBorder="1" applyAlignment="1" applyProtection="1">
      <alignment/>
      <protection/>
    </xf>
    <xf numFmtId="37" fontId="3" fillId="3" borderId="1" xfId="0" applyFont="1" applyFill="1" applyBorder="1" applyAlignment="1" applyProtection="1">
      <alignment/>
      <protection/>
    </xf>
    <xf numFmtId="37" fontId="3" fillId="3" borderId="6" xfId="0" applyFont="1" applyFill="1" applyBorder="1" applyAlignment="1" applyProtection="1">
      <alignment horizontal="center"/>
      <protection/>
    </xf>
    <xf numFmtId="37" fontId="3" fillId="3" borderId="1" xfId="0" applyFont="1" applyFill="1" applyBorder="1" applyAlignment="1" applyProtection="1">
      <alignment horizontal="centerContinuous"/>
      <protection/>
    </xf>
    <xf numFmtId="37" fontId="3" fillId="0" borderId="9" xfId="0" applyFont="1" applyBorder="1" applyAlignment="1" applyProtection="1">
      <alignment horizontal="centerContinuous"/>
      <protection/>
    </xf>
    <xf numFmtId="37" fontId="6" fillId="0" borderId="0" xfId="0" applyFont="1" applyBorder="1" applyAlignment="1">
      <alignment/>
    </xf>
    <xf numFmtId="37" fontId="3" fillId="3" borderId="20" xfId="0" applyFont="1" applyFill="1" applyBorder="1" applyAlignment="1">
      <alignment/>
    </xf>
    <xf numFmtId="37" fontId="6" fillId="0" borderId="21" xfId="0" applyFont="1" applyBorder="1" applyAlignment="1">
      <alignment/>
    </xf>
    <xf numFmtId="37" fontId="6" fillId="3" borderId="2" xfId="0" applyFont="1" applyFill="1" applyBorder="1" applyAlignment="1" quotePrefix="1">
      <alignment/>
    </xf>
    <xf numFmtId="37" fontId="6" fillId="0" borderId="0" xfId="0" applyNumberFormat="1" applyFont="1" applyAlignment="1" applyProtection="1">
      <alignment horizontal="centerContinuous"/>
      <protection/>
    </xf>
    <xf numFmtId="37" fontId="6" fillId="3" borderId="2" xfId="0" applyFont="1" applyFill="1" applyBorder="1" applyAlignment="1" applyProtection="1">
      <alignment/>
      <protection/>
    </xf>
    <xf numFmtId="37" fontId="6" fillId="3" borderId="3" xfId="0" applyFont="1" applyFill="1" applyBorder="1" applyAlignment="1" applyProtection="1">
      <alignment/>
      <protection/>
    </xf>
    <xf numFmtId="37" fontId="6" fillId="3" borderId="3" xfId="0" applyFont="1" applyFill="1" applyBorder="1" applyAlignment="1" applyProtection="1">
      <alignment horizontal="center"/>
      <protection/>
    </xf>
    <xf numFmtId="37" fontId="3" fillId="3" borderId="20" xfId="0" applyFont="1" applyFill="1" applyBorder="1" applyAlignment="1" applyProtection="1">
      <alignment/>
      <protection/>
    </xf>
    <xf numFmtId="37" fontId="6" fillId="3" borderId="17" xfId="0" applyFont="1" applyFill="1" applyBorder="1" applyAlignment="1" applyProtection="1">
      <alignment horizontal="centerContinuous"/>
      <protection/>
    </xf>
    <xf numFmtId="37" fontId="6" fillId="3" borderId="21" xfId="0" applyFont="1" applyFill="1" applyBorder="1" applyAlignment="1" applyProtection="1">
      <alignment horizontal="centerContinuous"/>
      <protection/>
    </xf>
    <xf numFmtId="37" fontId="3" fillId="3" borderId="6" xfId="0" applyFont="1" applyFill="1" applyBorder="1" applyAlignment="1" applyProtection="1">
      <alignment/>
      <protection/>
    </xf>
    <xf numFmtId="37" fontId="3" fillId="3" borderId="28" xfId="0" applyFont="1" applyFill="1" applyBorder="1" applyAlignment="1" applyProtection="1">
      <alignment horizontal="center"/>
      <protection/>
    </xf>
    <xf numFmtId="37" fontId="3" fillId="3" borderId="3" xfId="0" applyFont="1" applyFill="1" applyBorder="1" applyAlignment="1" applyProtection="1">
      <alignment horizontal="centerContinuous"/>
      <protection/>
    </xf>
    <xf numFmtId="37" fontId="3" fillId="3" borderId="10" xfId="0" applyFont="1" applyFill="1" applyBorder="1" applyAlignment="1" applyProtection="1">
      <alignment horizontal="centerContinuous"/>
      <protection/>
    </xf>
    <xf numFmtId="37" fontId="6" fillId="0" borderId="6" xfId="0" applyFont="1" applyBorder="1" applyAlignment="1" applyProtection="1">
      <alignment/>
      <protection/>
    </xf>
    <xf numFmtId="37" fontId="3" fillId="0" borderId="28" xfId="0" applyFont="1" applyBorder="1" applyAlignment="1" applyProtection="1">
      <alignment horizontal="center"/>
      <protection/>
    </xf>
    <xf numFmtId="37" fontId="6" fillId="0" borderId="4" xfId="0" applyFont="1" applyBorder="1" applyAlignment="1" applyProtection="1">
      <alignment/>
      <protection/>
    </xf>
    <xf numFmtId="37" fontId="3" fillId="0" borderId="6" xfId="0" applyFont="1" applyBorder="1" applyAlignment="1" applyProtection="1">
      <alignment horizontal="center"/>
      <protection/>
    </xf>
    <xf numFmtId="37" fontId="3" fillId="0" borderId="29" xfId="0" applyFont="1" applyBorder="1" applyAlignment="1" applyProtection="1">
      <alignment horizontal="centerContinuous"/>
      <protection/>
    </xf>
    <xf numFmtId="37" fontId="3" fillId="0" borderId="9" xfId="0" applyFont="1" applyBorder="1" applyAlignment="1" applyProtection="1">
      <alignment horizontal="center"/>
      <protection/>
    </xf>
    <xf numFmtId="191" fontId="6" fillId="0" borderId="14" xfId="0" applyNumberFormat="1" applyFont="1" applyBorder="1" applyAlignment="1">
      <alignment vertical="center"/>
    </xf>
    <xf numFmtId="197" fontId="6" fillId="0" borderId="28" xfId="0" applyNumberFormat="1" applyFont="1" applyBorder="1" applyAlignment="1">
      <alignment vertical="center"/>
    </xf>
    <xf numFmtId="197" fontId="6" fillId="0" borderId="0" xfId="0" applyNumberFormat="1" applyFont="1" applyAlignment="1">
      <alignment vertical="center"/>
    </xf>
    <xf numFmtId="0" fontId="3" fillId="3" borderId="17" xfId="0" applyNumberFormat="1" applyFont="1" applyFill="1" applyBorder="1" applyAlignment="1" applyProtection="1">
      <alignment horizontal="centerContinuous"/>
      <protection/>
    </xf>
    <xf numFmtId="0" fontId="6" fillId="3" borderId="21" xfId="0" applyNumberFormat="1" applyFont="1" applyFill="1" applyBorder="1" applyAlignment="1" applyProtection="1">
      <alignment horizontal="centerContinuous"/>
      <protection/>
    </xf>
    <xf numFmtId="37" fontId="3" fillId="3" borderId="6" xfId="0" applyFont="1" applyFill="1" applyBorder="1" applyAlignment="1" applyProtection="1">
      <alignment horizontal="centerContinuous"/>
      <protection/>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37" fontId="3" fillId="0" borderId="10" xfId="0" applyFont="1" applyBorder="1" applyAlignment="1">
      <alignment horizontal="center"/>
    </xf>
    <xf numFmtId="172" fontId="6" fillId="0" borderId="2" xfId="0" applyNumberFormat="1" applyFont="1" applyBorder="1" applyAlignment="1" applyProtection="1">
      <alignment horizontal="centerContinuous" vertical="center"/>
      <protection/>
    </xf>
    <xf numFmtId="37" fontId="6" fillId="0" borderId="27" xfId="0" applyFont="1" applyBorder="1" applyAlignment="1">
      <alignment horizontal="centerContinuous" vertical="center"/>
    </xf>
    <xf numFmtId="172" fontId="6" fillId="0" borderId="3" xfId="0" applyNumberFormat="1" applyFont="1" applyBorder="1" applyAlignment="1" applyProtection="1">
      <alignment horizontal="centerContinuous" vertical="center"/>
      <protection/>
    </xf>
    <xf numFmtId="37" fontId="3" fillId="0" borderId="30" xfId="0" applyFont="1" applyFill="1" applyBorder="1" applyAlignment="1">
      <alignment horizontal="centerContinuous"/>
    </xf>
    <xf numFmtId="37" fontId="3" fillId="0" borderId="31" xfId="0" applyFont="1" applyFill="1" applyBorder="1" applyAlignment="1">
      <alignment horizontal="centerContinuous"/>
    </xf>
    <xf numFmtId="37" fontId="3" fillId="0" borderId="32" xfId="0" applyFont="1" applyFill="1" applyBorder="1" applyAlignment="1">
      <alignment horizontal="left"/>
    </xf>
    <xf numFmtId="37" fontId="6" fillId="0" borderId="30" xfId="0" applyFont="1" applyFill="1" applyBorder="1" applyAlignment="1">
      <alignment/>
    </xf>
    <xf numFmtId="37" fontId="6" fillId="0" borderId="33" xfId="0" applyFont="1" applyFill="1" applyBorder="1" applyAlignment="1">
      <alignment/>
    </xf>
    <xf numFmtId="37" fontId="9" fillId="0" borderId="0" xfId="0" applyFont="1" applyAlignment="1">
      <alignment/>
    </xf>
    <xf numFmtId="172" fontId="6" fillId="0" borderId="0" xfId="0" applyNumberFormat="1" applyFont="1" applyBorder="1" applyAlignment="1" applyProtection="1">
      <alignment/>
      <protection/>
    </xf>
    <xf numFmtId="37" fontId="3" fillId="3" borderId="20" xfId="0" applyFont="1" applyFill="1" applyBorder="1" applyAlignment="1">
      <alignment horizontal="centerContinuous"/>
    </xf>
    <xf numFmtId="172" fontId="7" fillId="0" borderId="0" xfId="0" applyNumberFormat="1" applyFont="1" applyAlignment="1" applyProtection="1">
      <alignment/>
      <protection locked="0"/>
    </xf>
    <xf numFmtId="172" fontId="6" fillId="0" borderId="17" xfId="0" applyNumberFormat="1" applyFont="1" applyBorder="1" applyAlignment="1" applyProtection="1">
      <alignment vertical="center"/>
      <protection/>
    </xf>
    <xf numFmtId="37" fontId="3" fillId="3" borderId="17" xfId="0" applyFont="1" applyFill="1" applyBorder="1" applyAlignment="1" applyProtection="1" quotePrefix="1">
      <alignment horizontal="centerContinuous" vertical="center"/>
      <protection/>
    </xf>
    <xf numFmtId="37" fontId="6" fillId="0" borderId="17" xfId="0" applyFont="1" applyBorder="1" applyAlignment="1">
      <alignment horizontal="right" vertical="center"/>
    </xf>
    <xf numFmtId="37" fontId="3" fillId="0" borderId="4" xfId="0" applyFont="1" applyBorder="1" applyAlignment="1">
      <alignment horizontal="centerContinuous"/>
    </xf>
    <xf numFmtId="37" fontId="3" fillId="0" borderId="4" xfId="0" applyFont="1" applyBorder="1" applyAlignment="1">
      <alignment horizontal="center"/>
    </xf>
    <xf numFmtId="37" fontId="3" fillId="0" borderId="1" xfId="0" applyFont="1" applyBorder="1" applyAlignment="1">
      <alignment horizontal="centerContinuous"/>
    </xf>
    <xf numFmtId="37" fontId="3" fillId="0" borderId="1" xfId="0" applyFont="1" applyBorder="1" applyAlignment="1">
      <alignment horizontal="center"/>
    </xf>
    <xf numFmtId="37" fontId="6" fillId="0" borderId="0" xfId="0" applyFont="1" applyAlignment="1">
      <alignment wrapText="1"/>
    </xf>
    <xf numFmtId="37" fontId="6" fillId="0" borderId="17" xfId="0" applyFont="1" applyBorder="1" applyAlignment="1">
      <alignment vertical="center"/>
    </xf>
    <xf numFmtId="37" fontId="3" fillId="3" borderId="22" xfId="0" applyFont="1" applyFill="1" applyBorder="1" applyAlignment="1">
      <alignment horizontal="centerContinuous"/>
    </xf>
    <xf numFmtId="37" fontId="6" fillId="0" borderId="17" xfId="0" applyFont="1" applyBorder="1" applyAlignment="1">
      <alignment horizontal="left" vertical="center"/>
    </xf>
    <xf numFmtId="37" fontId="6" fillId="0" borderId="17" xfId="0" applyFont="1" applyBorder="1" applyAlignment="1">
      <alignment horizontal="left"/>
    </xf>
    <xf numFmtId="49" fontId="6" fillId="0" borderId="0" xfId="16" applyNumberFormat="1" applyFont="1" applyAlignment="1">
      <alignment/>
    </xf>
    <xf numFmtId="37" fontId="3" fillId="0" borderId="2" xfId="0" applyFont="1" applyBorder="1" applyAlignment="1">
      <alignment horizontal="centerContinuous" vertical="center"/>
    </xf>
    <xf numFmtId="37" fontId="6"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6" fillId="0" borderId="3" xfId="0" applyFont="1" applyBorder="1" applyAlignment="1">
      <alignment horizontal="centerContinuous" vertical="center"/>
    </xf>
    <xf numFmtId="37" fontId="12" fillId="0" borderId="3" xfId="0" applyFont="1" applyBorder="1" applyAlignment="1">
      <alignment horizontal="centerContinuous" vertical="center"/>
    </xf>
    <xf numFmtId="49" fontId="3" fillId="0" borderId="9" xfId="0" applyNumberFormat="1" applyFont="1" applyBorder="1" applyAlignment="1">
      <alignment/>
    </xf>
    <xf numFmtId="175" fontId="6" fillId="0" borderId="0" xfId="0" applyNumberFormat="1" applyFont="1" applyAlignment="1">
      <alignment/>
    </xf>
    <xf numFmtId="196" fontId="6" fillId="0" borderId="1" xfId="0" applyNumberFormat="1" applyFont="1" applyBorder="1" applyAlignment="1">
      <alignment/>
    </xf>
    <xf numFmtId="195" fontId="6" fillId="0" borderId="0" xfId="0" applyNumberFormat="1" applyFont="1" applyAlignment="1">
      <alignment/>
    </xf>
    <xf numFmtId="196" fontId="6" fillId="0" borderId="0" xfId="0" applyNumberFormat="1" applyFont="1" applyAlignment="1">
      <alignment/>
    </xf>
    <xf numFmtId="37" fontId="6" fillId="0" borderId="0" xfId="0" applyFont="1" applyAlignment="1">
      <alignment horizontal="center"/>
    </xf>
    <xf numFmtId="37" fontId="3" fillId="0" borderId="23" xfId="0" applyFont="1" applyBorder="1" applyAlignment="1">
      <alignment horizontal="center" vertical="center"/>
    </xf>
    <xf numFmtId="171" fontId="6" fillId="0" borderId="0" xfId="16" applyFont="1" applyAlignment="1">
      <alignment horizontal="left"/>
    </xf>
    <xf numFmtId="37" fontId="6" fillId="0" borderId="2" xfId="0" applyFont="1" applyBorder="1" applyAlignment="1">
      <alignment horizontal="centerContinuous"/>
    </xf>
    <xf numFmtId="37" fontId="6" fillId="0" borderId="2" xfId="0" applyFont="1" applyBorder="1" applyAlignment="1">
      <alignment/>
    </xf>
    <xf numFmtId="37" fontId="6" fillId="0" borderId="3" xfId="0" applyFont="1" applyBorder="1" applyAlignment="1">
      <alignment horizontal="centerContinuous"/>
    </xf>
    <xf numFmtId="37" fontId="6" fillId="0" borderId="3" xfId="0" applyFont="1" applyBorder="1" applyAlignment="1">
      <alignment/>
    </xf>
    <xf numFmtId="37" fontId="6" fillId="0" borderId="11" xfId="0" applyFont="1" applyBorder="1" applyAlignment="1">
      <alignment vertical="center"/>
    </xf>
    <xf numFmtId="37" fontId="6" fillId="0" borderId="0" xfId="0" applyFont="1" applyBorder="1" applyAlignment="1" quotePrefix="1">
      <alignment horizontal="centerContinuous"/>
    </xf>
    <xf numFmtId="49" fontId="3" fillId="5" borderId="22" xfId="0" applyNumberFormat="1" applyFont="1" applyFill="1" applyBorder="1" applyAlignment="1">
      <alignment horizontal="center"/>
    </xf>
    <xf numFmtId="37" fontId="3" fillId="3" borderId="17" xfId="0" applyFont="1" applyFill="1" applyBorder="1" applyAlignment="1">
      <alignment horizontal="centerContinuous" vertical="center"/>
    </xf>
    <xf numFmtId="37" fontId="3" fillId="3" borderId="0" xfId="0" applyFont="1" applyFill="1" applyBorder="1" applyAlignment="1">
      <alignment horizontal="centerContinuous" vertical="center"/>
    </xf>
    <xf numFmtId="37" fontId="6" fillId="3" borderId="0" xfId="0" applyFont="1" applyFill="1" applyBorder="1" applyAlignment="1">
      <alignment horizontal="centerContinuous"/>
    </xf>
    <xf numFmtId="37" fontId="6" fillId="3" borderId="0" xfId="0" applyFont="1" applyFill="1" applyBorder="1" applyAlignment="1" quotePrefix="1">
      <alignment horizontal="right"/>
    </xf>
    <xf numFmtId="37" fontId="6" fillId="0" borderId="0" xfId="0" applyFont="1" applyBorder="1" applyAlignment="1">
      <alignment vertical="center"/>
    </xf>
    <xf numFmtId="37" fontId="3" fillId="3" borderId="34" xfId="0" applyFont="1" applyFill="1" applyBorder="1" applyAlignment="1" quotePrefix="1">
      <alignment horizontal="centerContinuous" vertical="center"/>
    </xf>
    <xf numFmtId="37" fontId="6" fillId="0" borderId="30" xfId="0" applyFont="1" applyBorder="1" applyAlignment="1">
      <alignment horizontal="centerContinuous"/>
    </xf>
    <xf numFmtId="37" fontId="6" fillId="0" borderId="33" xfId="0" applyFont="1" applyBorder="1" applyAlignment="1">
      <alignment horizontal="centerContinuous"/>
    </xf>
    <xf numFmtId="37" fontId="3" fillId="0" borderId="35" xfId="0" applyFont="1" applyBorder="1" applyAlignment="1">
      <alignment horizontal="center"/>
    </xf>
    <xf numFmtId="37" fontId="6" fillId="0" borderId="7" xfId="0" applyFont="1" applyBorder="1" applyAlignment="1">
      <alignment/>
    </xf>
    <xf numFmtId="37" fontId="3" fillId="0" borderId="23" xfId="0" applyFont="1" applyBorder="1" applyAlignment="1">
      <alignment horizontal="center"/>
    </xf>
    <xf numFmtId="37" fontId="3" fillId="6" borderId="23" xfId="0" applyFont="1" applyFill="1" applyBorder="1" applyAlignment="1">
      <alignment horizontal="center"/>
    </xf>
    <xf numFmtId="37" fontId="3" fillId="6" borderId="8" xfId="0" applyFont="1" applyFill="1" applyBorder="1" applyAlignment="1">
      <alignment horizontal="center"/>
    </xf>
    <xf numFmtId="49" fontId="6" fillId="0" borderId="0" xfId="0" applyNumberFormat="1" applyFont="1" applyBorder="1" applyAlignment="1">
      <alignment horizontal="left"/>
    </xf>
    <xf numFmtId="37" fontId="6" fillId="0" borderId="0" xfId="0" applyFont="1" applyBorder="1" applyAlignment="1">
      <alignment/>
    </xf>
    <xf numFmtId="37" fontId="6" fillId="3" borderId="0" xfId="0" applyFont="1" applyFill="1" applyBorder="1" applyAlignment="1">
      <alignment horizontal="right"/>
    </xf>
    <xf numFmtId="37" fontId="3" fillId="3" borderId="35" xfId="0" applyFont="1" applyFill="1" applyBorder="1" applyAlignment="1">
      <alignment horizontal="centerContinuous" vertical="center"/>
    </xf>
    <xf numFmtId="37" fontId="3" fillId="0" borderId="8" xfId="0" applyFont="1" applyBorder="1" applyAlignment="1">
      <alignment horizontal="center"/>
    </xf>
    <xf numFmtId="37" fontId="6" fillId="0" borderId="0" xfId="0" applyFont="1" applyBorder="1" applyAlignment="1">
      <alignment horizontal="left"/>
    </xf>
    <xf numFmtId="172" fontId="6" fillId="0" borderId="17" xfId="0" applyNumberFormat="1" applyFont="1" applyBorder="1" applyAlignment="1" applyProtection="1">
      <alignment/>
      <protection/>
    </xf>
    <xf numFmtId="37" fontId="6" fillId="0" borderId="17" xfId="0" applyFont="1" applyBorder="1" applyAlignment="1">
      <alignment horizontal="centerContinuous" vertical="center"/>
    </xf>
    <xf numFmtId="172" fontId="6" fillId="0" borderId="0" xfId="0" applyNumberFormat="1" applyFont="1" applyAlignment="1" applyProtection="1">
      <alignment horizontal="centerContinuous"/>
      <protection/>
    </xf>
    <xf numFmtId="37" fontId="3" fillId="0" borderId="20" xfId="0" applyFont="1" applyBorder="1" applyAlignment="1">
      <alignment horizontal="centerContinuous" vertical="center"/>
    </xf>
    <xf numFmtId="37" fontId="3" fillId="0" borderId="6" xfId="0" applyFont="1" applyBorder="1" applyAlignment="1">
      <alignment horizontal="center"/>
    </xf>
    <xf numFmtId="37" fontId="7" fillId="0" borderId="17" xfId="0" applyFont="1" applyBorder="1" applyAlignment="1" applyProtection="1">
      <alignment horizontal="centerContinuous" vertical="center"/>
      <protection locked="0"/>
    </xf>
    <xf numFmtId="49" fontId="8" fillId="0" borderId="10" xfId="0" applyNumberFormat="1" applyFont="1" applyBorder="1" applyAlignment="1">
      <alignment horizontal="center"/>
    </xf>
    <xf numFmtId="0" fontId="6" fillId="0" borderId="0" xfId="16" applyNumberFormat="1" applyFont="1" applyAlignment="1">
      <alignment/>
    </xf>
    <xf numFmtId="171" fontId="6" fillId="0" borderId="0" xfId="16" applyFont="1" applyAlignment="1">
      <alignment/>
    </xf>
    <xf numFmtId="37" fontId="6" fillId="0" borderId="0" xfId="0" applyFont="1" applyAlignment="1" quotePrefix="1">
      <alignment/>
    </xf>
    <xf numFmtId="37" fontId="3" fillId="0" borderId="30" xfId="0" applyFont="1" applyBorder="1" applyAlignment="1">
      <alignment horizontal="centerContinuous" vertical="center"/>
    </xf>
    <xf numFmtId="37" fontId="6" fillId="0" borderId="30" xfId="0" applyFont="1" applyBorder="1" applyAlignment="1">
      <alignment horizontal="centerContinuous" vertical="center"/>
    </xf>
    <xf numFmtId="37" fontId="7" fillId="0" borderId="17" xfId="0" applyFont="1" applyBorder="1" applyAlignment="1" applyProtection="1">
      <alignment vertical="center"/>
      <protection locked="0"/>
    </xf>
    <xf numFmtId="37" fontId="3" fillId="0" borderId="1" xfId="0" applyFont="1" applyBorder="1" applyAlignment="1">
      <alignment/>
    </xf>
    <xf numFmtId="37" fontId="6" fillId="0" borderId="10" xfId="0" applyFont="1" applyBorder="1" applyAlignment="1">
      <alignment horizontal="centerContinuous"/>
    </xf>
    <xf numFmtId="49" fontId="6" fillId="0" borderId="0" xfId="0" applyNumberFormat="1" applyFont="1" applyBorder="1" applyAlignment="1">
      <alignment vertical="center"/>
    </xf>
    <xf numFmtId="191" fontId="6" fillId="0" borderId="0" xfId="0" applyNumberFormat="1" applyFont="1" applyBorder="1" applyAlignment="1">
      <alignment/>
    </xf>
    <xf numFmtId="172" fontId="6" fillId="0" borderId="27" xfId="0" applyNumberFormat="1" applyFont="1" applyBorder="1" applyAlignment="1" applyProtection="1">
      <alignment vertical="center"/>
      <protection/>
    </xf>
    <xf numFmtId="37" fontId="3" fillId="0" borderId="27" xfId="0" applyFont="1" applyBorder="1" applyAlignment="1">
      <alignment horizontal="centerContinuous" vertical="center"/>
    </xf>
    <xf numFmtId="172" fontId="6" fillId="0" borderId="11" xfId="0" applyNumberFormat="1" applyFont="1" applyBorder="1" applyAlignment="1" applyProtection="1">
      <alignment vertical="center"/>
      <protection/>
    </xf>
    <xf numFmtId="37" fontId="6" fillId="0" borderId="11" xfId="0" applyFont="1" applyBorder="1" applyAlignment="1">
      <alignment/>
    </xf>
    <xf numFmtId="37" fontId="6" fillId="0" borderId="36" xfId="0" applyFont="1" applyBorder="1" applyAlignment="1">
      <alignment/>
    </xf>
    <xf numFmtId="174" fontId="6" fillId="0" borderId="0" xfId="22" applyNumberFormat="1" applyFont="1" applyBorder="1" applyAlignment="1">
      <alignment/>
    </xf>
    <xf numFmtId="49" fontId="9" fillId="0" borderId="0" xfId="0" applyNumberFormat="1" applyFont="1" applyAlignment="1">
      <alignment horizontal="left"/>
    </xf>
    <xf numFmtId="49" fontId="9" fillId="0" borderId="0" xfId="0" applyNumberFormat="1" applyFont="1" applyBorder="1" applyAlignment="1">
      <alignment horizontal="left"/>
    </xf>
    <xf numFmtId="191" fontId="6" fillId="0" borderId="1" xfId="0" applyNumberFormat="1" applyFont="1" applyBorder="1" applyAlignment="1">
      <alignment horizontal="right"/>
    </xf>
    <xf numFmtId="37" fontId="3" fillId="0" borderId="37" xfId="0" applyFont="1" applyBorder="1" applyAlignment="1">
      <alignment/>
    </xf>
    <xf numFmtId="37" fontId="3" fillId="0" borderId="38" xfId="0" applyFont="1" applyBorder="1" applyAlignment="1">
      <alignment/>
    </xf>
    <xf numFmtId="37" fontId="3" fillId="0" borderId="7" xfId="0" applyFont="1" applyFill="1" applyBorder="1" applyAlignment="1">
      <alignment horizontal="centerContinuous" vertical="center"/>
    </xf>
    <xf numFmtId="37" fontId="3" fillId="0" borderId="23" xfId="0" applyFont="1" applyFill="1" applyBorder="1" applyAlignment="1">
      <alignment horizontal="centerContinuous"/>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3" xfId="0" applyFont="1" applyFill="1" applyBorder="1" applyAlignment="1">
      <alignment/>
    </xf>
    <xf numFmtId="37" fontId="3" fillId="0" borderId="23" xfId="0" applyFont="1" applyFill="1" applyBorder="1" applyAlignment="1">
      <alignment horizontal="center"/>
    </xf>
    <xf numFmtId="0" fontId="9" fillId="0" borderId="0" xfId="16" applyNumberFormat="1" applyFont="1" applyAlignment="1">
      <alignment/>
    </xf>
    <xf numFmtId="37" fontId="13" fillId="3" borderId="0" xfId="0" applyFont="1" applyFill="1" applyAlignment="1">
      <alignment horizontal="centerContinuous"/>
    </xf>
    <xf numFmtId="49" fontId="9" fillId="0" borderId="0" xfId="0" applyNumberFormat="1" applyFont="1" applyAlignment="1">
      <alignment horizontal="right"/>
    </xf>
    <xf numFmtId="37" fontId="13" fillId="0" borderId="0" xfId="0" applyFont="1" applyAlignment="1">
      <alignment horizontal="centerContinuous"/>
    </xf>
    <xf numFmtId="37" fontId="14" fillId="0" borderId="19" xfId="0" applyFont="1" applyBorder="1" applyAlignment="1">
      <alignment horizontal="right" vertical="top" textRotation="180"/>
    </xf>
    <xf numFmtId="177" fontId="6" fillId="3" borderId="23" xfId="0" applyNumberFormat="1" applyFont="1" applyFill="1" applyBorder="1" applyAlignment="1" applyProtection="1">
      <alignment/>
      <protection/>
    </xf>
    <xf numFmtId="177" fontId="6" fillId="0" borderId="23" xfId="0" applyNumberFormat="1" applyFont="1" applyBorder="1" applyAlignment="1" applyProtection="1">
      <alignment/>
      <protection/>
    </xf>
    <xf numFmtId="177" fontId="6" fillId="0" borderId="8" xfId="0" applyNumberFormat="1" applyFont="1" applyBorder="1" applyAlignment="1" applyProtection="1">
      <alignment/>
      <protection/>
    </xf>
    <xf numFmtId="177" fontId="6" fillId="3" borderId="7" xfId="0" applyNumberFormat="1" applyFont="1" applyFill="1" applyBorder="1" applyAlignment="1" applyProtection="1">
      <alignment/>
      <protection/>
    </xf>
    <xf numFmtId="177" fontId="3" fillId="0" borderId="26" xfId="22" applyNumberFormat="1" applyFont="1" applyFill="1" applyBorder="1" applyAlignment="1">
      <alignment/>
    </xf>
    <xf numFmtId="177" fontId="3" fillId="0" borderId="7" xfId="22" applyNumberFormat="1" applyFont="1" applyFill="1" applyBorder="1" applyAlignment="1">
      <alignment/>
    </xf>
    <xf numFmtId="177" fontId="6" fillId="0" borderId="0" xfId="0" applyNumberFormat="1" applyFont="1" applyAlignment="1" applyProtection="1">
      <alignment/>
      <protection/>
    </xf>
    <xf numFmtId="177" fontId="6" fillId="0" borderId="0" xfId="22" applyNumberFormat="1" applyFont="1" applyAlignment="1">
      <alignment/>
    </xf>
    <xf numFmtId="177" fontId="6" fillId="0" borderId="0" xfId="0" applyNumberFormat="1" applyFont="1" applyAlignment="1">
      <alignment/>
    </xf>
    <xf numFmtId="177" fontId="6" fillId="0" borderId="1" xfId="22" applyNumberFormat="1" applyFont="1" applyBorder="1" applyAlignment="1">
      <alignment/>
    </xf>
    <xf numFmtId="37" fontId="3" fillId="7" borderId="18" xfId="0" applyFont="1" applyFill="1" applyBorder="1" applyAlignment="1">
      <alignment horizontal="centerContinuous"/>
    </xf>
    <xf numFmtId="37" fontId="3" fillId="7" borderId="2" xfId="0" applyFont="1" applyFill="1" applyBorder="1" applyAlignment="1">
      <alignment horizontal="centerContinuous"/>
    </xf>
    <xf numFmtId="37" fontId="3" fillId="7" borderId="5" xfId="0" applyFont="1" applyFill="1" applyBorder="1" applyAlignment="1">
      <alignment horizontal="centerContinuous"/>
    </xf>
    <xf numFmtId="37" fontId="3" fillId="7" borderId="12" xfId="0" applyFont="1" applyFill="1" applyBorder="1" applyAlignment="1">
      <alignment horizontal="centerContinuous"/>
    </xf>
    <xf numFmtId="37" fontId="3" fillId="7" borderId="3" xfId="0" applyFont="1" applyFill="1" applyBorder="1" applyAlignment="1">
      <alignment horizontal="centerContinuous"/>
    </xf>
    <xf numFmtId="37" fontId="3" fillId="7" borderId="10" xfId="0" applyFont="1" applyFill="1" applyBorder="1" applyAlignment="1">
      <alignment horizontal="centerContinuous"/>
    </xf>
    <xf numFmtId="49" fontId="6" fillId="7" borderId="1" xfId="0" applyNumberFormat="1" applyFont="1" applyFill="1" applyBorder="1" applyAlignment="1">
      <alignment vertical="center"/>
    </xf>
    <xf numFmtId="191" fontId="6" fillId="7" borderId="1" xfId="0" applyNumberFormat="1" applyFont="1" applyFill="1" applyBorder="1" applyAlignment="1">
      <alignment vertical="center"/>
    </xf>
    <xf numFmtId="177" fontId="6" fillId="7" borderId="1" xfId="22" applyNumberFormat="1" applyFont="1" applyFill="1" applyBorder="1" applyAlignment="1">
      <alignment/>
    </xf>
    <xf numFmtId="49" fontId="3" fillId="7" borderId="22" xfId="16" applyNumberFormat="1" applyFont="1" applyFill="1" applyBorder="1" applyAlignment="1">
      <alignment vertical="center"/>
    </xf>
    <xf numFmtId="191" fontId="3" fillId="7" borderId="22" xfId="0" applyNumberFormat="1" applyFont="1" applyFill="1" applyBorder="1" applyAlignment="1">
      <alignment vertical="center"/>
    </xf>
    <xf numFmtId="177" fontId="3" fillId="7" borderId="22" xfId="22" applyNumberFormat="1" applyFont="1" applyFill="1" applyBorder="1" applyAlignment="1">
      <alignment/>
    </xf>
    <xf numFmtId="37" fontId="6" fillId="7" borderId="18" xfId="0" applyFont="1" applyFill="1" applyBorder="1" applyAlignment="1">
      <alignment/>
    </xf>
    <xf numFmtId="37" fontId="3" fillId="7" borderId="2" xfId="0" applyFont="1" applyFill="1" applyBorder="1" applyAlignment="1">
      <alignment/>
    </xf>
    <xf numFmtId="37" fontId="6" fillId="7" borderId="5" xfId="0" applyFont="1" applyFill="1" applyBorder="1" applyAlignment="1">
      <alignment horizontal="centerContinuous"/>
    </xf>
    <xf numFmtId="37" fontId="6" fillId="7" borderId="2" xfId="0" applyFont="1" applyFill="1" applyBorder="1" applyAlignment="1">
      <alignment horizontal="centerContinuous"/>
    </xf>
    <xf numFmtId="37" fontId="6" fillId="7" borderId="10" xfId="0" applyFont="1" applyFill="1" applyBorder="1" applyAlignment="1">
      <alignment horizontal="centerContinuous"/>
    </xf>
    <xf numFmtId="37" fontId="3" fillId="8" borderId="26" xfId="0" applyFont="1" applyFill="1" applyBorder="1" applyAlignment="1">
      <alignment/>
    </xf>
    <xf numFmtId="37" fontId="3" fillId="8" borderId="39" xfId="0" applyFont="1" applyFill="1" applyBorder="1" applyAlignment="1">
      <alignment/>
    </xf>
    <xf numFmtId="37" fontId="3" fillId="7" borderId="20" xfId="0" applyFont="1" applyFill="1" applyBorder="1" applyAlignment="1">
      <alignment horizontal="centerContinuous"/>
    </xf>
    <xf numFmtId="37" fontId="6" fillId="7" borderId="17" xfId="0" applyFont="1" applyFill="1" applyBorder="1" applyAlignment="1">
      <alignment horizontal="centerContinuous"/>
    </xf>
    <xf numFmtId="37" fontId="6" fillId="7" borderId="21" xfId="0" applyFont="1" applyFill="1" applyBorder="1" applyAlignment="1">
      <alignment horizontal="centerContinuous"/>
    </xf>
    <xf numFmtId="37" fontId="3" fillId="7" borderId="4" xfId="0" applyFont="1" applyFill="1" applyBorder="1" applyAlignment="1">
      <alignment horizontal="centerContinuous"/>
    </xf>
    <xf numFmtId="37" fontId="3" fillId="7" borderId="5" xfId="0" applyFont="1" applyFill="1" applyBorder="1" applyAlignment="1">
      <alignment horizontal="center"/>
    </xf>
    <xf numFmtId="37" fontId="3" fillId="7" borderId="2" xfId="0" applyFont="1" applyFill="1" applyBorder="1" applyAlignment="1">
      <alignment horizontal="center"/>
    </xf>
    <xf numFmtId="37" fontId="3" fillId="7" borderId="9" xfId="0" applyFont="1" applyFill="1" applyBorder="1" applyAlignment="1">
      <alignment horizontal="centerContinuous"/>
    </xf>
    <xf numFmtId="37" fontId="6" fillId="7" borderId="3" xfId="0" applyFont="1" applyFill="1" applyBorder="1" applyAlignment="1">
      <alignment horizontal="centerContinuous"/>
    </xf>
    <xf numFmtId="37" fontId="3" fillId="7" borderId="34" xfId="0" applyFont="1" applyFill="1" applyBorder="1" applyAlignment="1">
      <alignment horizontal="centerContinuous"/>
    </xf>
    <xf numFmtId="37" fontId="3" fillId="7" borderId="30" xfId="0" applyFont="1" applyFill="1" applyBorder="1" applyAlignment="1">
      <alignment horizontal="centerContinuous"/>
    </xf>
    <xf numFmtId="37" fontId="3" fillId="7" borderId="31" xfId="0" applyFont="1" applyFill="1" applyBorder="1" applyAlignment="1">
      <alignment horizontal="centerContinuous"/>
    </xf>
    <xf numFmtId="37" fontId="3" fillId="7" borderId="40" xfId="0" applyFont="1" applyFill="1" applyBorder="1" applyAlignment="1">
      <alignment horizontal="center"/>
    </xf>
    <xf numFmtId="37" fontId="3" fillId="7" borderId="21" xfId="0" applyFont="1" applyFill="1" applyBorder="1" applyAlignment="1">
      <alignment horizontal="center"/>
    </xf>
    <xf numFmtId="37" fontId="3" fillId="7" borderId="22" xfId="0" applyFont="1" applyFill="1" applyBorder="1" applyAlignment="1">
      <alignment horizontal="center"/>
    </xf>
    <xf numFmtId="196" fontId="6" fillId="7" borderId="1" xfId="0" applyNumberFormat="1" applyFont="1" applyFill="1" applyBorder="1" applyAlignment="1">
      <alignment vertical="center"/>
    </xf>
    <xf numFmtId="196" fontId="3" fillId="7" borderId="22" xfId="0" applyNumberFormat="1" applyFont="1" applyFill="1" applyBorder="1" applyAlignment="1">
      <alignment vertical="center"/>
    </xf>
    <xf numFmtId="37" fontId="3" fillId="7" borderId="20" xfId="0" applyFont="1" applyFill="1" applyBorder="1" applyAlignment="1">
      <alignment horizontal="centerContinuous" vertical="center"/>
    </xf>
    <xf numFmtId="37" fontId="3" fillId="7" borderId="21" xfId="0" applyFont="1" applyFill="1" applyBorder="1" applyAlignment="1">
      <alignment horizontal="centerContinuous"/>
    </xf>
    <xf numFmtId="37" fontId="3" fillId="7" borderId="20" xfId="0" applyFont="1" applyFill="1" applyBorder="1" applyAlignment="1" applyProtection="1">
      <alignment horizontal="centerContinuous"/>
      <protection/>
    </xf>
    <xf numFmtId="37" fontId="3" fillId="7" borderId="17" xfId="0" applyFont="1" applyFill="1" applyBorder="1" applyAlignment="1" applyProtection="1">
      <alignment horizontal="centerContinuous"/>
      <protection/>
    </xf>
    <xf numFmtId="37" fontId="3" fillId="7" borderId="20" xfId="0" applyFont="1" applyFill="1" applyBorder="1" applyAlignment="1" applyProtection="1">
      <alignment horizontal="centerContinuous" vertical="center"/>
      <protection/>
    </xf>
    <xf numFmtId="37" fontId="3" fillId="7" borderId="21" xfId="0" applyFont="1" applyFill="1" applyBorder="1" applyAlignment="1" applyProtection="1">
      <alignment horizontal="centerContinuous"/>
      <protection/>
    </xf>
    <xf numFmtId="196" fontId="6" fillId="7" borderId="16" xfId="0" applyNumberFormat="1" applyFont="1" applyFill="1" applyBorder="1" applyAlignment="1">
      <alignment vertical="center"/>
    </xf>
    <xf numFmtId="196" fontId="6" fillId="7" borderId="6" xfId="0" applyNumberFormat="1" applyFont="1" applyFill="1" applyBorder="1" applyAlignment="1">
      <alignment vertical="center"/>
    </xf>
    <xf numFmtId="37" fontId="3" fillId="7" borderId="21" xfId="0" applyFont="1" applyFill="1" applyBorder="1" applyAlignment="1">
      <alignment horizontal="centerContinuous" vertical="center"/>
    </xf>
    <xf numFmtId="37" fontId="6" fillId="7" borderId="14" xfId="0" applyFont="1" applyFill="1" applyBorder="1" applyAlignment="1" applyProtection="1">
      <alignment/>
      <protection/>
    </xf>
    <xf numFmtId="37" fontId="6" fillId="7" borderId="0" xfId="0" applyFont="1" applyFill="1" applyAlignment="1" applyProtection="1">
      <alignment/>
      <protection/>
    </xf>
    <xf numFmtId="37" fontId="6" fillId="7" borderId="6" xfId="0" applyFont="1" applyFill="1" applyBorder="1" applyAlignment="1" applyProtection="1">
      <alignment/>
      <protection/>
    </xf>
    <xf numFmtId="37" fontId="3" fillId="7" borderId="18" xfId="0" applyFont="1" applyFill="1" applyBorder="1" applyAlignment="1" applyProtection="1">
      <alignment horizontal="centerContinuous"/>
      <protection/>
    </xf>
    <xf numFmtId="37" fontId="6" fillId="7" borderId="2" xfId="0" applyFont="1" applyFill="1" applyBorder="1" applyAlignment="1" applyProtection="1">
      <alignment horizontal="centerContinuous"/>
      <protection/>
    </xf>
    <xf numFmtId="37" fontId="6" fillId="7" borderId="5" xfId="0" applyFont="1" applyFill="1" applyBorder="1" applyAlignment="1" applyProtection="1">
      <alignment horizontal="centerContinuous"/>
      <protection/>
    </xf>
    <xf numFmtId="37" fontId="3" fillId="7" borderId="12" xfId="0" applyFont="1" applyFill="1" applyBorder="1" applyAlignment="1" applyProtection="1">
      <alignment horizontal="centerContinuous"/>
      <protection/>
    </xf>
    <xf numFmtId="37" fontId="3" fillId="7" borderId="3" xfId="0" applyFont="1" applyFill="1" applyBorder="1" applyAlignment="1" applyProtection="1">
      <alignment horizontal="centerContinuous"/>
      <protection/>
    </xf>
    <xf numFmtId="37" fontId="3" fillId="7" borderId="10" xfId="0" applyFont="1" applyFill="1" applyBorder="1" applyAlignment="1" applyProtection="1">
      <alignment horizontal="centerContinuous"/>
      <protection/>
    </xf>
    <xf numFmtId="37" fontId="3" fillId="7" borderId="41" xfId="0" applyFont="1" applyFill="1" applyBorder="1" applyAlignment="1" applyProtection="1">
      <alignment horizontal="centerContinuous"/>
      <protection/>
    </xf>
    <xf numFmtId="37" fontId="6" fillId="7" borderId="0" xfId="0" applyFont="1" applyFill="1" applyAlignment="1" applyProtection="1">
      <alignment horizontal="centerContinuous"/>
      <protection/>
    </xf>
    <xf numFmtId="37" fontId="6" fillId="7" borderId="6" xfId="0" applyFont="1" applyFill="1" applyBorder="1" applyAlignment="1" applyProtection="1">
      <alignment horizontal="centerContinuous"/>
      <protection/>
    </xf>
    <xf numFmtId="37" fontId="3" fillId="7" borderId="14" xfId="0" applyFont="1" applyFill="1" applyBorder="1" applyAlignment="1" applyProtection="1">
      <alignment horizontal="centerContinuous"/>
      <protection/>
    </xf>
    <xf numFmtId="191" fontId="6" fillId="7" borderId="14" xfId="0" applyNumberFormat="1" applyFont="1" applyFill="1" applyBorder="1" applyAlignment="1">
      <alignment vertical="center"/>
    </xf>
    <xf numFmtId="197" fontId="6" fillId="7" borderId="28" xfId="0" applyNumberFormat="1" applyFont="1" applyFill="1" applyBorder="1" applyAlignment="1">
      <alignment vertical="center"/>
    </xf>
    <xf numFmtId="177" fontId="3" fillId="7" borderId="21" xfId="22" applyNumberFormat="1" applyFont="1" applyFill="1" applyBorder="1" applyAlignment="1">
      <alignment/>
    </xf>
    <xf numFmtId="37" fontId="3" fillId="7" borderId="18" xfId="0" applyFont="1" applyFill="1" applyBorder="1" applyAlignment="1">
      <alignment/>
    </xf>
    <xf numFmtId="37" fontId="3" fillId="7" borderId="2" xfId="0" applyFont="1" applyFill="1" applyBorder="1" applyAlignment="1">
      <alignment/>
    </xf>
    <xf numFmtId="37" fontId="3" fillId="7" borderId="5" xfId="0" applyFont="1" applyFill="1" applyBorder="1" applyAlignment="1">
      <alignment/>
    </xf>
    <xf numFmtId="37" fontId="3" fillId="7" borderId="18" xfId="0" applyFont="1" applyFill="1" applyBorder="1" applyAlignment="1">
      <alignment horizontal="center"/>
    </xf>
    <xf numFmtId="191" fontId="6" fillId="7" borderId="1" xfId="0" applyNumberFormat="1" applyFont="1" applyFill="1" applyBorder="1" applyAlignment="1">
      <alignment/>
    </xf>
    <xf numFmtId="39" fontId="6" fillId="7" borderId="1" xfId="0" applyNumberFormat="1" applyFont="1" applyFill="1" applyBorder="1" applyAlignment="1">
      <alignment/>
    </xf>
    <xf numFmtId="191" fontId="3" fillId="7" borderId="22" xfId="0" applyNumberFormat="1" applyFont="1" applyFill="1" applyBorder="1" applyAlignment="1">
      <alignment/>
    </xf>
    <xf numFmtId="39" fontId="3" fillId="7" borderId="22" xfId="0" applyNumberFormat="1" applyFont="1" applyFill="1" applyBorder="1" applyAlignment="1">
      <alignment/>
    </xf>
    <xf numFmtId="191" fontId="6" fillId="7" borderId="1" xfId="0" applyNumberFormat="1" applyFont="1" applyFill="1" applyBorder="1" applyAlignment="1">
      <alignment horizontal="right"/>
    </xf>
    <xf numFmtId="39" fontId="6" fillId="7" borderId="1" xfId="0" applyNumberFormat="1" applyFont="1" applyFill="1" applyBorder="1" applyAlignment="1">
      <alignment horizontal="right"/>
    </xf>
    <xf numFmtId="37" fontId="6" fillId="7" borderId="2" xfId="0" applyFont="1" applyFill="1" applyBorder="1" applyAlignment="1">
      <alignment/>
    </xf>
    <xf numFmtId="37" fontId="3" fillId="7" borderId="37" xfId="0" applyFont="1" applyFill="1" applyBorder="1" applyAlignment="1">
      <alignment horizontal="centerContinuous"/>
    </xf>
    <xf numFmtId="37" fontId="3" fillId="7" borderId="27" xfId="0" applyFont="1" applyFill="1" applyBorder="1" applyAlignment="1">
      <alignment horizontal="centerContinuous"/>
    </xf>
    <xf numFmtId="37" fontId="3" fillId="7" borderId="42" xfId="0" applyFont="1" applyFill="1" applyBorder="1" applyAlignment="1">
      <alignment horizontal="centerContinuous"/>
    </xf>
    <xf numFmtId="37" fontId="3" fillId="7" borderId="37" xfId="0" applyFont="1" applyFill="1" applyBorder="1" applyAlignment="1">
      <alignment horizontal="left"/>
    </xf>
    <xf numFmtId="37" fontId="3" fillId="7" borderId="27" xfId="0" applyFont="1" applyFill="1" applyBorder="1" applyAlignment="1">
      <alignment horizontal="left"/>
    </xf>
    <xf numFmtId="37" fontId="3" fillId="7" borderId="42" xfId="0" applyFont="1" applyFill="1" applyBorder="1" applyAlignment="1">
      <alignment horizontal="left"/>
    </xf>
    <xf numFmtId="37" fontId="3" fillId="7" borderId="38" xfId="0" applyFont="1" applyFill="1" applyBorder="1" applyAlignment="1">
      <alignment horizontal="centerContinuous"/>
    </xf>
    <xf numFmtId="37" fontId="3" fillId="7" borderId="11" xfId="0" applyFont="1" applyFill="1" applyBorder="1" applyAlignment="1">
      <alignment horizontal="centerContinuous"/>
    </xf>
    <xf numFmtId="37" fontId="3" fillId="7" borderId="43" xfId="0" applyFont="1" applyFill="1" applyBorder="1" applyAlignment="1">
      <alignment horizontal="centerContinuous"/>
    </xf>
    <xf numFmtId="37" fontId="3" fillId="7" borderId="14" xfId="0" applyFont="1" applyFill="1" applyBorder="1" applyAlignment="1">
      <alignment horizontal="centerContinuous"/>
    </xf>
    <xf numFmtId="37" fontId="6" fillId="7" borderId="0" xfId="0" applyFont="1" applyFill="1" applyAlignment="1">
      <alignment horizontal="centerContinuous"/>
    </xf>
    <xf numFmtId="37" fontId="3" fillId="7" borderId="1" xfId="0" applyFont="1" applyFill="1" applyBorder="1" applyAlignment="1">
      <alignment horizontal="centerContinuous"/>
    </xf>
    <xf numFmtId="37" fontId="3" fillId="7" borderId="17" xfId="0" applyFont="1" applyFill="1" applyBorder="1" applyAlignment="1">
      <alignment horizontal="centerContinuous" vertical="center"/>
    </xf>
    <xf numFmtId="37" fontId="6" fillId="7" borderId="17" xfId="0" applyFont="1" applyFill="1" applyBorder="1" applyAlignment="1">
      <alignment horizontal="centerContinuous" vertical="center"/>
    </xf>
    <xf numFmtId="37" fontId="6" fillId="7" borderId="21" xfId="0" applyFont="1" applyFill="1" applyBorder="1" applyAlignment="1">
      <alignment horizontal="centerContinuous" vertical="center"/>
    </xf>
    <xf numFmtId="37" fontId="3" fillId="7" borderId="18" xfId="0" applyFont="1" applyFill="1" applyBorder="1" applyAlignment="1">
      <alignment horizontal="centerContinuous" vertical="center"/>
    </xf>
    <xf numFmtId="37" fontId="3" fillId="7" borderId="17" xfId="0" applyFont="1" applyFill="1" applyBorder="1" applyAlignment="1">
      <alignment horizontal="centerContinuous"/>
    </xf>
    <xf numFmtId="37" fontId="3" fillId="7" borderId="18" xfId="0" applyFont="1" applyFill="1" applyBorder="1" applyAlignment="1">
      <alignment/>
    </xf>
    <xf numFmtId="37" fontId="3" fillId="7" borderId="6" xfId="0" applyFont="1" applyFill="1" applyBorder="1" applyAlignment="1">
      <alignment horizontal="centerContinuous"/>
    </xf>
    <xf numFmtId="37" fontId="3" fillId="7" borderId="0" xfId="0" applyFont="1" applyFill="1" applyAlignment="1">
      <alignment/>
    </xf>
    <xf numFmtId="37" fontId="3" fillId="7" borderId="4" xfId="0" applyFont="1" applyFill="1" applyBorder="1" applyAlignment="1">
      <alignment horizontal="center"/>
    </xf>
    <xf numFmtId="37" fontId="3" fillId="7" borderId="1" xfId="0" applyFont="1" applyFill="1" applyBorder="1" applyAlignment="1">
      <alignment horizontal="center"/>
    </xf>
    <xf numFmtId="37" fontId="3" fillId="7" borderId="9" xfId="0" applyFont="1" applyFill="1" applyBorder="1" applyAlignment="1">
      <alignment horizontal="center"/>
    </xf>
    <xf numFmtId="37" fontId="3" fillId="7" borderId="4" xfId="0" applyFont="1" applyFill="1" applyBorder="1" applyAlignment="1">
      <alignment/>
    </xf>
    <xf numFmtId="37" fontId="3" fillId="7" borderId="0" xfId="0" applyFont="1" applyFill="1" applyBorder="1" applyAlignment="1">
      <alignment horizontal="centerContinuous"/>
    </xf>
    <xf numFmtId="37" fontId="3" fillId="7" borderId="4" xfId="0" applyNumberFormat="1" applyFont="1" applyFill="1" applyBorder="1" applyAlignment="1" applyProtection="1">
      <alignment horizontal="centerContinuous"/>
      <protection/>
    </xf>
    <xf numFmtId="37" fontId="3" fillId="7" borderId="4" xfId="0" applyNumberFormat="1" applyFont="1" applyFill="1" applyBorder="1" applyAlignment="1" applyProtection="1">
      <alignment horizontal="center"/>
      <protection/>
    </xf>
    <xf numFmtId="37" fontId="3" fillId="7" borderId="1" xfId="0" applyNumberFormat="1" applyFont="1" applyFill="1" applyBorder="1" applyAlignment="1" applyProtection="1">
      <alignment horizontal="center"/>
      <protection/>
    </xf>
    <xf numFmtId="37" fontId="3" fillId="7" borderId="9" xfId="0" applyNumberFormat="1" applyFont="1" applyFill="1" applyBorder="1" applyAlignment="1" applyProtection="1">
      <alignment horizontal="centerContinuous"/>
      <protection/>
    </xf>
    <xf numFmtId="37" fontId="3" fillId="7" borderId="1" xfId="0" applyNumberFormat="1" applyFont="1" applyFill="1" applyBorder="1" applyAlignment="1" applyProtection="1">
      <alignment horizontal="centerContinuous"/>
      <protection/>
    </xf>
    <xf numFmtId="37" fontId="3" fillId="7" borderId="1" xfId="0" applyNumberFormat="1" applyFont="1" applyFill="1" applyBorder="1" applyAlignment="1" applyProtection="1">
      <alignment/>
      <protection/>
    </xf>
    <xf numFmtId="37" fontId="3" fillId="7" borderId="1" xfId="0" applyFont="1" applyFill="1" applyBorder="1" applyAlignment="1">
      <alignment/>
    </xf>
    <xf numFmtId="37" fontId="3" fillId="9" borderId="4" xfId="0" applyFont="1" applyFill="1" applyBorder="1" applyAlignment="1">
      <alignment horizontal="centerContinuous"/>
    </xf>
    <xf numFmtId="37" fontId="3" fillId="9" borderId="4" xfId="0" applyFont="1" applyFill="1" applyBorder="1" applyAlignment="1">
      <alignment horizontal="center"/>
    </xf>
    <xf numFmtId="37" fontId="3" fillId="9" borderId="6" xfId="0" applyFont="1" applyFill="1" applyBorder="1" applyAlignment="1">
      <alignment horizontal="centerContinuous"/>
    </xf>
    <xf numFmtId="37" fontId="3" fillId="9" borderId="1" xfId="0" applyFont="1" applyFill="1" applyBorder="1" applyAlignment="1">
      <alignment horizontal="center"/>
    </xf>
    <xf numFmtId="37" fontId="3" fillId="9" borderId="10" xfId="0" applyFont="1" applyFill="1" applyBorder="1" applyAlignment="1">
      <alignment horizontal="centerContinuous"/>
    </xf>
    <xf numFmtId="37" fontId="3" fillId="9" borderId="9" xfId="0" applyFont="1" applyFill="1" applyBorder="1" applyAlignment="1">
      <alignment horizontal="centerContinuous"/>
    </xf>
    <xf numFmtId="37" fontId="3" fillId="7" borderId="14" xfId="0" applyFont="1" applyFill="1" applyBorder="1" applyAlignment="1">
      <alignment horizontal="centerContinuous" vertical="center"/>
    </xf>
    <xf numFmtId="37" fontId="3" fillId="8" borderId="18" xfId="0" applyFont="1" applyFill="1" applyBorder="1" applyAlignment="1">
      <alignment horizontal="centerContinuous"/>
    </xf>
    <xf numFmtId="37" fontId="3" fillId="8" borderId="5" xfId="0" applyFont="1" applyFill="1" applyBorder="1" applyAlignment="1">
      <alignment horizontal="centerContinuous"/>
    </xf>
    <xf numFmtId="37" fontId="3" fillId="8" borderId="18" xfId="0" applyFont="1" applyFill="1" applyBorder="1" applyAlignment="1">
      <alignment/>
    </xf>
    <xf numFmtId="37" fontId="3" fillId="8" borderId="5" xfId="0" applyFont="1" applyFill="1" applyBorder="1" applyAlignment="1">
      <alignment/>
    </xf>
    <xf numFmtId="37" fontId="3" fillId="8" borderId="14" xfId="0" applyFont="1" applyFill="1" applyBorder="1" applyAlignment="1">
      <alignment horizontal="centerContinuous"/>
    </xf>
    <xf numFmtId="37" fontId="3" fillId="8" borderId="6" xfId="0" applyFont="1" applyFill="1" applyBorder="1" applyAlignment="1">
      <alignment horizontal="centerContinuous"/>
    </xf>
    <xf numFmtId="37" fontId="3" fillId="8" borderId="12" xfId="0" applyFont="1" applyFill="1" applyBorder="1" applyAlignment="1">
      <alignment horizontal="centerContinuous"/>
    </xf>
    <xf numFmtId="37" fontId="3" fillId="8" borderId="10" xfId="0" applyFont="1" applyFill="1" applyBorder="1" applyAlignment="1">
      <alignment horizontal="centerContinuous"/>
    </xf>
    <xf numFmtId="37" fontId="6" fillId="7" borderId="6" xfId="0" applyFont="1" applyFill="1" applyBorder="1" applyAlignment="1">
      <alignment horizontal="centerContinuous"/>
    </xf>
    <xf numFmtId="37" fontId="3" fillId="7" borderId="2" xfId="0" applyFont="1" applyFill="1" applyBorder="1" applyAlignment="1">
      <alignment horizontal="centerContinuous" vertical="center"/>
    </xf>
    <xf numFmtId="37" fontId="3" fillId="7" borderId="0" xfId="0" applyFont="1" applyFill="1" applyBorder="1" applyAlignment="1">
      <alignment horizontal="centerContinuous" vertical="center"/>
    </xf>
    <xf numFmtId="37" fontId="3" fillId="7" borderId="34" xfId="22" applyNumberFormat="1" applyFont="1" applyFill="1" applyBorder="1" applyAlignment="1">
      <alignment horizontal="centerContinuous" vertical="center"/>
    </xf>
    <xf numFmtId="37" fontId="6" fillId="7" borderId="30" xfId="22" applyNumberFormat="1" applyFont="1" applyFill="1" applyBorder="1" applyAlignment="1">
      <alignment horizontal="centerContinuous"/>
    </xf>
    <xf numFmtId="37" fontId="6" fillId="7" borderId="33" xfId="22" applyNumberFormat="1" applyFont="1" applyFill="1" applyBorder="1" applyAlignment="1">
      <alignment horizontal="centerContinuous"/>
    </xf>
    <xf numFmtId="49" fontId="8" fillId="0" borderId="8" xfId="0" applyNumberFormat="1" applyFont="1" applyBorder="1" applyAlignment="1">
      <alignment horizontal="center" vertical="top"/>
    </xf>
    <xf numFmtId="177" fontId="6" fillId="0" borderId="1" xfId="22" applyNumberFormat="1" applyFont="1" applyBorder="1" applyAlignment="1">
      <alignment horizontal="right"/>
    </xf>
    <xf numFmtId="177" fontId="6" fillId="7" borderId="1" xfId="22" applyNumberFormat="1" applyFont="1" applyFill="1" applyBorder="1" applyAlignment="1">
      <alignment horizontal="right"/>
    </xf>
    <xf numFmtId="196" fontId="3" fillId="7" borderId="26" xfId="0" applyNumberFormat="1" applyFont="1" applyFill="1" applyBorder="1" applyAlignment="1">
      <alignment/>
    </xf>
    <xf numFmtId="191" fontId="3" fillId="7" borderId="20" xfId="0" applyNumberFormat="1" applyFont="1" applyFill="1" applyBorder="1" applyAlignment="1">
      <alignment vertical="center"/>
    </xf>
    <xf numFmtId="197" fontId="3" fillId="7" borderId="26" xfId="0" applyNumberFormat="1" applyFont="1" applyFill="1" applyBorder="1" applyAlignment="1">
      <alignment vertical="center"/>
    </xf>
    <xf numFmtId="177" fontId="6" fillId="0" borderId="0" xfId="22" applyNumberFormat="1" applyFont="1" applyBorder="1" applyAlignment="1">
      <alignment/>
    </xf>
    <xf numFmtId="191" fontId="3" fillId="8" borderId="26" xfId="0" applyNumberFormat="1" applyFont="1" applyFill="1" applyBorder="1" applyAlignment="1">
      <alignment/>
    </xf>
    <xf numFmtId="177" fontId="3" fillId="8" borderId="26" xfId="22" applyNumberFormat="1" applyFont="1" applyFill="1" applyBorder="1" applyAlignment="1">
      <alignment/>
    </xf>
    <xf numFmtId="37" fontId="3" fillId="7" borderId="0" xfId="0" applyFont="1" applyFill="1" applyAlignment="1" applyProtection="1">
      <alignment horizontal="centerContinuous"/>
      <protection/>
    </xf>
    <xf numFmtId="37" fontId="3" fillId="7" borderId="6" xfId="0" applyFont="1" applyFill="1" applyBorder="1" applyAlignment="1" applyProtection="1">
      <alignment horizontal="centerContinuous"/>
      <protection/>
    </xf>
    <xf numFmtId="37" fontId="3" fillId="7" borderId="18" xfId="0" applyFont="1" applyFill="1" applyBorder="1" applyAlignment="1" applyProtection="1">
      <alignment/>
      <protection/>
    </xf>
    <xf numFmtId="37" fontId="6" fillId="7" borderId="2" xfId="0" applyFont="1" applyFill="1" applyBorder="1" applyAlignment="1" applyProtection="1">
      <alignment/>
      <protection/>
    </xf>
    <xf numFmtId="37" fontId="6" fillId="7" borderId="5" xfId="0" applyFont="1" applyFill="1" applyBorder="1" applyAlignment="1" applyProtection="1">
      <alignment/>
      <protection/>
    </xf>
    <xf numFmtId="191" fontId="6" fillId="7" borderId="1" xfId="0" applyNumberFormat="1" applyFont="1" applyFill="1" applyBorder="1" applyAlignment="1">
      <alignment/>
    </xf>
    <xf numFmtId="49" fontId="3" fillId="7" borderId="20" xfId="16" applyNumberFormat="1" applyFont="1" applyFill="1" applyBorder="1" applyAlignment="1">
      <alignment vertical="center"/>
    </xf>
    <xf numFmtId="196" fontId="3" fillId="7" borderId="44" xfId="0" applyNumberFormat="1" applyFont="1" applyFill="1" applyBorder="1" applyAlignment="1">
      <alignment vertical="center"/>
    </xf>
    <xf numFmtId="196" fontId="3" fillId="7" borderId="40" xfId="0" applyNumberFormat="1" applyFont="1" applyFill="1" applyBorder="1" applyAlignment="1">
      <alignment vertical="center"/>
    </xf>
    <xf numFmtId="172" fontId="6" fillId="0" borderId="0" xfId="0" applyNumberFormat="1" applyFont="1" applyAlignment="1">
      <alignment/>
    </xf>
    <xf numFmtId="191" fontId="6" fillId="7" borderId="1" xfId="0" applyNumberFormat="1" applyFont="1" applyFill="1" applyBorder="1" applyAlignment="1">
      <alignment horizontal="right" vertical="center"/>
    </xf>
    <xf numFmtId="37" fontId="3" fillId="7" borderId="45" xfId="0" applyFont="1" applyFill="1" applyBorder="1" applyAlignment="1" applyProtection="1">
      <alignment horizontal="center"/>
      <protection/>
    </xf>
    <xf numFmtId="37" fontId="3" fillId="0" borderId="23" xfId="0" applyFont="1" applyFill="1" applyBorder="1" applyAlignment="1">
      <alignment/>
    </xf>
    <xf numFmtId="177" fontId="3" fillId="0" borderId="23" xfId="22" applyNumberFormat="1" applyFont="1" applyFill="1" applyBorder="1" applyAlignment="1">
      <alignment/>
    </xf>
    <xf numFmtId="37" fontId="9" fillId="0" borderId="0" xfId="0" applyFont="1" applyAlignment="1" quotePrefix="1">
      <alignment horizontal="left"/>
    </xf>
    <xf numFmtId="49" fontId="9" fillId="0" borderId="0" xfId="0" applyNumberFormat="1" applyFont="1" applyAlignment="1" quotePrefix="1">
      <alignment horizontal="left"/>
    </xf>
    <xf numFmtId="49" fontId="6" fillId="0" borderId="0" xfId="0" applyNumberFormat="1" applyFont="1" applyAlignment="1" quotePrefix="1">
      <alignment horizontal="left"/>
    </xf>
    <xf numFmtId="196" fontId="3" fillId="7" borderId="21" xfId="0" applyNumberFormat="1" applyFont="1" applyFill="1" applyBorder="1" applyAlignment="1">
      <alignment vertical="center"/>
    </xf>
    <xf numFmtId="196" fontId="3" fillId="7" borderId="46" xfId="0" applyNumberFormat="1" applyFont="1" applyFill="1" applyBorder="1" applyAlignment="1">
      <alignment vertical="center"/>
    </xf>
    <xf numFmtId="37" fontId="3" fillId="0" borderId="9" xfId="0" applyFont="1" applyBorder="1" applyAlignment="1" quotePrefix="1">
      <alignment horizontal="center"/>
    </xf>
    <xf numFmtId="37" fontId="3" fillId="7" borderId="47" xfId="0" applyFont="1" applyFill="1" applyBorder="1" applyAlignment="1" applyProtection="1" quotePrefix="1">
      <alignment horizontal="center"/>
      <protection/>
    </xf>
    <xf numFmtId="37" fontId="6" fillId="0" borderId="0" xfId="0" applyFont="1" applyAlignment="1" quotePrefix="1">
      <alignment horizontal="right"/>
    </xf>
    <xf numFmtId="49" fontId="6" fillId="7" borderId="1" xfId="0" applyNumberFormat="1" applyFont="1" applyFill="1" applyBorder="1" applyAlignment="1" quotePrefix="1">
      <alignment horizontal="left" vertical="center"/>
    </xf>
    <xf numFmtId="191" fontId="6" fillId="0" borderId="1" xfId="0" applyNumberFormat="1" applyFont="1" applyBorder="1" applyAlignment="1" quotePrefix="1">
      <alignment horizontal="right"/>
    </xf>
    <xf numFmtId="37" fontId="6" fillId="0" borderId="23" xfId="0" applyNumberFormat="1" applyFont="1" applyBorder="1" applyAlignment="1" applyProtection="1" quotePrefix="1">
      <alignment horizontal="left"/>
      <protection/>
    </xf>
    <xf numFmtId="37" fontId="6" fillId="3" borderId="17" xfId="0" applyFont="1" applyFill="1" applyBorder="1" applyAlignment="1">
      <alignment horizontal="centerContinuous" vertical="center"/>
    </xf>
    <xf numFmtId="37" fontId="6" fillId="3" borderId="17" xfId="0" applyFont="1" applyFill="1" applyBorder="1" applyAlignment="1">
      <alignment horizontal="right" vertical="center"/>
    </xf>
    <xf numFmtId="37" fontId="6" fillId="3" borderId="17" xfId="0" applyFont="1" applyFill="1" applyBorder="1" applyAlignment="1" quotePrefix="1">
      <alignment horizontal="right" vertical="center"/>
    </xf>
    <xf numFmtId="37" fontId="3" fillId="3" borderId="20" xfId="0" applyFont="1" applyFill="1" applyBorder="1" applyAlignment="1" quotePrefix="1">
      <alignment horizontal="left"/>
    </xf>
    <xf numFmtId="37" fontId="3" fillId="0" borderId="0" xfId="0" applyFont="1" applyAlignment="1" quotePrefix="1">
      <alignment horizontal="left" wrapText="1"/>
    </xf>
    <xf numFmtId="37" fontId="3" fillId="3" borderId="20" xfId="0" applyFont="1" applyFill="1" applyBorder="1" applyAlignment="1" applyProtection="1" quotePrefix="1">
      <alignment horizontal="left"/>
      <protection/>
    </xf>
    <xf numFmtId="37" fontId="3" fillId="7" borderId="7" xfId="0" applyFont="1" applyFill="1" applyBorder="1" applyAlignment="1">
      <alignment horizontal="centerContinuous"/>
    </xf>
    <xf numFmtId="37" fontId="3" fillId="7" borderId="8" xfId="0" applyFont="1" applyFill="1" applyBorder="1" applyAlignment="1">
      <alignment horizontal="centerContinuous"/>
    </xf>
    <xf numFmtId="191" fontId="6" fillId="7" borderId="1" xfId="0" applyNumberFormat="1" applyFont="1" applyFill="1" applyBorder="1" applyAlignment="1">
      <alignment horizontal="right" indent="1"/>
    </xf>
    <xf numFmtId="191" fontId="6" fillId="0" borderId="1" xfId="0" applyNumberFormat="1" applyFont="1" applyBorder="1" applyAlignment="1">
      <alignment horizontal="right" indent="1"/>
    </xf>
    <xf numFmtId="37" fontId="0" fillId="0" borderId="0" xfId="0" applyAlignment="1">
      <alignment horizontal="right" indent="1"/>
    </xf>
    <xf numFmtId="191" fontId="3" fillId="7" borderId="22" xfId="0" applyNumberFormat="1" applyFont="1" applyFill="1" applyBorder="1" applyAlignment="1">
      <alignment horizontal="right" indent="1"/>
    </xf>
    <xf numFmtId="192" fontId="6" fillId="0" borderId="0" xfId="0" applyNumberFormat="1" applyFont="1" applyAlignment="1">
      <alignment horizontal="right" indent="1"/>
    </xf>
    <xf numFmtId="37" fontId="0" fillId="0" borderId="11" xfId="0" applyBorder="1" applyAlignment="1">
      <alignment/>
    </xf>
    <xf numFmtId="37" fontId="3" fillId="7" borderId="4" xfId="0" applyFont="1" applyFill="1" applyBorder="1" applyAlignment="1" quotePrefix="1">
      <alignment horizontal="center"/>
    </xf>
    <xf numFmtId="37" fontId="6" fillId="7" borderId="1" xfId="22" applyNumberFormat="1" applyFont="1" applyFill="1" applyBorder="1" applyAlignment="1">
      <alignment/>
    </xf>
    <xf numFmtId="37" fontId="6" fillId="3" borderId="1" xfId="22" applyNumberFormat="1" applyFont="1" applyFill="1" applyBorder="1" applyAlignment="1">
      <alignment/>
    </xf>
    <xf numFmtId="49" fontId="6" fillId="0" borderId="11" xfId="0" applyNumberFormat="1" applyFont="1" applyBorder="1" applyAlignment="1">
      <alignment/>
    </xf>
    <xf numFmtId="37" fontId="3" fillId="0" borderId="17" xfId="0" applyFont="1" applyBorder="1" applyAlignment="1" quotePrefix="1">
      <alignment horizontal="centerContinuous" vertical="center"/>
    </xf>
    <xf numFmtId="174" fontId="6" fillId="5" borderId="14" xfId="22" applyNumberFormat="1" applyFont="1" applyFill="1" applyBorder="1" applyAlignment="1">
      <alignment/>
    </xf>
    <xf numFmtId="174" fontId="6" fillId="4" borderId="14" xfId="22" applyNumberFormat="1" applyFont="1" applyFill="1" applyBorder="1" applyAlignment="1">
      <alignment/>
    </xf>
    <xf numFmtId="174" fontId="6" fillId="4" borderId="14" xfId="22" applyNumberFormat="1" applyFont="1" applyFill="1" applyBorder="1" applyAlignment="1" quotePrefix="1">
      <alignment horizontal="right"/>
    </xf>
    <xf numFmtId="174" fontId="6" fillId="4" borderId="0" xfId="22" applyNumberFormat="1" applyFont="1" applyFill="1" applyBorder="1" applyAlignment="1">
      <alignment/>
    </xf>
    <xf numFmtId="174" fontId="3" fillId="5" borderId="14" xfId="22" applyNumberFormat="1" applyFont="1" applyFill="1" applyBorder="1" applyAlignment="1">
      <alignment/>
    </xf>
    <xf numFmtId="191" fontId="6" fillId="5" borderId="14" xfId="0" applyNumberFormat="1" applyFont="1" applyFill="1" applyBorder="1" applyAlignment="1">
      <alignment/>
    </xf>
    <xf numFmtId="191" fontId="6" fillId="4" borderId="14" xfId="0" applyNumberFormat="1" applyFont="1" applyFill="1" applyBorder="1" applyAlignment="1">
      <alignment/>
    </xf>
    <xf numFmtId="191" fontId="6" fillId="4" borderId="0" xfId="0" applyNumberFormat="1" applyFont="1" applyFill="1" applyBorder="1" applyAlignment="1">
      <alignment/>
    </xf>
    <xf numFmtId="191" fontId="3" fillId="5" borderId="14" xfId="0" applyNumberFormat="1" applyFont="1" applyFill="1" applyBorder="1" applyAlignment="1">
      <alignment/>
    </xf>
    <xf numFmtId="37" fontId="18" fillId="10" borderId="0" xfId="0" applyFont="1" applyFill="1" applyAlignment="1">
      <alignment/>
    </xf>
    <xf numFmtId="37" fontId="18" fillId="0" borderId="0" xfId="0" applyFont="1" applyAlignment="1">
      <alignment/>
    </xf>
    <xf numFmtId="37" fontId="4" fillId="10" borderId="0" xfId="0" applyFont="1" applyFill="1" applyAlignment="1" quotePrefix="1">
      <alignment horizontal="center"/>
    </xf>
    <xf numFmtId="37" fontId="5" fillId="10" borderId="0" xfId="0" applyFont="1" applyFill="1" applyAlignment="1">
      <alignment/>
    </xf>
    <xf numFmtId="37" fontId="18" fillId="10" borderId="0" xfId="0" applyFont="1" applyFill="1" applyAlignment="1">
      <alignment/>
    </xf>
    <xf numFmtId="37" fontId="5" fillId="10" borderId="0" xfId="0" applyFont="1" applyFill="1" applyAlignment="1" quotePrefix="1">
      <alignment horizontal="left" wrapText="1"/>
    </xf>
    <xf numFmtId="37" fontId="5" fillId="10" borderId="0" xfId="0" applyFont="1" applyFill="1" applyAlignment="1">
      <alignment wrapText="1"/>
    </xf>
    <xf numFmtId="37" fontId="3" fillId="3" borderId="27" xfId="0" applyFont="1" applyFill="1" applyBorder="1" applyAlignment="1">
      <alignment horizontal="center" vertical="center"/>
    </xf>
    <xf numFmtId="37" fontId="3" fillId="3" borderId="11" xfId="0" applyFont="1" applyFill="1" applyBorder="1" applyAlignment="1">
      <alignment horizontal="center" vertical="center"/>
    </xf>
    <xf numFmtId="37" fontId="3" fillId="7" borderId="4" xfId="0" applyFont="1" applyFill="1" applyBorder="1" applyAlignment="1" applyProtection="1">
      <alignment horizontal="center"/>
      <protection/>
    </xf>
    <xf numFmtId="37" fontId="3" fillId="7" borderId="9" xfId="0" applyFont="1" applyFill="1" applyBorder="1" applyAlignment="1" applyProtection="1">
      <alignment horizontal="center"/>
      <protection/>
    </xf>
    <xf numFmtId="37" fontId="3" fillId="7" borderId="37" xfId="0" applyFont="1" applyFill="1" applyBorder="1" applyAlignment="1" applyProtection="1">
      <alignment horizontal="center"/>
      <protection/>
    </xf>
    <xf numFmtId="37" fontId="3" fillId="7" borderId="42" xfId="0" applyFont="1" applyFill="1" applyBorder="1" applyAlignment="1" applyProtection="1">
      <alignment horizontal="center"/>
      <protection/>
    </xf>
    <xf numFmtId="37" fontId="3" fillId="7" borderId="38" xfId="0" applyFont="1" applyFill="1" applyBorder="1" applyAlignment="1" applyProtection="1">
      <alignment horizontal="center"/>
      <protection/>
    </xf>
    <xf numFmtId="37" fontId="3" fillId="7" borderId="43" xfId="0" applyFont="1" applyFill="1" applyBorder="1" applyAlignment="1" applyProtection="1">
      <alignment horizontal="center"/>
      <protection/>
    </xf>
    <xf numFmtId="49" fontId="3" fillId="0" borderId="19" xfId="0" applyNumberFormat="1" applyFont="1" applyBorder="1" applyAlignment="1">
      <alignment horizontal="center"/>
    </xf>
    <xf numFmtId="49" fontId="3" fillId="0" borderId="0" xfId="0" applyNumberFormat="1" applyFont="1" applyBorder="1" applyAlignment="1">
      <alignment horizontal="center"/>
    </xf>
    <xf numFmtId="49" fontId="3" fillId="0" borderId="35" xfId="0" applyNumberFormat="1" applyFont="1" applyBorder="1" applyAlignment="1">
      <alignment horizontal="center"/>
    </xf>
    <xf numFmtId="49" fontId="3" fillId="0" borderId="48"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11" fillId="0" borderId="14" xfId="0" applyNumberFormat="1" applyFont="1" applyBorder="1" applyAlignment="1">
      <alignment horizontal="right" vertical="center" textRotation="180"/>
    </xf>
    <xf numFmtId="49" fontId="14" fillId="0" borderId="14" xfId="0" applyNumberFormat="1" applyFont="1" applyBorder="1" applyAlignment="1">
      <alignment horizontal="right" vertical="center"/>
    </xf>
    <xf numFmtId="37" fontId="3" fillId="0" borderId="12" xfId="0" applyFont="1" applyBorder="1" applyAlignment="1">
      <alignment horizontal="center"/>
    </xf>
    <xf numFmtId="37" fontId="3" fillId="0" borderId="10" xfId="0" applyFont="1" applyBorder="1" applyAlignment="1">
      <alignment horizontal="center"/>
    </xf>
    <xf numFmtId="49" fontId="11" fillId="0" borderId="19" xfId="0" applyNumberFormat="1" applyFont="1" applyBorder="1" applyAlignment="1">
      <alignment horizontal="right" vertical="center" textRotation="180"/>
    </xf>
    <xf numFmtId="37" fontId="0" fillId="0" borderId="19" xfId="0" applyBorder="1" applyAlignment="1">
      <alignment horizontal="right" vertical="center" textRotation="180"/>
    </xf>
    <xf numFmtId="37" fontId="3" fillId="0" borderId="27" xfId="0" applyFont="1" applyBorder="1" applyAlignment="1">
      <alignment horizontal="center" vertical="center"/>
    </xf>
    <xf numFmtId="37" fontId="3" fillId="0" borderId="11" xfId="0" applyFont="1" applyBorder="1" applyAlignment="1">
      <alignment horizontal="center" vertical="center"/>
    </xf>
  </cellXfs>
  <cellStyles count="9">
    <cellStyle name="Normal" xfId="0"/>
    <cellStyle name="BODY"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dusfb\Age%20and%20Area\Age%20and%20Area%20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EV</v>
          </cell>
        </row>
        <row r="82">
          <cell r="A82" t="str">
            <v>EV</v>
          </cell>
        </row>
        <row r="83">
          <cell r="A83" t="str">
            <v>EV</v>
          </cell>
        </row>
        <row r="84">
          <cell r="A84" t="str">
            <v>EV</v>
          </cell>
        </row>
        <row r="85">
          <cell r="A85" t="str">
            <v>EV</v>
          </cell>
        </row>
        <row r="86">
          <cell r="A86" t="str">
            <v>EV</v>
          </cell>
        </row>
        <row r="87">
          <cell r="A87" t="str">
            <v>EV</v>
          </cell>
        </row>
        <row r="88">
          <cell r="A88" t="str">
            <v>FL</v>
          </cell>
        </row>
        <row r="89">
          <cell r="A89" t="str">
            <v>FL</v>
          </cell>
        </row>
        <row r="90">
          <cell r="A90" t="str">
            <v>FL</v>
          </cell>
        </row>
        <row r="91">
          <cell r="A91" t="str">
            <v>FL</v>
          </cell>
        </row>
        <row r="92">
          <cell r="A92" t="str">
            <v>FL</v>
          </cell>
        </row>
        <row r="93">
          <cell r="A93" t="str">
            <v>FO</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FR</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LO</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LR</v>
          </cell>
        </row>
        <row r="220">
          <cell r="A220" t="str">
            <v>LR</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MO</v>
          </cell>
        </row>
        <row r="259">
          <cell r="A259" t="str">
            <v>MO</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MY</v>
          </cell>
        </row>
        <row r="276">
          <cell r="A276" t="str">
            <v>MY</v>
          </cell>
        </row>
        <row r="277">
          <cell r="A277" t="str">
            <v>MY</v>
          </cell>
        </row>
        <row r="278">
          <cell r="A278" t="str">
            <v>MY</v>
          </cell>
        </row>
        <row r="279">
          <cell r="A279" t="str">
            <v>MY</v>
          </cell>
        </row>
        <row r="280">
          <cell r="A280" t="str">
            <v>MY</v>
          </cell>
        </row>
        <row r="281">
          <cell r="A281" t="str">
            <v>MY</v>
          </cell>
        </row>
        <row r="282">
          <cell r="A282" t="str">
            <v>PA</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PE</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PI</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PO</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PR</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PS</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RE</v>
          </cell>
        </row>
        <row r="416">
          <cell r="A416" t="str">
            <v>RE</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RI</v>
          </cell>
        </row>
        <row r="430">
          <cell r="A430" t="str">
            <v>RI</v>
          </cell>
        </row>
        <row r="431">
          <cell r="A431" t="str">
            <v>RI</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RO</v>
          </cell>
        </row>
        <row r="472">
          <cell r="A472" t="str">
            <v>RO</v>
          </cell>
        </row>
        <row r="473">
          <cell r="A473" t="str">
            <v>RO</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SE</v>
          </cell>
        </row>
        <row r="488">
          <cell r="A488" t="str">
            <v>SE</v>
          </cell>
        </row>
        <row r="489">
          <cell r="A489" t="str">
            <v>SE</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SO</v>
          </cell>
        </row>
        <row r="502">
          <cell r="A502" t="str">
            <v>SO</v>
          </cell>
        </row>
        <row r="503">
          <cell r="A503" t="str">
            <v>SO</v>
          </cell>
        </row>
        <row r="504">
          <cell r="A504" t="str">
            <v>SO</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SR</v>
          </cell>
        </row>
        <row r="522">
          <cell r="A522" t="str">
            <v>SR</v>
          </cell>
        </row>
        <row r="523">
          <cell r="A523" t="str">
            <v>SR</v>
          </cell>
        </row>
        <row r="524">
          <cell r="A524" t="str">
            <v>SR</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ST</v>
          </cell>
        </row>
        <row r="535">
          <cell r="A535" t="str">
            <v>ST</v>
          </cell>
        </row>
        <row r="536">
          <cell r="A536" t="str">
            <v>ST</v>
          </cell>
        </row>
        <row r="537">
          <cell r="A537" t="str">
            <v>ST</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SU</v>
          </cell>
        </row>
        <row r="560">
          <cell r="A560" t="str">
            <v>SU</v>
          </cell>
        </row>
        <row r="561">
          <cell r="A561" t="str">
            <v>SU</v>
          </cell>
        </row>
        <row r="562">
          <cell r="A562" t="str">
            <v>SU</v>
          </cell>
        </row>
        <row r="563">
          <cell r="A563" t="str">
            <v>SU</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SW</v>
          </cell>
        </row>
        <row r="581">
          <cell r="A581" t="str">
            <v>SW</v>
          </cell>
        </row>
        <row r="582">
          <cell r="A582" t="str">
            <v>SW</v>
          </cell>
        </row>
        <row r="583">
          <cell r="A583" t="str">
            <v>SW</v>
          </cell>
        </row>
        <row r="584">
          <cell r="A584" t="str">
            <v>SW</v>
          </cell>
        </row>
        <row r="585">
          <cell r="A585" t="str">
            <v>SW</v>
          </cell>
        </row>
        <row r="586">
          <cell r="A586" t="str">
            <v>SW</v>
          </cell>
        </row>
        <row r="587">
          <cell r="A587" t="str">
            <v>SW</v>
          </cell>
        </row>
        <row r="588">
          <cell r="A588" t="str">
            <v>SW</v>
          </cell>
        </row>
        <row r="589">
          <cell r="A589" t="str">
            <v>TM</v>
          </cell>
        </row>
        <row r="590">
          <cell r="A590" t="str">
            <v>TM</v>
          </cell>
        </row>
        <row r="591">
          <cell r="A591" t="str">
            <v>TM</v>
          </cell>
        </row>
        <row r="592">
          <cell r="A592" t="str">
            <v>TM</v>
          </cell>
        </row>
        <row r="593">
          <cell r="A593" t="str">
            <v>TM</v>
          </cell>
        </row>
        <row r="594">
          <cell r="A594" t="str">
            <v>TM</v>
          </cell>
        </row>
        <row r="595">
          <cell r="A595" t="str">
            <v>TM</v>
          </cell>
        </row>
        <row r="596">
          <cell r="A596" t="str">
            <v>TR</v>
          </cell>
        </row>
        <row r="597">
          <cell r="A597" t="str">
            <v>TR</v>
          </cell>
        </row>
        <row r="598">
          <cell r="A598" t="str">
            <v>TR</v>
          </cell>
        </row>
        <row r="599">
          <cell r="A599" t="str">
            <v>TR</v>
          </cell>
        </row>
        <row r="600">
          <cell r="A600" t="str">
            <v>TR</v>
          </cell>
        </row>
        <row r="601">
          <cell r="A601" t="str">
            <v>TR</v>
          </cell>
        </row>
        <row r="602">
          <cell r="A602" t="str">
            <v>TR</v>
          </cell>
        </row>
        <row r="603">
          <cell r="A603" t="str">
            <v>WE</v>
          </cell>
        </row>
        <row r="604">
          <cell r="A604" t="str">
            <v>WE</v>
          </cell>
        </row>
        <row r="605">
          <cell r="A605" t="str">
            <v>WE</v>
          </cell>
        </row>
        <row r="606">
          <cell r="A606" t="str">
            <v>WE</v>
          </cell>
        </row>
        <row r="607">
          <cell r="A607" t="str">
            <v>WI</v>
          </cell>
        </row>
        <row r="608">
          <cell r="A608" t="str">
            <v>WI</v>
          </cell>
        </row>
        <row r="609">
          <cell r="A609" t="str">
            <v>WI</v>
          </cell>
        </row>
        <row r="610">
          <cell r="A610" t="str">
            <v>WI</v>
          </cell>
        </row>
        <row r="611">
          <cell r="A611" t="str">
            <v>WI</v>
          </cell>
        </row>
        <row r="612">
          <cell r="A612" t="str">
            <v>WI</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FR</v>
          </cell>
        </row>
        <row r="684">
          <cell r="A684" t="str">
            <v>WI</v>
          </cell>
        </row>
        <row r="685">
          <cell r="A685" t="str">
            <v>WI</v>
          </cell>
        </row>
        <row r="686">
          <cell r="A686" t="str">
            <v>WI</v>
          </cell>
        </row>
        <row r="687">
          <cell r="A687" t="str">
            <v>WI</v>
          </cell>
        </row>
        <row r="688">
          <cell r="A688" t="str">
            <v>XW</v>
          </cell>
        </row>
        <row r="689">
          <cell r="A689" t="str">
            <v>XW</v>
          </cell>
        </row>
        <row r="690">
          <cell r="A690" t="str">
            <v>WI</v>
          </cell>
        </row>
        <row r="691">
          <cell r="A691" t="str">
            <v>BR</v>
          </cell>
        </row>
        <row r="692">
          <cell r="A692" t="str">
            <v>BR</v>
          </cell>
        </row>
        <row r="693">
          <cell r="A693" t="str">
            <v>DI</v>
          </cell>
        </row>
        <row r="694">
          <cell r="A694" t="str">
            <v>PE</v>
          </cell>
        </row>
        <row r="695">
          <cell r="A695" t="str">
            <v>WI</v>
          </cell>
        </row>
        <row r="696">
          <cell r="A696" t="str">
            <v>PS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6"/>
  <dimension ref="A1:C23"/>
  <sheetViews>
    <sheetView showGridLines="0" showRowColHeaders="0" tabSelected="1" workbookViewId="0" topLeftCell="A1">
      <selection activeCell="A2" sqref="A2"/>
    </sheetView>
  </sheetViews>
  <sheetFormatPr defaultColWidth="9.33203125" defaultRowHeight="12" zeroHeight="1"/>
  <cols>
    <col min="1" max="1" width="15.83203125" style="543" customWidth="1"/>
    <col min="2" max="2" width="112.16015625" style="543" customWidth="1"/>
    <col min="3" max="3" width="80.83203125" style="543" customWidth="1"/>
    <col min="4" max="16384" width="0" style="543" hidden="1" customWidth="1"/>
  </cols>
  <sheetData>
    <row r="1" spans="1:3" ht="0.75" customHeight="1">
      <c r="A1" s="542"/>
      <c r="B1" s="542"/>
      <c r="C1" s="542"/>
    </row>
    <row r="2" spans="1:3" ht="24.75" customHeight="1">
      <c r="A2" s="542"/>
      <c r="B2" s="542"/>
      <c r="C2" s="542"/>
    </row>
    <row r="3" spans="1:3" ht="15">
      <c r="A3" s="542"/>
      <c r="B3" s="544" t="s">
        <v>574</v>
      </c>
      <c r="C3" s="542"/>
    </row>
    <row r="4" spans="1:3" ht="14.25">
      <c r="A4" s="542"/>
      <c r="B4" s="542"/>
      <c r="C4" s="542"/>
    </row>
    <row r="5" spans="1:3" ht="14.25">
      <c r="A5" s="542"/>
      <c r="B5" s="545" t="s">
        <v>571</v>
      </c>
      <c r="C5" s="546"/>
    </row>
    <row r="6" spans="1:3" ht="14.25">
      <c r="A6" s="542"/>
      <c r="B6" s="542"/>
      <c r="C6" s="542"/>
    </row>
    <row r="7" spans="1:3" ht="14.25">
      <c r="A7" s="542"/>
      <c r="B7" s="548" t="s">
        <v>572</v>
      </c>
      <c r="C7" s="542"/>
    </row>
    <row r="8" spans="1:3" ht="14.25">
      <c r="A8" s="542"/>
      <c r="B8" s="548"/>
      <c r="C8" s="542"/>
    </row>
    <row r="9" spans="1:3" ht="14.25">
      <c r="A9" s="542"/>
      <c r="B9" s="542"/>
      <c r="C9" s="542"/>
    </row>
    <row r="10" spans="1:3" ht="14.25" customHeight="1">
      <c r="A10" s="542"/>
      <c r="B10" s="548" t="s">
        <v>575</v>
      </c>
      <c r="C10" s="542"/>
    </row>
    <row r="11" spans="1:3" ht="14.25">
      <c r="A11" s="542"/>
      <c r="B11" s="548"/>
      <c r="C11" s="542"/>
    </row>
    <row r="12" spans="1:3" ht="14.25">
      <c r="A12" s="542"/>
      <c r="B12" s="548"/>
      <c r="C12" s="542"/>
    </row>
    <row r="13" spans="1:3" ht="14.25">
      <c r="A13" s="542"/>
      <c r="B13" s="542"/>
      <c r="C13" s="542"/>
    </row>
    <row r="14" spans="1:3" ht="14.25">
      <c r="A14" s="542"/>
      <c r="B14" s="548" t="s">
        <v>573</v>
      </c>
      <c r="C14" s="542"/>
    </row>
    <row r="15" spans="1:3" ht="14.25">
      <c r="A15" s="542"/>
      <c r="B15" s="548"/>
      <c r="C15" s="542"/>
    </row>
    <row r="16" spans="1:3" ht="14.25">
      <c r="A16" s="542"/>
      <c r="B16" s="542"/>
      <c r="C16" s="542"/>
    </row>
    <row r="17" spans="1:3" ht="14.25" customHeight="1">
      <c r="A17" s="542"/>
      <c r="B17" s="547" t="s">
        <v>576</v>
      </c>
      <c r="C17" s="542"/>
    </row>
    <row r="18" spans="1:3" ht="14.25">
      <c r="A18" s="542"/>
      <c r="B18" s="548"/>
      <c r="C18" s="542"/>
    </row>
    <row r="19" spans="1:3" ht="14.25">
      <c r="A19" s="542"/>
      <c r="B19" s="548"/>
      <c r="C19" s="542"/>
    </row>
    <row r="20" spans="1:3" ht="14.25">
      <c r="A20" s="542"/>
      <c r="B20" s="548"/>
      <c r="C20" s="542"/>
    </row>
    <row r="21" spans="1:3" ht="14.25">
      <c r="A21" s="542"/>
      <c r="B21" s="546"/>
      <c r="C21" s="542"/>
    </row>
    <row r="22" spans="1:3" ht="199.5" customHeight="1">
      <c r="A22" s="542"/>
      <c r="B22" s="546"/>
      <c r="C22" s="542"/>
    </row>
    <row r="23" spans="1:3" ht="14.25">
      <c r="A23" s="542"/>
      <c r="B23" s="542"/>
      <c r="C23" s="542"/>
    </row>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N58"/>
  <sheetViews>
    <sheetView showGridLines="0" showZeros="0" workbookViewId="0" topLeftCell="A1">
      <selection activeCell="C2" sqref="C2"/>
    </sheetView>
  </sheetViews>
  <sheetFormatPr defaultColWidth="14.83203125" defaultRowHeight="12"/>
  <cols>
    <col min="1" max="1" width="48.832031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3" width="45.66015625" style="1" bestFit="1" customWidth="1"/>
    <col min="14" max="16384" width="14.83203125" style="1" customWidth="1"/>
  </cols>
  <sheetData>
    <row r="2" spans="1:11" ht="12">
      <c r="A2" s="74"/>
      <c r="B2" s="74"/>
      <c r="C2" s="134" t="str">
        <f>OPYEAR</f>
        <v>OPERATING FUND 2008/2009 BUDGET</v>
      </c>
      <c r="D2" s="134"/>
      <c r="E2" s="134"/>
      <c r="F2" s="135"/>
      <c r="G2" s="135"/>
      <c r="H2" s="135"/>
      <c r="I2" s="135"/>
      <c r="J2" s="136"/>
      <c r="K2" s="137" t="s">
        <v>154</v>
      </c>
    </row>
    <row r="3" spans="10:11" ht="9.75" customHeight="1">
      <c r="J3" s="117"/>
      <c r="K3" s="117"/>
    </row>
    <row r="4" spans="2:11" ht="15.75">
      <c r="B4" s="344" t="s">
        <v>509</v>
      </c>
      <c r="C4" s="117"/>
      <c r="D4" s="117"/>
      <c r="E4" s="117"/>
      <c r="F4" s="117"/>
      <c r="G4" s="117"/>
      <c r="H4" s="117"/>
      <c r="I4" s="117"/>
      <c r="J4" s="117"/>
      <c r="K4" s="117"/>
    </row>
    <row r="5" spans="2:11" ht="15.75">
      <c r="B5" s="344" t="s">
        <v>510</v>
      </c>
      <c r="C5" s="117"/>
      <c r="D5" s="117"/>
      <c r="E5" s="117"/>
      <c r="F5" s="117"/>
      <c r="G5" s="117"/>
      <c r="H5" s="117"/>
      <c r="I5" s="117"/>
      <c r="J5" s="117"/>
      <c r="K5" s="117"/>
    </row>
    <row r="6" ht="9.75" customHeight="1"/>
    <row r="7" spans="2:9" ht="12">
      <c r="B7" s="139" t="s">
        <v>155</v>
      </c>
      <c r="C7" s="135"/>
      <c r="D7" s="135"/>
      <c r="E7" s="135"/>
      <c r="F7" s="135"/>
      <c r="G7" s="135"/>
      <c r="H7" s="135"/>
      <c r="I7" s="140"/>
    </row>
    <row r="8" ht="6" customHeight="1">
      <c r="B8" s="138"/>
    </row>
    <row r="9" spans="1:11" ht="12">
      <c r="A9" s="4"/>
      <c r="B9" s="356" t="s">
        <v>469</v>
      </c>
      <c r="C9" s="358"/>
      <c r="D9" s="357" t="s">
        <v>23</v>
      </c>
      <c r="E9" s="358"/>
      <c r="F9" s="357" t="s">
        <v>24</v>
      </c>
      <c r="G9" s="358"/>
      <c r="H9" s="369"/>
      <c r="I9" s="370"/>
      <c r="J9" s="371"/>
      <c r="K9" s="370"/>
    </row>
    <row r="10" spans="1:11" ht="12">
      <c r="A10" s="4"/>
      <c r="B10" s="359" t="s">
        <v>36</v>
      </c>
      <c r="C10" s="361"/>
      <c r="D10" s="360" t="s">
        <v>51</v>
      </c>
      <c r="E10" s="361"/>
      <c r="F10" s="360" t="s">
        <v>52</v>
      </c>
      <c r="G10" s="361"/>
      <c r="H10" s="360" t="s">
        <v>53</v>
      </c>
      <c r="I10" s="372"/>
      <c r="J10" s="360" t="s">
        <v>54</v>
      </c>
      <c r="K10" s="372"/>
    </row>
    <row r="11" spans="1:11" ht="12">
      <c r="A11" s="141" t="s">
        <v>144</v>
      </c>
      <c r="B11" s="142" t="s">
        <v>80</v>
      </c>
      <c r="C11" s="142" t="s">
        <v>81</v>
      </c>
      <c r="D11" s="142" t="s">
        <v>80</v>
      </c>
      <c r="E11" s="142" t="s">
        <v>81</v>
      </c>
      <c r="F11" s="142" t="s">
        <v>80</v>
      </c>
      <c r="G11" s="142" t="s">
        <v>81</v>
      </c>
      <c r="H11" s="142" t="s">
        <v>80</v>
      </c>
      <c r="I11" s="143" t="s">
        <v>81</v>
      </c>
      <c r="J11" s="142" t="s">
        <v>80</v>
      </c>
      <c r="K11" s="143" t="s">
        <v>81</v>
      </c>
    </row>
    <row r="12" ht="4.5" customHeight="1"/>
    <row r="13" spans="1:14" ht="12">
      <c r="A13" s="373" t="s">
        <v>147</v>
      </c>
      <c r="B13" s="145"/>
      <c r="C13" s="349"/>
      <c r="D13" s="145"/>
      <c r="E13" s="349"/>
      <c r="F13" s="145"/>
      <c r="G13" s="349"/>
      <c r="H13" s="145"/>
      <c r="I13" s="349"/>
      <c r="J13" s="145"/>
      <c r="K13" s="349"/>
      <c r="N13" s="353"/>
    </row>
    <row r="14" spans="1:14" ht="12">
      <c r="A14" s="146" t="s">
        <v>281</v>
      </c>
      <c r="B14" s="147"/>
      <c r="C14" s="346"/>
      <c r="D14" s="147"/>
      <c r="E14" s="346"/>
      <c r="F14" s="147"/>
      <c r="G14" s="346"/>
      <c r="H14" s="147"/>
      <c r="I14" s="346"/>
      <c r="J14" s="147">
        <f>SUM(F14,D14,B14,'- 12 -'!J14,'- 12 -'!H14,'- 12 -'!F14,'- 12 -'!D14,'- 12 -'!B14)</f>
        <v>3477321</v>
      </c>
      <c r="K14" s="346">
        <f aca="true" t="shared" si="0" ref="K14:K23">J14/$J$54*100</f>
        <v>0.20126691615881914</v>
      </c>
      <c r="N14" s="353"/>
    </row>
    <row r="15" spans="1:14" ht="12">
      <c r="A15" s="146" t="s">
        <v>282</v>
      </c>
      <c r="B15" s="147">
        <v>2594162</v>
      </c>
      <c r="C15" s="346">
        <f>B15/$J$54*100</f>
        <v>0.15014978075259508</v>
      </c>
      <c r="D15" s="147">
        <v>2040854</v>
      </c>
      <c r="E15" s="346">
        <f>D15/$J$54*100</f>
        <v>0.11812438107105748</v>
      </c>
      <c r="F15" s="147">
        <v>3322128</v>
      </c>
      <c r="G15" s="346">
        <f>F15/$J$54*100</f>
        <v>0.1922843642116634</v>
      </c>
      <c r="H15" s="147"/>
      <c r="I15" s="346"/>
      <c r="J15" s="147">
        <f>SUM(F15,D15,B15,'- 12 -'!J15,'- 12 -'!H15,'- 12 -'!F15,'- 12 -'!D15,'- 12 -'!B15)</f>
        <v>103186590.5025</v>
      </c>
      <c r="K15" s="346">
        <f t="shared" si="0"/>
        <v>5.972427296582937</v>
      </c>
      <c r="N15" s="353"/>
    </row>
    <row r="16" spans="1:14" ht="12">
      <c r="A16" s="146" t="s">
        <v>283</v>
      </c>
      <c r="B16" s="147">
        <v>20513465</v>
      </c>
      <c r="C16" s="346">
        <f>B16/$J$54*100</f>
        <v>1.1873168569372432</v>
      </c>
      <c r="D16" s="147"/>
      <c r="E16" s="346">
        <f>D16/$J$54*100</f>
        <v>0</v>
      </c>
      <c r="F16" s="147"/>
      <c r="G16" s="346">
        <f>F16/$J$54*100</f>
        <v>0</v>
      </c>
      <c r="H16" s="147"/>
      <c r="I16" s="346"/>
      <c r="J16" s="147">
        <f>SUM(F16,D16,B16,'- 12 -'!J16,'- 12 -'!H16,'- 12 -'!F16,'- 12 -'!D16,'- 12 -'!B16)</f>
        <v>835328146.2826775</v>
      </c>
      <c r="K16" s="346">
        <f t="shared" si="0"/>
        <v>48.34869141588524</v>
      </c>
      <c r="N16" s="353"/>
    </row>
    <row r="17" spans="1:14" ht="12">
      <c r="A17" s="146" t="s">
        <v>284</v>
      </c>
      <c r="B17" s="147">
        <v>8050577</v>
      </c>
      <c r="C17" s="346">
        <f>B17/$J$54*100</f>
        <v>0.46596641670099426</v>
      </c>
      <c r="D17" s="147">
        <v>243226</v>
      </c>
      <c r="E17" s="346">
        <f>D17/$J$54*100</f>
        <v>0.014077891270217777</v>
      </c>
      <c r="F17" s="147"/>
      <c r="G17" s="346">
        <f>F17/$J$54*100</f>
        <v>0</v>
      </c>
      <c r="H17" s="147"/>
      <c r="I17" s="346"/>
      <c r="J17" s="147">
        <f>SUM(F17,D17,B17,'- 12 -'!J17,'- 12 -'!H17,'- 12 -'!F17,'- 12 -'!D17,'- 12 -'!B17)</f>
        <v>160203519.6738333</v>
      </c>
      <c r="K17" s="346">
        <f t="shared" si="0"/>
        <v>9.27256021590792</v>
      </c>
      <c r="N17" s="353"/>
    </row>
    <row r="18" spans="1:14" ht="12">
      <c r="A18" s="146" t="s">
        <v>285</v>
      </c>
      <c r="B18" s="147">
        <v>6337671</v>
      </c>
      <c r="C18" s="346">
        <f>B18/$J$54*100</f>
        <v>0.36682362594629014</v>
      </c>
      <c r="D18" s="147">
        <v>28811703</v>
      </c>
      <c r="E18" s="346">
        <f>D18/$J$54*100</f>
        <v>1.6676178621685485</v>
      </c>
      <c r="F18" s="147">
        <v>83635029</v>
      </c>
      <c r="G18" s="346">
        <f>F18/$J$54*100</f>
        <v>4.840785296981041</v>
      </c>
      <c r="H18" s="147"/>
      <c r="I18" s="346"/>
      <c r="J18" s="147">
        <f>SUM(F18,D18,B18,'- 12 -'!J18,'- 12 -'!H18,'- 12 -'!F18,'- 12 -'!D18,'- 12 -'!B18)</f>
        <v>128400749</v>
      </c>
      <c r="K18" s="346">
        <f t="shared" si="0"/>
        <v>7.431819720903703</v>
      </c>
      <c r="N18" s="353"/>
    </row>
    <row r="19" spans="1:14" ht="12">
      <c r="A19" s="148" t="s">
        <v>286</v>
      </c>
      <c r="B19" s="149">
        <v>2582183</v>
      </c>
      <c r="C19" s="347">
        <f>B19/$J$54*100</f>
        <v>0.1494564376908914</v>
      </c>
      <c r="D19" s="149">
        <v>1004309</v>
      </c>
      <c r="E19" s="347">
        <f>D19/$J$54*100</f>
        <v>0.058129282657697554</v>
      </c>
      <c r="F19" s="149">
        <v>1268352</v>
      </c>
      <c r="G19" s="347">
        <f>F19/$J$54*100</f>
        <v>0.07341205935370092</v>
      </c>
      <c r="H19" s="149"/>
      <c r="I19" s="347"/>
      <c r="J19" s="149">
        <f>SUM(F19,D19,B19,'- 12 -'!J19,'- 12 -'!H19,'- 12 -'!F19,'- 12 -'!D19,'- 12 -'!B19)</f>
        <v>52427256.41584</v>
      </c>
      <c r="K19" s="347">
        <f t="shared" si="0"/>
        <v>3.034483218973395</v>
      </c>
      <c r="N19" s="353"/>
    </row>
    <row r="20" spans="1:14" ht="12">
      <c r="A20" s="148" t="s">
        <v>287</v>
      </c>
      <c r="B20" s="150"/>
      <c r="C20" s="347"/>
      <c r="D20" s="150"/>
      <c r="E20" s="347"/>
      <c r="F20" s="150"/>
      <c r="G20" s="347"/>
      <c r="H20" s="150"/>
      <c r="I20" s="347"/>
      <c r="J20" s="150">
        <f>SUM(F20,D20,B20,'- 12 -'!J20,'- 12 -'!H20,'- 12 -'!F20,'- 12 -'!D20,'- 12 -'!B20)</f>
        <v>25643209.583052002</v>
      </c>
      <c r="K20" s="347">
        <f t="shared" si="0"/>
        <v>1.4842258489208087</v>
      </c>
      <c r="N20" s="353"/>
    </row>
    <row r="21" spans="1:14" ht="12">
      <c r="A21" s="151" t="s">
        <v>288</v>
      </c>
      <c r="B21" s="152">
        <v>445230</v>
      </c>
      <c r="C21" s="348">
        <f>B21/'- 13 -'!$J$54*100</f>
        <v>0.025769858198708445</v>
      </c>
      <c r="D21" s="152">
        <v>0</v>
      </c>
      <c r="E21" s="348">
        <f>D21/'- 13 -'!$J$54*100</f>
        <v>0</v>
      </c>
      <c r="F21" s="152">
        <v>55696</v>
      </c>
      <c r="G21" s="348">
        <f>F21/'- 13 -'!$J$54*100</f>
        <v>0.0032236776996951363</v>
      </c>
      <c r="H21" s="152"/>
      <c r="I21" s="348"/>
      <c r="J21" s="152">
        <f>SUM(F21,D21,B21,'- 12 -'!J21,'- 12 -'!H21,'- 12 -'!F21,'- 12 -'!D21,'- 12 -'!B21)</f>
        <v>9918952</v>
      </c>
      <c r="K21" s="348">
        <f t="shared" si="0"/>
        <v>0.5741077342492544</v>
      </c>
      <c r="N21" s="353"/>
    </row>
    <row r="22" spans="1:14" ht="12">
      <c r="A22" s="153" t="s">
        <v>289</v>
      </c>
      <c r="B22" s="159">
        <f>SUM(B14:B21)</f>
        <v>40523288</v>
      </c>
      <c r="C22" s="350">
        <f>B22/$J$54*100</f>
        <v>2.3454829762267226</v>
      </c>
      <c r="D22" s="159">
        <f>SUM(D14:D21)</f>
        <v>32100092</v>
      </c>
      <c r="E22" s="350">
        <f>D22/$J$54*100</f>
        <v>1.857949417167521</v>
      </c>
      <c r="F22" s="159">
        <f>SUM(F14:F21)</f>
        <v>88281205</v>
      </c>
      <c r="G22" s="350">
        <f>F22/$J$54*100</f>
        <v>5.1097053982461</v>
      </c>
      <c r="H22" s="159"/>
      <c r="I22" s="350"/>
      <c r="J22" s="159">
        <f>SUM(F22,D22,B22,'- 12 -'!J22,'- 12 -'!H22,'- 12 -'!F22,'- 12 -'!D22,'- 12 -'!B22)</f>
        <v>1318585744.457903</v>
      </c>
      <c r="K22" s="350">
        <f t="shared" si="0"/>
        <v>76.31958236758209</v>
      </c>
      <c r="N22" s="353"/>
    </row>
    <row r="23" spans="1:14" ht="12">
      <c r="A23" s="373" t="s">
        <v>157</v>
      </c>
      <c r="B23" s="159">
        <v>3622678</v>
      </c>
      <c r="C23" s="350">
        <f>B23/$J$54*100</f>
        <v>0.20968016162338726</v>
      </c>
      <c r="D23" s="159">
        <v>4460383</v>
      </c>
      <c r="E23" s="350">
        <f>D23/$J$54*100</f>
        <v>0.25816642504307835</v>
      </c>
      <c r="F23" s="159">
        <v>13534098</v>
      </c>
      <c r="G23" s="350">
        <f>F23/$J$54*100</f>
        <v>0.7833519446295703</v>
      </c>
      <c r="H23" s="159"/>
      <c r="I23" s="350"/>
      <c r="J23" s="159">
        <f>SUM(F23,D23,B23,'- 12 -'!J23,'- 12 -'!H23,'- 12 -'!F23,'- 12 -'!D23,'- 12 -'!B23)</f>
        <v>103557537.04812917</v>
      </c>
      <c r="K23" s="350">
        <f t="shared" si="0"/>
        <v>5.993897637485761</v>
      </c>
      <c r="N23" s="354"/>
    </row>
    <row r="24" spans="1:14" ht="12">
      <c r="A24" s="373" t="s">
        <v>135</v>
      </c>
      <c r="B24" s="147"/>
      <c r="C24" s="346"/>
      <c r="D24" s="147"/>
      <c r="E24" s="346"/>
      <c r="F24" s="147"/>
      <c r="G24" s="346"/>
      <c r="H24" s="147"/>
      <c r="I24" s="346"/>
      <c r="J24" s="147"/>
      <c r="K24" s="346"/>
      <c r="N24" s="353"/>
    </row>
    <row r="25" spans="1:14" ht="12">
      <c r="A25" s="148" t="s">
        <v>290</v>
      </c>
      <c r="B25" s="149">
        <v>1420553</v>
      </c>
      <c r="C25" s="347">
        <f aca="true" t="shared" si="1" ref="C25:C35">B25/$J$54*100</f>
        <v>0.08222143470509598</v>
      </c>
      <c r="D25" s="149">
        <v>177650</v>
      </c>
      <c r="E25" s="347">
        <f aca="true" t="shared" si="2" ref="E25:E35">D25/$J$54*100</f>
        <v>0.010282360373291458</v>
      </c>
      <c r="F25" s="149">
        <v>4291504</v>
      </c>
      <c r="G25" s="347">
        <f aca="true" t="shared" si="3" ref="G25:G35">F25/$J$54*100</f>
        <v>0.24839172908202525</v>
      </c>
      <c r="H25" s="149"/>
      <c r="I25" s="347"/>
      <c r="J25" s="149">
        <f>SUM(F25,D25,B25,'- 12 -'!J25,'- 12 -'!H25,'- 12 -'!F25,'- 12 -'!D25,'- 12 -'!B25)</f>
        <v>18949771</v>
      </c>
      <c r="K25" s="347">
        <f aca="true" t="shared" si="4" ref="K25:K40">J25/$J$54*100</f>
        <v>1.0968104385778084</v>
      </c>
      <c r="L25" s="567" t="s">
        <v>201</v>
      </c>
      <c r="N25" s="353"/>
    </row>
    <row r="26" spans="1:14" ht="12">
      <c r="A26" s="148" t="s">
        <v>291</v>
      </c>
      <c r="B26" s="149">
        <v>111685</v>
      </c>
      <c r="C26" s="347">
        <f t="shared" si="1"/>
        <v>0.006464314203721117</v>
      </c>
      <c r="D26" s="149">
        <v>272949</v>
      </c>
      <c r="E26" s="347">
        <f t="shared" si="2"/>
        <v>0.01579825489180709</v>
      </c>
      <c r="F26" s="149">
        <v>704620</v>
      </c>
      <c r="G26" s="347">
        <f t="shared" si="3"/>
        <v>0.04078331982115748</v>
      </c>
      <c r="H26" s="149"/>
      <c r="I26" s="347"/>
      <c r="J26" s="149">
        <f>SUM(F26,D26,B26,'- 12 -'!J26,'- 12 -'!H26,'- 12 -'!F26,'- 12 -'!D26,'- 12 -'!B26)</f>
        <v>6646281</v>
      </c>
      <c r="K26" s="347">
        <f t="shared" si="4"/>
        <v>0.3846859351768079</v>
      </c>
      <c r="L26" s="568"/>
      <c r="N26" s="353"/>
    </row>
    <row r="27" spans="1:14" ht="12">
      <c r="A27" s="148" t="s">
        <v>292</v>
      </c>
      <c r="B27" s="149"/>
      <c r="C27" s="347">
        <f t="shared" si="1"/>
        <v>0</v>
      </c>
      <c r="D27" s="149"/>
      <c r="E27" s="347">
        <f t="shared" si="2"/>
        <v>0</v>
      </c>
      <c r="F27" s="149">
        <v>45274061</v>
      </c>
      <c r="G27" s="347">
        <f t="shared" si="3"/>
        <v>2.62045713911838</v>
      </c>
      <c r="H27" s="149"/>
      <c r="I27" s="347"/>
      <c r="J27" s="149">
        <f>SUM(F27,D27,B27,'- 12 -'!J27,'- 12 -'!H27,'- 12 -'!F27,'- 12 -'!D27,'- 12 -'!B27)</f>
        <v>45309979</v>
      </c>
      <c r="K27" s="347">
        <f t="shared" si="4"/>
        <v>2.622536068585804</v>
      </c>
      <c r="L27" s="568"/>
      <c r="N27" s="353"/>
    </row>
    <row r="28" spans="1:14" ht="12.75" customHeight="1">
      <c r="A28" s="148" t="s">
        <v>402</v>
      </c>
      <c r="B28" s="149">
        <v>837597</v>
      </c>
      <c r="C28" s="347">
        <f t="shared" si="1"/>
        <v>0.04848001239283875</v>
      </c>
      <c r="D28" s="149">
        <v>765421</v>
      </c>
      <c r="E28" s="347">
        <f t="shared" si="2"/>
        <v>0.044302474299381486</v>
      </c>
      <c r="F28" s="149">
        <v>836665</v>
      </c>
      <c r="G28" s="347">
        <f t="shared" si="3"/>
        <v>0.048426068346298326</v>
      </c>
      <c r="H28" s="149"/>
      <c r="I28" s="347"/>
      <c r="J28" s="149">
        <f>SUM(F28,D28,B28,'- 12 -'!J28,'- 12 -'!H28,'- 12 -'!F28,'- 12 -'!D28,'- 12 -'!B28)</f>
        <v>8429807</v>
      </c>
      <c r="K28" s="347">
        <f t="shared" si="4"/>
        <v>0.48791620293439314</v>
      </c>
      <c r="L28" s="568"/>
      <c r="N28" s="353"/>
    </row>
    <row r="29" spans="1:14" ht="12.75" customHeight="1">
      <c r="A29" s="148" t="s">
        <v>293</v>
      </c>
      <c r="B29" s="149"/>
      <c r="C29" s="347">
        <f t="shared" si="1"/>
        <v>0</v>
      </c>
      <c r="D29" s="149">
        <v>16293469</v>
      </c>
      <c r="E29" s="347">
        <f t="shared" si="2"/>
        <v>0.943064002189996</v>
      </c>
      <c r="F29" s="149"/>
      <c r="G29" s="347">
        <f t="shared" si="3"/>
        <v>0</v>
      </c>
      <c r="H29" s="149"/>
      <c r="I29" s="347"/>
      <c r="J29" s="149">
        <f>SUM(F29,D29,B29,'- 12 -'!J29,'- 12 -'!H29,'- 12 -'!F29,'- 12 -'!D29,'- 12 -'!B29)</f>
        <v>16293469</v>
      </c>
      <c r="K29" s="347">
        <f t="shared" si="4"/>
        <v>0.943064002189996</v>
      </c>
      <c r="L29" s="568"/>
      <c r="N29" s="353"/>
    </row>
    <row r="30" spans="1:14" ht="12.75" customHeight="1">
      <c r="A30" s="148" t="s">
        <v>294</v>
      </c>
      <c r="B30" s="149"/>
      <c r="C30" s="347">
        <f t="shared" si="1"/>
        <v>0</v>
      </c>
      <c r="D30" s="149"/>
      <c r="E30" s="347">
        <f t="shared" si="2"/>
        <v>0</v>
      </c>
      <c r="F30" s="149"/>
      <c r="G30" s="347">
        <f t="shared" si="3"/>
        <v>0</v>
      </c>
      <c r="H30" s="149"/>
      <c r="I30" s="347"/>
      <c r="J30" s="149">
        <f>SUM(F30,D30,B30,'- 12 -'!J30,'- 12 -'!H30,'- 12 -'!F30,'- 12 -'!D30,'- 12 -'!B30)</f>
        <v>603006</v>
      </c>
      <c r="K30" s="347">
        <f t="shared" si="4"/>
        <v>0.03490191387141564</v>
      </c>
      <c r="N30" s="353"/>
    </row>
    <row r="31" spans="1:14" ht="12.75" customHeight="1">
      <c r="A31" s="148" t="s">
        <v>295</v>
      </c>
      <c r="B31" s="149">
        <v>65805</v>
      </c>
      <c r="C31" s="347">
        <f t="shared" si="1"/>
        <v>0.003808785389048378</v>
      </c>
      <c r="D31" s="149"/>
      <c r="E31" s="347">
        <f t="shared" si="2"/>
        <v>0</v>
      </c>
      <c r="F31" s="149"/>
      <c r="G31" s="347">
        <f t="shared" si="3"/>
        <v>0</v>
      </c>
      <c r="H31" s="149"/>
      <c r="I31" s="347"/>
      <c r="J31" s="149">
        <f>SUM(F31,D31,B31,'- 12 -'!J31,'- 12 -'!H31,'- 12 -'!F31,'- 12 -'!D31,'- 12 -'!B31)</f>
        <v>1099946</v>
      </c>
      <c r="K31" s="347">
        <f t="shared" si="4"/>
        <v>0.06366474057506584</v>
      </c>
      <c r="N31" s="353"/>
    </row>
    <row r="32" spans="1:14" ht="12.75" customHeight="1">
      <c r="A32" s="148" t="s">
        <v>296</v>
      </c>
      <c r="B32" s="149">
        <v>46935</v>
      </c>
      <c r="C32" s="347">
        <f t="shared" si="1"/>
        <v>0.002716592086239429</v>
      </c>
      <c r="D32" s="149">
        <v>1059149</v>
      </c>
      <c r="E32" s="347">
        <f t="shared" si="2"/>
        <v>0.061303415181600186</v>
      </c>
      <c r="F32" s="149">
        <v>5625336</v>
      </c>
      <c r="G32" s="347">
        <f t="shared" si="3"/>
        <v>0.3255937628643393</v>
      </c>
      <c r="H32" s="149"/>
      <c r="I32" s="347"/>
      <c r="J32" s="149">
        <f>SUM(F32,D32,B32,'- 12 -'!J32,'- 12 -'!H32,'- 12 -'!F32,'- 12 -'!D32,'- 12 -'!B32)</f>
        <v>8025926</v>
      </c>
      <c r="K32" s="347">
        <f t="shared" si="4"/>
        <v>0.4645396198219511</v>
      </c>
      <c r="N32" s="353"/>
    </row>
    <row r="33" spans="1:14" ht="12">
      <c r="A33" s="148" t="s">
        <v>297</v>
      </c>
      <c r="B33" s="149">
        <v>194227</v>
      </c>
      <c r="C33" s="347">
        <f t="shared" si="1"/>
        <v>0.011241835115245033</v>
      </c>
      <c r="D33" s="149">
        <v>1298280</v>
      </c>
      <c r="E33" s="347">
        <f t="shared" si="2"/>
        <v>0.07514428835033399</v>
      </c>
      <c r="F33" s="149">
        <v>20242213</v>
      </c>
      <c r="G33" s="347">
        <f t="shared" si="3"/>
        <v>1.1716168241988472</v>
      </c>
      <c r="H33" s="149"/>
      <c r="I33" s="347"/>
      <c r="J33" s="149">
        <f>SUM(F33,D33,B33,'- 12 -'!J33,'- 12 -'!H33,'- 12 -'!F33,'- 12 -'!D33,'- 12 -'!B33)</f>
        <v>25014141</v>
      </c>
      <c r="K33" s="347">
        <f t="shared" si="4"/>
        <v>1.447815435915143</v>
      </c>
      <c r="N33" s="353"/>
    </row>
    <row r="34" spans="1:14" ht="12">
      <c r="A34" s="148" t="s">
        <v>298</v>
      </c>
      <c r="B34" s="149">
        <v>159966</v>
      </c>
      <c r="C34" s="347">
        <f t="shared" si="1"/>
        <v>0.009258812606101554</v>
      </c>
      <c r="D34" s="149">
        <v>562562</v>
      </c>
      <c r="E34" s="347">
        <f t="shared" si="2"/>
        <v>0.03256102007497658</v>
      </c>
      <c r="F34" s="149">
        <v>2561148</v>
      </c>
      <c r="G34" s="347">
        <f t="shared" si="3"/>
        <v>0.14823893445164463</v>
      </c>
      <c r="H34" s="149"/>
      <c r="I34" s="347"/>
      <c r="J34" s="149">
        <f>SUM(F34,D34,B34,'- 12 -'!J34,'- 12 -'!H34,'- 12 -'!F34,'- 12 -'!D34,'- 12 -'!B34)</f>
        <v>6779597</v>
      </c>
      <c r="K34" s="347">
        <f t="shared" si="4"/>
        <v>0.39240224902722004</v>
      </c>
      <c r="N34" s="353"/>
    </row>
    <row r="35" spans="1:11" ht="12">
      <c r="A35" s="513" t="s">
        <v>467</v>
      </c>
      <c r="B35" s="149"/>
      <c r="C35" s="347">
        <f t="shared" si="1"/>
        <v>0</v>
      </c>
      <c r="D35" s="149"/>
      <c r="E35" s="347">
        <f t="shared" si="2"/>
        <v>0</v>
      </c>
      <c r="F35" s="149">
        <v>4659196</v>
      </c>
      <c r="G35" s="347">
        <f t="shared" si="3"/>
        <v>0.26967369728003415</v>
      </c>
      <c r="H35" s="149"/>
      <c r="I35" s="347"/>
      <c r="J35" s="149">
        <f>SUM(F35,D35,B35,'- 12 -'!J35,'- 12 -'!H35,'- 12 -'!F35,'- 12 -'!D35,'- 12 -'!B35)</f>
        <v>4661696</v>
      </c>
      <c r="K35" s="347">
        <f t="shared" si="4"/>
        <v>0.26981839697568977</v>
      </c>
    </row>
    <row r="36" spans="1:11" ht="12">
      <c r="A36" s="148" t="s">
        <v>299</v>
      </c>
      <c r="B36" s="149">
        <v>13400</v>
      </c>
      <c r="C36" s="347">
        <f>B36/J54</f>
        <v>7.75590368714357E-06</v>
      </c>
      <c r="D36" s="149">
        <v>26300</v>
      </c>
      <c r="E36" s="347">
        <f>D36/J54</f>
        <v>1.5222407982975814E-05</v>
      </c>
      <c r="F36" s="149">
        <v>70800</v>
      </c>
      <c r="G36" s="347">
        <f>F36/J54</f>
        <v>4.097895380968394E-05</v>
      </c>
      <c r="H36" s="149"/>
      <c r="I36" s="347"/>
      <c r="J36" s="149">
        <f>SUM(F36,D36,B36,'- 12 -'!J36,'- 12 -'!H36,'- 12 -'!F36,'- 12 -'!D36,'- 12 -'!B36)</f>
        <v>1063337</v>
      </c>
      <c r="K36" s="347">
        <f t="shared" si="4"/>
        <v>0.06154581611176256</v>
      </c>
    </row>
    <row r="37" spans="1:11" ht="12">
      <c r="A37" s="148" t="s">
        <v>300</v>
      </c>
      <c r="B37" s="149">
        <v>121208</v>
      </c>
      <c r="C37" s="347">
        <f>B37/$J$54*100</f>
        <v>0.007015504284412671</v>
      </c>
      <c r="D37" s="149">
        <v>41491</v>
      </c>
      <c r="E37" s="347">
        <f>D37/$J$54*100</f>
        <v>0.002401494028979656</v>
      </c>
      <c r="F37" s="149">
        <v>42196</v>
      </c>
      <c r="G37" s="347">
        <f>F37/$J$54*100</f>
        <v>0.002442299343154553</v>
      </c>
      <c r="H37" s="149"/>
      <c r="I37" s="347"/>
      <c r="J37" s="149">
        <f>SUM(F37,D37,B37,'- 12 -'!J37,'- 12 -'!H37,'- 12 -'!F37,'- 12 -'!D37,'- 12 -'!B37)</f>
        <v>2704004</v>
      </c>
      <c r="K37" s="347">
        <f t="shared" si="4"/>
        <v>0.15650742234067883</v>
      </c>
    </row>
    <row r="38" spans="1:11" ht="12">
      <c r="A38" s="155" t="s">
        <v>301</v>
      </c>
      <c r="B38" s="149">
        <v>8028387</v>
      </c>
      <c r="C38" s="347">
        <f>B38/'- 13 -'!$J$54*100</f>
        <v>0.4646820622023546</v>
      </c>
      <c r="D38" s="149">
        <v>203910</v>
      </c>
      <c r="E38" s="347">
        <f>D38/'- 13 -'!$J$54*100</f>
        <v>0.011802285976458549</v>
      </c>
      <c r="F38" s="149">
        <v>329884</v>
      </c>
      <c r="G38" s="347">
        <f>F38/'- 13 -'!$J$54*100</f>
        <v>0.019093645760669176</v>
      </c>
      <c r="H38" s="149"/>
      <c r="I38" s="347"/>
      <c r="J38" s="149">
        <f>SUM(F38,D38,B38,'- 12 -'!J38,'- 12 -'!H38,'- 12 -'!F38,'- 12 -'!D38,'- 12 -'!B38)</f>
        <v>10718647</v>
      </c>
      <c r="K38" s="347">
        <f t="shared" si="4"/>
        <v>0.6203939834961968</v>
      </c>
    </row>
    <row r="39" spans="1:11" ht="12">
      <c r="A39" s="156" t="s">
        <v>302</v>
      </c>
      <c r="B39" s="152">
        <v>338349</v>
      </c>
      <c r="C39" s="348">
        <f>B39/$J$54*100</f>
        <v>0.019583598930159252</v>
      </c>
      <c r="D39" s="152">
        <v>83925</v>
      </c>
      <c r="E39" s="348">
        <f>D39/$J$54*100</f>
        <v>0.004857568783160628</v>
      </c>
      <c r="F39" s="152">
        <v>212773</v>
      </c>
      <c r="G39" s="348">
        <f>F39/$J$54*100</f>
        <v>0.012315275337497007</v>
      </c>
      <c r="H39" s="152"/>
      <c r="I39" s="348"/>
      <c r="J39" s="152">
        <f>SUM(F39,D39,B39,'- 12 -'!J39,'- 12 -'!H39,'- 12 -'!F39,'- 12 -'!D39,'- 12 -'!B39)</f>
        <v>6589435</v>
      </c>
      <c r="K39" s="348">
        <f t="shared" si="4"/>
        <v>0.3813956956171111</v>
      </c>
    </row>
    <row r="40" spans="1:11" ht="12">
      <c r="A40" s="153" t="s">
        <v>303</v>
      </c>
      <c r="B40" s="159">
        <f>SUM(B25:B39)</f>
        <v>11338112</v>
      </c>
      <c r="C40" s="350">
        <f>B40/$J$54*100</f>
        <v>0.656248542283931</v>
      </c>
      <c r="D40" s="159">
        <f>SUM(D25:D39)</f>
        <v>20785106</v>
      </c>
      <c r="E40" s="350">
        <f>D40/$J$54*100</f>
        <v>1.2030394049482833</v>
      </c>
      <c r="F40" s="159">
        <f>SUM(F25:F39)</f>
        <v>84850396</v>
      </c>
      <c r="G40" s="350">
        <f>F40/$J$54*100</f>
        <v>4.911130590985016</v>
      </c>
      <c r="H40" s="159"/>
      <c r="I40" s="350"/>
      <c r="J40" s="159">
        <f>SUM(F40,D40,B40,'- 12 -'!J40,'- 12 -'!H40,'- 12 -'!F40,'- 12 -'!D40,'- 12 -'!B40)</f>
        <v>162889042</v>
      </c>
      <c r="K40" s="350">
        <f t="shared" si="4"/>
        <v>9.427997921217045</v>
      </c>
    </row>
    <row r="41" spans="1:11" ht="12">
      <c r="A41" s="373" t="s">
        <v>304</v>
      </c>
      <c r="B41" s="157"/>
      <c r="C41" s="351"/>
      <c r="D41" s="157"/>
      <c r="E41" s="351"/>
      <c r="F41" s="157"/>
      <c r="G41" s="351"/>
      <c r="H41" s="157"/>
      <c r="I41" s="351"/>
      <c r="J41" s="157"/>
      <c r="K41" s="351"/>
    </row>
    <row r="42" spans="1:11" ht="12">
      <c r="A42" s="148" t="s">
        <v>305</v>
      </c>
      <c r="B42" s="149">
        <v>3140225</v>
      </c>
      <c r="C42" s="347">
        <f>B42/$J$54*100</f>
        <v>0.18175584071612252</v>
      </c>
      <c r="D42" s="149">
        <v>13893344</v>
      </c>
      <c r="E42" s="347">
        <f>D42/$J$54*100</f>
        <v>0.8041450593757762</v>
      </c>
      <c r="F42" s="149">
        <v>16171018</v>
      </c>
      <c r="G42" s="347">
        <f>F42/$J$54*100</f>
        <v>0.9359765532169033</v>
      </c>
      <c r="H42" s="149"/>
      <c r="I42" s="347"/>
      <c r="J42" s="149">
        <f>SUM(F42,D42,B42,'- 12 -'!J42,'- 12 -'!H42,'- 12 -'!F42,'- 12 -'!D42,'- 12 -'!B42)</f>
        <v>66621261</v>
      </c>
      <c r="K42" s="347">
        <f>J42/$J$54*100</f>
        <v>3.8560304763586126</v>
      </c>
    </row>
    <row r="43" spans="1:11" ht="12">
      <c r="A43" s="148" t="s">
        <v>306</v>
      </c>
      <c r="B43" s="149">
        <v>2927333</v>
      </c>
      <c r="C43" s="347">
        <f>B43/$J$54*100</f>
        <v>0.1694336776731123</v>
      </c>
      <c r="D43" s="149">
        <v>11200</v>
      </c>
      <c r="E43" s="347">
        <f>D43/$J$54*100</f>
        <v>0.0006482546365373731</v>
      </c>
      <c r="F43" s="149">
        <v>35350</v>
      </c>
      <c r="G43" s="347">
        <f>F43/$J$54*100</f>
        <v>0.0020460536965710837</v>
      </c>
      <c r="H43" s="149"/>
      <c r="I43" s="347"/>
      <c r="J43" s="149">
        <f>SUM(F43,D43,B43,'- 12 -'!J43,'- 12 -'!H43,'- 12 -'!F43,'- 12 -'!D43,'- 12 -'!B43)</f>
        <v>14604298</v>
      </c>
      <c r="K43" s="347">
        <f>J43/$J$54*100</f>
        <v>0.8452949903458468</v>
      </c>
    </row>
    <row r="44" spans="1:11" ht="12">
      <c r="A44" s="148" t="s">
        <v>307</v>
      </c>
      <c r="B44" s="149">
        <v>196760</v>
      </c>
      <c r="C44" s="347">
        <f>B44/$J$54*100</f>
        <v>0.011388444846883351</v>
      </c>
      <c r="D44" s="149">
        <v>302300</v>
      </c>
      <c r="E44" s="347">
        <f>D44/$J$54*100</f>
        <v>0.017497087198682846</v>
      </c>
      <c r="F44" s="149">
        <v>2302016</v>
      </c>
      <c r="G44" s="347">
        <f>F44/$J$54*100</f>
        <v>0.13324040583778726</v>
      </c>
      <c r="H44" s="149"/>
      <c r="I44" s="347"/>
      <c r="J44" s="149">
        <f>SUM(F44,D44,B44,'- 12 -'!J44,'- 12 -'!H44,'- 12 -'!F44,'- 12 -'!D44,'- 12 -'!B44)</f>
        <v>13213453</v>
      </c>
      <c r="K44" s="347">
        <f>J44/$J$54*100</f>
        <v>0.7647930510641663</v>
      </c>
    </row>
    <row r="45" spans="1:11" ht="12">
      <c r="A45" s="156" t="s">
        <v>308</v>
      </c>
      <c r="B45" s="152">
        <v>542333</v>
      </c>
      <c r="C45" s="348">
        <f>B45/$J$54*100</f>
        <v>0.03139016801760921</v>
      </c>
      <c r="D45" s="152">
        <v>70450</v>
      </c>
      <c r="E45" s="348">
        <f>D45/$J$54*100</f>
        <v>0.004077637423576601</v>
      </c>
      <c r="F45" s="152">
        <v>62550</v>
      </c>
      <c r="G45" s="348">
        <f>F45/$J$54*100</f>
        <v>0.0036203863853047037</v>
      </c>
      <c r="H45" s="152"/>
      <c r="I45" s="348"/>
      <c r="J45" s="152">
        <f>SUM(F45,D45,B45,'- 12 -'!J45,'- 12 -'!H45,'- 12 -'!F45,'- 12 -'!D45,'- 12 -'!B45)</f>
        <v>17643577</v>
      </c>
      <c r="K45" s="348">
        <f>J45/$J$54*100</f>
        <v>1.0212080888709067</v>
      </c>
    </row>
    <row r="46" spans="1:11" ht="12">
      <c r="A46" s="153" t="s">
        <v>309</v>
      </c>
      <c r="B46" s="159">
        <f>SUM(B42:B45)</f>
        <v>6806651</v>
      </c>
      <c r="C46" s="350">
        <f>B46/$J$54*100</f>
        <v>0.3939681312537274</v>
      </c>
      <c r="D46" s="159">
        <f>SUM(D42:D45)</f>
        <v>14277294</v>
      </c>
      <c r="E46" s="350">
        <f>D46/$J$54*100</f>
        <v>0.8263680386345731</v>
      </c>
      <c r="F46" s="159">
        <f>SUM(F42:F45)</f>
        <v>18570934</v>
      </c>
      <c r="G46" s="350">
        <f>F46/$J$54*100</f>
        <v>1.0748833991365665</v>
      </c>
      <c r="H46" s="159"/>
      <c r="I46" s="350"/>
      <c r="J46" s="159">
        <f>SUM(F46,D46,B46,'- 12 -'!J46,'- 12 -'!H46,'- 12 -'!F46,'- 12 -'!D46,'- 12 -'!B46)</f>
        <v>112082589</v>
      </c>
      <c r="K46" s="350">
        <f>J46/$J$54*100</f>
        <v>6.487326606639534</v>
      </c>
    </row>
    <row r="47" spans="1:11" ht="12">
      <c r="A47" s="373" t="s">
        <v>92</v>
      </c>
      <c r="B47" s="157"/>
      <c r="C47" s="351"/>
      <c r="D47" s="157"/>
      <c r="E47" s="351"/>
      <c r="F47" s="157"/>
      <c r="G47" s="351"/>
      <c r="H47" s="157"/>
      <c r="I47" s="351"/>
      <c r="J47" s="157"/>
      <c r="K47" s="351"/>
    </row>
    <row r="48" spans="1:11" ht="13.5">
      <c r="A48" s="297" t="s">
        <v>458</v>
      </c>
      <c r="B48" s="501"/>
      <c r="C48" s="502"/>
      <c r="D48" s="501"/>
      <c r="E48" s="502"/>
      <c r="F48" s="149">
        <v>-20000</v>
      </c>
      <c r="G48" s="502"/>
      <c r="H48" s="501"/>
      <c r="I48" s="502"/>
      <c r="J48" s="501">
        <f>'- 12 -'!F48+'- 12 -'!J48+'- 13 -'!F48</f>
        <v>0</v>
      </c>
      <c r="K48" s="502"/>
    </row>
    <row r="49" spans="1:11" ht="12">
      <c r="A49" s="148" t="s">
        <v>310</v>
      </c>
      <c r="B49" s="154"/>
      <c r="C49" s="347"/>
      <c r="D49" s="154"/>
      <c r="E49" s="347"/>
      <c r="F49" s="154"/>
      <c r="G49" s="347"/>
      <c r="H49" s="149">
        <f>'- 10 -'!G24</f>
        <v>2794500</v>
      </c>
      <c r="I49" s="347">
        <f>H49/$J$54*100</f>
        <v>0.1617453198039008</v>
      </c>
      <c r="J49" s="149">
        <f>H49</f>
        <v>2794500</v>
      </c>
      <c r="K49" s="347">
        <f>J49/$J$54*100</f>
        <v>0.1617453198039008</v>
      </c>
    </row>
    <row r="50" spans="1:11" ht="12">
      <c r="A50" s="148" t="s">
        <v>486</v>
      </c>
      <c r="B50" s="154"/>
      <c r="C50" s="347"/>
      <c r="D50" s="154"/>
      <c r="E50" s="347"/>
      <c r="F50" s="154"/>
      <c r="G50" s="347"/>
      <c r="H50" s="149">
        <f>'- 10 -'!H24</f>
        <v>0</v>
      </c>
      <c r="I50" s="347"/>
      <c r="J50" s="149">
        <f>H50</f>
        <v>0</v>
      </c>
      <c r="K50" s="347"/>
    </row>
    <row r="51" spans="1:11" ht="12">
      <c r="A51" s="148" t="s">
        <v>311</v>
      </c>
      <c r="B51" s="154"/>
      <c r="C51" s="347"/>
      <c r="D51" s="154"/>
      <c r="E51" s="347"/>
      <c r="F51" s="154"/>
      <c r="G51" s="347"/>
      <c r="H51" s="152">
        <f>'- 10 -'!I24</f>
        <v>27806730</v>
      </c>
      <c r="I51" s="348">
        <f>H51/$J$54*100</f>
        <v>1.6094501472716845</v>
      </c>
      <c r="J51" s="152">
        <f>H51</f>
        <v>27806730</v>
      </c>
      <c r="K51" s="348">
        <f>J51/$J$54*100</f>
        <v>1.6094501472716845</v>
      </c>
    </row>
    <row r="52" spans="1:11" ht="12">
      <c r="A52" s="153" t="s">
        <v>312</v>
      </c>
      <c r="B52" s="153"/>
      <c r="C52" s="350"/>
      <c r="D52" s="153"/>
      <c r="E52" s="350"/>
      <c r="F52" s="159">
        <f>F48</f>
        <v>-20000</v>
      </c>
      <c r="G52" s="350"/>
      <c r="H52" s="159">
        <f>SUM(H49:H51)</f>
        <v>30601230</v>
      </c>
      <c r="I52" s="350">
        <f>H52/$J$54*100</f>
        <v>1.7711954670755856</v>
      </c>
      <c r="J52" s="159">
        <f>SUM(J48:J51)</f>
        <v>30601230</v>
      </c>
      <c r="K52" s="350">
        <f>J52/$J$54*100</f>
        <v>1.7711954670755856</v>
      </c>
    </row>
    <row r="53" spans="1:11" ht="4.5" customHeight="1">
      <c r="A53" s="27"/>
      <c r="B53" s="31"/>
      <c r="C53" s="352"/>
      <c r="D53" s="94"/>
      <c r="E53" s="352"/>
      <c r="F53" s="94"/>
      <c r="G53" s="352"/>
      <c r="H53" s="94"/>
      <c r="I53" s="352"/>
      <c r="J53" s="94"/>
      <c r="K53" s="352"/>
    </row>
    <row r="54" spans="1:11" ht="12">
      <c r="A54" s="374" t="s">
        <v>313</v>
      </c>
      <c r="B54" s="487">
        <f>SUM(B52,B46,B40,B23,B22)</f>
        <v>62290729</v>
      </c>
      <c r="C54" s="488">
        <f>B54/$J$54*100</f>
        <v>3.605379811387768</v>
      </c>
      <c r="D54" s="487">
        <f>SUM(D52,D46,D40,D23,D22)</f>
        <v>71622875</v>
      </c>
      <c r="E54" s="488">
        <f>D54/$J$54*100</f>
        <v>4.145523285793455</v>
      </c>
      <c r="F54" s="487">
        <f>SUM(F52,F46,F40,F23,F22)</f>
        <v>205216633</v>
      </c>
      <c r="G54" s="488">
        <f>F54/$J$54*100</f>
        <v>11.877913735432006</v>
      </c>
      <c r="H54" s="487">
        <f>SUM(H52,H46,H40,H23,H22)</f>
        <v>30601230</v>
      </c>
      <c r="I54" s="488">
        <f>H54/$J$54*100</f>
        <v>1.7711954670755856</v>
      </c>
      <c r="J54" s="487">
        <f>SUM(J52,J46,J40,J23,J22)</f>
        <v>1727716142.506032</v>
      </c>
      <c r="K54" s="488">
        <f>J54/$J$54*100</f>
        <v>100</v>
      </c>
    </row>
    <row r="55" ht="19.5" customHeight="1">
      <c r="A55" s="162" t="s">
        <v>463</v>
      </c>
    </row>
    <row r="58" ht="12">
      <c r="J58" s="1">
        <f>J56-J57</f>
        <v>0</v>
      </c>
    </row>
  </sheetData>
  <mergeCells count="1">
    <mergeCell ref="L25:L29"/>
  </mergeCells>
  <printOptions verticalCentered="1"/>
  <pageMargins left="0.75" right="0" top="0.3" bottom="0.3" header="0" footer="0"/>
  <pageSetup fitToHeight="1" fitToWidth="1" horizontalDpi="600" verticalDpi="600" orientation="landscape" scale="10"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J54"/>
  <sheetViews>
    <sheetView showGridLines="0" showZeros="0" workbookViewId="0" topLeftCell="A1">
      <selection activeCell="A2" sqref="A2"/>
    </sheetView>
  </sheetViews>
  <sheetFormatPr defaultColWidth="15.83203125" defaultRowHeight="12"/>
  <cols>
    <col min="1" max="1" width="33.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ustomWidth="1"/>
  </cols>
  <sheetData>
    <row r="1" spans="1:9" ht="6.75" customHeight="1">
      <c r="A1" s="3"/>
      <c r="B1" s="4"/>
      <c r="C1" s="4"/>
      <c r="D1" s="4"/>
      <c r="E1" s="4"/>
      <c r="F1" s="4"/>
      <c r="G1" s="4"/>
      <c r="H1" s="4"/>
      <c r="I1" s="4"/>
    </row>
    <row r="2" spans="1:9" ht="15.75" customHeight="1">
      <c r="A2" s="167"/>
      <c r="B2" s="5" t="s">
        <v>495</v>
      </c>
      <c r="C2" s="6"/>
      <c r="D2" s="6"/>
      <c r="E2" s="6"/>
      <c r="F2" s="6"/>
      <c r="G2" s="6"/>
      <c r="H2" s="108"/>
      <c r="I2" s="190" t="s">
        <v>2</v>
      </c>
    </row>
    <row r="3" spans="1:9" ht="15.75" customHeight="1">
      <c r="A3" s="170"/>
      <c r="B3" s="7" t="str">
        <f>OPYEAR</f>
        <v>OPERATING FUND 2008/2009 BUDGET</v>
      </c>
      <c r="C3" s="8"/>
      <c r="D3" s="8"/>
      <c r="E3" s="8"/>
      <c r="F3" s="8"/>
      <c r="G3" s="8"/>
      <c r="H3" s="110"/>
      <c r="I3" s="103"/>
    </row>
    <row r="4" spans="2:9" ht="15.75" customHeight="1">
      <c r="B4" s="4"/>
      <c r="C4" s="4"/>
      <c r="D4" s="4"/>
      <c r="E4" s="4"/>
      <c r="F4" s="4"/>
      <c r="G4" s="4"/>
      <c r="H4" s="4"/>
      <c r="I4" s="4"/>
    </row>
    <row r="5" spans="2:9" ht="15.75" customHeight="1">
      <c r="B5" s="4"/>
      <c r="C5" s="4"/>
      <c r="D5" s="4"/>
      <c r="E5" s="4"/>
      <c r="F5" s="4"/>
      <c r="G5" s="4"/>
      <c r="H5" s="4"/>
      <c r="I5" s="4"/>
    </row>
    <row r="6" spans="2:9" ht="15.75" customHeight="1">
      <c r="B6" s="368"/>
      <c r="C6" s="357"/>
      <c r="D6" s="358"/>
      <c r="E6" s="356"/>
      <c r="F6" s="357"/>
      <c r="G6" s="358"/>
      <c r="H6" s="356" t="s">
        <v>197</v>
      </c>
      <c r="I6" s="358"/>
    </row>
    <row r="7" spans="2:9" ht="15.75" customHeight="1">
      <c r="B7" s="359" t="s">
        <v>49</v>
      </c>
      <c r="C7" s="360"/>
      <c r="D7" s="361"/>
      <c r="E7" s="359" t="s">
        <v>430</v>
      </c>
      <c r="F7" s="360"/>
      <c r="G7" s="361"/>
      <c r="H7" s="359" t="s">
        <v>272</v>
      </c>
      <c r="I7" s="361"/>
    </row>
    <row r="8" spans="1:9" ht="15.75" customHeight="1">
      <c r="A8" s="104"/>
      <c r="B8" s="176" t="s">
        <v>3</v>
      </c>
      <c r="C8" s="241"/>
      <c r="D8" s="175" t="s">
        <v>59</v>
      </c>
      <c r="E8" s="176"/>
      <c r="F8" s="175"/>
      <c r="G8" s="175" t="s">
        <v>59</v>
      </c>
      <c r="H8" s="176"/>
      <c r="I8" s="175"/>
    </row>
    <row r="9" spans="1:9" ht="15.75" customHeight="1">
      <c r="A9" s="35" t="s">
        <v>79</v>
      </c>
      <c r="B9" s="115" t="s">
        <v>80</v>
      </c>
      <c r="C9" s="115" t="s">
        <v>81</v>
      </c>
      <c r="D9" s="115" t="s">
        <v>82</v>
      </c>
      <c r="E9" s="115" t="s">
        <v>80</v>
      </c>
      <c r="F9" s="115" t="s">
        <v>81</v>
      </c>
      <c r="G9" s="115" t="s">
        <v>82</v>
      </c>
      <c r="H9" s="115" t="s">
        <v>80</v>
      </c>
      <c r="I9" s="115" t="s">
        <v>81</v>
      </c>
    </row>
    <row r="10" ht="4.5" customHeight="1">
      <c r="A10" s="37"/>
    </row>
    <row r="11" spans="1:9" ht="13.5" customHeight="1">
      <c r="A11" s="362" t="s">
        <v>216</v>
      </c>
      <c r="B11" s="363">
        <f>SUM('- 18 -'!B11,'- 18 -'!E11,'- 19 -'!B11,'- 19 -'!E11,'- 19 -'!H11,'- 20 -'!B11)</f>
        <v>7922256</v>
      </c>
      <c r="C11" s="364">
        <f>B11/'- 3 -'!D11*100</f>
        <v>59.1929191955343</v>
      </c>
      <c r="D11" s="363">
        <f>B11/'- 7 -'!C11</f>
        <v>5720.0404332129965</v>
      </c>
      <c r="E11" s="363">
        <f>SUM('- 21 -'!B11,'- 21 -'!E11,'- 21 -'!H11,'- 22 -'!B11,'- 22 -'!E11,'- 22 -'!H11,'- 23 -'!B11)</f>
        <v>1890610</v>
      </c>
      <c r="F11" s="364">
        <f>E11/'- 3 -'!D11*100</f>
        <v>14.1261182370614</v>
      </c>
      <c r="G11" s="363">
        <f>E11/'- 7 -'!F11</f>
        <v>1338.011323425336</v>
      </c>
      <c r="H11" s="363">
        <f>SUM('- 24 -'!D11,'- 24 -'!B11)</f>
        <v>0</v>
      </c>
      <c r="I11" s="364">
        <f>H11/'- 3 -'!D11*100</f>
        <v>0</v>
      </c>
    </row>
    <row r="12" spans="1:9" ht="13.5" customHeight="1">
      <c r="A12" s="23" t="s">
        <v>217</v>
      </c>
      <c r="B12" s="24">
        <f>SUM('- 18 -'!B12,'- 18 -'!E12,'- 19 -'!B12,'- 19 -'!E12,'- 19 -'!H12,'- 20 -'!B12)</f>
        <v>13713127</v>
      </c>
      <c r="C12" s="355">
        <f>B12/'- 3 -'!D12*100</f>
        <v>54.583718121829584</v>
      </c>
      <c r="D12" s="24">
        <f>B12/'- 7 -'!C12</f>
        <v>5928.718979680069</v>
      </c>
      <c r="E12" s="24">
        <f>SUM('- 21 -'!B12,'- 21 -'!E12,'- 21 -'!H12,'- 22 -'!B12,'- 22 -'!E12,'- 22 -'!H12,'- 23 -'!B12)</f>
        <v>4111036</v>
      </c>
      <c r="F12" s="355">
        <f>E12/'- 3 -'!D12*100</f>
        <v>16.36356392037307</v>
      </c>
      <c r="G12" s="24">
        <f>E12/'- 7 -'!F12</f>
        <v>1777.3610030263726</v>
      </c>
      <c r="H12" s="24">
        <f>SUM('- 24 -'!D12,'- 24 -'!B12)</f>
        <v>512509</v>
      </c>
      <c r="I12" s="355">
        <f>H12/'- 3 -'!D12*100</f>
        <v>2.039990353104785</v>
      </c>
    </row>
    <row r="13" spans="1:9" ht="13.5" customHeight="1">
      <c r="A13" s="362" t="s">
        <v>218</v>
      </c>
      <c r="B13" s="363">
        <f>SUM('- 18 -'!B13,'- 18 -'!E13,'- 19 -'!B13,'- 19 -'!E13,'- 19 -'!H13,'- 20 -'!B13)</f>
        <v>34051800</v>
      </c>
      <c r="C13" s="364">
        <f>B13/'- 3 -'!D13*100</f>
        <v>57.885333600787405</v>
      </c>
      <c r="D13" s="363">
        <f>B13/'- 7 -'!C13</f>
        <v>5177.822236414229</v>
      </c>
      <c r="E13" s="363">
        <f>SUM('- 21 -'!B13,'- 21 -'!E13,'- 21 -'!H13,'- 22 -'!B13,'- 22 -'!E13,'- 22 -'!H13,'- 23 -'!B13)</f>
        <v>12221500</v>
      </c>
      <c r="F13" s="364">
        <f>E13/'- 3 -'!D13*100</f>
        <v>20.77557147058374</v>
      </c>
      <c r="G13" s="363">
        <f>E13/'- 7 -'!F13</f>
        <v>1804.0521875191105</v>
      </c>
      <c r="H13" s="363">
        <f>SUM('- 24 -'!D13,'- 24 -'!B13)</f>
        <v>0</v>
      </c>
      <c r="I13" s="364">
        <f>H13/'- 3 -'!D13*100</f>
        <v>0</v>
      </c>
    </row>
    <row r="14" spans="1:9" ht="13.5" customHeight="1">
      <c r="A14" s="23" t="s">
        <v>254</v>
      </c>
      <c r="B14" s="24">
        <f>SUM('- 18 -'!B14,'- 18 -'!E14,'- 19 -'!B14,'- 19 -'!E14,'- 19 -'!H14,'- 20 -'!B14)</f>
        <v>30989735</v>
      </c>
      <c r="C14" s="355">
        <f>B14/'- 3 -'!D14*100</f>
        <v>54.48736951227146</v>
      </c>
      <c r="D14" s="24">
        <f>B14/'- 7 -'!C14</f>
        <v>6558.674074074074</v>
      </c>
      <c r="E14" s="24">
        <f>SUM('- 21 -'!B14,'- 21 -'!E14,'- 21 -'!H14,'- 22 -'!B14,'- 22 -'!E14,'- 22 -'!H14,'- 23 -'!B14)</f>
        <v>7542853</v>
      </c>
      <c r="F14" s="355">
        <f>E14/'- 3 -'!D14*100</f>
        <v>13.262140466439783</v>
      </c>
      <c r="G14" s="24">
        <f>E14/'- 7 -'!F14</f>
        <v>1560.0523267838676</v>
      </c>
      <c r="H14" s="24">
        <f>SUM('- 24 -'!D14,'- 24 -'!B14)</f>
        <v>0</v>
      </c>
      <c r="I14" s="355">
        <f>H14/'- 3 -'!D14*100</f>
        <v>0</v>
      </c>
    </row>
    <row r="15" spans="1:9" ht="13.5" customHeight="1">
      <c r="A15" s="362" t="s">
        <v>219</v>
      </c>
      <c r="B15" s="363">
        <f>SUM('- 18 -'!B15,'- 18 -'!E15,'- 19 -'!B15,'- 19 -'!E15,'- 19 -'!H15,'- 20 -'!B15)</f>
        <v>8859996</v>
      </c>
      <c r="C15" s="364">
        <f>B15/'- 3 -'!D15*100</f>
        <v>54.25927875423089</v>
      </c>
      <c r="D15" s="363">
        <f>B15/'- 7 -'!C15</f>
        <v>5542.693775414451</v>
      </c>
      <c r="E15" s="363">
        <f>SUM('- 21 -'!B15,'- 21 -'!E15,'- 21 -'!H15,'- 22 -'!B15,'- 22 -'!E15,'- 22 -'!H15,'- 23 -'!B15)</f>
        <v>2771404</v>
      </c>
      <c r="F15" s="364">
        <f>E15/'- 3 -'!D15*100</f>
        <v>16.972285560466453</v>
      </c>
      <c r="G15" s="363">
        <f>E15/'- 7 -'!F15</f>
        <v>1733.752893337504</v>
      </c>
      <c r="H15" s="363">
        <f>SUM('- 24 -'!D15,'- 24 -'!B15)</f>
        <v>0</v>
      </c>
      <c r="I15" s="364">
        <f>H15/'- 3 -'!D15*100</f>
        <v>0</v>
      </c>
    </row>
    <row r="16" spans="1:9" ht="13.5" customHeight="1">
      <c r="A16" s="23" t="s">
        <v>220</v>
      </c>
      <c r="B16" s="24">
        <f>SUM('- 18 -'!B16,'- 18 -'!E16,'- 19 -'!B16,'- 19 -'!E16,'- 19 -'!H16,'- 20 -'!B16)</f>
        <v>6093138</v>
      </c>
      <c r="C16" s="355">
        <f>B16/'- 3 -'!D16*100</f>
        <v>53.4378116970642</v>
      </c>
      <c r="D16" s="24">
        <f>B16/'- 7 -'!C16</f>
        <v>5683.897388059701</v>
      </c>
      <c r="E16" s="24">
        <f>SUM('- 21 -'!B16,'- 21 -'!E16,'- 21 -'!H16,'- 22 -'!B16,'- 22 -'!E16,'- 22 -'!H16,'- 23 -'!B16)</f>
        <v>2128173</v>
      </c>
      <c r="F16" s="355">
        <f>E16/'- 3 -'!D16*100</f>
        <v>18.664423492915503</v>
      </c>
      <c r="G16" s="24">
        <f>E16/'- 7 -'!F16</f>
        <v>1976.9372967951695</v>
      </c>
      <c r="H16" s="24">
        <f>SUM('- 24 -'!D16,'- 24 -'!B16)</f>
        <v>82500</v>
      </c>
      <c r="I16" s="355">
        <f>H16/'- 3 -'!D16*100</f>
        <v>0.7235384238807321</v>
      </c>
    </row>
    <row r="17" spans="1:9" ht="13.5" customHeight="1">
      <c r="A17" s="362" t="s">
        <v>221</v>
      </c>
      <c r="B17" s="363">
        <f>SUM('- 18 -'!B17,'- 18 -'!E17,'- 19 -'!B17,'- 19 -'!E17,'- 19 -'!H17,'- 20 -'!B17)</f>
        <v>8032692</v>
      </c>
      <c r="C17" s="364">
        <f>B17/'- 3 -'!D17*100</f>
        <v>54.70379784765365</v>
      </c>
      <c r="D17" s="363">
        <f>B17/'- 7 -'!C17</f>
        <v>5825.012327773749</v>
      </c>
      <c r="E17" s="363">
        <f>SUM('- 21 -'!B17,'- 21 -'!E17,'- 21 -'!H17,'- 22 -'!B17,'- 22 -'!E17,'- 22 -'!H17,'- 23 -'!B17)</f>
        <v>2114594</v>
      </c>
      <c r="F17" s="364">
        <f>E17/'- 3 -'!D17*100</f>
        <v>14.40069191073943</v>
      </c>
      <c r="G17" s="363">
        <f>E17/'- 7 -'!F17</f>
        <v>1533.4256707759246</v>
      </c>
      <c r="H17" s="363">
        <f>SUM('- 24 -'!D17,'- 24 -'!B17)</f>
        <v>0</v>
      </c>
      <c r="I17" s="364">
        <f>H17/'- 3 -'!D17*100</f>
        <v>0</v>
      </c>
    </row>
    <row r="18" spans="1:9" ht="13.5" customHeight="1">
      <c r="A18" s="23" t="s">
        <v>222</v>
      </c>
      <c r="B18" s="24">
        <f>SUM('- 18 -'!B18,'- 18 -'!E18,'- 19 -'!B18,'- 19 -'!E18,'- 19 -'!H18,'- 20 -'!B18)</f>
        <v>40483140</v>
      </c>
      <c r="C18" s="355">
        <f>B18/'- 3 -'!D18*100</f>
        <v>40.46168155180582</v>
      </c>
      <c r="D18" s="24">
        <f>B18/'- 7 -'!C18</f>
        <v>6963.5234622265025</v>
      </c>
      <c r="E18" s="24">
        <f>SUM('- 21 -'!B18,'- 21 -'!E18,'- 21 -'!H18,'- 22 -'!B18,'- 22 -'!E18,'- 22 -'!H18,'- 23 -'!B18)</f>
        <v>18803521</v>
      </c>
      <c r="F18" s="355">
        <f>E18/'- 3 -'!D18*100</f>
        <v>18.793554026557555</v>
      </c>
      <c r="G18" s="24">
        <f>E18/'- 7 -'!F18</f>
        <v>3234.40226365763</v>
      </c>
      <c r="H18" s="24">
        <f>SUM('- 24 -'!D18,'- 24 -'!B18)</f>
        <v>1788915</v>
      </c>
      <c r="I18" s="355">
        <f>H18/'- 3 -'!D18*100</f>
        <v>1.7879667697033554</v>
      </c>
    </row>
    <row r="19" spans="1:9" ht="13.5" customHeight="1">
      <c r="A19" s="362" t="s">
        <v>223</v>
      </c>
      <c r="B19" s="363">
        <f>SUM('- 18 -'!B19,'- 18 -'!E19,'- 19 -'!B19,'- 19 -'!E19,'- 19 -'!H19,'- 20 -'!B19)</f>
        <v>17747100</v>
      </c>
      <c r="C19" s="364">
        <f>B19/'- 3 -'!D19*100</f>
        <v>61.19682269348985</v>
      </c>
      <c r="D19" s="363">
        <f>B19/'- 7 -'!C19</f>
        <v>4688.79788639366</v>
      </c>
      <c r="E19" s="363">
        <f>SUM('- 21 -'!B19,'- 21 -'!E19,'- 21 -'!H19,'- 22 -'!B19,'- 22 -'!E19,'- 22 -'!H19,'- 23 -'!B19)</f>
        <v>5237200</v>
      </c>
      <c r="F19" s="364">
        <f>E19/'- 3 -'!D19*100</f>
        <v>18.059288549134507</v>
      </c>
      <c r="G19" s="363">
        <f>E19/'- 7 -'!F19</f>
        <v>1372.4318658280922</v>
      </c>
      <c r="H19" s="363">
        <f>SUM('- 24 -'!D19,'- 24 -'!B19)</f>
        <v>0</v>
      </c>
      <c r="I19" s="364">
        <f>H19/'- 3 -'!D19*100</f>
        <v>0</v>
      </c>
    </row>
    <row r="20" spans="1:9" ht="13.5" customHeight="1">
      <c r="A20" s="23" t="s">
        <v>224</v>
      </c>
      <c r="B20" s="24">
        <f>SUM('- 18 -'!B20,'- 18 -'!E20,'- 19 -'!B20,'- 19 -'!E20,'- 19 -'!H20,'- 20 -'!B20)</f>
        <v>33849059</v>
      </c>
      <c r="C20" s="355">
        <f>B20/'- 3 -'!D20*100</f>
        <v>61.25667535815681</v>
      </c>
      <c r="D20" s="24">
        <f>B20/'- 7 -'!C20</f>
        <v>4736.121309640409</v>
      </c>
      <c r="E20" s="24">
        <f>SUM('- 21 -'!B20,'- 21 -'!E20,'- 21 -'!H20,'- 22 -'!B20,'- 22 -'!E20,'- 22 -'!H20,'- 23 -'!B20)</f>
        <v>7844557.506031973</v>
      </c>
      <c r="F20" s="355">
        <f>E20/'- 3 -'!D20*100</f>
        <v>14.196303432700827</v>
      </c>
      <c r="G20" s="24">
        <f>E20/'- 7 -'!F20</f>
        <v>1092.5567557147594</v>
      </c>
      <c r="H20" s="24">
        <f>SUM('- 24 -'!D20,'- 24 -'!B20)</f>
        <v>0</v>
      </c>
      <c r="I20" s="355">
        <f>H20/'- 3 -'!D20*100</f>
        <v>0</v>
      </c>
    </row>
    <row r="21" spans="1:9" ht="13.5" customHeight="1">
      <c r="A21" s="362" t="s">
        <v>225</v>
      </c>
      <c r="B21" s="363">
        <f>SUM('- 18 -'!B21,'- 18 -'!E21,'- 19 -'!B21,'- 19 -'!E21,'- 19 -'!H21,'- 20 -'!B21)</f>
        <v>15942000</v>
      </c>
      <c r="C21" s="364">
        <f>B21/'- 3 -'!D21*100</f>
        <v>56.06707510076036</v>
      </c>
      <c r="D21" s="363">
        <f>B21/'- 7 -'!C21</f>
        <v>5432.056698923266</v>
      </c>
      <c r="E21" s="363">
        <f>SUM('- 21 -'!B21,'- 21 -'!E21,'- 21 -'!H21,'- 22 -'!B21,'- 22 -'!E21,'- 22 -'!H21,'- 23 -'!B21)</f>
        <v>4625000</v>
      </c>
      <c r="F21" s="364">
        <f>E21/'- 3 -'!D21*100</f>
        <v>16.26585261203216</v>
      </c>
      <c r="G21" s="363">
        <f>E21/'- 7 -'!F21</f>
        <v>1554.3606116619055</v>
      </c>
      <c r="H21" s="363">
        <f>SUM('- 24 -'!D21,'- 24 -'!B21)</f>
        <v>0</v>
      </c>
      <c r="I21" s="364">
        <f>H21/'- 3 -'!D21*100</f>
        <v>0</v>
      </c>
    </row>
    <row r="22" spans="1:9" ht="13.5" customHeight="1">
      <c r="A22" s="23" t="s">
        <v>226</v>
      </c>
      <c r="B22" s="24">
        <f>SUM('- 18 -'!B22,'- 18 -'!E22,'- 19 -'!B22,'- 19 -'!E22,'- 19 -'!H22,'- 20 -'!B22)</f>
        <v>8290081</v>
      </c>
      <c r="C22" s="355">
        <f>B22/'- 3 -'!D22*100</f>
        <v>51.71008379197255</v>
      </c>
      <c r="D22" s="24">
        <f>B22/'- 7 -'!C22</f>
        <v>5187.78535669587</v>
      </c>
      <c r="E22" s="24">
        <f>SUM('- 21 -'!B22,'- 21 -'!E22,'- 21 -'!H22,'- 22 -'!B22,'- 22 -'!E22,'- 22 -'!H22,'- 23 -'!B22)</f>
        <v>3287515</v>
      </c>
      <c r="F22" s="355">
        <f>E22/'- 3 -'!D22*100</f>
        <v>20.506153814102255</v>
      </c>
      <c r="G22" s="24">
        <f>E22/'- 7 -'!F22</f>
        <v>1939.5368731563422</v>
      </c>
      <c r="H22" s="24">
        <f>SUM('- 24 -'!D22,'- 24 -'!B22)</f>
        <v>455000</v>
      </c>
      <c r="I22" s="355">
        <f>H22/'- 3 -'!D22*100</f>
        <v>2.8381011144942385</v>
      </c>
    </row>
    <row r="23" spans="1:9" ht="13.5" customHeight="1">
      <c r="A23" s="362" t="s">
        <v>227</v>
      </c>
      <c r="B23" s="363">
        <f>SUM('- 18 -'!B23,'- 18 -'!E23,'- 19 -'!B23,'- 19 -'!E23,'- 19 -'!H23,'- 20 -'!B23)</f>
        <v>6894648</v>
      </c>
      <c r="C23" s="364">
        <f>B23/'- 3 -'!D23*100</f>
        <v>51.9912261175027</v>
      </c>
      <c r="D23" s="363">
        <f>B23/'- 7 -'!C23</f>
        <v>5291.364543361474</v>
      </c>
      <c r="E23" s="363">
        <f>SUM('- 21 -'!B23,'- 21 -'!E23,'- 21 -'!H23,'- 22 -'!B23,'- 22 -'!E23,'- 22 -'!H23,'- 23 -'!B23)</f>
        <v>2348828</v>
      </c>
      <c r="F23" s="364">
        <f>E23/'- 3 -'!D23*100</f>
        <v>17.712064148760263</v>
      </c>
      <c r="G23" s="363">
        <f>E23/'- 7 -'!F23</f>
        <v>1802.6308518802764</v>
      </c>
      <c r="H23" s="363">
        <f>SUM('- 24 -'!D23,'- 24 -'!B23)</f>
        <v>239000</v>
      </c>
      <c r="I23" s="364">
        <f>H23/'- 3 -'!D23*100</f>
        <v>1.8022534351402923</v>
      </c>
    </row>
    <row r="24" spans="1:9" ht="13.5" customHeight="1">
      <c r="A24" s="23" t="s">
        <v>228</v>
      </c>
      <c r="B24" s="24">
        <f>SUM('- 18 -'!B24,'- 18 -'!E24,'- 19 -'!B24,'- 19 -'!E24,'- 19 -'!H24,'- 20 -'!B24)</f>
        <v>25743924</v>
      </c>
      <c r="C24" s="355">
        <f>B24/'- 3 -'!D24*100</f>
        <v>57.959692139108</v>
      </c>
      <c r="D24" s="24">
        <f>B24/'- 7 -'!C24</f>
        <v>5841.598366235535</v>
      </c>
      <c r="E24" s="24">
        <f>SUM('- 21 -'!B24,'- 21 -'!E24,'- 21 -'!H24,'- 22 -'!B24,'- 22 -'!E24,'- 22 -'!H24,'- 23 -'!B24)</f>
        <v>6993605</v>
      </c>
      <c r="F24" s="355">
        <f>E24/'- 3 -'!D24*100</f>
        <v>15.745353845145221</v>
      </c>
      <c r="G24" s="24">
        <f>E24/'- 7 -'!F24</f>
        <v>1580.1186172616358</v>
      </c>
      <c r="H24" s="24">
        <f>SUM('- 24 -'!D24,'- 24 -'!B24)</f>
        <v>321195</v>
      </c>
      <c r="I24" s="355">
        <f>H24/'- 3 -'!D24*100</f>
        <v>0.7231361977537221</v>
      </c>
    </row>
    <row r="25" spans="1:9" ht="13.5" customHeight="1">
      <c r="A25" s="362" t="s">
        <v>229</v>
      </c>
      <c r="B25" s="363">
        <f>SUM('- 18 -'!B25,'- 18 -'!E25,'- 19 -'!B25,'- 19 -'!E25,'- 19 -'!H25,'- 20 -'!B25)</f>
        <v>75361640</v>
      </c>
      <c r="C25" s="364">
        <f>B25/'- 3 -'!D25*100</f>
        <v>56.19566714587045</v>
      </c>
      <c r="D25" s="363">
        <f>B25/'- 7 -'!C25</f>
        <v>5391.06087702983</v>
      </c>
      <c r="E25" s="363">
        <f>SUM('- 21 -'!B25,'- 21 -'!E25,'- 21 -'!H25,'- 22 -'!B25,'- 22 -'!E25,'- 22 -'!H25,'- 23 -'!B25)</f>
        <v>26190924</v>
      </c>
      <c r="F25" s="364">
        <f>E25/'- 3 -'!D25*100</f>
        <v>19.530048010457175</v>
      </c>
      <c r="G25" s="363">
        <f>E25/'- 7 -'!F25</f>
        <v>1846.5118443316412</v>
      </c>
      <c r="H25" s="363">
        <f>SUM('- 24 -'!D25,'- 24 -'!B25)</f>
        <v>0</v>
      </c>
      <c r="I25" s="364">
        <f>H25/'- 3 -'!D25*100</f>
        <v>0</v>
      </c>
    </row>
    <row r="26" spans="1:9" ht="13.5" customHeight="1">
      <c r="A26" s="23" t="s">
        <v>230</v>
      </c>
      <c r="B26" s="24">
        <f>SUM('- 18 -'!B26,'- 18 -'!E26,'- 19 -'!B26,'- 19 -'!E26,'- 19 -'!H26,'- 20 -'!B26)</f>
        <v>18293732</v>
      </c>
      <c r="C26" s="355">
        <f>B26/'- 3 -'!D26*100</f>
        <v>56.399480157753146</v>
      </c>
      <c r="D26" s="24">
        <f>B26/'- 7 -'!C26</f>
        <v>5870.90243902439</v>
      </c>
      <c r="E26" s="24">
        <f>SUM('- 21 -'!B26,'- 21 -'!E26,'- 21 -'!H26,'- 22 -'!B26,'- 22 -'!E26,'- 22 -'!H26,'- 23 -'!B26)</f>
        <v>5061335</v>
      </c>
      <c r="F26" s="355">
        <f>E26/'- 3 -'!D26*100</f>
        <v>15.60406935579036</v>
      </c>
      <c r="G26" s="24">
        <f>E26/'- 7 -'!F26</f>
        <v>1616.523474928138</v>
      </c>
      <c r="H26" s="24">
        <f>SUM('- 24 -'!D26,'- 24 -'!B26)</f>
        <v>121981</v>
      </c>
      <c r="I26" s="355">
        <f>H26/'- 3 -'!D26*100</f>
        <v>0.37606678555927714</v>
      </c>
    </row>
    <row r="27" spans="1:9" ht="13.5" customHeight="1">
      <c r="A27" s="362" t="s">
        <v>231</v>
      </c>
      <c r="B27" s="363">
        <f>SUM('- 18 -'!B27,'- 18 -'!E27,'- 19 -'!B27,'- 19 -'!E27,'- 19 -'!H27,'- 20 -'!B27)</f>
        <v>19863217</v>
      </c>
      <c r="C27" s="364">
        <f>B27/'- 3 -'!D27*100</f>
        <v>56.28544863486822</v>
      </c>
      <c r="D27" s="363">
        <f>B27/'- 7 -'!C27</f>
        <v>6343.967818999438</v>
      </c>
      <c r="E27" s="363">
        <f>SUM('- 21 -'!B27,'- 21 -'!E27,'- 21 -'!H27,'- 22 -'!B27,'- 22 -'!E27,'- 22 -'!H27,'- 23 -'!B27)</f>
        <v>6334206</v>
      </c>
      <c r="F27" s="364">
        <f>E27/'- 3 -'!D27*100</f>
        <v>17.948936793857413</v>
      </c>
      <c r="G27" s="363">
        <f>E27/'- 7 -'!F27</f>
        <v>1966.5095745473511</v>
      </c>
      <c r="H27" s="363">
        <f>SUM('- 24 -'!D27,'- 24 -'!B27)</f>
        <v>0</v>
      </c>
      <c r="I27" s="364">
        <f>H27/'- 3 -'!D27*100</f>
        <v>0</v>
      </c>
    </row>
    <row r="28" spans="1:9" ht="13.5" customHeight="1">
      <c r="A28" s="23" t="s">
        <v>232</v>
      </c>
      <c r="B28" s="24">
        <f>SUM('- 18 -'!B28,'- 18 -'!E28,'- 19 -'!B28,'- 19 -'!E28,'- 19 -'!H28,'- 20 -'!B28)</f>
        <v>10404958</v>
      </c>
      <c r="C28" s="355">
        <f>B28/'- 3 -'!D28*100</f>
        <v>55.994578863368424</v>
      </c>
      <c r="D28" s="24">
        <f>B28/'- 7 -'!C28</f>
        <v>5908.550823395798</v>
      </c>
      <c r="E28" s="24">
        <f>SUM('- 21 -'!B28,'- 21 -'!E28,'- 21 -'!H28,'- 22 -'!B28,'- 22 -'!E28,'- 22 -'!H28,'- 23 -'!B28)</f>
        <v>2724969</v>
      </c>
      <c r="F28" s="355">
        <f>E28/'- 3 -'!D28*100</f>
        <v>14.664498556431866</v>
      </c>
      <c r="G28" s="24">
        <f>E28/'- 7 -'!F28</f>
        <v>1547.3986371379897</v>
      </c>
      <c r="H28" s="24">
        <f>SUM('- 24 -'!D28,'- 24 -'!B28)</f>
        <v>0</v>
      </c>
      <c r="I28" s="355">
        <f>H28/'- 3 -'!D28*100</f>
        <v>0</v>
      </c>
    </row>
    <row r="29" spans="1:9" ht="13.5" customHeight="1">
      <c r="A29" s="362" t="s">
        <v>233</v>
      </c>
      <c r="B29" s="363">
        <f>SUM('- 18 -'!B29,'- 18 -'!E29,'- 19 -'!B29,'- 19 -'!E29,'- 19 -'!H29,'- 20 -'!B29)</f>
        <v>72071540</v>
      </c>
      <c r="C29" s="364">
        <f>B29/'- 3 -'!D29*100</f>
        <v>58.58092953585729</v>
      </c>
      <c r="D29" s="363">
        <f>B29/'- 7 -'!C29</f>
        <v>5955.095228258624</v>
      </c>
      <c r="E29" s="363">
        <f>SUM('- 21 -'!B29,'- 21 -'!E29,'- 21 -'!H29,'- 22 -'!B29,'- 22 -'!E29,'- 22 -'!H29,'- 23 -'!B29)</f>
        <v>24868782</v>
      </c>
      <c r="F29" s="364">
        <f>E29/'- 3 -'!D29*100</f>
        <v>20.213753806073743</v>
      </c>
      <c r="G29" s="363">
        <f>E29/'- 7 -'!F29</f>
        <v>2045.0460096213149</v>
      </c>
      <c r="H29" s="363">
        <f>SUM('- 24 -'!D29,'- 24 -'!B29)</f>
        <v>0</v>
      </c>
      <c r="I29" s="364">
        <f>H29/'- 3 -'!D29*100</f>
        <v>0</v>
      </c>
    </row>
    <row r="30" spans="1:9" ht="13.5" customHeight="1">
      <c r="A30" s="23" t="s">
        <v>234</v>
      </c>
      <c r="B30" s="24">
        <f>SUM('- 18 -'!B30,'- 18 -'!E30,'- 19 -'!B30,'- 19 -'!E30,'- 19 -'!H30,'- 20 -'!B30)</f>
        <v>6603642</v>
      </c>
      <c r="C30" s="355">
        <f>B30/'- 3 -'!D30*100</f>
        <v>57.875195593534244</v>
      </c>
      <c r="D30" s="24">
        <f>B30/'- 7 -'!C30</f>
        <v>5610.570943075616</v>
      </c>
      <c r="E30" s="24">
        <f>SUM('- 21 -'!B30,'- 21 -'!E30,'- 21 -'!H30,'- 22 -'!B30,'- 22 -'!E30,'- 22 -'!H30,'- 23 -'!B30)</f>
        <v>1490604</v>
      </c>
      <c r="F30" s="355">
        <f>E30/'- 3 -'!D30*100</f>
        <v>13.063851440236238</v>
      </c>
      <c r="G30" s="24">
        <f>E30/'- 7 -'!F30</f>
        <v>1266.443500424809</v>
      </c>
      <c r="H30" s="24">
        <f>SUM('- 24 -'!D30,'- 24 -'!B30)</f>
        <v>0</v>
      </c>
      <c r="I30" s="355">
        <f>H30/'- 3 -'!D30*100</f>
        <v>0</v>
      </c>
    </row>
    <row r="31" spans="1:9" ht="13.5" customHeight="1">
      <c r="A31" s="362" t="s">
        <v>235</v>
      </c>
      <c r="B31" s="363">
        <f>SUM('- 18 -'!B31,'- 18 -'!E31,'- 19 -'!B31,'- 19 -'!E31,'- 19 -'!H31,'- 20 -'!B31)</f>
        <v>17178951</v>
      </c>
      <c r="C31" s="364">
        <f>B31/'- 3 -'!D31*100</f>
        <v>58.528890421741394</v>
      </c>
      <c r="D31" s="363">
        <f>B31/'- 7 -'!C31</f>
        <v>5550.908297789841</v>
      </c>
      <c r="E31" s="363">
        <f>SUM('- 21 -'!B31,'- 21 -'!E31,'- 21 -'!H31,'- 22 -'!B31,'- 22 -'!E31,'- 22 -'!H31,'- 23 -'!B31)</f>
        <v>5257844</v>
      </c>
      <c r="F31" s="364">
        <f>E31/'- 3 -'!D31*100</f>
        <v>17.913537056518205</v>
      </c>
      <c r="G31" s="363">
        <f>E31/'- 7 -'!F31</f>
        <v>1605.5465982655428</v>
      </c>
      <c r="H31" s="363">
        <f>SUM('- 24 -'!D31,'- 24 -'!B31)</f>
        <v>150000</v>
      </c>
      <c r="I31" s="364">
        <f>H31/'- 3 -'!D31*100</f>
        <v>0.5110517844344052</v>
      </c>
    </row>
    <row r="32" spans="1:9" ht="13.5" customHeight="1">
      <c r="A32" s="23" t="s">
        <v>236</v>
      </c>
      <c r="B32" s="24">
        <f>SUM('- 18 -'!B32,'- 18 -'!E32,'- 19 -'!B32,'- 19 -'!E32,'- 19 -'!H32,'- 20 -'!B32)</f>
        <v>12885691</v>
      </c>
      <c r="C32" s="355">
        <f>B32/'- 3 -'!D32*100</f>
        <v>58.804074600365944</v>
      </c>
      <c r="D32" s="24">
        <f>B32/'- 7 -'!C32</f>
        <v>5873.149954421148</v>
      </c>
      <c r="E32" s="24">
        <f>SUM('- 21 -'!B32,'- 21 -'!E32,'- 21 -'!H32,'- 22 -'!B32,'- 22 -'!E32,'- 22 -'!H32,'- 23 -'!B32)</f>
        <v>3006571</v>
      </c>
      <c r="F32" s="355">
        <f>E32/'- 3 -'!D32*100</f>
        <v>13.720538958702083</v>
      </c>
      <c r="G32" s="24">
        <f>E32/'- 7 -'!F32</f>
        <v>1370.3605287146763</v>
      </c>
      <c r="H32" s="24">
        <f>SUM('- 24 -'!D32,'- 24 -'!B32)</f>
        <v>231450</v>
      </c>
      <c r="I32" s="355">
        <f>H32/'- 3 -'!D32*100</f>
        <v>1.0562260934438592</v>
      </c>
    </row>
    <row r="33" spans="1:9" ht="13.5" customHeight="1">
      <c r="A33" s="362" t="s">
        <v>237</v>
      </c>
      <c r="B33" s="363">
        <f>SUM('- 18 -'!B33,'- 18 -'!E33,'- 19 -'!B33,'- 19 -'!E33,'- 19 -'!H33,'- 20 -'!B33)</f>
        <v>13097300</v>
      </c>
      <c r="C33" s="364">
        <f>B33/'- 3 -'!D33*100</f>
        <v>56.96583519996521</v>
      </c>
      <c r="D33" s="363">
        <f>B33/'- 7 -'!C33</f>
        <v>6018.979779411765</v>
      </c>
      <c r="E33" s="363">
        <f>SUM('- 21 -'!B33,'- 21 -'!E33,'- 21 -'!H33,'- 22 -'!B33,'- 22 -'!E33,'- 22 -'!H33,'- 23 -'!B33)</f>
        <v>3199200</v>
      </c>
      <c r="F33" s="364">
        <f>E33/'- 3 -'!D33*100</f>
        <v>13.914707609333885</v>
      </c>
      <c r="G33" s="363">
        <f>E33/'- 7 -'!F33</f>
        <v>1470.2205882352941</v>
      </c>
      <c r="H33" s="363">
        <f>SUM('- 24 -'!D33,'- 24 -'!B33)</f>
        <v>0</v>
      </c>
      <c r="I33" s="364">
        <f>H33/'- 3 -'!D33*100</f>
        <v>0</v>
      </c>
    </row>
    <row r="34" spans="1:9" ht="13.5" customHeight="1">
      <c r="A34" s="23" t="s">
        <v>238</v>
      </c>
      <c r="B34" s="24">
        <f>SUM('- 18 -'!B34,'- 18 -'!E34,'- 19 -'!B34,'- 19 -'!E34,'- 19 -'!H34,'- 20 -'!B34)</f>
        <v>11815802</v>
      </c>
      <c r="C34" s="355">
        <f>B34/'- 3 -'!D34*100</f>
        <v>57.13811397542575</v>
      </c>
      <c r="D34" s="24">
        <f>B34/'- 7 -'!C34</f>
        <v>5862.46688166708</v>
      </c>
      <c r="E34" s="24">
        <f>SUM('- 21 -'!B34,'- 21 -'!E34,'- 21 -'!H34,'- 22 -'!B34,'- 22 -'!E34,'- 22 -'!H34,'- 23 -'!B34)</f>
        <v>2722500</v>
      </c>
      <c r="F34" s="355">
        <f>E34/'- 3 -'!D34*100</f>
        <v>13.16529468741069</v>
      </c>
      <c r="G34" s="24">
        <f>E34/'- 7 -'!F34</f>
        <v>1344.4444444444443</v>
      </c>
      <c r="H34" s="24">
        <f>SUM('- 24 -'!D34,'- 24 -'!B34)</f>
        <v>0</v>
      </c>
      <c r="I34" s="355">
        <f>H34/'- 3 -'!D34*100</f>
        <v>0</v>
      </c>
    </row>
    <row r="35" spans="1:9" ht="13.5" customHeight="1">
      <c r="A35" s="362" t="s">
        <v>239</v>
      </c>
      <c r="B35" s="363">
        <f>SUM('- 18 -'!B35,'- 18 -'!E35,'- 19 -'!B35,'- 19 -'!E35,'- 19 -'!H35,'- 20 -'!B35)</f>
        <v>87822130</v>
      </c>
      <c r="C35" s="364">
        <f>B35/'- 3 -'!D35*100</f>
        <v>58.244846135930196</v>
      </c>
      <c r="D35" s="363">
        <f>B35/'- 7 -'!C35</f>
        <v>5438.23951947489</v>
      </c>
      <c r="E35" s="363">
        <f>SUM('- 21 -'!B35,'- 21 -'!E35,'- 21 -'!H35,'- 22 -'!B35,'- 22 -'!E35,'- 22 -'!H35,'- 23 -'!B35)</f>
        <v>27020552</v>
      </c>
      <c r="F35" s="364">
        <f>E35/'- 3 -'!D35*100</f>
        <v>17.92040222376639</v>
      </c>
      <c r="G35" s="363">
        <f>E35/'- 7 -'!F35</f>
        <v>1655.5696342135898</v>
      </c>
      <c r="H35" s="363">
        <f>SUM('- 24 -'!D35,'- 24 -'!B35)</f>
        <v>0</v>
      </c>
      <c r="I35" s="364">
        <f>H35/'- 3 -'!D35*100</f>
        <v>0</v>
      </c>
    </row>
    <row r="36" spans="1:9" ht="13.5" customHeight="1">
      <c r="A36" s="23" t="s">
        <v>240</v>
      </c>
      <c r="B36" s="24">
        <f>SUM('- 18 -'!B36,'- 18 -'!E36,'- 19 -'!B36,'- 19 -'!E36,'- 19 -'!H36,'- 20 -'!B36)</f>
        <v>11153605</v>
      </c>
      <c r="C36" s="355">
        <f>B36/'- 3 -'!D36*100</f>
        <v>58.04519608771723</v>
      </c>
      <c r="D36" s="24">
        <f>B36/'- 7 -'!C36</f>
        <v>6100.866972978886</v>
      </c>
      <c r="E36" s="24">
        <f>SUM('- 21 -'!B36,'- 21 -'!E36,'- 21 -'!H36,'- 22 -'!B36,'- 22 -'!E36,'- 22 -'!H36,'- 23 -'!B36)</f>
        <v>2657245</v>
      </c>
      <c r="F36" s="355">
        <f>E36/'- 3 -'!D36*100</f>
        <v>13.828740311146593</v>
      </c>
      <c r="G36" s="24">
        <f>E36/'- 7 -'!F36</f>
        <v>1445.7263329706202</v>
      </c>
      <c r="H36" s="24">
        <f>SUM('- 24 -'!D36,'- 24 -'!B36)</f>
        <v>0</v>
      </c>
      <c r="I36" s="355">
        <f>H36/'- 3 -'!D36*100</f>
        <v>0</v>
      </c>
    </row>
    <row r="37" spans="1:9" ht="13.5" customHeight="1">
      <c r="A37" s="362" t="s">
        <v>241</v>
      </c>
      <c r="B37" s="363">
        <f>SUM('- 18 -'!B37,'- 18 -'!E37,'- 19 -'!B37,'- 19 -'!E37,'- 19 -'!H37,'- 20 -'!B37)</f>
        <v>18552249</v>
      </c>
      <c r="C37" s="364">
        <f>B37/'- 3 -'!D37*100</f>
        <v>56.308540314470726</v>
      </c>
      <c r="D37" s="363">
        <f>B37/'- 7 -'!C37</f>
        <v>5354.957136671958</v>
      </c>
      <c r="E37" s="363">
        <f>SUM('- 21 -'!B37,'- 21 -'!E37,'- 21 -'!H37,'- 22 -'!B37,'- 22 -'!E37,'- 22 -'!H37,'- 23 -'!B37)</f>
        <v>6213017</v>
      </c>
      <c r="F37" s="364">
        <f>E37/'- 3 -'!D37*100</f>
        <v>18.857331971934613</v>
      </c>
      <c r="G37" s="363">
        <f>E37/'- 7 -'!F37</f>
        <v>1793.3372781065088</v>
      </c>
      <c r="H37" s="363">
        <f>SUM('- 24 -'!D37,'- 24 -'!B37)</f>
        <v>0</v>
      </c>
      <c r="I37" s="364">
        <f>H37/'- 3 -'!D37*100</f>
        <v>0</v>
      </c>
    </row>
    <row r="38" spans="1:9" ht="13.5" customHeight="1">
      <c r="A38" s="23" t="s">
        <v>242</v>
      </c>
      <c r="B38" s="24">
        <f>SUM('- 18 -'!B38,'- 18 -'!E38,'- 19 -'!B38,'- 19 -'!E38,'- 19 -'!H38,'- 20 -'!B38)</f>
        <v>51673779</v>
      </c>
      <c r="C38" s="355">
        <f>B38/'- 3 -'!D38*100</f>
        <v>61.96053521258151</v>
      </c>
      <c r="D38" s="24">
        <f>B38/'- 7 -'!C38</f>
        <v>5885.396241457859</v>
      </c>
      <c r="E38" s="24">
        <f>SUM('- 21 -'!B38,'- 21 -'!E38,'- 21 -'!H38,'- 22 -'!B38,'- 22 -'!E38,'- 22 -'!H38,'- 23 -'!B38)</f>
        <v>11303737</v>
      </c>
      <c r="F38" s="355">
        <f>E38/'- 3 -'!D38*100</f>
        <v>13.553984399365499</v>
      </c>
      <c r="G38" s="24">
        <f>E38/'- 7 -'!F38</f>
        <v>1284.953620552461</v>
      </c>
      <c r="H38" s="24">
        <f>SUM('- 24 -'!D38,'- 24 -'!B38)</f>
        <v>289794</v>
      </c>
      <c r="I38" s="355">
        <f>H38/'- 3 -'!D38*100</f>
        <v>0.3474836113959238</v>
      </c>
    </row>
    <row r="39" spans="1:9" ht="13.5" customHeight="1">
      <c r="A39" s="362" t="s">
        <v>243</v>
      </c>
      <c r="B39" s="363">
        <f>SUM('- 18 -'!B39,'- 18 -'!E39,'- 19 -'!B39,'- 19 -'!E39,'- 19 -'!H39,'- 20 -'!B39)</f>
        <v>9990220</v>
      </c>
      <c r="C39" s="364">
        <f>B39/'- 3 -'!D39*100</f>
        <v>58.042840831791956</v>
      </c>
      <c r="D39" s="363">
        <f>B39/'- 7 -'!C39</f>
        <v>6117.709736680955</v>
      </c>
      <c r="E39" s="363">
        <f>SUM('- 21 -'!B39,'- 21 -'!E39,'- 21 -'!H39,'- 22 -'!B39,'- 22 -'!E39,'- 22 -'!H39,'- 23 -'!B39)</f>
        <v>2398750</v>
      </c>
      <c r="F39" s="364">
        <f>E39/'- 3 -'!D39*100</f>
        <v>13.93665649457779</v>
      </c>
      <c r="G39" s="363">
        <f>E39/'- 7 -'!F39</f>
        <v>1468.922229026332</v>
      </c>
      <c r="H39" s="363">
        <f>SUM('- 24 -'!D39,'- 24 -'!B39)</f>
        <v>0</v>
      </c>
      <c r="I39" s="364">
        <f>H39/'- 3 -'!D39*100</f>
        <v>0</v>
      </c>
    </row>
    <row r="40" spans="1:9" ht="13.5" customHeight="1">
      <c r="A40" s="23" t="s">
        <v>244</v>
      </c>
      <c r="B40" s="24">
        <f>SUM('- 18 -'!B40,'- 18 -'!E40,'- 19 -'!B40,'- 19 -'!E40,'- 19 -'!H40,'- 20 -'!B40)</f>
        <v>49892600</v>
      </c>
      <c r="C40" s="355">
        <f>B40/'- 3 -'!D40*100</f>
        <v>59.29027593413919</v>
      </c>
      <c r="D40" s="24">
        <f>B40/'- 7 -'!C40</f>
        <v>5980.461726560065</v>
      </c>
      <c r="E40" s="24">
        <f>SUM('- 21 -'!B40,'- 21 -'!E40,'- 21 -'!H40,'- 22 -'!B40,'- 22 -'!E40,'- 22 -'!H40,'- 23 -'!B40)</f>
        <v>14631472</v>
      </c>
      <c r="F40" s="355">
        <f>E40/'- 3 -'!D40*100</f>
        <v>17.387428440342486</v>
      </c>
      <c r="G40" s="24">
        <f>E40/'- 7 -'!F40</f>
        <v>1750.8881602565637</v>
      </c>
      <c r="H40" s="24">
        <f>SUM('- 24 -'!D40,'- 24 -'!B40)</f>
        <v>0</v>
      </c>
      <c r="I40" s="355">
        <f>H40/'- 3 -'!D40*100</f>
        <v>0</v>
      </c>
    </row>
    <row r="41" spans="1:9" ht="13.5" customHeight="1">
      <c r="A41" s="362" t="s">
        <v>245</v>
      </c>
      <c r="B41" s="363">
        <f>SUM('- 18 -'!B41,'- 18 -'!E41,'- 19 -'!B41,'- 19 -'!E41,'- 19 -'!H41,'- 20 -'!B41)</f>
        <v>27537311</v>
      </c>
      <c r="C41" s="364">
        <f>B41/'- 3 -'!D41*100</f>
        <v>53.73042747821505</v>
      </c>
      <c r="D41" s="363">
        <f>B41/'- 7 -'!C41</f>
        <v>6016.45422766004</v>
      </c>
      <c r="E41" s="363">
        <f>SUM('- 21 -'!B41,'- 21 -'!E41,'- 21 -'!H41,'- 22 -'!B41,'- 22 -'!E41,'- 22 -'!H41,'- 23 -'!B41)</f>
        <v>10096685</v>
      </c>
      <c r="F41" s="364">
        <f>E41/'- 3 -'!D41*100</f>
        <v>19.700514736637928</v>
      </c>
      <c r="G41" s="363">
        <f>E41/'- 7 -'!F41</f>
        <v>2181.1806005616763</v>
      </c>
      <c r="H41" s="363">
        <f>SUM('- 24 -'!D41,'- 24 -'!B41)</f>
        <v>975450</v>
      </c>
      <c r="I41" s="364">
        <f>H41/'- 3 -'!D41*100</f>
        <v>1.9032848008879615</v>
      </c>
    </row>
    <row r="42" spans="1:9" ht="13.5" customHeight="1">
      <c r="A42" s="23" t="s">
        <v>246</v>
      </c>
      <c r="B42" s="24">
        <f>SUM('- 18 -'!B42,'- 18 -'!E42,'- 19 -'!B42,'- 19 -'!E42,'- 19 -'!H42,'- 20 -'!B42)</f>
        <v>9746280</v>
      </c>
      <c r="C42" s="355">
        <f>B42/'- 3 -'!D42*100</f>
        <v>54.99038344788488</v>
      </c>
      <c r="D42" s="24">
        <f>B42/'- 7 -'!C42</f>
        <v>5986.6584766584765</v>
      </c>
      <c r="E42" s="24">
        <f>SUM('- 21 -'!B42,'- 21 -'!E42,'- 21 -'!H42,'- 22 -'!B42,'- 22 -'!E42,'- 22 -'!H42,'- 23 -'!B42)</f>
        <v>3083382</v>
      </c>
      <c r="F42" s="355">
        <f>E42/'- 3 -'!D42*100</f>
        <v>17.39703338056224</v>
      </c>
      <c r="G42" s="24">
        <f>E42/'- 7 -'!F42</f>
        <v>1893.9692874692876</v>
      </c>
      <c r="H42" s="24">
        <f>SUM('- 24 -'!D42,'- 24 -'!B42)</f>
        <v>0</v>
      </c>
      <c r="I42" s="355">
        <f>H42/'- 3 -'!D42*100</f>
        <v>0</v>
      </c>
    </row>
    <row r="43" spans="1:9" ht="13.5" customHeight="1">
      <c r="A43" s="362" t="s">
        <v>247</v>
      </c>
      <c r="B43" s="363">
        <f>SUM('- 18 -'!B43,'- 18 -'!E43,'- 19 -'!B43,'- 19 -'!E43,'- 19 -'!H43,'- 20 -'!B43)</f>
        <v>5594506</v>
      </c>
      <c r="C43" s="364">
        <f>B43/'- 3 -'!D43*100</f>
        <v>54.264341406485215</v>
      </c>
      <c r="D43" s="363">
        <f>B43/'- 7 -'!C43</f>
        <v>5569.443504230961</v>
      </c>
      <c r="E43" s="363">
        <f>SUM('- 21 -'!B43,'- 21 -'!E43,'- 21 -'!H43,'- 22 -'!B43,'- 22 -'!E43,'- 22 -'!H43,'- 23 -'!B43)</f>
        <v>1846704</v>
      </c>
      <c r="F43" s="364">
        <f>E43/'- 3 -'!D43*100</f>
        <v>17.91224753941132</v>
      </c>
      <c r="G43" s="363">
        <f>E43/'- 7 -'!F43</f>
        <v>1838.4310602289697</v>
      </c>
      <c r="H43" s="363">
        <f>SUM('- 24 -'!D43,'- 24 -'!B43)</f>
        <v>143000</v>
      </c>
      <c r="I43" s="364">
        <f>H43/'- 3 -'!D43*100</f>
        <v>1.3870395028850422</v>
      </c>
    </row>
    <row r="44" spans="1:9" ht="13.5" customHeight="1">
      <c r="A44" s="23" t="s">
        <v>248</v>
      </c>
      <c r="B44" s="24">
        <f>SUM('- 18 -'!B44,'- 18 -'!E44,'- 19 -'!B44,'- 19 -'!E44,'- 19 -'!H44,'- 20 -'!B44)</f>
        <v>4763275</v>
      </c>
      <c r="C44" s="355">
        <f>B44/'- 3 -'!D44*100</f>
        <v>56.25539063351629</v>
      </c>
      <c r="D44" s="24">
        <f>B44/'- 7 -'!C44</f>
        <v>6106.76282051282</v>
      </c>
      <c r="E44" s="24">
        <f>SUM('- 21 -'!B44,'- 21 -'!E44,'- 21 -'!H44,'- 22 -'!B44,'- 22 -'!E44,'- 22 -'!H44,'- 23 -'!B44)</f>
        <v>1298735</v>
      </c>
      <c r="F44" s="355">
        <f>E44/'- 3 -'!D44*100</f>
        <v>15.338363784249234</v>
      </c>
      <c r="G44" s="24">
        <f>E44/'- 7 -'!F44</f>
        <v>1665.0448717948718</v>
      </c>
      <c r="H44" s="24">
        <f>SUM('- 24 -'!D44,'- 24 -'!B44)</f>
        <v>0</v>
      </c>
      <c r="I44" s="355">
        <f>H44/'- 3 -'!D44*100</f>
        <v>0</v>
      </c>
    </row>
    <row r="45" spans="1:9" ht="13.5" customHeight="1">
      <c r="A45" s="362" t="s">
        <v>249</v>
      </c>
      <c r="B45" s="363">
        <f>SUM('- 18 -'!B45,'- 18 -'!E45,'- 19 -'!B45,'- 19 -'!E45,'- 19 -'!H45,'- 20 -'!B45)</f>
        <v>7559187</v>
      </c>
      <c r="C45" s="364">
        <f>B45/'- 3 -'!D45*100</f>
        <v>58.045953842514066</v>
      </c>
      <c r="D45" s="363">
        <f>B45/'- 7 -'!C45</f>
        <v>4999.462301587301</v>
      </c>
      <c r="E45" s="363">
        <f>SUM('- 21 -'!B45,'- 21 -'!E45,'- 21 -'!H45,'- 22 -'!B45,'- 22 -'!E45,'- 22 -'!H45,'- 23 -'!B45)</f>
        <v>2005285</v>
      </c>
      <c r="F45" s="364">
        <f>E45/'- 3 -'!D45*100</f>
        <v>15.398306795570187</v>
      </c>
      <c r="G45" s="363">
        <f>E45/'- 7 -'!F45</f>
        <v>1319.266447368421</v>
      </c>
      <c r="H45" s="363">
        <f>SUM('- 24 -'!D45,'- 24 -'!B45)</f>
        <v>371675</v>
      </c>
      <c r="I45" s="364">
        <f>H45/'- 3 -'!D45*100</f>
        <v>2.8540410356849772</v>
      </c>
    </row>
    <row r="46" spans="1:9" ht="13.5" customHeight="1">
      <c r="A46" s="23" t="s">
        <v>250</v>
      </c>
      <c r="B46" s="24">
        <f>SUM('- 18 -'!B46,'- 18 -'!E46,'- 19 -'!B46,'- 19 -'!E46,'- 19 -'!H46,'- 20 -'!B46)</f>
        <v>162889200</v>
      </c>
      <c r="C46" s="355">
        <f>B46/'- 3 -'!D46*100</f>
        <v>53.167060740458346</v>
      </c>
      <c r="D46" s="24">
        <f>B46/'- 7 -'!C46</f>
        <v>5587.390663053545</v>
      </c>
      <c r="E46" s="24">
        <f>SUM('- 21 -'!B46,'- 21 -'!E46,'- 21 -'!H46,'- 22 -'!B46,'- 22 -'!E46,'- 22 -'!H46,'- 23 -'!B46)</f>
        <v>68520100</v>
      </c>
      <c r="F46" s="355">
        <f>E46/'- 3 -'!D46*100</f>
        <v>22.364971518322147</v>
      </c>
      <c r="G46" s="24">
        <f>E46/'- 7 -'!F46</f>
        <v>2254.6181435293342</v>
      </c>
      <c r="H46" s="24">
        <f>SUM('- 24 -'!D46,'- 24 -'!B46)</f>
        <v>540000</v>
      </c>
      <c r="I46" s="355">
        <f>H46/'- 3 -'!D46*100</f>
        <v>0.1762560857309601</v>
      </c>
    </row>
    <row r="47" spans="1:10" ht="4.5" customHeight="1">
      <c r="A47"/>
      <c r="B47"/>
      <c r="C47"/>
      <c r="D47"/>
      <c r="E47"/>
      <c r="F47"/>
      <c r="G47"/>
      <c r="H47"/>
      <c r="I47"/>
      <c r="J47"/>
    </row>
    <row r="48" spans="1:9" ht="13.5" customHeight="1">
      <c r="A48" s="365" t="s">
        <v>251</v>
      </c>
      <c r="B48" s="366">
        <f>SUM(B11:B46)</f>
        <v>963363511</v>
      </c>
      <c r="C48" s="367">
        <f>B48/'- 3 -'!D48*100</f>
        <v>55.75936273898863</v>
      </c>
      <c r="D48" s="366">
        <f>B48/'- 7 -'!C48</f>
        <v>5679.00354934744</v>
      </c>
      <c r="E48" s="366">
        <f>SUM(E11:E46)</f>
        <v>313852995.506032</v>
      </c>
      <c r="F48" s="367">
        <f>E48/'- 3 -'!D48*100</f>
        <v>18.165773172136475</v>
      </c>
      <c r="G48" s="366">
        <f>E48/'- 7 -'!F48</f>
        <v>1821.9142816417361</v>
      </c>
      <c r="H48" s="366">
        <f>SUM(H11:H46)</f>
        <v>6222469</v>
      </c>
      <c r="I48" s="367">
        <f>H48/'- 3 -'!D48*100</f>
        <v>0.36015574821072066</v>
      </c>
    </row>
    <row r="49" spans="1:9" ht="4.5" customHeight="1">
      <c r="A49" s="25" t="s">
        <v>3</v>
      </c>
      <c r="B49" s="26"/>
      <c r="C49" s="353"/>
      <c r="D49" s="26"/>
      <c r="E49" s="26"/>
      <c r="F49" s="353"/>
      <c r="H49" s="26"/>
      <c r="I49" s="353"/>
    </row>
    <row r="50" spans="1:9" ht="13.5" customHeight="1">
      <c r="A50" s="23" t="s">
        <v>252</v>
      </c>
      <c r="B50" s="24">
        <f>SUM('- 18 -'!B50,'- 18 -'!E50,'- 19 -'!B50,'- 19 -'!E50,'- 19 -'!H50,'- 20 -'!B50)</f>
        <v>1719243</v>
      </c>
      <c r="C50" s="355">
        <f>B50/'- 3 -'!D50*100</f>
        <v>60.49704014584799</v>
      </c>
      <c r="D50" s="24">
        <f>B50/'- 7 -'!C50</f>
        <v>8052.660421545667</v>
      </c>
      <c r="E50" s="24">
        <f>SUM('- 21 -'!B50,'- 21 -'!E50,'- 21 -'!H50,'- 22 -'!B50,'- 22 -'!E50,'- 22 -'!H50,'- 23 -'!B50)</f>
        <v>525915</v>
      </c>
      <c r="F50" s="355">
        <f>E50/'- 3 -'!D50*100</f>
        <v>18.505994131314562</v>
      </c>
      <c r="G50" s="24">
        <f>E50/'- 7 -'!F50</f>
        <v>2463.3021077283374</v>
      </c>
      <c r="H50" s="24">
        <f>SUM('- 24 -'!D50,'- 24 -'!B50)</f>
        <v>0</v>
      </c>
      <c r="I50" s="355">
        <f>H50/'- 3 -'!D50*100</f>
        <v>0</v>
      </c>
    </row>
    <row r="51" spans="1:9" ht="13.5" customHeight="1">
      <c r="A51" s="362" t="s">
        <v>253</v>
      </c>
      <c r="B51" s="363">
        <f>SUM('- 18 -'!B51,'- 18 -'!E51,'- 19 -'!B51,'- 19 -'!E51,'- 19 -'!H51,'- 20 -'!B51)</f>
        <v>4717534</v>
      </c>
      <c r="C51" s="364">
        <f>B51/'- 3 -'!D51*100</f>
        <v>38.878276475585814</v>
      </c>
      <c r="D51" s="363">
        <f>B51/'- 7 -'!C51</f>
        <v>7560.150641025641</v>
      </c>
      <c r="E51" s="363">
        <f>SUM('- 21 -'!B51,'- 21 -'!E51,'- 21 -'!H51,'- 22 -'!B51,'- 22 -'!E51,'- 22 -'!H51,'- 23 -'!B51)</f>
        <v>862832</v>
      </c>
      <c r="F51" s="364">
        <f>E51/'- 3 -'!D51*100</f>
        <v>7.110795820015851</v>
      </c>
      <c r="G51" s="363">
        <f>E51/'- 7 -'!F51</f>
        <v>1382.7435897435898</v>
      </c>
      <c r="H51" s="363">
        <f>SUM('- 24 -'!D51,'- 24 -'!B51)</f>
        <v>1916999</v>
      </c>
      <c r="I51" s="364">
        <f>H51/'- 3 -'!D51*100</f>
        <v>15.798427128542484</v>
      </c>
    </row>
    <row r="52" spans="1:9" ht="49.5" customHeight="1">
      <c r="A52"/>
      <c r="B52"/>
      <c r="C52"/>
      <c r="D52"/>
      <c r="E52"/>
      <c r="F52"/>
      <c r="G52"/>
      <c r="H52"/>
      <c r="I52"/>
    </row>
    <row r="53" spans="1:9" ht="15" customHeight="1">
      <c r="A53"/>
      <c r="B53"/>
      <c r="C53"/>
      <c r="D53"/>
      <c r="E53"/>
      <c r="F53"/>
      <c r="G53"/>
      <c r="H53"/>
      <c r="I53"/>
    </row>
    <row r="54" spans="2:9" ht="14.25" customHeight="1">
      <c r="B54" s="94"/>
      <c r="C54" s="94"/>
      <c r="E54" s="94"/>
      <c r="F54" s="94"/>
      <c r="H54" s="94"/>
      <c r="I54" s="94"/>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54"/>
  <sheetViews>
    <sheetView showGridLines="0" showZeros="0" workbookViewId="0" topLeftCell="A1">
      <selection activeCell="A2" sqref="A2"/>
    </sheetView>
  </sheetViews>
  <sheetFormatPr defaultColWidth="15.83203125" defaultRowHeight="12"/>
  <cols>
    <col min="1" max="1" width="30.83203125" style="1" customWidth="1"/>
    <col min="2" max="2" width="21.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ustomWidth="1"/>
  </cols>
  <sheetData>
    <row r="1" spans="1:9" ht="6.75" customHeight="1">
      <c r="A1" s="3"/>
      <c r="B1" s="4"/>
      <c r="C1" s="4"/>
      <c r="D1" s="4"/>
      <c r="E1" s="4"/>
      <c r="F1" s="4"/>
      <c r="G1" s="4"/>
      <c r="H1" s="4"/>
      <c r="I1" s="4"/>
    </row>
    <row r="2" spans="1:9" ht="15.75" customHeight="1">
      <c r="A2" s="167"/>
      <c r="B2" s="5" t="s">
        <v>495</v>
      </c>
      <c r="C2" s="6"/>
      <c r="D2" s="6"/>
      <c r="E2" s="6"/>
      <c r="F2" s="6"/>
      <c r="G2" s="108"/>
      <c r="H2" s="119"/>
      <c r="I2" s="190" t="s">
        <v>4</v>
      </c>
    </row>
    <row r="3" spans="1:9" ht="15.75" customHeight="1">
      <c r="A3" s="170"/>
      <c r="B3" s="7" t="str">
        <f>OPYEAR</f>
        <v>OPERATING FUND 2008/2009 BUDGET</v>
      </c>
      <c r="C3" s="8"/>
      <c r="D3" s="8"/>
      <c r="E3" s="8"/>
      <c r="F3" s="8"/>
      <c r="G3" s="110"/>
      <c r="H3" s="103"/>
      <c r="I3" s="103"/>
    </row>
    <row r="4" spans="2:9" ht="15.75" customHeight="1">
      <c r="B4" s="4"/>
      <c r="C4" s="4"/>
      <c r="D4" s="4"/>
      <c r="E4" s="4"/>
      <c r="F4" s="4"/>
      <c r="G4" s="4"/>
      <c r="H4" s="4"/>
      <c r="I4" s="4"/>
    </row>
    <row r="5" spans="2:9" ht="15.75" customHeight="1">
      <c r="B5" s="4"/>
      <c r="C5" s="4"/>
      <c r="D5" s="4"/>
      <c r="E5" s="4"/>
      <c r="F5" s="4"/>
      <c r="G5" s="4"/>
      <c r="H5" s="4"/>
      <c r="I5" s="4"/>
    </row>
    <row r="6" spans="2:9" ht="15.75" customHeight="1">
      <c r="B6" s="356" t="s">
        <v>50</v>
      </c>
      <c r="C6" s="357"/>
      <c r="D6" s="356" t="s">
        <v>169</v>
      </c>
      <c r="E6" s="357"/>
      <c r="F6" s="358"/>
      <c r="G6" s="356" t="s">
        <v>469</v>
      </c>
      <c r="H6" s="357"/>
      <c r="I6" s="358"/>
    </row>
    <row r="7" spans="2:9" ht="15.75" customHeight="1">
      <c r="B7" s="359" t="s">
        <v>196</v>
      </c>
      <c r="C7" s="360"/>
      <c r="D7" s="359" t="s">
        <v>30</v>
      </c>
      <c r="E7" s="360"/>
      <c r="F7" s="361"/>
      <c r="G7" s="359" t="s">
        <v>36</v>
      </c>
      <c r="H7" s="360"/>
      <c r="I7" s="361"/>
    </row>
    <row r="8" spans="1:9" ht="15.75" customHeight="1">
      <c r="A8" s="104"/>
      <c r="B8" s="10" t="s">
        <v>3</v>
      </c>
      <c r="C8" s="241"/>
      <c r="D8" s="176"/>
      <c r="E8" s="175"/>
      <c r="F8" s="175" t="s">
        <v>59</v>
      </c>
      <c r="G8" s="176"/>
      <c r="H8" s="175"/>
      <c r="I8" s="175" t="s">
        <v>59</v>
      </c>
    </row>
    <row r="9" spans="1:9" ht="15.75" customHeight="1">
      <c r="A9" s="35" t="s">
        <v>79</v>
      </c>
      <c r="B9" s="115" t="s">
        <v>80</v>
      </c>
      <c r="C9" s="115" t="s">
        <v>81</v>
      </c>
      <c r="D9" s="115" t="s">
        <v>80</v>
      </c>
      <c r="E9" s="115" t="s">
        <v>81</v>
      </c>
      <c r="F9" s="115" t="s">
        <v>82</v>
      </c>
      <c r="G9" s="115" t="s">
        <v>80</v>
      </c>
      <c r="H9" s="115" t="s">
        <v>81</v>
      </c>
      <c r="I9" s="115" t="s">
        <v>82</v>
      </c>
    </row>
    <row r="10" ht="4.5" customHeight="1">
      <c r="A10" s="37"/>
    </row>
    <row r="11" spans="1:9" ht="13.5" customHeight="1">
      <c r="A11" s="362" t="s">
        <v>216</v>
      </c>
      <c r="B11" s="363">
        <f>SUM('- 25 -'!H11,'- 25 -'!F11,'- 25 -'!D11,'- 25 -'!B11)</f>
        <v>14629</v>
      </c>
      <c r="C11" s="364">
        <f>B11/'- 3 -'!D11*100</f>
        <v>0.10930386684190353</v>
      </c>
      <c r="D11" s="363">
        <f>SUM('- 26 -'!B11,'- 26 -'!E11,'- 26 -'!H11,'- 27 -'!B11)</f>
        <v>520098</v>
      </c>
      <c r="E11" s="364">
        <f>D11/'- 3 -'!D11*100</f>
        <v>3.886029293645522</v>
      </c>
      <c r="F11" s="363">
        <f>D11/'- 7 -'!F11</f>
        <v>368.0806794055202</v>
      </c>
      <c r="G11" s="363">
        <f>SUM('- 28 -'!B11,'- 28 -'!E11,'- 28 -'!H11,'- 29 -'!B11,'- 29 -'!E11)</f>
        <v>300203</v>
      </c>
      <c r="H11" s="364">
        <f>G11/'- 3 -'!D11*100</f>
        <v>2.243034297459838</v>
      </c>
      <c r="I11" s="363">
        <f>G11/'- 7 -'!F11</f>
        <v>212.45789101203113</v>
      </c>
    </row>
    <row r="12" spans="1:9" ht="13.5" customHeight="1">
      <c r="A12" s="23" t="s">
        <v>217</v>
      </c>
      <c r="B12" s="24">
        <f>SUM('- 25 -'!H12,'- 25 -'!F12,'- 25 -'!D12,'- 25 -'!B12)</f>
        <v>25187</v>
      </c>
      <c r="C12" s="355">
        <f>B12/'- 3 -'!D12*100</f>
        <v>0.10025431167774658</v>
      </c>
      <c r="D12" s="24">
        <f>SUM('- 26 -'!B12,'- 26 -'!E12,'- 26 -'!H12,'- 27 -'!B12)</f>
        <v>880959</v>
      </c>
      <c r="E12" s="355">
        <f>D12/'- 3 -'!D12*100</f>
        <v>3.5065683948590913</v>
      </c>
      <c r="F12" s="24">
        <f>D12/'- 7 -'!F12</f>
        <v>380.8728923476005</v>
      </c>
      <c r="G12" s="24">
        <f>SUM('- 28 -'!B12,'- 28 -'!E12,'- 28 -'!H12,'- 29 -'!B12,'- 29 -'!E12)</f>
        <v>658545</v>
      </c>
      <c r="H12" s="355">
        <f>G12/'- 3 -'!D12*100</f>
        <v>2.621271913440331</v>
      </c>
      <c r="I12" s="24">
        <f>G12/'- 7 -'!F12</f>
        <v>284.71465629053176</v>
      </c>
    </row>
    <row r="13" spans="1:9" ht="13.5" customHeight="1">
      <c r="A13" s="362" t="s">
        <v>218</v>
      </c>
      <c r="B13" s="363">
        <f>SUM('- 25 -'!H13,'- 25 -'!F13,'- 25 -'!D13,'- 25 -'!B13)</f>
        <v>121300</v>
      </c>
      <c r="C13" s="364">
        <f>B13/'- 3 -'!D13*100</f>
        <v>0.20620028796643677</v>
      </c>
      <c r="D13" s="363">
        <f>SUM('- 26 -'!B13,'- 26 -'!E13,'- 26 -'!H13,'- 27 -'!B13)</f>
        <v>1973100</v>
      </c>
      <c r="E13" s="364">
        <f>D13/'- 3 -'!D13*100</f>
        <v>3.3541120213237954</v>
      </c>
      <c r="F13" s="363">
        <f>D13/'- 7 -'!F13</f>
        <v>291.2551954501458</v>
      </c>
      <c r="G13" s="363">
        <f>SUM('- 28 -'!B13,'- 28 -'!E13,'- 28 -'!H13,'- 29 -'!B13,'- 29 -'!E13)</f>
        <v>1815600</v>
      </c>
      <c r="H13" s="364">
        <f>G13/'- 3 -'!D13*100</f>
        <v>3.086374631754844</v>
      </c>
      <c r="I13" s="363">
        <f>G13/'- 7 -'!F13</f>
        <v>268.00614913551505</v>
      </c>
    </row>
    <row r="14" spans="1:9" ht="13.5" customHeight="1">
      <c r="A14" s="23" t="s">
        <v>254</v>
      </c>
      <c r="B14" s="24">
        <f>SUM('- 25 -'!H14,'- 25 -'!F14,'- 25 -'!D14,'- 25 -'!B14)</f>
        <v>595019</v>
      </c>
      <c r="C14" s="355">
        <f>B14/'- 3 -'!D14*100</f>
        <v>1.0461857811892308</v>
      </c>
      <c r="D14" s="24">
        <f>SUM('- 26 -'!B14,'- 26 -'!E14,'- 26 -'!H14,'- 27 -'!B14)</f>
        <v>2277201</v>
      </c>
      <c r="E14" s="355">
        <f>D14/'- 3 -'!D14*100</f>
        <v>4.0038642583008235</v>
      </c>
      <c r="F14" s="24">
        <f>D14/'- 7 -'!F14</f>
        <v>470.98262668045504</v>
      </c>
      <c r="G14" s="24">
        <f>SUM('- 28 -'!B14,'- 28 -'!E14,'- 28 -'!H14,'- 29 -'!B14,'- 29 -'!E14)</f>
        <v>2011210</v>
      </c>
      <c r="H14" s="355">
        <f>G14/'- 3 -'!D14*100</f>
        <v>3.5361884326140727</v>
      </c>
      <c r="I14" s="24">
        <f>G14/'- 7 -'!F14</f>
        <v>415.9689762150982</v>
      </c>
    </row>
    <row r="15" spans="1:9" ht="13.5" customHeight="1">
      <c r="A15" s="362" t="s">
        <v>219</v>
      </c>
      <c r="B15" s="363">
        <f>SUM('- 25 -'!H15,'- 25 -'!F15,'- 25 -'!D15,'- 25 -'!B15)</f>
        <v>234515</v>
      </c>
      <c r="C15" s="364">
        <f>B15/'- 3 -'!D15*100</f>
        <v>1.4361874155528354</v>
      </c>
      <c r="D15" s="363">
        <f>SUM('- 26 -'!B15,'- 26 -'!E15,'- 26 -'!H15,'- 27 -'!B15)</f>
        <v>634130</v>
      </c>
      <c r="E15" s="364">
        <f>D15/'- 3 -'!D15*100</f>
        <v>3.883459590322663</v>
      </c>
      <c r="F15" s="363">
        <f>D15/'- 7 -'!F15</f>
        <v>396.70315921176103</v>
      </c>
      <c r="G15" s="363">
        <f>SUM('- 28 -'!B15,'- 28 -'!E15,'- 28 -'!H15,'- 29 -'!B15,'- 29 -'!E15)</f>
        <v>432327</v>
      </c>
      <c r="H15" s="364">
        <f>G15/'- 3 -'!D15*100</f>
        <v>2.647602911556662</v>
      </c>
      <c r="I15" s="363">
        <f>G15/'- 7 -'!F15</f>
        <v>270.45792930872693</v>
      </c>
    </row>
    <row r="16" spans="1:9" ht="13.5" customHeight="1">
      <c r="A16" s="23" t="s">
        <v>220</v>
      </c>
      <c r="B16" s="24">
        <f>SUM('- 25 -'!H16,'- 25 -'!F16,'- 25 -'!D16,'- 25 -'!B16)</f>
        <v>11413</v>
      </c>
      <c r="C16" s="355">
        <f>B16/'- 3 -'!D16*100</f>
        <v>0.1000938670515248</v>
      </c>
      <c r="D16" s="24">
        <f>SUM('- 26 -'!B16,'- 26 -'!E16,'- 26 -'!H16,'- 27 -'!B16)</f>
        <v>575791</v>
      </c>
      <c r="E16" s="355">
        <f>D16/'- 3 -'!D16*100</f>
        <v>5.049780759087401</v>
      </c>
      <c r="F16" s="24">
        <f>D16/'- 7 -'!F16</f>
        <v>534.8732001857873</v>
      </c>
      <c r="G16" s="24">
        <f>SUM('- 28 -'!B16,'- 28 -'!E16,'- 28 -'!H16,'- 29 -'!B16,'- 29 -'!E16)</f>
        <v>274886</v>
      </c>
      <c r="H16" s="355">
        <f>G16/'- 3 -'!D16*100</f>
        <v>2.4107949477197446</v>
      </c>
      <c r="I16" s="24">
        <f>G16/'- 7 -'!F16</f>
        <v>255.35160241523457</v>
      </c>
    </row>
    <row r="17" spans="1:9" ht="13.5" customHeight="1">
      <c r="A17" s="362" t="s">
        <v>221</v>
      </c>
      <c r="B17" s="363">
        <f>SUM('- 25 -'!H17,'- 25 -'!F17,'- 25 -'!D17,'- 25 -'!B17)</f>
        <v>55200</v>
      </c>
      <c r="C17" s="364">
        <f>B17/'- 3 -'!D17*100</f>
        <v>0.3759200080359712</v>
      </c>
      <c r="D17" s="363">
        <f>SUM('- 26 -'!B17,'- 26 -'!E17,'- 26 -'!H17,'- 27 -'!B17)</f>
        <v>599975</v>
      </c>
      <c r="E17" s="364">
        <f>D17/'- 3 -'!D17*100</f>
        <v>4.0859167902424245</v>
      </c>
      <c r="F17" s="363">
        <f>D17/'- 7 -'!F17</f>
        <v>435.07976794778824</v>
      </c>
      <c r="G17" s="363">
        <f>SUM('- 28 -'!B17,'- 28 -'!E17,'- 28 -'!H17,'- 29 -'!B17,'- 29 -'!E17)</f>
        <v>397306</v>
      </c>
      <c r="H17" s="364">
        <f>G17/'- 3 -'!D17*100</f>
        <v>2.7057114984191952</v>
      </c>
      <c r="I17" s="363">
        <f>G17/'- 7 -'!F17</f>
        <v>288.11167512690355</v>
      </c>
    </row>
    <row r="18" spans="1:9" ht="13.5" customHeight="1">
      <c r="A18" s="23" t="s">
        <v>222</v>
      </c>
      <c r="B18" s="24">
        <f>SUM('- 25 -'!H18,'- 25 -'!F18,'- 25 -'!D18,'- 25 -'!B18)</f>
        <v>1819716</v>
      </c>
      <c r="C18" s="355">
        <f>B18/'- 3 -'!D18*100</f>
        <v>1.8187514433595287</v>
      </c>
      <c r="D18" s="24">
        <f>SUM('- 26 -'!B18,'- 26 -'!E18,'- 26 -'!H18,'- 27 -'!B18)</f>
        <v>5748802</v>
      </c>
      <c r="E18" s="355">
        <f>D18/'- 3 -'!D18*100</f>
        <v>5.745754796401276</v>
      </c>
      <c r="F18" s="24">
        <f>D18/'- 7 -'!F18</f>
        <v>988.8540663272327</v>
      </c>
      <c r="G18" s="24">
        <f>SUM('- 28 -'!B18,'- 28 -'!E18,'- 28 -'!H18,'- 29 -'!B18,'- 29 -'!E18)</f>
        <v>5500407</v>
      </c>
      <c r="H18" s="355">
        <f>G18/'- 3 -'!D18*100</f>
        <v>5.497491460378902</v>
      </c>
      <c r="I18" s="24">
        <f>G18/'- 7 -'!F18</f>
        <v>946.127528553736</v>
      </c>
    </row>
    <row r="19" spans="1:9" ht="13.5" customHeight="1">
      <c r="A19" s="362" t="s">
        <v>223</v>
      </c>
      <c r="B19" s="363">
        <f>SUM('- 25 -'!H19,'- 25 -'!F19,'- 25 -'!D19,'- 25 -'!B19)</f>
        <v>40300</v>
      </c>
      <c r="C19" s="364">
        <f>B19/'- 3 -'!D19*100</f>
        <v>0.13896534952457817</v>
      </c>
      <c r="D19" s="363">
        <f>SUM('- 26 -'!B19,'- 26 -'!E19,'- 26 -'!H19,'- 27 -'!B19)</f>
        <v>981910</v>
      </c>
      <c r="E19" s="364">
        <f>D19/'- 3 -'!D19*100</f>
        <v>3.385892465302197</v>
      </c>
      <c r="F19" s="363">
        <f>D19/'- 7 -'!F19</f>
        <v>257.3139412997904</v>
      </c>
      <c r="G19" s="363">
        <f>SUM('- 28 -'!B19,'- 28 -'!E19,'- 28 -'!H19,'- 29 -'!B19,'- 29 -'!E19)</f>
        <v>667250</v>
      </c>
      <c r="H19" s="364">
        <f>G19/'- 3 -'!D19*100</f>
        <v>2.3008592920663715</v>
      </c>
      <c r="I19" s="363">
        <f>G19/'- 7 -'!F19</f>
        <v>174.85587002096437</v>
      </c>
    </row>
    <row r="20" spans="1:9" ht="13.5" customHeight="1">
      <c r="A20" s="23" t="s">
        <v>224</v>
      </c>
      <c r="B20" s="24">
        <f>SUM('- 25 -'!H20,'- 25 -'!F20,'- 25 -'!D20,'- 25 -'!B20)</f>
        <v>89650</v>
      </c>
      <c r="C20" s="355">
        <f>B20/'- 3 -'!D20*100</f>
        <v>0.16223969315834624</v>
      </c>
      <c r="D20" s="24">
        <f>SUM('- 26 -'!B20,'- 26 -'!E20,'- 26 -'!H20,'- 27 -'!B20)</f>
        <v>1561753</v>
      </c>
      <c r="E20" s="355">
        <f>D20/'- 3 -'!D20*100</f>
        <v>2.8263059398675594</v>
      </c>
      <c r="F20" s="24">
        <f>D20/'- 7 -'!F20</f>
        <v>217.5143454038997</v>
      </c>
      <c r="G20" s="24">
        <f>SUM('- 28 -'!B20,'- 28 -'!E20,'- 28 -'!H20,'- 29 -'!B20,'- 29 -'!E20)</f>
        <v>1722958</v>
      </c>
      <c r="H20" s="355">
        <f>G20/'- 3 -'!D20*100</f>
        <v>3.1180387868903283</v>
      </c>
      <c r="I20" s="24">
        <f>G20/'- 7 -'!F20</f>
        <v>239.96629526462397</v>
      </c>
    </row>
    <row r="21" spans="1:9" ht="13.5" customHeight="1">
      <c r="A21" s="362" t="s">
        <v>225</v>
      </c>
      <c r="B21" s="363">
        <f>SUM('- 25 -'!H21,'- 25 -'!F21,'- 25 -'!D21,'- 25 -'!B21)</f>
        <v>110000</v>
      </c>
      <c r="C21" s="364">
        <f>B21/'- 3 -'!D21*100</f>
        <v>0.3868635215834676</v>
      </c>
      <c r="D21" s="363">
        <f>SUM('- 26 -'!B21,'- 26 -'!E21,'- 26 -'!H21,'- 27 -'!B21)</f>
        <v>1032500</v>
      </c>
      <c r="E21" s="364">
        <f>D21/'- 3 -'!D21*100</f>
        <v>3.6312416912266388</v>
      </c>
      <c r="F21" s="363">
        <f>D21/'- 7 -'!F21</f>
        <v>347.00050411695514</v>
      </c>
      <c r="G21" s="363">
        <f>SUM('- 28 -'!B21,'- 28 -'!E21,'- 28 -'!H21,'- 29 -'!B21,'- 29 -'!E21)</f>
        <v>1126300</v>
      </c>
      <c r="H21" s="364">
        <f>G21/'- 3 -'!D21*100</f>
        <v>3.9611307669041773</v>
      </c>
      <c r="I21" s="363">
        <f>G21/'- 7 -'!F21</f>
        <v>378.524617711309</v>
      </c>
    </row>
    <row r="22" spans="1:9" ht="13.5" customHeight="1">
      <c r="A22" s="23" t="s">
        <v>226</v>
      </c>
      <c r="B22" s="24">
        <f>SUM('- 25 -'!H22,'- 25 -'!F22,'- 25 -'!D22,'- 25 -'!B22)</f>
        <v>75940</v>
      </c>
      <c r="C22" s="355">
        <f>B22/'- 3 -'!D22*100</f>
        <v>0.4736821948015219</v>
      </c>
      <c r="D22" s="24">
        <f>SUM('- 26 -'!B22,'- 26 -'!E22,'- 26 -'!H22,'- 27 -'!B22)</f>
        <v>634110</v>
      </c>
      <c r="E22" s="355">
        <f>D22/'- 3 -'!D22*100</f>
        <v>3.9553149400262453</v>
      </c>
      <c r="F22" s="24">
        <f>D22/'- 7 -'!F22</f>
        <v>374.1061946902655</v>
      </c>
      <c r="G22" s="24">
        <f>SUM('- 28 -'!B22,'- 28 -'!E22,'- 28 -'!H22,'- 29 -'!B22,'- 29 -'!E22)</f>
        <v>404565</v>
      </c>
      <c r="H22" s="355">
        <f>G22/'- 3 -'!D22*100</f>
        <v>2.5235085217260695</v>
      </c>
      <c r="I22" s="24">
        <f>G22/'- 7 -'!F22</f>
        <v>238.68141592920355</v>
      </c>
    </row>
    <row r="23" spans="1:9" ht="13.5" customHeight="1">
      <c r="A23" s="362" t="s">
        <v>227</v>
      </c>
      <c r="B23" s="363">
        <f>SUM('- 25 -'!H23,'- 25 -'!F23,'- 25 -'!D23,'- 25 -'!B23)</f>
        <v>222000</v>
      </c>
      <c r="C23" s="364">
        <f>B23/'- 3 -'!D23*100</f>
        <v>1.6740596761554176</v>
      </c>
      <c r="D23" s="363">
        <f>SUM('- 26 -'!B23,'- 26 -'!E23,'- 26 -'!H23,'- 27 -'!B23)</f>
        <v>442450</v>
      </c>
      <c r="E23" s="364">
        <f>D23/'- 3 -'!D23*100</f>
        <v>3.336431097815156</v>
      </c>
      <c r="F23" s="363">
        <f>D23/'- 7 -'!F23</f>
        <v>339.56254796623176</v>
      </c>
      <c r="G23" s="363">
        <f>SUM('- 28 -'!B23,'- 28 -'!E23,'- 28 -'!H23,'- 29 -'!B23,'- 29 -'!E23)</f>
        <v>389700</v>
      </c>
      <c r="H23" s="364">
        <f>G23/'- 3 -'!D23*100</f>
        <v>2.938653404494443</v>
      </c>
      <c r="I23" s="363">
        <f>G23/'- 7 -'!F23</f>
        <v>299.0790483499616</v>
      </c>
    </row>
    <row r="24" spans="1:9" ht="13.5" customHeight="1">
      <c r="A24" s="23" t="s">
        <v>228</v>
      </c>
      <c r="B24" s="24">
        <f>SUM('- 25 -'!H24,'- 25 -'!F24,'- 25 -'!D24,'- 25 -'!B24)</f>
        <v>460425</v>
      </c>
      <c r="C24" s="355">
        <f>B24/'- 3 -'!D24*100</f>
        <v>1.03659765516511</v>
      </c>
      <c r="D24" s="24">
        <f>SUM('- 26 -'!B24,'- 26 -'!E24,'- 26 -'!H24,'- 27 -'!B24)</f>
        <v>1422550</v>
      </c>
      <c r="E24" s="355">
        <f>D24/'- 3 -'!D24*100</f>
        <v>3.2027192145411894</v>
      </c>
      <c r="F24" s="24">
        <f>D24/'- 7 -'!F24</f>
        <v>321.4075915047447</v>
      </c>
      <c r="G24" s="24">
        <f>SUM('- 28 -'!B24,'- 28 -'!E24,'- 28 -'!H24,'- 29 -'!B24,'- 29 -'!E24)</f>
        <v>1244250</v>
      </c>
      <c r="H24" s="355">
        <f>G24/'- 3 -'!D24*100</f>
        <v>2.801295829807652</v>
      </c>
      <c r="I24" s="24">
        <f>G24/'- 7 -'!F24</f>
        <v>281.1229100768188</v>
      </c>
    </row>
    <row r="25" spans="1:9" ht="13.5" customHeight="1">
      <c r="A25" s="362" t="s">
        <v>229</v>
      </c>
      <c r="B25" s="363">
        <f>SUM('- 25 -'!H25,'- 25 -'!F25,'- 25 -'!D25,'- 25 -'!B25)</f>
        <v>864162</v>
      </c>
      <c r="C25" s="364">
        <f>B25/'- 3 -'!D25*100</f>
        <v>0.6443883136315731</v>
      </c>
      <c r="D25" s="363">
        <f>SUM('- 26 -'!B25,'- 26 -'!E25,'- 26 -'!H25,'- 27 -'!B25)</f>
        <v>4302200</v>
      </c>
      <c r="E25" s="364">
        <f>D25/'- 3 -'!D25*100</f>
        <v>3.208064463498457</v>
      </c>
      <c r="F25" s="363">
        <f>D25/'- 7 -'!F25</f>
        <v>303.31359278059784</v>
      </c>
      <c r="G25" s="363">
        <f>SUM('- 28 -'!B25,'- 28 -'!E25,'- 28 -'!H25,'- 29 -'!B25,'- 29 -'!E25)</f>
        <v>7301826</v>
      </c>
      <c r="H25" s="364">
        <f>G25/'- 3 -'!D25*100</f>
        <v>5.444825556517383</v>
      </c>
      <c r="I25" s="363">
        <f>G25/'- 7 -'!F25</f>
        <v>514.7931472081218</v>
      </c>
    </row>
    <row r="26" spans="1:9" ht="13.5" customHeight="1">
      <c r="A26" s="23" t="s">
        <v>230</v>
      </c>
      <c r="B26" s="24">
        <f>SUM('- 25 -'!H26,'- 25 -'!F26,'- 25 -'!D26,'- 25 -'!B26)</f>
        <v>92213</v>
      </c>
      <c r="C26" s="355">
        <f>B26/'- 3 -'!D26*100</f>
        <v>0.28429219711904</v>
      </c>
      <c r="D26" s="24">
        <f>SUM('- 26 -'!B26,'- 26 -'!E26,'- 26 -'!H26,'- 27 -'!B26)</f>
        <v>1002277</v>
      </c>
      <c r="E26" s="355">
        <f>D26/'- 3 -'!D26*100</f>
        <v>3.0900147533631928</v>
      </c>
      <c r="F26" s="24">
        <f>D26/'- 7 -'!F26</f>
        <v>320.11402107952733</v>
      </c>
      <c r="G26" s="24">
        <f>SUM('- 28 -'!B26,'- 28 -'!E26,'- 28 -'!H26,'- 29 -'!B26,'- 29 -'!E26)</f>
        <v>1121560</v>
      </c>
      <c r="H26" s="355">
        <f>G26/'- 3 -'!D26*100</f>
        <v>3.4577636190215104</v>
      </c>
      <c r="I26" s="24">
        <f>G26/'- 7 -'!F26</f>
        <v>358.2114340466305</v>
      </c>
    </row>
    <row r="27" spans="1:9" ht="13.5" customHeight="1">
      <c r="A27" s="362" t="s">
        <v>231</v>
      </c>
      <c r="B27" s="363">
        <f>SUM('- 25 -'!H27,'- 25 -'!F27,'- 25 -'!D27,'- 25 -'!B27)</f>
        <v>36302</v>
      </c>
      <c r="C27" s="364">
        <f>B27/'- 3 -'!D27*100</f>
        <v>0.10286724231744465</v>
      </c>
      <c r="D27" s="363">
        <f>SUM('- 26 -'!B27,'- 26 -'!E27,'- 26 -'!H27,'- 27 -'!B27)</f>
        <v>1491680</v>
      </c>
      <c r="E27" s="364">
        <f>D27/'- 3 -'!D27*100</f>
        <v>4.226902319984735</v>
      </c>
      <c r="F27" s="363">
        <f>D27/'- 7 -'!F27</f>
        <v>463.1050840722251</v>
      </c>
      <c r="G27" s="363">
        <f>SUM('- 28 -'!B27,'- 28 -'!E27,'- 28 -'!H27,'- 29 -'!B27,'- 29 -'!E27)</f>
        <v>2126105</v>
      </c>
      <c r="H27" s="364">
        <f>G27/'- 3 -'!D27*100</f>
        <v>6.0246421196443904</v>
      </c>
      <c r="I27" s="363">
        <f>G27/'- 7 -'!F27</f>
        <v>660.0678662792142</v>
      </c>
    </row>
    <row r="28" spans="1:9" ht="13.5" customHeight="1">
      <c r="A28" s="23" t="s">
        <v>232</v>
      </c>
      <c r="B28" s="24">
        <f>SUM('- 25 -'!H28,'- 25 -'!F28,'- 25 -'!D28,'- 25 -'!B28)</f>
        <v>12650</v>
      </c>
      <c r="C28" s="355">
        <f>B28/'- 3 -'!D28*100</f>
        <v>0.06807633655240229</v>
      </c>
      <c r="D28" s="24">
        <f>SUM('- 26 -'!B28,'- 26 -'!E28,'- 26 -'!H28,'- 27 -'!B28)</f>
        <v>709027</v>
      </c>
      <c r="E28" s="355">
        <f>D28/'- 3 -'!D28*100</f>
        <v>3.8156490653549513</v>
      </c>
      <c r="F28" s="24">
        <f>D28/'- 7 -'!F28</f>
        <v>402.6274843838728</v>
      </c>
      <c r="G28" s="24">
        <f>SUM('- 28 -'!B28,'- 28 -'!E28,'- 28 -'!H28,'- 29 -'!B28,'- 29 -'!E28)</f>
        <v>411200</v>
      </c>
      <c r="H28" s="355">
        <f>G28/'- 3 -'!D28*100</f>
        <v>2.2128845525966656</v>
      </c>
      <c r="I28" s="24">
        <f>G28/'- 7 -'!F28</f>
        <v>233.503691084611</v>
      </c>
    </row>
    <row r="29" spans="1:9" ht="13.5" customHeight="1">
      <c r="A29" s="362" t="s">
        <v>233</v>
      </c>
      <c r="B29" s="363">
        <f>SUM('- 25 -'!H29,'- 25 -'!F29,'- 25 -'!D29,'- 25 -'!B29)</f>
        <v>100093</v>
      </c>
      <c r="C29" s="364">
        <f>B29/'- 3 -'!D29*100</f>
        <v>0.08135723171771499</v>
      </c>
      <c r="D29" s="363">
        <f>SUM('- 26 -'!B29,'- 26 -'!E29,'- 26 -'!H29,'- 27 -'!B29)</f>
        <v>4024068</v>
      </c>
      <c r="E29" s="364">
        <f>D29/'- 3 -'!D29*100</f>
        <v>3.2708284567736197</v>
      </c>
      <c r="F29" s="363">
        <f>D29/'- 7 -'!F29</f>
        <v>330.9130381152091</v>
      </c>
      <c r="G29" s="363">
        <f>SUM('- 28 -'!B29,'- 28 -'!E29,'- 28 -'!H29,'- 29 -'!B29,'- 29 -'!E29)</f>
        <v>5297688</v>
      </c>
      <c r="H29" s="364">
        <f>G29/'- 3 -'!D29*100</f>
        <v>4.306047677501504</v>
      </c>
      <c r="I29" s="363">
        <f>G29/'- 7 -'!F29</f>
        <v>435.6472184531886</v>
      </c>
    </row>
    <row r="30" spans="1:9" ht="13.5" customHeight="1">
      <c r="A30" s="23" t="s">
        <v>234</v>
      </c>
      <c r="B30" s="24">
        <f>SUM('- 25 -'!H30,'- 25 -'!F30,'- 25 -'!D30,'- 25 -'!B30)</f>
        <v>12788</v>
      </c>
      <c r="C30" s="355">
        <f>B30/'- 3 -'!D30*100</f>
        <v>0.11207573052114514</v>
      </c>
      <c r="D30" s="24">
        <f>SUM('- 26 -'!B30,'- 26 -'!E30,'- 26 -'!H30,'- 27 -'!B30)</f>
        <v>439467</v>
      </c>
      <c r="E30" s="355">
        <f>D30/'- 3 -'!D30*100</f>
        <v>3.851547158659375</v>
      </c>
      <c r="F30" s="24">
        <f>D30/'- 7 -'!F30</f>
        <v>373.3789294817332</v>
      </c>
      <c r="G30" s="24">
        <f>SUM('- 28 -'!B30,'- 28 -'!E30,'- 28 -'!H30,'- 29 -'!B30,'- 29 -'!E30)</f>
        <v>365448</v>
      </c>
      <c r="H30" s="355">
        <f>G30/'- 3 -'!D30*100</f>
        <v>3.202834811345906</v>
      </c>
      <c r="I30" s="24">
        <f>G30/'- 7 -'!F30</f>
        <v>310.4910790144435</v>
      </c>
    </row>
    <row r="31" spans="1:9" ht="13.5" customHeight="1">
      <c r="A31" s="362" t="s">
        <v>235</v>
      </c>
      <c r="B31" s="363">
        <f>SUM('- 25 -'!H31,'- 25 -'!F31,'- 25 -'!D31,'- 25 -'!B31)</f>
        <v>32038</v>
      </c>
      <c r="C31" s="364">
        <f>B31/'- 3 -'!D31*100</f>
        <v>0.10915384713139648</v>
      </c>
      <c r="D31" s="363">
        <f>SUM('- 26 -'!B31,'- 26 -'!E31,'- 26 -'!H31,'- 27 -'!B31)</f>
        <v>920222</v>
      </c>
      <c r="E31" s="364">
        <f>D31/'- 3 -'!D31*100</f>
        <v>3.1352073011719814</v>
      </c>
      <c r="F31" s="363">
        <f>D31/'- 7 -'!F31</f>
        <v>281.0009771589105</v>
      </c>
      <c r="G31" s="363">
        <f>SUM('- 28 -'!B31,'- 28 -'!E31,'- 28 -'!H31,'- 29 -'!B31,'- 29 -'!E31)</f>
        <v>883625</v>
      </c>
      <c r="H31" s="364">
        <f>G31/'- 3 -'!D31*100</f>
        <v>3.010520886805675</v>
      </c>
      <c r="I31" s="363">
        <f>G31/'- 7 -'!F31</f>
        <v>269.82563820691337</v>
      </c>
    </row>
    <row r="32" spans="1:9" ht="13.5" customHeight="1">
      <c r="A32" s="23" t="s">
        <v>236</v>
      </c>
      <c r="B32" s="24">
        <f>SUM('- 25 -'!H32,'- 25 -'!F32,'- 25 -'!D32,'- 25 -'!B32)</f>
        <v>21600</v>
      </c>
      <c r="C32" s="355">
        <f>B32/'- 3 -'!D32*100</f>
        <v>0.09857197502003612</v>
      </c>
      <c r="D32" s="24">
        <f>SUM('- 26 -'!B32,'- 26 -'!E32,'- 26 -'!H32,'- 27 -'!B32)</f>
        <v>938350</v>
      </c>
      <c r="E32" s="355">
        <f>D32/'- 3 -'!D32*100</f>
        <v>4.282176516669023</v>
      </c>
      <c r="F32" s="24">
        <f>D32/'- 7 -'!F32</f>
        <v>427.6891522333637</v>
      </c>
      <c r="G32" s="24">
        <f>SUM('- 28 -'!B32,'- 28 -'!E32,'- 28 -'!H32,'- 29 -'!B32,'- 29 -'!E32)</f>
        <v>397905</v>
      </c>
      <c r="H32" s="355">
        <f>G32/'- 3 -'!D32*100</f>
        <v>1.8158463759420127</v>
      </c>
      <c r="I32" s="24">
        <f>G32/'- 7 -'!F32</f>
        <v>181.36052871467638</v>
      </c>
    </row>
    <row r="33" spans="1:9" ht="13.5" customHeight="1">
      <c r="A33" s="362" t="s">
        <v>237</v>
      </c>
      <c r="B33" s="363">
        <f>SUM('- 25 -'!H33,'- 25 -'!F33,'- 25 -'!D33,'- 25 -'!B33)</f>
        <v>21000</v>
      </c>
      <c r="C33" s="364">
        <f>B33/'- 3 -'!D33*100</f>
        <v>0.09133810321205663</v>
      </c>
      <c r="D33" s="363">
        <f>SUM('- 26 -'!B33,'- 26 -'!E33,'- 26 -'!H33,'- 27 -'!B33)</f>
        <v>911900</v>
      </c>
      <c r="E33" s="364">
        <f>D33/'- 3 -'!D33*100</f>
        <v>3.9662483961464017</v>
      </c>
      <c r="F33" s="363">
        <f>D33/'- 7 -'!F33</f>
        <v>419.0716911764706</v>
      </c>
      <c r="G33" s="363">
        <f>SUM('- 28 -'!B33,'- 28 -'!E33,'- 28 -'!H33,'- 29 -'!B33,'- 29 -'!E33)</f>
        <v>527700</v>
      </c>
      <c r="H33" s="364">
        <f>G33/'- 3 -'!D33*100</f>
        <v>2.2951960507143947</v>
      </c>
      <c r="I33" s="363">
        <f>G33/'- 7 -'!F33</f>
        <v>242.50919117647058</v>
      </c>
    </row>
    <row r="34" spans="1:9" ht="13.5" customHeight="1">
      <c r="A34" s="23" t="s">
        <v>238</v>
      </c>
      <c r="B34" s="24">
        <f>SUM('- 25 -'!H34,'- 25 -'!F34,'- 25 -'!D34,'- 25 -'!B34)</f>
        <v>17050</v>
      </c>
      <c r="C34" s="355">
        <f>B34/'- 3 -'!D34*100</f>
        <v>0.0824493202645922</v>
      </c>
      <c r="D34" s="24">
        <f>SUM('- 26 -'!B34,'- 26 -'!E34,'- 26 -'!H34,'- 27 -'!B34)</f>
        <v>904361</v>
      </c>
      <c r="E34" s="355">
        <f>D34/'- 3 -'!D34*100</f>
        <v>4.373252183214479</v>
      </c>
      <c r="F34" s="24">
        <f>D34/'- 7 -'!F34</f>
        <v>446.59802469135803</v>
      </c>
      <c r="G34" s="24">
        <f>SUM('- 28 -'!B34,'- 28 -'!E34,'- 28 -'!H34,'- 29 -'!B34,'- 29 -'!E34)</f>
        <v>466437</v>
      </c>
      <c r="H34" s="355">
        <f>G34/'- 3 -'!D34*100</f>
        <v>2.2555667798390377</v>
      </c>
      <c r="I34" s="24">
        <f>G34/'- 7 -'!F34</f>
        <v>230.33925925925925</v>
      </c>
    </row>
    <row r="35" spans="1:9" ht="13.5" customHeight="1">
      <c r="A35" s="362" t="s">
        <v>239</v>
      </c>
      <c r="B35" s="363">
        <f>SUM('- 25 -'!H35,'- 25 -'!F35,'- 25 -'!D35,'- 25 -'!B35)</f>
        <v>572000</v>
      </c>
      <c r="C35" s="364">
        <f>B35/'- 3 -'!D35*100</f>
        <v>0.3793582778025547</v>
      </c>
      <c r="D35" s="363">
        <f>SUM('- 26 -'!B35,'- 26 -'!E35,'- 26 -'!H35,'- 27 -'!B35)</f>
        <v>4383330</v>
      </c>
      <c r="E35" s="364">
        <f>D35/'- 3 -'!D35*100</f>
        <v>2.9070848248955805</v>
      </c>
      <c r="F35" s="363">
        <f>D35/'- 7 -'!F35</f>
        <v>268.5699405673672</v>
      </c>
      <c r="G35" s="363">
        <f>SUM('- 28 -'!B35,'- 28 -'!E35,'- 28 -'!H35,'- 29 -'!B35,'- 29 -'!E35)</f>
        <v>6912144</v>
      </c>
      <c r="H35" s="364">
        <f>G35/'- 3 -'!D35*100</f>
        <v>4.58422909748822</v>
      </c>
      <c r="I35" s="363">
        <f>G35/'- 7 -'!F35</f>
        <v>423.5122847864714</v>
      </c>
    </row>
    <row r="36" spans="1:9" ht="13.5" customHeight="1">
      <c r="A36" s="23" t="s">
        <v>240</v>
      </c>
      <c r="B36" s="24">
        <f>SUM('- 25 -'!H36,'- 25 -'!F36,'- 25 -'!D36,'- 25 -'!B36)</f>
        <v>20155</v>
      </c>
      <c r="C36" s="355">
        <f>B36/'- 3 -'!D36*100</f>
        <v>0.10488993712328354</v>
      </c>
      <c r="D36" s="24">
        <f>SUM('- 26 -'!B36,'- 26 -'!E36,'- 26 -'!H36,'- 27 -'!B36)</f>
        <v>771450</v>
      </c>
      <c r="E36" s="355">
        <f>D36/'- 3 -'!D36*100</f>
        <v>4.014752765753267</v>
      </c>
      <c r="F36" s="24">
        <f>D36/'- 7 -'!F36</f>
        <v>419.72252448313384</v>
      </c>
      <c r="G36" s="24">
        <f>SUM('- 28 -'!B36,'- 28 -'!E36,'- 28 -'!H36,'- 29 -'!B36,'- 29 -'!E36)</f>
        <v>571825</v>
      </c>
      <c r="H36" s="355">
        <f>G36/'- 3 -'!D36*100</f>
        <v>2.9758714113382094</v>
      </c>
      <c r="I36" s="24">
        <f>G36/'- 7 -'!F36</f>
        <v>311.1126224156692</v>
      </c>
    </row>
    <row r="37" spans="1:9" ht="13.5" customHeight="1">
      <c r="A37" s="362" t="s">
        <v>241</v>
      </c>
      <c r="B37" s="363">
        <f>SUM('- 25 -'!H37,'- 25 -'!F37,'- 25 -'!D37,'- 25 -'!B37)</f>
        <v>10000</v>
      </c>
      <c r="C37" s="364">
        <f>B37/'- 3 -'!D37*100</f>
        <v>0.03035132846398877</v>
      </c>
      <c r="D37" s="363">
        <f>SUM('- 26 -'!B37,'- 26 -'!E37,'- 26 -'!H37,'- 27 -'!B37)</f>
        <v>1161569</v>
      </c>
      <c r="E37" s="364">
        <f>D37/'- 3 -'!D37*100</f>
        <v>3.525516225258697</v>
      </c>
      <c r="F37" s="363">
        <f>D37/'- 7 -'!F37</f>
        <v>335.2775292249964</v>
      </c>
      <c r="G37" s="363">
        <f>SUM('- 28 -'!B37,'- 28 -'!E37,'- 28 -'!H37,'- 29 -'!B37,'- 29 -'!E37)</f>
        <v>950751</v>
      </c>
      <c r="H37" s="364">
        <f>G37/'- 3 -'!D37*100</f>
        <v>2.885655588846579</v>
      </c>
      <c r="I37" s="363">
        <f>G37/'- 7 -'!F37</f>
        <v>274.42661278683795</v>
      </c>
    </row>
    <row r="38" spans="1:9" ht="13.5" customHeight="1">
      <c r="A38" s="23" t="s">
        <v>242</v>
      </c>
      <c r="B38" s="24">
        <f>SUM('- 25 -'!H38,'- 25 -'!F38,'- 25 -'!D38,'- 25 -'!B38)</f>
        <v>838544</v>
      </c>
      <c r="C38" s="355">
        <f>B38/'- 3 -'!D38*100</f>
        <v>1.0054738794950329</v>
      </c>
      <c r="D38" s="24">
        <f>SUM('- 26 -'!B38,'- 26 -'!E38,'- 26 -'!H38,'- 27 -'!B38)</f>
        <v>2495595</v>
      </c>
      <c r="E38" s="355">
        <f>D38/'- 3 -'!D38*100</f>
        <v>2.992395850782316</v>
      </c>
      <c r="F38" s="24">
        <f>D38/'- 7 -'!F38</f>
        <v>283.6870524042287</v>
      </c>
      <c r="G38" s="24">
        <f>SUM('- 28 -'!B38,'- 28 -'!E38,'- 28 -'!H38,'- 29 -'!B38,'- 29 -'!E38)</f>
        <v>2589889</v>
      </c>
      <c r="H38" s="355">
        <f>G38/'- 3 -'!D38*100</f>
        <v>3.1054610614249354</v>
      </c>
      <c r="I38" s="24">
        <f>G38/'- 7 -'!F38</f>
        <v>294.4059338410822</v>
      </c>
    </row>
    <row r="39" spans="1:9" ht="13.5" customHeight="1">
      <c r="A39" s="362" t="s">
        <v>243</v>
      </c>
      <c r="B39" s="363">
        <f>SUM('- 25 -'!H39,'- 25 -'!F39,'- 25 -'!D39,'- 25 -'!B39)</f>
        <v>72150</v>
      </c>
      <c r="C39" s="364">
        <f>B39/'- 3 -'!D39*100</f>
        <v>0.41918906350548724</v>
      </c>
      <c r="D39" s="363">
        <f>SUM('- 26 -'!B39,'- 26 -'!E39,'- 26 -'!H39,'- 27 -'!B39)</f>
        <v>671075</v>
      </c>
      <c r="E39" s="364">
        <f>D39/'- 3 -'!D39*100</f>
        <v>3.898923087899444</v>
      </c>
      <c r="F39" s="363">
        <f>D39/'- 7 -'!F39</f>
        <v>410.9461114513166</v>
      </c>
      <c r="G39" s="363">
        <f>SUM('- 28 -'!B39,'- 28 -'!E39,'- 28 -'!H39,'- 29 -'!B39,'- 29 -'!E39)</f>
        <v>383319</v>
      </c>
      <c r="H39" s="364">
        <f>G39/'- 3 -'!D39*100</f>
        <v>2.2270704453757433</v>
      </c>
      <c r="I39" s="363">
        <f>G39/'- 7 -'!F39</f>
        <v>234.73300673606857</v>
      </c>
    </row>
    <row r="40" spans="1:9" ht="13.5" customHeight="1">
      <c r="A40" s="23" t="s">
        <v>244</v>
      </c>
      <c r="B40" s="24">
        <f>SUM('- 25 -'!H40,'- 25 -'!F40,'- 25 -'!D40,'- 25 -'!B40)</f>
        <v>691482</v>
      </c>
      <c r="C40" s="355">
        <f>B40/'- 3 -'!D40*100</f>
        <v>0.8217282439377872</v>
      </c>
      <c r="D40" s="24">
        <f>SUM('- 26 -'!B40,'- 26 -'!E40,'- 26 -'!H40,'- 27 -'!B40)</f>
        <v>3069171</v>
      </c>
      <c r="E40" s="355">
        <f>D40/'- 3 -'!D40*100</f>
        <v>3.647274254680212</v>
      </c>
      <c r="F40" s="24">
        <f>D40/'- 7 -'!F40</f>
        <v>367.2750879544312</v>
      </c>
      <c r="G40" s="24">
        <f>SUM('- 28 -'!B40,'- 28 -'!E40,'- 28 -'!H40,'- 29 -'!B40,'- 29 -'!E40)</f>
        <v>3266091</v>
      </c>
      <c r="H40" s="355">
        <f>G40/'- 3 -'!D40*100</f>
        <v>3.8812857340769695</v>
      </c>
      <c r="I40" s="24">
        <f>G40/'- 7 -'!F40</f>
        <v>390.8396955699686</v>
      </c>
    </row>
    <row r="41" spans="1:9" ht="13.5" customHeight="1">
      <c r="A41" s="362" t="s">
        <v>245</v>
      </c>
      <c r="B41" s="363">
        <f>SUM('- 25 -'!H41,'- 25 -'!F41,'- 25 -'!D41,'- 25 -'!B41)</f>
        <v>149614</v>
      </c>
      <c r="C41" s="364">
        <f>B41/'- 3 -'!D41*100</f>
        <v>0.29192480619206673</v>
      </c>
      <c r="D41" s="363">
        <f>SUM('- 26 -'!B41,'- 26 -'!E41,'- 26 -'!H41,'- 27 -'!B41)</f>
        <v>1961137</v>
      </c>
      <c r="E41" s="364">
        <f>D41/'- 3 -'!D41*100</f>
        <v>3.826543897236162</v>
      </c>
      <c r="F41" s="363">
        <f>D41/'- 7 -'!F41</f>
        <v>423.66321019658676</v>
      </c>
      <c r="G41" s="363">
        <f>SUM('- 28 -'!B41,'- 28 -'!E41,'- 28 -'!H41,'- 29 -'!B41,'- 29 -'!E41)</f>
        <v>1350017</v>
      </c>
      <c r="H41" s="364">
        <f>G41/'- 3 -'!D41*100</f>
        <v>2.6341348475476583</v>
      </c>
      <c r="I41" s="363">
        <f>G41/'- 7 -'!F41</f>
        <v>291.64333549362715</v>
      </c>
    </row>
    <row r="42" spans="1:9" ht="13.5" customHeight="1">
      <c r="A42" s="23" t="s">
        <v>246</v>
      </c>
      <c r="B42" s="24">
        <f>SUM('- 25 -'!H42,'- 25 -'!F42,'- 25 -'!D42,'- 25 -'!B42)</f>
        <v>61041</v>
      </c>
      <c r="C42" s="355">
        <f>B42/'- 3 -'!D42*100</f>
        <v>0.3444050443905101</v>
      </c>
      <c r="D42" s="24">
        <f>SUM('- 26 -'!B42,'- 26 -'!E42,'- 26 -'!H42,'- 27 -'!B42)</f>
        <v>702483</v>
      </c>
      <c r="E42" s="355">
        <f>D42/'- 3 -'!D42*100</f>
        <v>3.9635439917199706</v>
      </c>
      <c r="F42" s="24">
        <f>D42/'- 7 -'!F42</f>
        <v>431.50061425061426</v>
      </c>
      <c r="G42" s="24">
        <f>SUM('- 28 -'!B42,'- 28 -'!E42,'- 28 -'!H42,'- 29 -'!B42,'- 29 -'!E42)</f>
        <v>349476</v>
      </c>
      <c r="H42" s="355">
        <f>G42/'- 3 -'!D42*100</f>
        <v>1.9718107058111416</v>
      </c>
      <c r="I42" s="24">
        <f>G42/'- 7 -'!F42</f>
        <v>214.66584766584768</v>
      </c>
    </row>
    <row r="43" spans="1:9" ht="13.5" customHeight="1">
      <c r="A43" s="362" t="s">
        <v>247</v>
      </c>
      <c r="B43" s="363">
        <f>SUM('- 25 -'!H43,'- 25 -'!F43,'- 25 -'!D43,'- 25 -'!B43)</f>
        <v>5000</v>
      </c>
      <c r="C43" s="364">
        <f>B43/'- 3 -'!D43*100</f>
        <v>0.048497884716260216</v>
      </c>
      <c r="D43" s="363">
        <f>SUM('- 26 -'!B43,'- 26 -'!E43,'- 26 -'!H43,'- 27 -'!B43)</f>
        <v>513540</v>
      </c>
      <c r="E43" s="364">
        <f>D43/'- 3 -'!D43*100</f>
        <v>4.981120743437654</v>
      </c>
      <c r="F43" s="363">
        <f>D43/'- 7 -'!F43</f>
        <v>511.2394225983076</v>
      </c>
      <c r="G43" s="363">
        <f>SUM('- 28 -'!B43,'- 28 -'!E43,'- 28 -'!H43,'- 29 -'!B43,'- 29 -'!E43)</f>
        <v>323105</v>
      </c>
      <c r="H43" s="364">
        <f>G43/'- 3 -'!D43*100</f>
        <v>3.1339818082494517</v>
      </c>
      <c r="I43" s="363">
        <f>G43/'- 7 -'!F43</f>
        <v>321.65754106520654</v>
      </c>
    </row>
    <row r="44" spans="1:9" ht="13.5" customHeight="1">
      <c r="A44" s="23" t="s">
        <v>248</v>
      </c>
      <c r="B44" s="24">
        <f>SUM('- 25 -'!H44,'- 25 -'!F44,'- 25 -'!D44,'- 25 -'!B44)</f>
        <v>6050</v>
      </c>
      <c r="C44" s="355">
        <f>B44/'- 3 -'!D44*100</f>
        <v>0.07145191351176944</v>
      </c>
      <c r="D44" s="24">
        <f>SUM('- 26 -'!B44,'- 26 -'!E44,'- 26 -'!H44,'- 27 -'!B44)</f>
        <v>365913</v>
      </c>
      <c r="E44" s="355">
        <f>D44/'- 3 -'!D44*100</f>
        <v>4.32151802129456</v>
      </c>
      <c r="F44" s="24">
        <f>D44/'- 7 -'!F44</f>
        <v>469.1192307692308</v>
      </c>
      <c r="G44" s="24">
        <f>SUM('- 28 -'!B44,'- 28 -'!E44,'- 28 -'!H44,'- 29 -'!B44,'- 29 -'!E44)</f>
        <v>176647</v>
      </c>
      <c r="H44" s="355">
        <f>G44/'- 3 -'!D44*100</f>
        <v>2.0862423415063693</v>
      </c>
      <c r="I44" s="24">
        <f>G44/'- 7 -'!F44</f>
        <v>226.47051282051282</v>
      </c>
    </row>
    <row r="45" spans="1:9" ht="13.5" customHeight="1">
      <c r="A45" s="362" t="s">
        <v>249</v>
      </c>
      <c r="B45" s="363">
        <f>SUM('- 25 -'!H45,'- 25 -'!F45,'- 25 -'!D45,'- 25 -'!B45)</f>
        <v>28930</v>
      </c>
      <c r="C45" s="364">
        <f>B45/'- 3 -'!D45*100</f>
        <v>0.22214947780282876</v>
      </c>
      <c r="D45" s="363">
        <f>SUM('- 26 -'!B45,'- 26 -'!E45,'- 26 -'!H45,'- 27 -'!B45)</f>
        <v>487000</v>
      </c>
      <c r="E45" s="364">
        <f>D45/'- 3 -'!D45*100</f>
        <v>3.7396057964043425</v>
      </c>
      <c r="F45" s="363">
        <f>D45/'- 7 -'!F45</f>
        <v>320.39473684210526</v>
      </c>
      <c r="G45" s="363">
        <f>SUM('- 28 -'!B45,'- 28 -'!E45,'- 28 -'!H45,'- 29 -'!B45,'- 29 -'!E45)</f>
        <v>454764</v>
      </c>
      <c r="H45" s="364">
        <f>G45/'- 3 -'!D45*100</f>
        <v>3.4920700008131917</v>
      </c>
      <c r="I45" s="363">
        <f>G45/'- 7 -'!F45</f>
        <v>299.18684210526317</v>
      </c>
    </row>
    <row r="46" spans="1:9" ht="13.5" customHeight="1">
      <c r="A46" s="23" t="s">
        <v>250</v>
      </c>
      <c r="B46" s="24">
        <f>SUM('- 25 -'!H46,'- 25 -'!F46,'- 25 -'!D46,'- 25 -'!B46)</f>
        <v>6868600</v>
      </c>
      <c r="C46" s="355">
        <f>B46/'- 3 -'!D46*100</f>
        <v>2.2419121304660603</v>
      </c>
      <c r="D46" s="24">
        <f>SUM('- 26 -'!B46,'- 26 -'!E46,'- 26 -'!H46,'- 27 -'!B46)</f>
        <v>8625800</v>
      </c>
      <c r="E46" s="355">
        <f>D46/'- 3 -'!D46*100</f>
        <v>2.815462489440955</v>
      </c>
      <c r="F46" s="24">
        <f>D46/'- 7 -'!F46</f>
        <v>283.82744891579745</v>
      </c>
      <c r="G46" s="24">
        <f>SUM('- 28 -'!B46,'- 28 -'!E46,'- 28 -'!H46,'- 29 -'!B46,'- 29 -'!E46)</f>
        <v>9117700</v>
      </c>
      <c r="H46" s="355">
        <f>G46/'- 3 -'!D46*100</f>
        <v>2.976018727535509</v>
      </c>
      <c r="I46" s="24">
        <f>G46/'- 7 -'!F46</f>
        <v>300.0131617913198</v>
      </c>
    </row>
    <row r="47" spans="1:10" ht="4.5" customHeight="1">
      <c r="A47"/>
      <c r="B47"/>
      <c r="C47"/>
      <c r="D47"/>
      <c r="E47"/>
      <c r="F47"/>
      <c r="G47"/>
      <c r="H47"/>
      <c r="I47"/>
      <c r="J47"/>
    </row>
    <row r="48" spans="1:9" ht="13.5" customHeight="1">
      <c r="A48" s="365" t="s">
        <v>251</v>
      </c>
      <c r="B48" s="366">
        <f>SUM(B11:B46)</f>
        <v>14408756</v>
      </c>
      <c r="C48" s="367">
        <f>B48/'- 3 -'!D48*100</f>
        <v>0.833977043190687</v>
      </c>
      <c r="D48" s="366">
        <f>SUM(D11:D46)</f>
        <v>60136944</v>
      </c>
      <c r="E48" s="367">
        <f>D48/'- 3 -'!D48*100</f>
        <v>3.480718997784675</v>
      </c>
      <c r="F48" s="366">
        <f>D48/'- 7 -'!F48</f>
        <v>349.09450824656403</v>
      </c>
      <c r="G48" s="366">
        <f>SUM(G11:G46)</f>
        <v>62290729</v>
      </c>
      <c r="H48" s="367">
        <f>G48/'- 3 -'!D48*100</f>
        <v>3.605379811387768</v>
      </c>
      <c r="I48" s="366">
        <f>G48/'- 7 -'!F48</f>
        <v>361.5972139950275</v>
      </c>
    </row>
    <row r="49" spans="1:9" ht="4.5" customHeight="1">
      <c r="A49" s="25" t="s">
        <v>3</v>
      </c>
      <c r="B49" s="26"/>
      <c r="C49" s="353"/>
      <c r="D49" s="26"/>
      <c r="E49" s="353"/>
      <c r="G49" s="26"/>
      <c r="H49" s="353"/>
      <c r="I49" s="26"/>
    </row>
    <row r="50" spans="1:9" ht="13.5" customHeight="1">
      <c r="A50" s="23" t="s">
        <v>252</v>
      </c>
      <c r="B50" s="24">
        <f>SUM('- 25 -'!H50,'- 25 -'!F50,'- 25 -'!D50,'- 25 -'!B50)</f>
        <v>9000</v>
      </c>
      <c r="C50" s="355">
        <f>B50/'- 3 -'!D50*100</f>
        <v>0.3166936618689923</v>
      </c>
      <c r="D50" s="24">
        <f>SUM('- 26 -'!B50,'- 26 -'!E50,'- 26 -'!H50,'- 27 -'!B50)</f>
        <v>111443</v>
      </c>
      <c r="E50" s="355">
        <f>D50/'- 3 -'!D50*100</f>
        <v>3.9214768621851226</v>
      </c>
      <c r="F50" s="24">
        <f>D50/'- 7 -'!F50</f>
        <v>521.9812646370024</v>
      </c>
      <c r="G50" s="24">
        <f>SUM('- 28 -'!B50,'- 28 -'!E50,'- 28 -'!H50,'- 29 -'!B50,'- 29 -'!E50)</f>
        <v>45288</v>
      </c>
      <c r="H50" s="355">
        <f>G50/'- 3 -'!D50*100</f>
        <v>1.5936025065247692</v>
      </c>
      <c r="I50" s="24">
        <f>G50/'- 7 -'!F50</f>
        <v>212.12177985948477</v>
      </c>
    </row>
    <row r="51" spans="1:9" ht="13.5" customHeight="1">
      <c r="A51" s="362" t="s">
        <v>253</v>
      </c>
      <c r="B51" s="363">
        <f>SUM('- 25 -'!H51,'- 25 -'!F51,'- 25 -'!D51,'- 25 -'!B51)</f>
        <v>2306374</v>
      </c>
      <c r="C51" s="364">
        <f>B51/'- 3 -'!D51*100</f>
        <v>19.007355543829203</v>
      </c>
      <c r="D51" s="363">
        <f>SUM('- 26 -'!B51,'- 26 -'!E51,'- 26 -'!H51,'- 27 -'!B51)</f>
        <v>772932</v>
      </c>
      <c r="E51" s="364">
        <f>D51/'- 3 -'!D51*100</f>
        <v>6.36990936214291</v>
      </c>
      <c r="F51" s="363">
        <f>D51/'- 7 -'!F51</f>
        <v>1238.673076923077</v>
      </c>
      <c r="G51" s="363">
        <f>SUM('- 28 -'!B51,'- 28 -'!E51,'- 28 -'!H51,'- 29 -'!B51,'- 29 -'!E51)</f>
        <v>421860</v>
      </c>
      <c r="H51" s="364">
        <f>G51/'- 3 -'!D51*100</f>
        <v>3.476644728790642</v>
      </c>
      <c r="I51" s="363">
        <f>G51/'- 7 -'!F51</f>
        <v>676.0576923076923</v>
      </c>
    </row>
    <row r="52" ht="49.5" customHeight="1"/>
    <row r="53" ht="15" customHeight="1">
      <c r="E53" s="160"/>
    </row>
    <row r="54" spans="2:8" ht="14.25" customHeight="1">
      <c r="B54" s="94"/>
      <c r="C54" s="94"/>
      <c r="D54" s="94"/>
      <c r="E54" s="94"/>
      <c r="F54" s="94"/>
      <c r="G54" s="94"/>
      <c r="H54" s="94"/>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54"/>
  <sheetViews>
    <sheetView showGridLines="0" showZeros="0" workbookViewId="0" topLeftCell="A1">
      <selection activeCell="A3" sqref="A3"/>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495</v>
      </c>
      <c r="C2" s="6"/>
      <c r="D2" s="6"/>
      <c r="E2" s="6"/>
      <c r="F2" s="6"/>
      <c r="G2" s="6"/>
      <c r="H2" s="108"/>
      <c r="I2" s="108"/>
      <c r="J2" s="190" t="s">
        <v>5</v>
      </c>
    </row>
    <row r="3" spans="1:10" ht="15.75" customHeight="1">
      <c r="A3" s="170"/>
      <c r="B3" s="7" t="str">
        <f>OPYEAR</f>
        <v>OPERATING FUND 2008/2009 BUDGET</v>
      </c>
      <c r="C3" s="8"/>
      <c r="D3" s="8"/>
      <c r="E3" s="8"/>
      <c r="F3" s="8"/>
      <c r="G3" s="8"/>
      <c r="H3" s="110"/>
      <c r="I3" s="110"/>
      <c r="J3" s="103"/>
    </row>
    <row r="4" spans="2:10" ht="15.75" customHeight="1">
      <c r="B4" s="4"/>
      <c r="C4" s="4"/>
      <c r="D4" s="4"/>
      <c r="E4" s="4"/>
      <c r="F4" s="4"/>
      <c r="G4" s="4"/>
      <c r="H4" s="4"/>
      <c r="I4" s="4"/>
      <c r="J4" s="4"/>
    </row>
    <row r="5" spans="2:10" ht="15.75" customHeight="1">
      <c r="B5" s="4"/>
      <c r="C5" s="4"/>
      <c r="D5" s="4"/>
      <c r="E5" s="4"/>
      <c r="F5" s="4"/>
      <c r="G5" s="4"/>
      <c r="H5" s="4"/>
      <c r="I5" s="4"/>
      <c r="J5" s="4"/>
    </row>
    <row r="6" spans="2:10" ht="15.75" customHeight="1">
      <c r="B6" s="356" t="s">
        <v>23</v>
      </c>
      <c r="C6" s="357"/>
      <c r="D6" s="358"/>
      <c r="E6" s="356" t="s">
        <v>24</v>
      </c>
      <c r="F6" s="357"/>
      <c r="G6" s="358"/>
      <c r="H6" s="356" t="s">
        <v>3</v>
      </c>
      <c r="I6" s="357"/>
      <c r="J6" s="358"/>
    </row>
    <row r="7" spans="2:10" ht="15.75" customHeight="1">
      <c r="B7" s="359" t="s">
        <v>51</v>
      </c>
      <c r="C7" s="360"/>
      <c r="D7" s="361"/>
      <c r="E7" s="359" t="s">
        <v>52</v>
      </c>
      <c r="F7" s="360"/>
      <c r="G7" s="361"/>
      <c r="H7" s="359" t="s">
        <v>53</v>
      </c>
      <c r="I7" s="360"/>
      <c r="J7" s="361"/>
    </row>
    <row r="8" spans="1:10" ht="15.75" customHeight="1">
      <c r="A8" s="104"/>
      <c r="B8" s="176"/>
      <c r="C8" s="175"/>
      <c r="D8" s="175" t="s">
        <v>59</v>
      </c>
      <c r="E8" s="176"/>
      <c r="F8" s="175"/>
      <c r="G8" s="175" t="s">
        <v>59</v>
      </c>
      <c r="H8" s="176"/>
      <c r="I8" s="175"/>
      <c r="J8" s="175" t="s">
        <v>59</v>
      </c>
    </row>
    <row r="9" spans="1:10" ht="15.75" customHeight="1">
      <c r="A9" s="35" t="s">
        <v>79</v>
      </c>
      <c r="B9" s="115" t="s">
        <v>80</v>
      </c>
      <c r="C9" s="115" t="s">
        <v>81</v>
      </c>
      <c r="D9" s="115" t="s">
        <v>82</v>
      </c>
      <c r="E9" s="115" t="s">
        <v>80</v>
      </c>
      <c r="F9" s="115" t="s">
        <v>81</v>
      </c>
      <c r="G9" s="115" t="s">
        <v>82</v>
      </c>
      <c r="H9" s="115" t="s">
        <v>80</v>
      </c>
      <c r="I9" s="115" t="s">
        <v>81</v>
      </c>
      <c r="J9" s="115" t="s">
        <v>82</v>
      </c>
    </row>
    <row r="10" ht="4.5" customHeight="1">
      <c r="A10" s="37"/>
    </row>
    <row r="11" spans="1:10" ht="13.5" customHeight="1">
      <c r="A11" s="362" t="s">
        <v>216</v>
      </c>
      <c r="B11" s="363">
        <f>SUM('- 31 -'!D11,'- 31 -'!B11,'- 30 -'!F11,'- 30 -'!D11,'- 30 -'!B11)</f>
        <v>1024057</v>
      </c>
      <c r="C11" s="364">
        <f>B11/'- 3 -'!D11*100</f>
        <v>7.651472415511599</v>
      </c>
      <c r="D11" s="363">
        <f>B11/'- 7 -'!F11</f>
        <v>724.7395612172683</v>
      </c>
      <c r="E11" s="363">
        <f>SUM('- 33 -'!D11,'- 33 -'!B11,'- 32 -'!F11,'- 32 -'!D11,'- 32 -'!B11)</f>
        <v>1472937</v>
      </c>
      <c r="F11" s="364">
        <f>E11/'- 3 -'!D11*100</f>
        <v>11.005380389261935</v>
      </c>
      <c r="G11" s="363">
        <f>E11/'- 7 -'!F11</f>
        <v>1042.4182590233545</v>
      </c>
      <c r="H11" s="363">
        <f>SUM('- 34 -'!B11,'- 34 -'!D11)</f>
        <v>239000</v>
      </c>
      <c r="I11" s="364">
        <f>H11/'- 3 -'!D11*100</f>
        <v>1.7857423046835015</v>
      </c>
      <c r="J11" s="363">
        <f>H11/'- 7 -'!F11</f>
        <v>169.1436659589526</v>
      </c>
    </row>
    <row r="12" spans="1:10" ht="13.5" customHeight="1">
      <c r="A12" s="23" t="s">
        <v>217</v>
      </c>
      <c r="B12" s="24">
        <f>SUM('- 31 -'!D12,'- 31 -'!B12,'- 30 -'!F12,'- 30 -'!D12,'- 30 -'!B12)</f>
        <v>1923445</v>
      </c>
      <c r="C12" s="355">
        <f>B12/'- 3 -'!D12*100</f>
        <v>7.656078712232631</v>
      </c>
      <c r="D12" s="24">
        <f>B12/'- 7 -'!F12</f>
        <v>831.5801988759188</v>
      </c>
      <c r="E12" s="24">
        <f>SUM('- 33 -'!D12,'- 33 -'!B12,'- 32 -'!F12,'- 32 -'!D12,'- 32 -'!B12)</f>
        <v>2848205</v>
      </c>
      <c r="F12" s="355">
        <f>E12/'- 3 -'!D12*100</f>
        <v>11.336992567281383</v>
      </c>
      <c r="G12" s="24">
        <f>E12/'- 7 -'!F12</f>
        <v>1231.3899697362733</v>
      </c>
      <c r="H12" s="24">
        <f>SUM('- 34 -'!B12,'- 34 -'!D12)</f>
        <v>450096</v>
      </c>
      <c r="I12" s="355">
        <f>H12/'- 3 -'!D12*100</f>
        <v>1.7915617052013746</v>
      </c>
      <c r="J12" s="24">
        <f>H12/'- 7 -'!F12</f>
        <v>194.59403372243838</v>
      </c>
    </row>
    <row r="13" spans="1:10" ht="13.5" customHeight="1">
      <c r="A13" s="362" t="s">
        <v>218</v>
      </c>
      <c r="B13" s="363">
        <f>SUM('- 31 -'!D13,'- 31 -'!B13,'- 30 -'!F13,'- 30 -'!D13,'- 30 -'!B13)</f>
        <v>1717100</v>
      </c>
      <c r="C13" s="364">
        <f>B13/'- 3 -'!D13*100</f>
        <v>2.918932518278389</v>
      </c>
      <c r="D13" s="363">
        <f>B13/'- 7 -'!F13</f>
        <v>253.46626937684118</v>
      </c>
      <c r="E13" s="363">
        <f>SUM('- 33 -'!D13,'- 33 -'!B13,'- 32 -'!F13,'- 32 -'!D13,'- 32 -'!B13)</f>
        <v>5916800</v>
      </c>
      <c r="F13" s="364">
        <f>E13/'- 3 -'!D13*100</f>
        <v>10.058086264136959</v>
      </c>
      <c r="G13" s="363">
        <f>E13/'- 7 -'!F13</f>
        <v>873.3965538692528</v>
      </c>
      <c r="H13" s="363">
        <f>SUM('- 34 -'!B13,'- 34 -'!D13)</f>
        <v>1009100</v>
      </c>
      <c r="I13" s="364">
        <f>H13/'- 3 -'!D13*100</f>
        <v>1.7153892051684365</v>
      </c>
      <c r="J13" s="363">
        <f>H13/'- 7 -'!F13</f>
        <v>148.95627070535812</v>
      </c>
    </row>
    <row r="14" spans="1:10" ht="13.5" customHeight="1">
      <c r="A14" s="23" t="s">
        <v>254</v>
      </c>
      <c r="B14" s="24">
        <f>SUM('- 31 -'!D14,'- 31 -'!B14,'- 30 -'!F14,'- 30 -'!D14,'- 30 -'!B14)</f>
        <v>5769843</v>
      </c>
      <c r="C14" s="355">
        <f>B14/'- 3 -'!D14*100</f>
        <v>10.144764631539859</v>
      </c>
      <c r="D14" s="24">
        <f>B14/'- 7 -'!F14</f>
        <v>1193.349120992761</v>
      </c>
      <c r="E14" s="24">
        <f>SUM('- 33 -'!D14,'- 33 -'!B14,'- 32 -'!F14,'- 32 -'!D14,'- 32 -'!B14)</f>
        <v>6737702</v>
      </c>
      <c r="F14" s="355">
        <f>E14/'- 3 -'!D14*100</f>
        <v>11.846492347790983</v>
      </c>
      <c r="G14" s="24">
        <f>E14/'- 7 -'!F14</f>
        <v>1393.5267838676318</v>
      </c>
      <c r="H14" s="24">
        <f>SUM('- 34 -'!B14,'- 34 -'!D14)</f>
        <v>951517</v>
      </c>
      <c r="I14" s="355">
        <f>H14/'- 3 -'!D14*100</f>
        <v>1.6729945698537918</v>
      </c>
      <c r="J14" s="24">
        <f>H14/'- 7 -'!F14</f>
        <v>196.79772492244055</v>
      </c>
    </row>
    <row r="15" spans="1:10" ht="13.5" customHeight="1">
      <c r="A15" s="362" t="s">
        <v>219</v>
      </c>
      <c r="B15" s="363">
        <f>SUM('- 31 -'!D15,'- 31 -'!B15,'- 30 -'!F15,'- 30 -'!D15,'- 30 -'!B15)</f>
        <v>1095075</v>
      </c>
      <c r="C15" s="364">
        <f>B15/'- 3 -'!D15*100</f>
        <v>6.70632127619351</v>
      </c>
      <c r="D15" s="363">
        <f>B15/'- 7 -'!F15</f>
        <v>685.0641226149515</v>
      </c>
      <c r="E15" s="363">
        <f>SUM('- 33 -'!D15,'- 33 -'!B15,'- 32 -'!F15,'- 32 -'!D15,'- 32 -'!B15)</f>
        <v>2031550</v>
      </c>
      <c r="F15" s="364">
        <f>E15/'- 3 -'!D15*100</f>
        <v>12.441364279753374</v>
      </c>
      <c r="G15" s="363">
        <f>E15/'- 7 -'!F15</f>
        <v>1270.9102283390678</v>
      </c>
      <c r="H15" s="363">
        <f>SUM('- 34 -'!B15,'- 34 -'!D15)</f>
        <v>270000</v>
      </c>
      <c r="I15" s="364">
        <f>H15/'- 3 -'!D15*100</f>
        <v>1.6535002119236104</v>
      </c>
      <c r="J15" s="363">
        <f>H15/'- 7 -'!F15</f>
        <v>168.9083515796059</v>
      </c>
    </row>
    <row r="16" spans="1:10" ht="13.5" customHeight="1">
      <c r="A16" s="23" t="s">
        <v>220</v>
      </c>
      <c r="B16" s="24">
        <f>SUM('- 31 -'!D16,'- 31 -'!B16,'- 30 -'!F16,'- 30 -'!D16,'- 30 -'!B16)</f>
        <v>283171</v>
      </c>
      <c r="C16" s="355">
        <f>B16/'- 3 -'!D16*100</f>
        <v>2.4834557458027975</v>
      </c>
      <c r="D16" s="24">
        <f>B16/'- 7 -'!F16</f>
        <v>263.0478402229447</v>
      </c>
      <c r="E16" s="24">
        <f>SUM('- 33 -'!D16,'- 33 -'!B16,'- 32 -'!F16,'- 32 -'!D16,'- 32 -'!B16)</f>
        <v>1733225</v>
      </c>
      <c r="F16" s="355">
        <f>E16/'- 3 -'!D16*100</f>
        <v>15.20066526946281</v>
      </c>
      <c r="G16" s="24">
        <f>E16/'- 7 -'!F16</f>
        <v>1610.0557361820715</v>
      </c>
      <c r="H16" s="24">
        <f>SUM('- 34 -'!B16,'- 34 -'!D16)</f>
        <v>220000</v>
      </c>
      <c r="I16" s="355">
        <f>H16/'- 3 -'!D16*100</f>
        <v>1.9294357970152856</v>
      </c>
      <c r="J16" s="24">
        <f>H16/'- 7 -'!F16</f>
        <v>204.36600092893636</v>
      </c>
    </row>
    <row r="17" spans="1:10" ht="13.5" customHeight="1">
      <c r="A17" s="362" t="s">
        <v>221</v>
      </c>
      <c r="B17" s="363">
        <f>SUM('- 31 -'!D17,'- 31 -'!B17,'- 30 -'!F17,'- 30 -'!D17,'- 30 -'!B17)</f>
        <v>1207678</v>
      </c>
      <c r="C17" s="364">
        <f>B17/'- 3 -'!D17*100</f>
        <v>8.224462381609884</v>
      </c>
      <c r="D17" s="363">
        <f>B17/'- 7 -'!F17</f>
        <v>875.763596809282</v>
      </c>
      <c r="E17" s="363">
        <f>SUM('- 33 -'!D17,'- 33 -'!B17,'- 32 -'!F17,'- 32 -'!D17,'- 32 -'!B17)</f>
        <v>1943530</v>
      </c>
      <c r="F17" s="364">
        <f>E17/'- 3 -'!D17*100</f>
        <v>13.235721253952013</v>
      </c>
      <c r="G17" s="363">
        <f>E17/'- 7 -'!F17</f>
        <v>1409.3763596809283</v>
      </c>
      <c r="H17" s="363">
        <f>SUM('- 34 -'!B17,'- 34 -'!D17)</f>
        <v>333000</v>
      </c>
      <c r="I17" s="364">
        <f>H17/'- 3 -'!D17*100</f>
        <v>2.267778309347435</v>
      </c>
      <c r="J17" s="363">
        <f>H17/'- 7 -'!F17</f>
        <v>241.47933284989122</v>
      </c>
    </row>
    <row r="18" spans="1:10" ht="13.5" customHeight="1">
      <c r="A18" s="23" t="s">
        <v>222</v>
      </c>
      <c r="B18" s="24">
        <f>SUM('- 31 -'!D18,'- 31 -'!B18,'- 30 -'!F18,'- 30 -'!D18,'- 30 -'!B18)</f>
        <v>7547392</v>
      </c>
      <c r="C18" s="355">
        <f>B18/'- 3 -'!D18*100</f>
        <v>7.543391437784885</v>
      </c>
      <c r="D18" s="24">
        <f>B18/'- 7 -'!F18</f>
        <v>1298.2303564056695</v>
      </c>
      <c r="E18" s="24">
        <f>SUM('- 33 -'!D18,'- 33 -'!B18,'- 32 -'!F18,'- 32 -'!D18,'- 32 -'!B18)</f>
        <v>16721141</v>
      </c>
      <c r="F18" s="355">
        <f>E18/'- 3 -'!D18*100</f>
        <v>16.712277810585935</v>
      </c>
      <c r="G18" s="24">
        <f>E18/'- 7 -'!F18</f>
        <v>2876.2111256364387</v>
      </c>
      <c r="H18" s="24">
        <f>SUM('- 34 -'!B18,'- 34 -'!D18)</f>
        <v>1640000</v>
      </c>
      <c r="I18" s="355">
        <f>H18/'- 3 -'!D18*100</f>
        <v>1.639130703422747</v>
      </c>
      <c r="J18" s="24">
        <f>H18/'- 7 -'!F18</f>
        <v>282.0971515068116</v>
      </c>
    </row>
    <row r="19" spans="1:10" ht="13.5" customHeight="1">
      <c r="A19" s="362" t="s">
        <v>223</v>
      </c>
      <c r="B19" s="363">
        <f>SUM('- 31 -'!D19,'- 31 -'!B19,'- 30 -'!F19,'- 30 -'!D19,'- 30 -'!B19)</f>
        <v>1230650</v>
      </c>
      <c r="C19" s="364">
        <f>B19/'- 3 -'!D19*100</f>
        <v>4.243615568050176</v>
      </c>
      <c r="D19" s="363">
        <f>B19/'- 7 -'!F19</f>
        <v>322.4973794549266</v>
      </c>
      <c r="E19" s="363">
        <f>SUM('- 33 -'!D19,'- 33 -'!B19,'- 32 -'!F19,'- 32 -'!D19,'- 32 -'!B19)</f>
        <v>2565625</v>
      </c>
      <c r="F19" s="364">
        <f>E19/'- 3 -'!D19*100</f>
        <v>8.846972081240592</v>
      </c>
      <c r="G19" s="363">
        <f>E19/'- 7 -'!F19</f>
        <v>672.3335953878407</v>
      </c>
      <c r="H19" s="363">
        <f>SUM('- 34 -'!B19,'- 34 -'!D19)</f>
        <v>530000</v>
      </c>
      <c r="I19" s="364">
        <f>H19/'- 3 -'!D19*100</f>
        <v>1.8275840011917226</v>
      </c>
      <c r="J19" s="363">
        <f>H19/'- 7 -'!F19</f>
        <v>138.88888888888889</v>
      </c>
    </row>
    <row r="20" spans="1:10" ht="13.5" customHeight="1">
      <c r="A20" s="23" t="s">
        <v>224</v>
      </c>
      <c r="B20" s="24">
        <f>SUM('- 31 -'!D20,'- 31 -'!B20,'- 30 -'!F20,'- 30 -'!D20,'- 30 -'!B20)</f>
        <v>2936302</v>
      </c>
      <c r="C20" s="355">
        <f>B20/'- 3 -'!D20*100</f>
        <v>5.313828616845939</v>
      </c>
      <c r="D20" s="24">
        <f>B20/'- 7 -'!F20</f>
        <v>408.9557103064067</v>
      </c>
      <c r="E20" s="24">
        <f>SUM('- 33 -'!D20,'- 33 -'!B20,'- 32 -'!F20,'- 32 -'!D20,'- 32 -'!B20)</f>
        <v>6116468</v>
      </c>
      <c r="F20" s="355">
        <f>E20/'- 3 -'!D20*100</f>
        <v>11.068978154298312</v>
      </c>
      <c r="G20" s="24">
        <f>E20/'- 7 -'!F20</f>
        <v>851.8757660167131</v>
      </c>
      <c r="H20" s="24">
        <f>SUM('- 34 -'!B20,'- 34 -'!D20)</f>
        <v>1137000</v>
      </c>
      <c r="I20" s="355">
        <f>H20/'- 3 -'!D20*100</f>
        <v>2.0576300180818703</v>
      </c>
      <c r="J20" s="24">
        <f>H20/'- 7 -'!F20</f>
        <v>158.35654596100278</v>
      </c>
    </row>
    <row r="21" spans="1:10" ht="13.5" customHeight="1">
      <c r="A21" s="362" t="s">
        <v>225</v>
      </c>
      <c r="B21" s="363">
        <f>SUM('- 31 -'!D21,'- 31 -'!B21,'- 30 -'!F21,'- 30 -'!D21,'- 30 -'!B21)</f>
        <v>1933000</v>
      </c>
      <c r="C21" s="364">
        <f>B21/'- 3 -'!D21*100</f>
        <v>6.798247156553117</v>
      </c>
      <c r="D21" s="363">
        <f>B21/'- 7 -'!F21</f>
        <v>649.6387161821542</v>
      </c>
      <c r="E21" s="363">
        <f>SUM('- 33 -'!D21,'- 33 -'!B21,'- 32 -'!F21,'- 32 -'!D21,'- 32 -'!B21)</f>
        <v>3115000</v>
      </c>
      <c r="F21" s="364">
        <f>E21/'- 3 -'!D21*100</f>
        <v>10.955271543022741</v>
      </c>
      <c r="G21" s="363">
        <f>E21/'- 7 -'!F21</f>
        <v>1046.882876827424</v>
      </c>
      <c r="H21" s="363">
        <f>SUM('- 34 -'!B21,'- 34 -'!D21)</f>
        <v>550000</v>
      </c>
      <c r="I21" s="364">
        <f>H21/'- 3 -'!D21*100</f>
        <v>1.9343176079173379</v>
      </c>
      <c r="J21" s="363">
        <f>H21/'- 7 -'!F21</f>
        <v>184.84288354898337</v>
      </c>
    </row>
    <row r="22" spans="1:10" ht="13.5" customHeight="1">
      <c r="A22" s="23" t="s">
        <v>226</v>
      </c>
      <c r="B22" s="24">
        <f>SUM('- 31 -'!D22,'- 31 -'!B22,'- 30 -'!F22,'- 30 -'!D22,'- 30 -'!B22)</f>
        <v>570740</v>
      </c>
      <c r="C22" s="355">
        <f>B22/'- 3 -'!D22*100</f>
        <v>3.5600391870031687</v>
      </c>
      <c r="D22" s="24">
        <f>B22/'- 7 -'!F22</f>
        <v>336.7197640117994</v>
      </c>
      <c r="E22" s="24">
        <f>SUM('- 33 -'!D22,'- 33 -'!B22,'- 32 -'!F22,'- 32 -'!D22,'- 32 -'!B22)</f>
        <v>2003895</v>
      </c>
      <c r="F22" s="355">
        <f>E22/'- 3 -'!D22*100</f>
        <v>12.499465127097654</v>
      </c>
      <c r="G22" s="24">
        <f>E22/'- 7 -'!F22</f>
        <v>1182.2389380530974</v>
      </c>
      <c r="H22" s="24">
        <f>SUM('- 34 -'!B22,'- 34 -'!D22)</f>
        <v>310000</v>
      </c>
      <c r="I22" s="355">
        <f>H22/'- 3 -'!D22*100</f>
        <v>1.9336513087762943</v>
      </c>
      <c r="J22" s="24">
        <f>H22/'- 7 -'!F22</f>
        <v>182.89085545722713</v>
      </c>
    </row>
    <row r="23" spans="1:10" ht="13.5" customHeight="1">
      <c r="A23" s="362" t="s">
        <v>227</v>
      </c>
      <c r="B23" s="363">
        <f>SUM('- 31 -'!D23,'- 31 -'!B23,'- 30 -'!F23,'- 30 -'!D23,'- 30 -'!B23)</f>
        <v>1329600</v>
      </c>
      <c r="C23" s="364">
        <f>B23/'- 3 -'!D23*100</f>
        <v>10.026260114487584</v>
      </c>
      <c r="D23" s="363">
        <f>B23/'- 7 -'!F23</f>
        <v>1020.4144282425173</v>
      </c>
      <c r="E23" s="363">
        <f>SUM('- 33 -'!D23,'- 33 -'!B23,'- 32 -'!F23,'- 32 -'!D23,'- 32 -'!B23)</f>
        <v>1169950</v>
      </c>
      <c r="F23" s="364">
        <f>E23/'- 3 -'!D23*100</f>
        <v>8.822369901432573</v>
      </c>
      <c r="G23" s="363">
        <f>E23/'- 7 -'!F23</f>
        <v>897.8894858019954</v>
      </c>
      <c r="H23" s="363">
        <f>SUM('- 34 -'!B23,'- 34 -'!D23)</f>
        <v>225000</v>
      </c>
      <c r="I23" s="364">
        <f>H23/'- 3 -'!D23*100</f>
        <v>1.696682104211572</v>
      </c>
      <c r="J23" s="363">
        <f>H23/'- 7 -'!F23</f>
        <v>172.67843438219492</v>
      </c>
    </row>
    <row r="24" spans="1:10" ht="13.5" customHeight="1">
      <c r="A24" s="23" t="s">
        <v>228</v>
      </c>
      <c r="B24" s="24">
        <f>SUM('- 31 -'!D24,'- 31 -'!B24,'- 30 -'!F24,'- 30 -'!D24,'- 30 -'!B24)</f>
        <v>2219080</v>
      </c>
      <c r="C24" s="355">
        <f>B24/'- 3 -'!D24*100</f>
        <v>4.996021338163202</v>
      </c>
      <c r="D24" s="24">
        <f>B24/'- 7 -'!F24</f>
        <v>501.37370085856304</v>
      </c>
      <c r="E24" s="24">
        <f>SUM('- 33 -'!D24,'- 33 -'!B24,'- 32 -'!F24,'- 32 -'!D24,'- 32 -'!B24)</f>
        <v>5213570</v>
      </c>
      <c r="F24" s="355">
        <f>E24/'- 3 -'!D24*100</f>
        <v>11.737795378268258</v>
      </c>
      <c r="G24" s="24">
        <f>E24/'- 7 -'!F24</f>
        <v>1177.9417080885676</v>
      </c>
      <c r="H24" s="24">
        <f>SUM('- 34 -'!B24,'- 34 -'!D24)</f>
        <v>798345</v>
      </c>
      <c r="I24" s="355">
        <f>H24/'- 3 -'!D24*100</f>
        <v>1.797388402047651</v>
      </c>
      <c r="J24" s="24">
        <f>H24/'- 7 -'!F24</f>
        <v>180.37618617261637</v>
      </c>
    </row>
    <row r="25" spans="1:10" ht="13.5" customHeight="1">
      <c r="A25" s="362" t="s">
        <v>229</v>
      </c>
      <c r="B25" s="363">
        <f>SUM('- 31 -'!D25,'- 31 -'!B25,'- 30 -'!F25,'- 30 -'!D25,'- 30 -'!B25)</f>
        <v>2671614</v>
      </c>
      <c r="C25" s="364">
        <f>B25/'- 3 -'!D25*100</f>
        <v>1.9921691073369365</v>
      </c>
      <c r="D25" s="363">
        <f>B25/'- 7 -'!F25</f>
        <v>188.35406091370558</v>
      </c>
      <c r="E25" s="363">
        <f>SUM('- 33 -'!D25,'- 33 -'!B25,'- 32 -'!F25,'- 32 -'!D25,'- 32 -'!B25)</f>
        <v>15113418</v>
      </c>
      <c r="F25" s="364">
        <f>E25/'- 3 -'!D25*100</f>
        <v>11.269773420063672</v>
      </c>
      <c r="G25" s="363">
        <f>E25/'- 7 -'!F25</f>
        <v>1065.5258037225042</v>
      </c>
      <c r="H25" s="363">
        <f>SUM('- 34 -'!B25,'- 34 -'!D25)</f>
        <v>2300000</v>
      </c>
      <c r="I25" s="364">
        <f>H25/'- 3 -'!D25*100</f>
        <v>1.7150639826243437</v>
      </c>
      <c r="J25" s="363">
        <f>H25/'- 7 -'!F25</f>
        <v>162.15454032712915</v>
      </c>
    </row>
    <row r="26" spans="1:10" ht="13.5" customHeight="1">
      <c r="A26" s="23" t="s">
        <v>230</v>
      </c>
      <c r="B26" s="24">
        <f>SUM('- 31 -'!D26,'- 31 -'!B26,'- 30 -'!F26,'- 30 -'!D26,'- 30 -'!B26)</f>
        <v>2387049</v>
      </c>
      <c r="C26" s="355">
        <f>B26/'- 3 -'!D26*100</f>
        <v>7.359259592907804</v>
      </c>
      <c r="D26" s="24">
        <f>B26/'- 7 -'!F26</f>
        <v>762.3918875758544</v>
      </c>
      <c r="E26" s="24">
        <f>SUM('- 33 -'!D26,'- 33 -'!B26,'- 32 -'!F26,'- 32 -'!D26,'- 32 -'!B26)</f>
        <v>3786272</v>
      </c>
      <c r="F26" s="355">
        <f>E26/'- 3 -'!D26*100</f>
        <v>11.673056789935279</v>
      </c>
      <c r="G26" s="24">
        <f>E26/'- 7 -'!F26</f>
        <v>1209.2852123922069</v>
      </c>
      <c r="H26" s="24">
        <f>SUM('- 34 -'!B26,'- 34 -'!D26)</f>
        <v>569575</v>
      </c>
      <c r="I26" s="355">
        <f>H26/'- 3 -'!D26*100</f>
        <v>1.7559967485503913</v>
      </c>
      <c r="J26" s="24">
        <f>H26/'- 7 -'!F26</f>
        <v>181.91472373043757</v>
      </c>
    </row>
    <row r="27" spans="1:10" ht="13.5" customHeight="1">
      <c r="A27" s="362" t="s">
        <v>231</v>
      </c>
      <c r="B27" s="363">
        <f>SUM('- 31 -'!D27,'- 31 -'!B27,'- 30 -'!F27,'- 30 -'!D27,'- 30 -'!B27)</f>
        <v>179954</v>
      </c>
      <c r="C27" s="364">
        <f>B27/'- 3 -'!D27*100</f>
        <v>0.5099270487574634</v>
      </c>
      <c r="D27" s="363">
        <f>B27/'- 7 -'!F27</f>
        <v>55.86829098676204</v>
      </c>
      <c r="E27" s="363">
        <f>SUM('- 33 -'!D27,'- 33 -'!B27,'- 32 -'!F27,'- 32 -'!D27,'- 32 -'!B27)</f>
        <v>4706682</v>
      </c>
      <c r="F27" s="364">
        <f>E27/'- 3 -'!D27*100</f>
        <v>13.337099823843177</v>
      </c>
      <c r="G27" s="363">
        <f>E27/'- 7 -'!F27</f>
        <v>1461.2305342373893</v>
      </c>
      <c r="H27" s="363">
        <f>SUM('- 34 -'!B27,'- 34 -'!D27)</f>
        <v>552000</v>
      </c>
      <c r="I27" s="364">
        <f>H27/'- 3 -'!D27*100</f>
        <v>1.5641760167271626</v>
      </c>
      <c r="J27" s="363">
        <f>H27/'- 7 -'!F27</f>
        <v>171.3732210714552</v>
      </c>
    </row>
    <row r="28" spans="1:10" ht="13.5" customHeight="1">
      <c r="A28" s="23" t="s">
        <v>232</v>
      </c>
      <c r="B28" s="24">
        <f>SUM('- 31 -'!D28,'- 31 -'!B28,'- 30 -'!F28,'- 30 -'!D28,'- 30 -'!B28)</f>
        <v>1900363</v>
      </c>
      <c r="C28" s="355">
        <f>B28/'- 3 -'!D28*100</f>
        <v>10.226857799188368</v>
      </c>
      <c r="D28" s="24">
        <f>B28/'- 7 -'!F28</f>
        <v>1079.1385576377058</v>
      </c>
      <c r="E28" s="24">
        <f>SUM('- 33 -'!D28,'- 33 -'!B28,'- 32 -'!F28,'- 32 -'!D28,'- 32 -'!B28)</f>
        <v>2088914</v>
      </c>
      <c r="F28" s="355">
        <f>E28/'- 3 -'!D28*100</f>
        <v>11.241550394705522</v>
      </c>
      <c r="G28" s="24">
        <f>E28/'- 7 -'!F28</f>
        <v>1186.2089721749007</v>
      </c>
      <c r="H28" s="24">
        <f>SUM('- 34 -'!B28,'- 34 -'!D28)</f>
        <v>330000</v>
      </c>
      <c r="I28" s="355">
        <f>H28/'- 3 -'!D28*100</f>
        <v>1.775904431801799</v>
      </c>
      <c r="J28" s="24">
        <f>H28/'- 7 -'!F28</f>
        <v>187.39352640545144</v>
      </c>
    </row>
    <row r="29" spans="1:10" ht="13.5" customHeight="1">
      <c r="A29" s="362" t="s">
        <v>233</v>
      </c>
      <c r="B29" s="363">
        <f>SUM('- 31 -'!D29,'- 31 -'!B29,'- 30 -'!F29,'- 30 -'!D29,'- 30 -'!B29)</f>
        <v>1801120</v>
      </c>
      <c r="C29" s="364">
        <f>B29/'- 3 -'!D29*100</f>
        <v>1.463979870634418</v>
      </c>
      <c r="D29" s="363">
        <f>B29/'- 7 -'!F29</f>
        <v>148.11233090744625</v>
      </c>
      <c r="E29" s="363">
        <f>SUM('- 33 -'!D29,'- 33 -'!B29,'- 32 -'!F29,'- 32 -'!D29,'- 32 -'!B29)</f>
        <v>12585723</v>
      </c>
      <c r="F29" s="364">
        <f>E29/'- 3 -'!D29*100</f>
        <v>10.229882034167973</v>
      </c>
      <c r="G29" s="363">
        <f>E29/'- 7 -'!F29</f>
        <v>1034.9675588997163</v>
      </c>
      <c r="H29" s="363">
        <f>SUM('- 34 -'!B29,'- 34 -'!D29)</f>
        <v>2280000</v>
      </c>
      <c r="I29" s="364">
        <f>H29/'- 3 -'!D29*100</f>
        <v>1.853221387273737</v>
      </c>
      <c r="J29" s="363">
        <f>H29/'- 7 -'!F29</f>
        <v>187.49229061305044</v>
      </c>
    </row>
    <row r="30" spans="1:10" ht="13.5" customHeight="1">
      <c r="A30" s="23" t="s">
        <v>234</v>
      </c>
      <c r="B30" s="24">
        <f>SUM('- 31 -'!D30,'- 31 -'!B30,'- 30 -'!F30,'- 30 -'!D30,'- 30 -'!B30)</f>
        <v>1056518</v>
      </c>
      <c r="C30" s="355">
        <f>B30/'- 3 -'!D30*100</f>
        <v>9.259464080289273</v>
      </c>
      <c r="D30" s="24">
        <f>B30/'- 7 -'!F30</f>
        <v>897.6363636363636</v>
      </c>
      <c r="E30" s="24">
        <f>SUM('- 33 -'!D30,'- 33 -'!B30,'- 32 -'!F30,'- 32 -'!D30,'- 32 -'!B30)</f>
        <v>1255310</v>
      </c>
      <c r="F30" s="355">
        <f>E30/'- 3 -'!D30*100</f>
        <v>11.00170357213784</v>
      </c>
      <c r="G30" s="24">
        <f>E30/'- 7 -'!F30</f>
        <v>1066.533559898046</v>
      </c>
      <c r="H30" s="24">
        <f>SUM('- 34 -'!B30,'- 34 -'!D30)</f>
        <v>186365</v>
      </c>
      <c r="I30" s="355">
        <f>H30/'- 3 -'!D30*100</f>
        <v>1.6333276132759786</v>
      </c>
      <c r="J30" s="24">
        <f>H30/'- 7 -'!F30</f>
        <v>158.33899745114698</v>
      </c>
    </row>
    <row r="31" spans="1:10" ht="13.5" customHeight="1">
      <c r="A31" s="362" t="s">
        <v>235</v>
      </c>
      <c r="B31" s="363">
        <f>SUM('- 31 -'!D31,'- 31 -'!B31,'- 30 -'!F31,'- 30 -'!D31,'- 30 -'!B31)</f>
        <v>951521</v>
      </c>
      <c r="C31" s="364">
        <f>B31/'- 3 -'!D31*100</f>
        <v>3.241843366512064</v>
      </c>
      <c r="D31" s="363">
        <f>B31/'- 7 -'!F31</f>
        <v>290.55850738976426</v>
      </c>
      <c r="E31" s="363">
        <f>SUM('- 33 -'!D31,'- 33 -'!B31,'- 32 -'!F31,'- 32 -'!D31,'- 32 -'!B31)</f>
        <v>3475790</v>
      </c>
      <c r="F31" s="364">
        <f>E31/'- 3 -'!D31*100</f>
        <v>11.842057878795075</v>
      </c>
      <c r="G31" s="363">
        <f>E31/'- 7 -'!F31</f>
        <v>1061.3747404421642</v>
      </c>
      <c r="H31" s="363">
        <f>SUM('- 34 -'!B31,'- 34 -'!D31)</f>
        <v>501242</v>
      </c>
      <c r="I31" s="364">
        <f>H31/'- 3 -'!D31*100</f>
        <v>1.7077374568898007</v>
      </c>
      <c r="J31" s="363">
        <f>H31/'- 7 -'!F31</f>
        <v>153.06033956272137</v>
      </c>
    </row>
    <row r="32" spans="1:10" ht="13.5" customHeight="1">
      <c r="A32" s="23" t="s">
        <v>236</v>
      </c>
      <c r="B32" s="24">
        <f>SUM('- 31 -'!D32,'- 31 -'!B32,'- 30 -'!F32,'- 30 -'!D32,'- 30 -'!B32)</f>
        <v>1786925</v>
      </c>
      <c r="C32" s="355">
        <f>B32/'- 3 -'!D32*100</f>
        <v>8.15466326216102</v>
      </c>
      <c r="D32" s="24">
        <f>B32/'- 7 -'!F32</f>
        <v>814.4598906107566</v>
      </c>
      <c r="E32" s="24">
        <f>SUM('- 33 -'!D32,'- 33 -'!B32,'- 32 -'!F32,'- 32 -'!D32,'- 32 -'!B32)</f>
        <v>2279430</v>
      </c>
      <c r="F32" s="355">
        <f>E32/'- 3 -'!D32*100</f>
        <v>10.402218380551895</v>
      </c>
      <c r="G32" s="24">
        <f>E32/'- 7 -'!F32</f>
        <v>1038.9380127620784</v>
      </c>
      <c r="H32" s="24">
        <f>SUM('- 34 -'!B32,'- 34 -'!D32)</f>
        <v>365000</v>
      </c>
      <c r="I32" s="355">
        <f>H32/'- 3 -'!D32*100</f>
        <v>1.6656838371441287</v>
      </c>
      <c r="J32" s="24">
        <f>H32/'- 7 -'!F32</f>
        <v>166.36280765724703</v>
      </c>
    </row>
    <row r="33" spans="1:10" ht="13.5" customHeight="1">
      <c r="A33" s="362" t="s">
        <v>237</v>
      </c>
      <c r="B33" s="363">
        <f>SUM('- 31 -'!D33,'- 31 -'!B33,'- 30 -'!F33,'- 30 -'!D33,'- 30 -'!B33)</f>
        <v>2011200</v>
      </c>
      <c r="C33" s="364">
        <f>B33/'- 3 -'!D33*100</f>
        <v>8.747580627623252</v>
      </c>
      <c r="D33" s="363">
        <f>B33/'- 7 -'!F33</f>
        <v>924.2647058823529</v>
      </c>
      <c r="E33" s="363">
        <f>SUM('- 33 -'!D33,'- 33 -'!B33,'- 32 -'!F33,'- 32 -'!D33,'- 32 -'!B33)</f>
        <v>2818200</v>
      </c>
      <c r="F33" s="364">
        <f>E33/'- 3 -'!D33*100</f>
        <v>12.257573451058</v>
      </c>
      <c r="G33" s="363">
        <f>E33/'- 7 -'!F33</f>
        <v>1295.1286764705883</v>
      </c>
      <c r="H33" s="363">
        <f>SUM('- 34 -'!B33,'- 34 -'!D33)</f>
        <v>405000</v>
      </c>
      <c r="I33" s="364">
        <f>H33/'- 3 -'!D33*100</f>
        <v>1.7615205619468066</v>
      </c>
      <c r="J33" s="363">
        <f>H33/'- 7 -'!F33</f>
        <v>186.12132352941177</v>
      </c>
    </row>
    <row r="34" spans="1:10" ht="13.5" customHeight="1">
      <c r="A34" s="23" t="s">
        <v>238</v>
      </c>
      <c r="B34" s="24">
        <f>SUM('- 31 -'!D34,'- 31 -'!B34,'- 30 -'!F34,'- 30 -'!D34,'- 30 -'!B34)</f>
        <v>2098270</v>
      </c>
      <c r="C34" s="355">
        <f>B34/'- 3 -'!D34*100</f>
        <v>10.146682418274832</v>
      </c>
      <c r="D34" s="24">
        <f>B34/'- 7 -'!F34</f>
        <v>1036.1827160493826</v>
      </c>
      <c r="E34" s="24">
        <f>SUM('- 33 -'!D34,'- 33 -'!B34,'- 32 -'!F34,'- 32 -'!D34,'- 32 -'!B34)</f>
        <v>2274509</v>
      </c>
      <c r="F34" s="355">
        <f>E34/'- 3 -'!D34*100</f>
        <v>10.998927917049697</v>
      </c>
      <c r="G34" s="24">
        <f>E34/'- 7 -'!F34</f>
        <v>1123.2143209876542</v>
      </c>
      <c r="H34" s="24">
        <f>SUM('- 34 -'!B34,'- 34 -'!D34)</f>
        <v>380441</v>
      </c>
      <c r="I34" s="355">
        <f>H34/'- 3 -'!D34*100</f>
        <v>1.8397127185209223</v>
      </c>
      <c r="J34" s="24">
        <f>H34/'- 7 -'!F34</f>
        <v>187.8720987654321</v>
      </c>
    </row>
    <row r="35" spans="1:10" ht="13.5" customHeight="1">
      <c r="A35" s="362" t="s">
        <v>239</v>
      </c>
      <c r="B35" s="363">
        <f>SUM('- 31 -'!D35,'- 31 -'!B35,'- 30 -'!F35,'- 30 -'!D35,'- 30 -'!B35)</f>
        <v>2855100</v>
      </c>
      <c r="C35" s="364">
        <f>B35/'- 3 -'!D35*100</f>
        <v>1.8935416415281014</v>
      </c>
      <c r="D35" s="363">
        <f>B35/'- 7 -'!F35</f>
        <v>174.93413393787145</v>
      </c>
      <c r="E35" s="363">
        <f>SUM('- 33 -'!D35,'- 33 -'!B35,'- 32 -'!F35,'- 32 -'!D35,'- 32 -'!B35)</f>
        <v>18583690</v>
      </c>
      <c r="F35" s="364">
        <f>E35/'- 3 -'!D35*100</f>
        <v>12.324959149679298</v>
      </c>
      <c r="G35" s="363">
        <f>E35/'- 7 -'!F35</f>
        <v>1138.6367256908277</v>
      </c>
      <c r="H35" s="363">
        <f>SUM('- 34 -'!B35,'- 34 -'!D35)</f>
        <v>2632000</v>
      </c>
      <c r="I35" s="364">
        <f>H35/'- 3 -'!D35*100</f>
        <v>1.7455786489096574</v>
      </c>
      <c r="J35" s="363">
        <f>H35/'- 7 -'!F35</f>
        <v>161.26462839286808</v>
      </c>
    </row>
    <row r="36" spans="1:10" ht="13.5" customHeight="1">
      <c r="A36" s="23" t="s">
        <v>240</v>
      </c>
      <c r="B36" s="24">
        <f>SUM('- 31 -'!D36,'- 31 -'!B36,'- 30 -'!F36,'- 30 -'!D36,'- 30 -'!B36)</f>
        <v>1428665</v>
      </c>
      <c r="C36" s="355">
        <f>B36/'- 3 -'!D36*100</f>
        <v>7.435007790634378</v>
      </c>
      <c r="D36" s="24">
        <f>B36/'- 7 -'!F36</f>
        <v>777.2932535364527</v>
      </c>
      <c r="E36" s="24">
        <f>SUM('- 33 -'!D36,'- 33 -'!B36,'- 32 -'!F36,'- 32 -'!D36,'- 32 -'!B36)</f>
        <v>2217435</v>
      </c>
      <c r="F36" s="355">
        <f>E36/'- 3 -'!D36*100</f>
        <v>11.539896686924745</v>
      </c>
      <c r="G36" s="24">
        <f>E36/'- 7 -'!F36</f>
        <v>1206.4390642002177</v>
      </c>
      <c r="H36" s="24">
        <f>SUM('- 34 -'!B36,'- 34 -'!D36)</f>
        <v>395000</v>
      </c>
      <c r="I36" s="355">
        <f>H36/'- 3 -'!D36*100</f>
        <v>2.0556450093622924</v>
      </c>
      <c r="J36" s="24">
        <f>H36/'- 7 -'!F36</f>
        <v>214.9075081610446</v>
      </c>
    </row>
    <row r="37" spans="1:10" ht="13.5" customHeight="1">
      <c r="A37" s="362" t="s">
        <v>241</v>
      </c>
      <c r="B37" s="363">
        <f>SUM('- 31 -'!D37,'- 31 -'!B37,'- 30 -'!F37,'- 30 -'!D37,'- 30 -'!B37)</f>
        <v>1966267</v>
      </c>
      <c r="C37" s="364">
        <f>B37/'- 3 -'!D37*100</f>
        <v>5.967881556490181</v>
      </c>
      <c r="D37" s="363">
        <f>B37/'- 7 -'!F37</f>
        <v>567.5471207966517</v>
      </c>
      <c r="E37" s="363">
        <f>SUM('- 33 -'!D37,'- 33 -'!B37,'- 32 -'!F37,'- 32 -'!D37,'- 32 -'!B37)</f>
        <v>3558642</v>
      </c>
      <c r="F37" s="364">
        <f>E37/'- 3 -'!D37*100</f>
        <v>10.800951222774593</v>
      </c>
      <c r="G37" s="363">
        <f>E37/'- 7 -'!F37</f>
        <v>1027.173329484774</v>
      </c>
      <c r="H37" s="363">
        <f>SUM('- 34 -'!B37,'- 34 -'!D37)</f>
        <v>534992</v>
      </c>
      <c r="I37" s="364">
        <f>H37/'- 3 -'!D37*100</f>
        <v>1.6237717917606282</v>
      </c>
      <c r="J37" s="363">
        <f>H37/'- 7 -'!F37</f>
        <v>154.42112858998414</v>
      </c>
    </row>
    <row r="38" spans="1:10" ht="13.5" customHeight="1">
      <c r="A38" s="23" t="s">
        <v>242</v>
      </c>
      <c r="B38" s="24">
        <f>SUM('- 31 -'!D38,'- 31 -'!B38,'- 30 -'!F38,'- 30 -'!D38,'- 30 -'!B38)</f>
        <v>2620013</v>
      </c>
      <c r="C38" s="355">
        <f>B38/'- 3 -'!D38*100</f>
        <v>3.141581879349705</v>
      </c>
      <c r="D38" s="24">
        <f>B38/'- 7 -'!F38</f>
        <v>297.8302830510401</v>
      </c>
      <c r="E38" s="24">
        <f>SUM('- 33 -'!D38,'- 33 -'!B38,'- 32 -'!F38,'- 32 -'!D38,'- 32 -'!B38)</f>
        <v>10055010</v>
      </c>
      <c r="F38" s="355">
        <f>E38/'- 3 -'!D38*100</f>
        <v>12.056671937383548</v>
      </c>
      <c r="G38" s="24">
        <f>E38/'- 7 -'!F38</f>
        <v>1143.004433329544</v>
      </c>
      <c r="H38" s="24">
        <f>SUM('- 34 -'!B38,'- 34 -'!D38)</f>
        <v>1531529</v>
      </c>
      <c r="I38" s="355">
        <f>H38/'- 3 -'!D38*100</f>
        <v>1.8364121682215222</v>
      </c>
      <c r="J38" s="24">
        <f>H38/'- 7 -'!F38</f>
        <v>174.09673752415597</v>
      </c>
    </row>
    <row r="39" spans="1:10" ht="13.5" customHeight="1">
      <c r="A39" s="362" t="s">
        <v>243</v>
      </c>
      <c r="B39" s="363">
        <f>SUM('- 31 -'!D39,'- 31 -'!B39,'- 30 -'!F39,'- 30 -'!D39,'- 30 -'!B39)</f>
        <v>1558790</v>
      </c>
      <c r="C39" s="364">
        <f>B39/'- 3 -'!D39*100</f>
        <v>9.05651725989908</v>
      </c>
      <c r="D39" s="363">
        <f>B39/'- 7 -'!F39</f>
        <v>954.5560318432333</v>
      </c>
      <c r="E39" s="363">
        <f>SUM('- 33 -'!D39,'- 33 -'!B39,'- 32 -'!F39,'- 32 -'!D39,'- 32 -'!B39)</f>
        <v>1832500</v>
      </c>
      <c r="F39" s="364">
        <f>E39/'- 3 -'!D39*100</f>
        <v>10.64676311675406</v>
      </c>
      <c r="G39" s="363">
        <f>E39/'- 7 -'!F39</f>
        <v>1122.1677893447643</v>
      </c>
      <c r="H39" s="363">
        <f>SUM('- 34 -'!B39,'- 34 -'!D39)</f>
        <v>305000</v>
      </c>
      <c r="I39" s="364">
        <f>H39/'- 3 -'!D39*100</f>
        <v>1.7720397001964465</v>
      </c>
      <c r="J39" s="363">
        <f>H39/'- 7 -'!F39</f>
        <v>186.77281077770974</v>
      </c>
    </row>
    <row r="40" spans="1:10" ht="13.5" customHeight="1">
      <c r="A40" s="23" t="s">
        <v>244</v>
      </c>
      <c r="B40" s="24">
        <f>SUM('- 31 -'!D40,'- 31 -'!B40,'- 30 -'!F40,'- 30 -'!D40,'- 30 -'!B40)</f>
        <v>1526558</v>
      </c>
      <c r="C40" s="355">
        <f>B40/'- 3 -'!D40*100</f>
        <v>1.8140975825967711</v>
      </c>
      <c r="D40" s="24">
        <f>B40/'- 7 -'!F40</f>
        <v>182.67692602254505</v>
      </c>
      <c r="E40" s="24">
        <f>SUM('- 33 -'!D40,'- 33 -'!B40,'- 32 -'!F40,'- 32 -'!D40,'- 32 -'!B40)</f>
        <v>9642863</v>
      </c>
      <c r="F40" s="355">
        <f>E40/'- 3 -'!D40*100</f>
        <v>11.459174468059418</v>
      </c>
      <c r="G40" s="24">
        <f>E40/'- 7 -'!F40</f>
        <v>1153.9218103056267</v>
      </c>
      <c r="H40" s="24">
        <f>SUM('- 34 -'!B40,'- 34 -'!D40)</f>
        <v>1429481</v>
      </c>
      <c r="I40" s="355">
        <f>H40/'- 3 -'!D40*100</f>
        <v>1.6987353421671596</v>
      </c>
      <c r="J40" s="24">
        <f>H40/'- 7 -'!F40</f>
        <v>171.06012014455638</v>
      </c>
    </row>
    <row r="41" spans="1:10" ht="13.5" customHeight="1">
      <c r="A41" s="362" t="s">
        <v>245</v>
      </c>
      <c r="B41" s="363">
        <f>SUM('- 31 -'!D41,'- 31 -'!B41,'- 30 -'!F41,'- 30 -'!D41,'- 30 -'!B41)</f>
        <v>3835655</v>
      </c>
      <c r="C41" s="364">
        <f>B41/'- 3 -'!D41*100</f>
        <v>7.484077977292443</v>
      </c>
      <c r="D41" s="363">
        <f>B41/'- 7 -'!F41</f>
        <v>828.6141715273277</v>
      </c>
      <c r="E41" s="363">
        <f>SUM('- 33 -'!D41,'- 33 -'!B41,'- 32 -'!F41,'- 32 -'!D41,'- 32 -'!B41)</f>
        <v>4414000</v>
      </c>
      <c r="F41" s="364">
        <f>E41/'- 3 -'!D41*100</f>
        <v>8.612536891813482</v>
      </c>
      <c r="G41" s="363">
        <f>E41/'- 7 -'!F41</f>
        <v>953.5536833009289</v>
      </c>
      <c r="H41" s="363">
        <f>SUM('- 34 -'!B41,'- 34 -'!D41)</f>
        <v>931000</v>
      </c>
      <c r="I41" s="364">
        <f>H41/'- 3 -'!D41*100</f>
        <v>1.8165545641772436</v>
      </c>
      <c r="J41" s="363">
        <f>H41/'- 7 -'!F41</f>
        <v>201.12335277597754</v>
      </c>
    </row>
    <row r="42" spans="1:10" ht="13.5" customHeight="1">
      <c r="A42" s="23" t="s">
        <v>246</v>
      </c>
      <c r="B42" s="24">
        <f>SUM('- 31 -'!D42,'- 31 -'!B42,'- 30 -'!F42,'- 30 -'!D42,'- 30 -'!B42)</f>
        <v>1545968</v>
      </c>
      <c r="C42" s="355">
        <f>B42/'- 3 -'!D42*100</f>
        <v>8.722648345641588</v>
      </c>
      <c r="D42" s="24">
        <f>B42/'- 7 -'!F42</f>
        <v>949.6117936117936</v>
      </c>
      <c r="E42" s="24">
        <f>SUM('- 33 -'!D42,'- 33 -'!B42,'- 32 -'!F42,'- 32 -'!D42,'- 32 -'!B42)</f>
        <v>1933639</v>
      </c>
      <c r="F42" s="355">
        <f>E42/'- 3 -'!D42*100</f>
        <v>10.90996257646863</v>
      </c>
      <c r="G42" s="24">
        <f>E42/'- 7 -'!F42</f>
        <v>1187.7389434889435</v>
      </c>
      <c r="H42" s="24">
        <f>SUM('- 34 -'!B42,'- 34 -'!D42)</f>
        <v>301339</v>
      </c>
      <c r="I42" s="355">
        <f>H42/'- 3 -'!D42*100</f>
        <v>1.7002125075210421</v>
      </c>
      <c r="J42" s="24">
        <f>H42/'- 7 -'!F42</f>
        <v>185.09766584766584</v>
      </c>
    </row>
    <row r="43" spans="1:10" ht="13.5" customHeight="1">
      <c r="A43" s="362" t="s">
        <v>247</v>
      </c>
      <c r="B43" s="363">
        <f>SUM('- 31 -'!D43,'- 31 -'!B43,'- 30 -'!F43,'- 30 -'!D43,'- 30 -'!B43)</f>
        <v>784809</v>
      </c>
      <c r="C43" s="364">
        <f>B43/'- 3 -'!D43*100</f>
        <v>7.612315281256693</v>
      </c>
      <c r="D43" s="363">
        <f>B43/'- 7 -'!F43</f>
        <v>781.293180686909</v>
      </c>
      <c r="E43" s="363">
        <f>SUM('- 33 -'!D43,'- 33 -'!B43,'- 32 -'!F43,'- 32 -'!D43,'- 32 -'!B43)</f>
        <v>918064</v>
      </c>
      <c r="F43" s="364">
        <f>E43/'- 3 -'!D43*100</f>
        <v>8.904832406829744</v>
      </c>
      <c r="G43" s="363">
        <f>E43/'- 7 -'!F43</f>
        <v>913.9512195121952</v>
      </c>
      <c r="H43" s="363">
        <f>SUM('- 34 -'!B43,'- 34 -'!D43)</f>
        <v>181000</v>
      </c>
      <c r="I43" s="364">
        <f>H43/'- 3 -'!D43*100</f>
        <v>1.7556234267286197</v>
      </c>
      <c r="J43" s="363">
        <f>H43/'- 7 -'!F43</f>
        <v>180.1891488302638</v>
      </c>
    </row>
    <row r="44" spans="1:10" ht="13.5" customHeight="1">
      <c r="A44" s="23" t="s">
        <v>248</v>
      </c>
      <c r="B44" s="24">
        <f>SUM('- 31 -'!D44,'- 31 -'!B44,'- 30 -'!F44,'- 30 -'!D44,'- 30 -'!B44)</f>
        <v>856724</v>
      </c>
      <c r="C44" s="355">
        <f>B44/'- 3 -'!D44*100</f>
        <v>10.118110603546636</v>
      </c>
      <c r="D44" s="24">
        <f>B44/'- 7 -'!F44</f>
        <v>1098.3641025641025</v>
      </c>
      <c r="E44" s="24">
        <f>SUM('- 33 -'!D44,'- 33 -'!B44,'- 32 -'!F44,'- 32 -'!D44,'- 32 -'!B44)</f>
        <v>867672</v>
      </c>
      <c r="F44" s="355">
        <f>E44/'- 3 -'!D44*100</f>
        <v>10.247409041418845</v>
      </c>
      <c r="G44" s="24">
        <f>E44/'- 7 -'!F44</f>
        <v>1112.4</v>
      </c>
      <c r="H44" s="24">
        <f>SUM('- 34 -'!B44,'- 34 -'!D44)</f>
        <v>132217</v>
      </c>
      <c r="I44" s="355">
        <f>H44/'- 3 -'!D44*100</f>
        <v>1.5615136609563005</v>
      </c>
      <c r="J44" s="24">
        <f>H44/'- 7 -'!F44</f>
        <v>169.50897435897437</v>
      </c>
    </row>
    <row r="45" spans="1:10" ht="13.5" customHeight="1">
      <c r="A45" s="362" t="s">
        <v>249</v>
      </c>
      <c r="B45" s="363">
        <f>SUM('- 31 -'!D45,'- 31 -'!B45,'- 30 -'!F45,'- 30 -'!D45,'- 30 -'!B45)</f>
        <v>578559</v>
      </c>
      <c r="C45" s="364">
        <f>B45/'- 3 -'!D45*100</f>
        <v>4.442674722714373</v>
      </c>
      <c r="D45" s="363">
        <f>B45/'- 7 -'!F45</f>
        <v>380.6309210526316</v>
      </c>
      <c r="E45" s="363">
        <f>SUM('- 33 -'!D45,'- 33 -'!B45,'- 32 -'!F45,'- 32 -'!D45,'- 32 -'!B45)</f>
        <v>1299772</v>
      </c>
      <c r="F45" s="364">
        <f>E45/'- 3 -'!D45*100</f>
        <v>9.980769825881037</v>
      </c>
      <c r="G45" s="363">
        <f>E45/'- 7 -'!F45</f>
        <v>855.1131578947368</v>
      </c>
      <c r="H45" s="363">
        <f>SUM('- 34 -'!B45,'- 34 -'!D45)</f>
        <v>237591</v>
      </c>
      <c r="I45" s="364">
        <f>H45/'- 3 -'!D45*100</f>
        <v>1.824428502614998</v>
      </c>
      <c r="J45" s="363">
        <f>H45/'- 7 -'!F45</f>
        <v>156.30986842105264</v>
      </c>
    </row>
    <row r="46" spans="1:10" ht="13.5" customHeight="1">
      <c r="A46" s="23" t="s">
        <v>250</v>
      </c>
      <c r="B46" s="24">
        <f>SUM('- 31 -'!D46,'- 31 -'!B46,'- 30 -'!F46,'- 30 -'!D46,'- 30 -'!B46)</f>
        <v>4434100</v>
      </c>
      <c r="C46" s="355">
        <f>B46/'- 3 -'!D46*100</f>
        <v>1.4472909439623152</v>
      </c>
      <c r="D46" s="24">
        <f>B46/'- 7 -'!F46</f>
        <v>145.9017472277977</v>
      </c>
      <c r="E46" s="24">
        <f>SUM('- 33 -'!D46,'- 33 -'!B46,'- 32 -'!F46,'- 32 -'!D46,'- 32 -'!B46)</f>
        <v>39919500</v>
      </c>
      <c r="F46" s="355">
        <f>E46/'- 3 -'!D46*100</f>
        <v>13.029731137661225</v>
      </c>
      <c r="G46" s="24">
        <f>E46/'- 7 -'!F46</f>
        <v>1313.530321476753</v>
      </c>
      <c r="H46" s="24">
        <f>SUM('- 34 -'!B46,'- 34 -'!D46)</f>
        <v>5457400</v>
      </c>
      <c r="I46" s="355">
        <f>H46/'- 3 -'!D46*100</f>
        <v>1.7812962264224845</v>
      </c>
      <c r="J46" s="24">
        <f>H46/'- 7 -'!F46</f>
        <v>179.57289987167255</v>
      </c>
    </row>
    <row r="47" spans="1:11" ht="4.5" customHeight="1">
      <c r="A47"/>
      <c r="B47"/>
      <c r="C47"/>
      <c r="D47"/>
      <c r="E47"/>
      <c r="F47"/>
      <c r="G47"/>
      <c r="H47"/>
      <c r="I47"/>
      <c r="J47"/>
      <c r="K47"/>
    </row>
    <row r="48" spans="1:10" ht="13.5" customHeight="1">
      <c r="A48" s="365" t="s">
        <v>251</v>
      </c>
      <c r="B48" s="366">
        <f>SUM(B11:B46)</f>
        <v>71622875</v>
      </c>
      <c r="C48" s="367">
        <f>B48/'- 3 -'!D48*100</f>
        <v>4.145523285793455</v>
      </c>
      <c r="D48" s="366">
        <f>B48/'- 7 -'!F48</f>
        <v>415.77025143363</v>
      </c>
      <c r="E48" s="366">
        <f>SUM(E11:E46)</f>
        <v>205216633</v>
      </c>
      <c r="F48" s="367">
        <f>E48/'- 3 -'!D48*100</f>
        <v>11.877913735432006</v>
      </c>
      <c r="G48" s="366">
        <f>E48/'- 7 -'!F48</f>
        <v>1191.2810132345703</v>
      </c>
      <c r="H48" s="366">
        <f>SUM(H11:H46)</f>
        <v>30601230</v>
      </c>
      <c r="I48" s="367">
        <f>H48/'- 3 -'!D48*100</f>
        <v>1.7711954670755856</v>
      </c>
      <c r="J48" s="366">
        <f>H48/'- 7 -'!F48</f>
        <v>177.6399103118709</v>
      </c>
    </row>
    <row r="49" spans="1:10" ht="4.5" customHeight="1">
      <c r="A49" s="25" t="s">
        <v>3</v>
      </c>
      <c r="B49" s="26"/>
      <c r="C49" s="353"/>
      <c r="D49" s="26"/>
      <c r="E49" s="26"/>
      <c r="F49" s="353"/>
      <c r="H49" s="26"/>
      <c r="I49" s="353"/>
      <c r="J49" s="26"/>
    </row>
    <row r="50" spans="1:10" ht="13.5" customHeight="1">
      <c r="A50" s="23" t="s">
        <v>252</v>
      </c>
      <c r="B50" s="24">
        <f>SUM('- 31 -'!D50,'- 31 -'!B50,'- 30 -'!F50,'- 30 -'!D50,'- 30 -'!B50)</f>
        <v>33200</v>
      </c>
      <c r="C50" s="355">
        <f>B50/'- 3 -'!D50*100</f>
        <v>1.1682477304500605</v>
      </c>
      <c r="D50" s="24">
        <f>B50/'- 7 -'!F50</f>
        <v>155.50351288056206</v>
      </c>
      <c r="E50" s="24">
        <f>SUM('- 33 -'!D50,'- 33 -'!B50,'- 32 -'!F50,'- 32 -'!D50,'- 32 -'!B50)</f>
        <v>380274</v>
      </c>
      <c r="F50" s="355">
        <f>E50/'- 3 -'!D50*100</f>
        <v>13.381151730396573</v>
      </c>
      <c r="G50" s="24">
        <f>E50/'- 7 -'!F50</f>
        <v>1781.142857142857</v>
      </c>
      <c r="H50" s="24">
        <f>SUM('- 34 -'!B50,'- 34 -'!D50)</f>
        <v>17500</v>
      </c>
      <c r="I50" s="355">
        <f>H50/'- 3 -'!D50*100</f>
        <v>0.6157932314119294</v>
      </c>
      <c r="J50" s="24">
        <f>H50/'- 7 -'!F50</f>
        <v>81.9672131147541</v>
      </c>
    </row>
    <row r="51" spans="1:10" ht="13.5" customHeight="1">
      <c r="A51" s="362" t="s">
        <v>253</v>
      </c>
      <c r="B51" s="363">
        <f>SUM('- 31 -'!D51,'- 31 -'!B51,'- 30 -'!F51,'- 30 -'!D51,'- 30 -'!B51)</f>
        <v>0</v>
      </c>
      <c r="C51" s="364">
        <f>B51/'- 3 -'!D51*100</f>
        <v>0</v>
      </c>
      <c r="D51" s="363">
        <f>B51/'- 7 -'!F51</f>
        <v>0</v>
      </c>
      <c r="E51" s="363">
        <f>SUM('- 33 -'!D51,'- 33 -'!B51,'- 32 -'!F51,'- 32 -'!D51,'- 32 -'!B51)</f>
        <v>999083</v>
      </c>
      <c r="F51" s="364">
        <f>E51/'- 3 -'!D51*100</f>
        <v>8.233671468198787</v>
      </c>
      <c r="G51" s="363">
        <f>E51/'- 7 -'!F51</f>
        <v>1601.0945512820513</v>
      </c>
      <c r="H51" s="363">
        <f>SUM('- 34 -'!B51,'- 34 -'!D51)</f>
        <v>136499</v>
      </c>
      <c r="I51" s="364">
        <f>H51/'- 3 -'!D51*100</f>
        <v>1.1249194728943104</v>
      </c>
      <c r="J51" s="363">
        <f>H51/'- 7 -'!F51</f>
        <v>218.74839743589743</v>
      </c>
    </row>
    <row r="52" ht="49.5" customHeight="1"/>
    <row r="53" ht="15" customHeight="1"/>
    <row r="54" spans="2:8" ht="14.25" customHeight="1">
      <c r="B54" s="94"/>
      <c r="C54" s="94"/>
      <c r="E54" s="94"/>
      <c r="F54" s="94"/>
      <c r="H54" s="94"/>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3"/>
  <sheetViews>
    <sheetView showGridLines="0" showZeros="0" workbookViewId="0" topLeftCell="A1">
      <selection activeCell="A3" sqref="A3"/>
    </sheetView>
  </sheetViews>
  <sheetFormatPr defaultColWidth="15.83203125" defaultRowHeight="12"/>
  <cols>
    <col min="1" max="1" width="35.83203125" style="1" customWidth="1"/>
    <col min="2" max="2" width="20.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3"/>
      <c r="B1" s="42"/>
      <c r="C1" s="42"/>
      <c r="D1" s="42"/>
      <c r="E1" s="42"/>
      <c r="F1" s="42"/>
      <c r="G1" s="42"/>
    </row>
    <row r="2" spans="1:7" ht="15.75" customHeight="1">
      <c r="A2" s="167"/>
      <c r="B2" s="5" t="s">
        <v>491</v>
      </c>
      <c r="C2" s="203"/>
      <c r="D2" s="45"/>
      <c r="E2" s="45"/>
      <c r="F2" s="45"/>
      <c r="G2" s="190" t="s">
        <v>411</v>
      </c>
    </row>
    <row r="3" spans="1:7" ht="15.75" customHeight="1">
      <c r="A3" s="170"/>
      <c r="B3" s="240" t="str">
        <f>OPYEAR</f>
        <v>OPERATING FUND 2008/2009 BUDGET</v>
      </c>
      <c r="C3" s="49"/>
      <c r="D3" s="204"/>
      <c r="E3" s="49"/>
      <c r="F3" s="49"/>
      <c r="G3" s="51"/>
    </row>
    <row r="4" spans="2:7" ht="15.75" customHeight="1">
      <c r="B4" s="42"/>
      <c r="C4" s="42"/>
      <c r="D4" s="42"/>
      <c r="E4" s="42"/>
      <c r="F4" s="42"/>
      <c r="G4" s="42"/>
    </row>
    <row r="5" spans="2:7" ht="15.75" customHeight="1">
      <c r="B5" s="221" t="s">
        <v>9</v>
      </c>
      <c r="C5" s="205"/>
      <c r="D5" s="206"/>
      <c r="E5" s="206"/>
      <c r="F5" s="206"/>
      <c r="G5" s="207"/>
    </row>
    <row r="6" spans="2:7" ht="15.75" customHeight="1">
      <c r="B6" s="400"/>
      <c r="C6" s="401"/>
      <c r="D6" s="402"/>
      <c r="E6" s="403" t="s">
        <v>176</v>
      </c>
      <c r="F6" s="404"/>
      <c r="G6" s="405"/>
    </row>
    <row r="7" spans="2:7" ht="15.75" customHeight="1">
      <c r="B7" s="406" t="s">
        <v>30</v>
      </c>
      <c r="C7" s="407"/>
      <c r="D7" s="408"/>
      <c r="E7" s="406" t="s">
        <v>211</v>
      </c>
      <c r="F7" s="407"/>
      <c r="G7" s="408"/>
    </row>
    <row r="8" spans="1:7" ht="15.75" customHeight="1">
      <c r="A8" s="104"/>
      <c r="B8" s="208"/>
      <c r="C8" s="209"/>
      <c r="D8" s="210" t="s">
        <v>59</v>
      </c>
      <c r="E8" s="211"/>
      <c r="F8" s="209"/>
      <c r="G8" s="210" t="s">
        <v>59</v>
      </c>
    </row>
    <row r="9" spans="1:7" ht="15.75" customHeight="1">
      <c r="A9" s="35" t="s">
        <v>79</v>
      </c>
      <c r="B9" s="56" t="s">
        <v>80</v>
      </c>
      <c r="C9" s="56" t="s">
        <v>81</v>
      </c>
      <c r="D9" s="56" t="s">
        <v>82</v>
      </c>
      <c r="E9" s="212" t="s">
        <v>80</v>
      </c>
      <c r="F9" s="56" t="s">
        <v>81</v>
      </c>
      <c r="G9" s="56" t="s">
        <v>82</v>
      </c>
    </row>
    <row r="10" spans="1:7" ht="4.5" customHeight="1">
      <c r="A10" s="37"/>
      <c r="B10" s="68"/>
      <c r="C10" s="68"/>
      <c r="D10" s="68"/>
      <c r="E10" s="68"/>
      <c r="F10" s="68"/>
      <c r="G10" s="68"/>
    </row>
    <row r="11" spans="1:7" ht="13.5" customHeight="1">
      <c r="A11" s="362" t="s">
        <v>216</v>
      </c>
      <c r="B11" s="363">
        <v>750247</v>
      </c>
      <c r="C11" s="364">
        <f>B11/'- 3 -'!D11*100</f>
        <v>5.605639359254741</v>
      </c>
      <c r="D11" s="363">
        <f>B11/'- 7 -'!C11</f>
        <v>541.6945848375451</v>
      </c>
      <c r="E11" s="363">
        <v>0</v>
      </c>
      <c r="F11" s="364">
        <f>E11/'- 3 -'!D11*100</f>
        <v>0</v>
      </c>
      <c r="G11" s="363">
        <f>IF('- 7 -'!B11=0,"",E11/'- 7 -'!B11)</f>
      </c>
    </row>
    <row r="12" spans="1:7" ht="13.5" customHeight="1">
      <c r="A12" s="23" t="s">
        <v>217</v>
      </c>
      <c r="B12" s="24">
        <v>1673613</v>
      </c>
      <c r="C12" s="355">
        <f>B12/'- 3 -'!D12*100</f>
        <v>6.661647648784233</v>
      </c>
      <c r="D12" s="24">
        <f>B12/'- 7 -'!C12</f>
        <v>723.568093385214</v>
      </c>
      <c r="E12" s="24">
        <v>843260</v>
      </c>
      <c r="F12" s="355">
        <f>E12/'- 3 -'!D12*100</f>
        <v>3.356511329867653</v>
      </c>
      <c r="G12" s="24">
        <f>IF('- 7 -'!B12=0,"",E12/'- 7 -'!B12)</f>
        <v>11243.466666666667</v>
      </c>
    </row>
    <row r="13" spans="1:7" ht="13.5" customHeight="1">
      <c r="A13" s="362" t="s">
        <v>218</v>
      </c>
      <c r="B13" s="363">
        <v>3616200</v>
      </c>
      <c r="C13" s="364">
        <f>B13/'- 3 -'!D13*100</f>
        <v>6.147250464503122</v>
      </c>
      <c r="D13" s="363">
        <f>B13/'- 7 -'!C13</f>
        <v>549.8693393982444</v>
      </c>
      <c r="E13" s="363">
        <v>2221100</v>
      </c>
      <c r="F13" s="364">
        <f>E13/'- 3 -'!D13*100</f>
        <v>3.7756921648990334</v>
      </c>
      <c r="G13" s="363">
        <f>IF('- 7 -'!B13=0,"",E13/'- 7 -'!B13)</f>
        <v>5987.253542821935</v>
      </c>
    </row>
    <row r="14" spans="1:7" ht="13.5" customHeight="1">
      <c r="A14" s="23" t="s">
        <v>254</v>
      </c>
      <c r="B14" s="24">
        <v>4019059</v>
      </c>
      <c r="C14" s="355">
        <f>B14/'- 3 -'!D14*100</f>
        <v>7.066467422990877</v>
      </c>
      <c r="D14" s="24">
        <f>B14/'- 7 -'!C14</f>
        <v>850.5944973544973</v>
      </c>
      <c r="E14" s="24">
        <v>0</v>
      </c>
      <c r="F14" s="355">
        <f>E14/'- 3 -'!D14*100</f>
        <v>0</v>
      </c>
      <c r="G14" s="24">
        <f>IF('- 7 -'!B14=0,"",E14/'- 7 -'!B14)</f>
      </c>
    </row>
    <row r="15" spans="1:7" ht="13.5" customHeight="1">
      <c r="A15" s="362" t="s">
        <v>219</v>
      </c>
      <c r="B15" s="363">
        <v>1128510</v>
      </c>
      <c r="C15" s="364">
        <f>B15/'- 3 -'!D15*100</f>
        <v>6.911079719103384</v>
      </c>
      <c r="D15" s="363">
        <f>B15/'- 7 -'!C15</f>
        <v>705.9806068188927</v>
      </c>
      <c r="E15" s="363">
        <v>0</v>
      </c>
      <c r="F15" s="364">
        <f>E15/'- 3 -'!D15*100</f>
        <v>0</v>
      </c>
      <c r="G15" s="363">
        <f>IF('- 7 -'!B15=0,"",E15/'- 7 -'!B15)</f>
      </c>
    </row>
    <row r="16" spans="1:7" ht="13.5" customHeight="1">
      <c r="A16" s="23" t="s">
        <v>220</v>
      </c>
      <c r="B16" s="24">
        <v>937434</v>
      </c>
      <c r="C16" s="355">
        <f>B16/'- 3 -'!D16*100</f>
        <v>8.221448713360125</v>
      </c>
      <c r="D16" s="24">
        <f>B16/'- 7 -'!C16</f>
        <v>874.4720149253732</v>
      </c>
      <c r="E16" s="24">
        <v>78981</v>
      </c>
      <c r="F16" s="355">
        <f>E16/'- 3 -'!D16*100</f>
        <v>0.6926762212912012</v>
      </c>
      <c r="G16" s="24">
        <f>IF('- 7 -'!B16=0,"",E16/'- 7 -'!B16)</f>
        <v>7180.090909090909</v>
      </c>
    </row>
    <row r="17" spans="1:7" ht="13.5" customHeight="1">
      <c r="A17" s="362" t="s">
        <v>221</v>
      </c>
      <c r="B17" s="363">
        <v>922940</v>
      </c>
      <c r="C17" s="364">
        <f>B17/'- 3 -'!D17*100</f>
        <v>6.285355293781146</v>
      </c>
      <c r="D17" s="363">
        <f>B17/'- 7 -'!C17</f>
        <v>669.2820884699057</v>
      </c>
      <c r="E17" s="363">
        <v>163700</v>
      </c>
      <c r="F17" s="364">
        <f>E17/'- 3 -'!D17*100</f>
        <v>1.1148207484689943</v>
      </c>
      <c r="G17" s="363">
        <f>IF('- 7 -'!B17=0,"",E17/'- 7 -'!B17)</f>
        <v>5456.666666666667</v>
      </c>
    </row>
    <row r="18" spans="1:7" ht="13.5" customHeight="1">
      <c r="A18" s="23" t="s">
        <v>222</v>
      </c>
      <c r="B18" s="24">
        <v>5516027</v>
      </c>
      <c r="C18" s="355">
        <f>B18/'- 3 -'!D18*100</f>
        <v>5.513103180859063</v>
      </c>
      <c r="D18" s="24">
        <f>B18/'- 7 -'!C18</f>
        <v>948.8143319113801</v>
      </c>
      <c r="E18" s="24">
        <v>0</v>
      </c>
      <c r="F18" s="355">
        <f>E18/'- 3 -'!D18*100</f>
        <v>0</v>
      </c>
      <c r="G18" s="24">
        <f>IF('- 7 -'!B18=0,"",E18/'- 7 -'!B18)</f>
      </c>
    </row>
    <row r="19" spans="1:7" ht="13.5" customHeight="1">
      <c r="A19" s="362" t="s">
        <v>223</v>
      </c>
      <c r="B19" s="363">
        <v>1651600</v>
      </c>
      <c r="C19" s="364">
        <f>B19/'- 3 -'!D19*100</f>
        <v>5.6951655403174515</v>
      </c>
      <c r="D19" s="363">
        <f>B19/'- 7 -'!C19</f>
        <v>436.3540290620872</v>
      </c>
      <c r="E19" s="363">
        <v>819600</v>
      </c>
      <c r="F19" s="364">
        <f>E19/'- 3 -'!D19*100</f>
        <v>2.826203485616483</v>
      </c>
      <c r="G19" s="363">
        <f>IF('- 7 -'!B19=0,"",E19/'- 7 -'!B19)</f>
        <v>6256.488549618321</v>
      </c>
    </row>
    <row r="20" spans="1:7" ht="13.5" customHeight="1">
      <c r="A20" s="23" t="s">
        <v>224</v>
      </c>
      <c r="B20" s="24">
        <v>3524232</v>
      </c>
      <c r="C20" s="355">
        <f>B20/'- 3 -'!D20*100</f>
        <v>6.377806115993585</v>
      </c>
      <c r="D20" s="24">
        <f>B20/'- 7 -'!C20</f>
        <v>493.1064782426193</v>
      </c>
      <c r="E20" s="24">
        <v>2293748</v>
      </c>
      <c r="F20" s="355">
        <f>E20/'- 3 -'!D20*100</f>
        <v>4.150998011183161</v>
      </c>
      <c r="G20" s="24">
        <f>IF('- 7 -'!B20=0,"",E20/'- 7 -'!B20)</f>
        <v>5204.614586709887</v>
      </c>
    </row>
    <row r="21" spans="1:7" ht="13.5" customHeight="1">
      <c r="A21" s="362" t="s">
        <v>225</v>
      </c>
      <c r="B21" s="363">
        <v>2061000</v>
      </c>
      <c r="C21" s="364">
        <f>B21/'- 3 -'!D21*100</f>
        <v>7.24841561803206</v>
      </c>
      <c r="D21" s="363">
        <f>B21/'- 7 -'!C21</f>
        <v>702.2625051110808</v>
      </c>
      <c r="E21" s="363">
        <v>0</v>
      </c>
      <c r="F21" s="364">
        <f>E21/'- 3 -'!D21*100</f>
        <v>0</v>
      </c>
      <c r="G21" s="363">
        <f>IF('- 7 -'!B21=0,"",E21/'- 7 -'!B21)</f>
      </c>
    </row>
    <row r="22" spans="1:7" ht="13.5" customHeight="1">
      <c r="A22" s="23" t="s">
        <v>226</v>
      </c>
      <c r="B22" s="24">
        <v>1005910</v>
      </c>
      <c r="C22" s="355">
        <f>B22/'- 3 -'!D22*100</f>
        <v>6.274448993584395</v>
      </c>
      <c r="D22" s="24">
        <f>B22/'- 7 -'!C22</f>
        <v>629.4806007509387</v>
      </c>
      <c r="E22" s="24">
        <v>61950</v>
      </c>
      <c r="F22" s="355">
        <f>E22/'- 3 -'!D22*100</f>
        <v>0.38641838251190785</v>
      </c>
      <c r="G22" s="24">
        <f>IF('- 7 -'!B22=0,"",E22/'- 7 -'!B22)</f>
        <v>6195</v>
      </c>
    </row>
    <row r="23" spans="1:7" ht="13.5" customHeight="1">
      <c r="A23" s="362" t="s">
        <v>227</v>
      </c>
      <c r="B23" s="363">
        <v>750862</v>
      </c>
      <c r="C23" s="364">
        <f>B23/'- 3 -'!D23*100</f>
        <v>5.662107191700042</v>
      </c>
      <c r="D23" s="363">
        <f>B23/'- 7 -'!C23</f>
        <v>576.256331542594</v>
      </c>
      <c r="E23" s="363">
        <v>196000</v>
      </c>
      <c r="F23" s="364">
        <f>E23/'- 3 -'!D23*100</f>
        <v>1.4779986330020807</v>
      </c>
      <c r="G23" s="363">
        <f>IF('- 7 -'!B23=0,"",E23/'- 7 -'!B23)</f>
        <v>5157.894736842105</v>
      </c>
    </row>
    <row r="24" spans="1:7" ht="13.5" customHeight="1">
      <c r="A24" s="23" t="s">
        <v>228</v>
      </c>
      <c r="B24" s="24">
        <v>2911740</v>
      </c>
      <c r="C24" s="355">
        <f>B24/'- 3 -'!D24*100</f>
        <v>6.555471263398941</v>
      </c>
      <c r="D24" s="24">
        <f>B24/'- 7 -'!C24</f>
        <v>660.70796460177</v>
      </c>
      <c r="E24" s="24">
        <v>1622450</v>
      </c>
      <c r="F24" s="355">
        <f>E24/'- 3 -'!D24*100</f>
        <v>3.6527726896294346</v>
      </c>
      <c r="G24" s="24">
        <f>IF('- 7 -'!B24=0,"",E24/'- 7 -'!B24)</f>
        <v>4544.677871148459</v>
      </c>
    </row>
    <row r="25" spans="1:7" ht="13.5" customHeight="1">
      <c r="A25" s="362" t="s">
        <v>229</v>
      </c>
      <c r="B25" s="363">
        <v>10362374</v>
      </c>
      <c r="C25" s="364">
        <f>B25/'- 3 -'!D25*100</f>
        <v>7.727014966036067</v>
      </c>
      <c r="D25" s="363">
        <f>B25/'- 7 -'!C25</f>
        <v>741.2814936690751</v>
      </c>
      <c r="E25" s="363">
        <v>1466348</v>
      </c>
      <c r="F25" s="364">
        <f>E25/'- 3 -'!D25*100</f>
        <v>1.093426365562279</v>
      </c>
      <c r="G25" s="363">
        <f>IF('- 7 -'!B25=0,"",E25/'- 7 -'!B25)</f>
        <v>7331.74</v>
      </c>
    </row>
    <row r="26" spans="1:7" ht="13.5" customHeight="1">
      <c r="A26" s="23" t="s">
        <v>230</v>
      </c>
      <c r="B26" s="24">
        <v>2301669</v>
      </c>
      <c r="C26" s="355">
        <f>B26/'- 3 -'!D26*100</f>
        <v>7.096033499081298</v>
      </c>
      <c r="D26" s="24">
        <f>B26/'- 7 -'!C26</f>
        <v>738.6614249037227</v>
      </c>
      <c r="E26" s="24">
        <v>901460</v>
      </c>
      <c r="F26" s="355">
        <f>E26/'- 3 -'!D26*100</f>
        <v>2.779196469206401</v>
      </c>
      <c r="G26" s="24">
        <f>IF('- 7 -'!B26=0,"",E26/'- 7 -'!B26)</f>
        <v>5705.443037974684</v>
      </c>
    </row>
    <row r="27" spans="1:7" ht="13.5" customHeight="1">
      <c r="A27" s="362" t="s">
        <v>231</v>
      </c>
      <c r="B27" s="363">
        <v>2189590</v>
      </c>
      <c r="C27" s="364">
        <f>B27/'- 3 -'!D27*100</f>
        <v>6.204536529829035</v>
      </c>
      <c r="D27" s="363">
        <f>B27/'- 7 -'!C27</f>
        <v>699.317159793551</v>
      </c>
      <c r="E27" s="363">
        <v>910263</v>
      </c>
      <c r="F27" s="364">
        <f>E27/'- 3 -'!D27*100</f>
        <v>2.579368756366154</v>
      </c>
      <c r="G27" s="363">
        <f>IF('- 7 -'!B27=0,"",E27/'- 7 -'!B27)</f>
        <v>5701.9731896767735</v>
      </c>
    </row>
    <row r="28" spans="1:7" ht="13.5" customHeight="1">
      <c r="A28" s="23" t="s">
        <v>232</v>
      </c>
      <c r="B28" s="24">
        <v>1050763</v>
      </c>
      <c r="C28" s="355">
        <f>B28/'- 3 -'!D28*100</f>
        <v>5.65471111658592</v>
      </c>
      <c r="D28" s="24">
        <f>B28/'- 7 -'!C28</f>
        <v>596.6854060193073</v>
      </c>
      <c r="E28" s="24">
        <v>0</v>
      </c>
      <c r="F28" s="355">
        <f>E28/'- 3 -'!D28*100</f>
        <v>0</v>
      </c>
      <c r="G28" s="24">
        <f>IF('- 7 -'!B28=0,"",E28/'- 7 -'!B28)</f>
      </c>
    </row>
    <row r="29" spans="1:7" ht="13.5" customHeight="1">
      <c r="A29" s="362" t="s">
        <v>233</v>
      </c>
      <c r="B29" s="363">
        <v>8512577</v>
      </c>
      <c r="C29" s="364">
        <f>B29/'- 3 -'!D29*100</f>
        <v>6.919162174216889</v>
      </c>
      <c r="D29" s="363">
        <f>B29/'- 7 -'!C29</f>
        <v>703.3734352406527</v>
      </c>
      <c r="E29" s="363">
        <v>0</v>
      </c>
      <c r="F29" s="364">
        <f>E29/'- 3 -'!D29*100</f>
        <v>0</v>
      </c>
      <c r="G29" s="363">
        <f>IF('- 7 -'!B29=0,"",E29/'- 7 -'!B29)</f>
      </c>
    </row>
    <row r="30" spans="1:7" ht="13.5" customHeight="1">
      <c r="A30" s="23" t="s">
        <v>234</v>
      </c>
      <c r="B30" s="24">
        <v>729149</v>
      </c>
      <c r="C30" s="355">
        <f>B30/'- 3 -'!D30*100</f>
        <v>6.390358682652679</v>
      </c>
      <c r="D30" s="24">
        <f>B30/'- 7 -'!C30</f>
        <v>619.4978759558198</v>
      </c>
      <c r="E30" s="24">
        <v>0</v>
      </c>
      <c r="F30" s="355">
        <f>E30/'- 3 -'!D30*100</f>
        <v>0</v>
      </c>
      <c r="G30" s="24">
        <f>IF('- 7 -'!B30=0,"",E30/'- 7 -'!B30)</f>
      </c>
    </row>
    <row r="31" spans="1:7" ht="13.5" customHeight="1">
      <c r="A31" s="362" t="s">
        <v>235</v>
      </c>
      <c r="B31" s="363">
        <v>2044349</v>
      </c>
      <c r="C31" s="364">
        <f>B31/'- 3 -'!D31*100</f>
        <v>6.965121363044611</v>
      </c>
      <c r="D31" s="363">
        <f>B31/'- 7 -'!C31</f>
        <v>660.5754814527594</v>
      </c>
      <c r="E31" s="363">
        <v>638937</v>
      </c>
      <c r="F31" s="364">
        <f>E31/'- 3 -'!D31*100</f>
        <v>2.1768659599411038</v>
      </c>
      <c r="G31" s="363">
        <f>IF('- 7 -'!B31=0,"",E31/'- 7 -'!B31)</f>
        <v>7516.905882352941</v>
      </c>
    </row>
    <row r="32" spans="1:7" ht="13.5" customHeight="1">
      <c r="A32" s="23" t="s">
        <v>236</v>
      </c>
      <c r="B32" s="24">
        <v>1369140</v>
      </c>
      <c r="C32" s="355">
        <f>B32/'- 3 -'!D32*100</f>
        <v>6.248094161061679</v>
      </c>
      <c r="D32" s="24">
        <f>B32/'- 7 -'!C32</f>
        <v>624.0382862351869</v>
      </c>
      <c r="E32" s="24">
        <v>680270</v>
      </c>
      <c r="F32" s="355">
        <f>E32/'- 3 -'!D32*100</f>
        <v>3.104423955874073</v>
      </c>
      <c r="G32" s="24">
        <f>IF('- 7 -'!B32=0,"",E32/'- 7 -'!B32)</f>
        <v>4859.071428571428</v>
      </c>
    </row>
    <row r="33" spans="1:7" ht="13.5" customHeight="1">
      <c r="A33" s="362" t="s">
        <v>237</v>
      </c>
      <c r="B33" s="363">
        <v>1485200</v>
      </c>
      <c r="C33" s="364">
        <f>B33/'- 3 -'!D33*100</f>
        <v>6.459778613835549</v>
      </c>
      <c r="D33" s="363">
        <f>B33/'- 7 -'!C33</f>
        <v>682.5367647058823</v>
      </c>
      <c r="E33" s="363">
        <v>159300</v>
      </c>
      <c r="F33" s="364">
        <f>E33/'- 3 -'!D33*100</f>
        <v>0.6928647543657439</v>
      </c>
      <c r="G33" s="363">
        <f>IF('- 7 -'!B33=0,"",E33/'- 7 -'!B33)</f>
        <v>5327.759197324415</v>
      </c>
    </row>
    <row r="34" spans="1:7" ht="13.5" customHeight="1">
      <c r="A34" s="23" t="s">
        <v>238</v>
      </c>
      <c r="B34" s="24">
        <v>1673333</v>
      </c>
      <c r="C34" s="355">
        <f>B34/'- 3 -'!D34*100</f>
        <v>8.091798734680989</v>
      </c>
      <c r="D34" s="24">
        <f>B34/'- 7 -'!C34</f>
        <v>830.2322004465393</v>
      </c>
      <c r="E34" s="24">
        <v>202416</v>
      </c>
      <c r="F34" s="355">
        <f>E34/'- 3 -'!D34*100</f>
        <v>0.9788305930016243</v>
      </c>
      <c r="G34" s="24">
        <f>IF('- 7 -'!B34=0,"",E34/'- 7 -'!B34)</f>
        <v>6747.2</v>
      </c>
    </row>
    <row r="35" spans="1:7" ht="13.5" customHeight="1">
      <c r="A35" s="362" t="s">
        <v>239</v>
      </c>
      <c r="B35" s="363">
        <v>11396398</v>
      </c>
      <c r="C35" s="364">
        <f>B35/'- 3 -'!D35*100</f>
        <v>7.55824810914769</v>
      </c>
      <c r="D35" s="363">
        <f>B35/'- 7 -'!C35</f>
        <v>705.7030156666048</v>
      </c>
      <c r="E35" s="363">
        <v>3313992</v>
      </c>
      <c r="F35" s="364">
        <f>E35/'- 3 -'!D35*100</f>
        <v>2.1978851359640625</v>
      </c>
      <c r="G35" s="363">
        <f>IF('- 7 -'!B35=0,"",E35/'- 7 -'!B35)</f>
        <v>5588.519392917369</v>
      </c>
    </row>
    <row r="36" spans="1:7" ht="13.5" customHeight="1">
      <c r="A36" s="23" t="s">
        <v>240</v>
      </c>
      <c r="B36" s="24">
        <v>1231800</v>
      </c>
      <c r="C36" s="355">
        <f>B36/'- 3 -'!D36*100</f>
        <v>6.410489930461953</v>
      </c>
      <c r="D36" s="24">
        <f>B36/'- 7 -'!C36</f>
        <v>673.7774860518542</v>
      </c>
      <c r="E36" s="24">
        <v>120385</v>
      </c>
      <c r="F36" s="355">
        <f>E36/'- 3 -'!D36*100</f>
        <v>0.6265033530432393</v>
      </c>
      <c r="G36" s="24">
        <f>IF('- 7 -'!B36=0,"",E36/'- 7 -'!B36)</f>
        <v>9787.398373983739</v>
      </c>
    </row>
    <row r="37" spans="1:7" ht="13.5" customHeight="1">
      <c r="A37" s="362" t="s">
        <v>241</v>
      </c>
      <c r="B37" s="363">
        <v>2422126</v>
      </c>
      <c r="C37" s="364">
        <f>B37/'- 3 -'!D37*100</f>
        <v>7.351474180716727</v>
      </c>
      <c r="D37" s="363">
        <f>B37/'- 7 -'!C37</f>
        <v>699.1271467744264</v>
      </c>
      <c r="E37" s="363">
        <v>0</v>
      </c>
      <c r="F37" s="364">
        <f>E37/'- 3 -'!D37*100</f>
        <v>0</v>
      </c>
      <c r="G37" s="363">
        <f>IF('- 7 -'!B37=0,"",E37/'- 7 -'!B37)</f>
      </c>
    </row>
    <row r="38" spans="1:7" ht="13.5" customHeight="1">
      <c r="A38" s="23" t="s">
        <v>242</v>
      </c>
      <c r="B38" s="24">
        <v>6684595</v>
      </c>
      <c r="C38" s="355">
        <f>B38/'- 3 -'!D38*100</f>
        <v>8.015304703752097</v>
      </c>
      <c r="D38" s="24">
        <f>B38/'- 7 -'!C38</f>
        <v>761.3433940774487</v>
      </c>
      <c r="E38" s="24">
        <v>541923</v>
      </c>
      <c r="F38" s="355">
        <f>E38/'- 3 -'!D38*100</f>
        <v>0.6498042096748491</v>
      </c>
      <c r="G38" s="24">
        <f>IF('- 7 -'!B38=0,"",E38/'- 7 -'!B38)</f>
        <v>4712.373913043478</v>
      </c>
    </row>
    <row r="39" spans="1:7" ht="13.5" customHeight="1">
      <c r="A39" s="362" t="s">
        <v>243</v>
      </c>
      <c r="B39" s="363">
        <v>898000</v>
      </c>
      <c r="C39" s="364">
        <f>B39/'- 3 -'!D39*100</f>
        <v>5.2173496746767505</v>
      </c>
      <c r="D39" s="363">
        <f>B39/'- 7 -'!C39</f>
        <v>549.9081445192896</v>
      </c>
      <c r="E39" s="363">
        <v>0</v>
      </c>
      <c r="F39" s="364">
        <f>E39/'- 3 -'!D39*100</f>
        <v>0</v>
      </c>
      <c r="G39" s="363">
        <f>IF('- 7 -'!B39=0,"",E39/'- 7 -'!B39)</f>
      </c>
    </row>
    <row r="40" spans="1:7" ht="13.5" customHeight="1">
      <c r="A40" s="23" t="s">
        <v>244</v>
      </c>
      <c r="B40" s="24">
        <v>6308815</v>
      </c>
      <c r="C40" s="355">
        <f>B40/'- 3 -'!D40*100</f>
        <v>7.497131481771572</v>
      </c>
      <c r="D40" s="24">
        <f>B40/'- 7 -'!C40</f>
        <v>756.216886821854</v>
      </c>
      <c r="E40" s="24">
        <v>2664391</v>
      </c>
      <c r="F40" s="355">
        <f>E40/'- 3 -'!D40*100</f>
        <v>3.166250658142431</v>
      </c>
      <c r="G40" s="24">
        <f>IF('- 7 -'!B40=0,"",E40/'- 7 -'!B40)</f>
        <v>5126.786607658264</v>
      </c>
    </row>
    <row r="41" spans="1:7" ht="13.5" customHeight="1">
      <c r="A41" s="362" t="s">
        <v>245</v>
      </c>
      <c r="B41" s="363">
        <v>3027723</v>
      </c>
      <c r="C41" s="364">
        <f>B41/'- 3 -'!D41*100</f>
        <v>5.907652024397869</v>
      </c>
      <c r="D41" s="363">
        <f>B41/'- 7 -'!C41</f>
        <v>661.5081931396111</v>
      </c>
      <c r="E41" s="363">
        <v>0</v>
      </c>
      <c r="F41" s="364">
        <f>E41/'- 3 -'!D41*100</f>
        <v>0</v>
      </c>
      <c r="G41" s="363">
        <f>IF('- 7 -'!B41=0,"",E41/'- 7 -'!B41)</f>
      </c>
    </row>
    <row r="42" spans="1:7" ht="13.5" customHeight="1">
      <c r="A42" s="23" t="s">
        <v>246</v>
      </c>
      <c r="B42" s="24">
        <v>1154401</v>
      </c>
      <c r="C42" s="355">
        <f>B42/'- 3 -'!D42*100</f>
        <v>6.5133521346218</v>
      </c>
      <c r="D42" s="24">
        <f>B42/'- 7 -'!C42</f>
        <v>709.0915233415234</v>
      </c>
      <c r="E42" s="24">
        <v>879608</v>
      </c>
      <c r="F42" s="355">
        <f>E42/'- 3 -'!D42*100</f>
        <v>4.962917257028027</v>
      </c>
      <c r="G42" s="24">
        <f>IF('- 7 -'!B42=0,"",E42/'- 7 -'!B42)</f>
        <v>6108.388888888889</v>
      </c>
    </row>
    <row r="43" spans="1:7" ht="13.5" customHeight="1">
      <c r="A43" s="362" t="s">
        <v>247</v>
      </c>
      <c r="B43" s="363">
        <v>500153</v>
      </c>
      <c r="C43" s="364">
        <f>B43/'- 3 -'!D43*100</f>
        <v>4.851272506898339</v>
      </c>
      <c r="D43" s="363">
        <f>B43/'- 7 -'!C43</f>
        <v>497.91239422598306</v>
      </c>
      <c r="E43" s="363">
        <v>0</v>
      </c>
      <c r="F43" s="364">
        <f>E43/'- 3 -'!D43*100</f>
        <v>0</v>
      </c>
      <c r="G43" s="363">
        <f>IF('- 7 -'!B43=0,"",E43/'- 7 -'!B43)</f>
      </c>
    </row>
    <row r="44" spans="1:7" ht="13.5" customHeight="1">
      <c r="A44" s="23" t="s">
        <v>248</v>
      </c>
      <c r="B44" s="24">
        <v>468114</v>
      </c>
      <c r="C44" s="355">
        <f>B44/'- 3 -'!D44*100</f>
        <v>5.528535709363378</v>
      </c>
      <c r="D44" s="24">
        <f>B44/'- 7 -'!C44</f>
        <v>600.1461538461539</v>
      </c>
      <c r="E44" s="24">
        <v>0</v>
      </c>
      <c r="F44" s="355">
        <f>E44/'- 3 -'!D44*100</f>
        <v>0</v>
      </c>
      <c r="G44" s="24">
        <f>IF('- 7 -'!B44=0,"",E44/'- 7 -'!B44)</f>
      </c>
    </row>
    <row r="45" spans="1:7" ht="13.5" customHeight="1">
      <c r="A45" s="362" t="s">
        <v>249</v>
      </c>
      <c r="B45" s="363">
        <v>811403</v>
      </c>
      <c r="C45" s="364">
        <f>B45/'- 3 -'!D45*100</f>
        <v>6.230651667391935</v>
      </c>
      <c r="D45" s="363">
        <f>B45/'- 7 -'!C45</f>
        <v>536.6421957671957</v>
      </c>
      <c r="E45" s="363">
        <v>287883</v>
      </c>
      <c r="F45" s="364">
        <f>E45/'- 3 -'!D45*100</f>
        <v>2.210613830567292</v>
      </c>
      <c r="G45" s="363">
        <f>IF('- 7 -'!B45=0,"",E45/'- 7 -'!B45)</f>
        <v>6397.4</v>
      </c>
    </row>
    <row r="46" spans="1:7" ht="13.5" customHeight="1">
      <c r="A46" s="23" t="s">
        <v>250</v>
      </c>
      <c r="B46" s="24">
        <v>24602400</v>
      </c>
      <c r="C46" s="355">
        <f>B46/'- 3 -'!D46*100</f>
        <v>8.030227265902543</v>
      </c>
      <c r="D46" s="24">
        <f>B46/'- 7 -'!C46</f>
        <v>843.9062875175797</v>
      </c>
      <c r="E46" s="24">
        <v>4587500</v>
      </c>
      <c r="F46" s="355">
        <f>E46/'- 3 -'!D46*100</f>
        <v>1.4973607283162582</v>
      </c>
      <c r="G46" s="24">
        <f>IF('- 7 -'!B46=0,"",E46/'- 7 -'!B46)</f>
        <v>8394.327538883806</v>
      </c>
    </row>
    <row r="47" spans="1:7" ht="4.5" customHeight="1">
      <c r="A47"/>
      <c r="B47"/>
      <c r="C47"/>
      <c r="D47"/>
      <c r="E47"/>
      <c r="F47"/>
      <c r="G47"/>
    </row>
    <row r="48" spans="1:7" ht="13.5" customHeight="1">
      <c r="A48" s="365" t="s">
        <v>251</v>
      </c>
      <c r="B48" s="366">
        <f>SUM(B11:B46)</f>
        <v>121693446</v>
      </c>
      <c r="C48" s="367">
        <f>B48/'- 3 -'!D48*100</f>
        <v>7.043601839795574</v>
      </c>
      <c r="D48" s="366">
        <f>B48/'- 7 -'!C48</f>
        <v>717.3797884963914</v>
      </c>
      <c r="E48" s="366">
        <f>SUM(E11:E46)</f>
        <v>25655465</v>
      </c>
      <c r="F48" s="367">
        <f>E48/'- 3 -'!D48*100</f>
        <v>1.484935190961812</v>
      </c>
      <c r="G48" s="366">
        <f>E48/'- 7 -'!B48</f>
        <v>6048.35548738923</v>
      </c>
    </row>
    <row r="49" spans="1:6" ht="4.5" customHeight="1">
      <c r="A49" s="25" t="s">
        <v>3</v>
      </c>
      <c r="B49" s="26"/>
      <c r="C49" s="353"/>
      <c r="D49" s="26"/>
      <c r="E49" s="26"/>
      <c r="F49" s="353"/>
    </row>
    <row r="50" spans="1:7" ht="13.5" customHeight="1">
      <c r="A50" s="23" t="s">
        <v>252</v>
      </c>
      <c r="B50" s="24">
        <v>257699</v>
      </c>
      <c r="C50" s="355">
        <f>B50/'- 3 -'!D50*100</f>
        <v>9.06795999666416</v>
      </c>
      <c r="D50" s="24">
        <f>B50/'- 7 -'!C50</f>
        <v>1207.0210772833723</v>
      </c>
      <c r="E50" s="24">
        <v>0</v>
      </c>
      <c r="F50" s="355">
        <f>E50/'- 3 -'!D50*100</f>
        <v>0</v>
      </c>
      <c r="G50" s="24">
        <f>IF('- 7 -'!B50=0,"",E50/'- 7 -'!B50)</f>
      </c>
    </row>
    <row r="51" spans="1:7" ht="13.5" customHeight="1">
      <c r="A51" s="362" t="s">
        <v>253</v>
      </c>
      <c r="B51" s="363">
        <v>671890</v>
      </c>
      <c r="C51" s="364">
        <f>B51/'- 3 -'!D51*100</f>
        <v>5.537199134374305</v>
      </c>
      <c r="D51" s="363">
        <f>B51/'- 7 -'!C51</f>
        <v>1076.746794871795</v>
      </c>
      <c r="E51" s="363">
        <v>3832348</v>
      </c>
      <c r="F51" s="364">
        <f>E51/'- 3 -'!D51*100</f>
        <v>31.58325622977139</v>
      </c>
      <c r="G51" s="363">
        <f>IF('- 7 -'!B51=0,"",E51/'- 7 -'!B51)</f>
        <v>6528.701873935264</v>
      </c>
    </row>
    <row r="52" spans="2:7" ht="49.5" customHeight="1">
      <c r="B52" s="68"/>
      <c r="C52" s="68"/>
      <c r="D52" s="68"/>
      <c r="E52" s="68"/>
      <c r="F52" s="68"/>
      <c r="G52" s="68"/>
    </row>
    <row r="53" spans="3:7" ht="15" customHeight="1">
      <c r="C53" s="68"/>
      <c r="D53" s="68"/>
      <c r="E53" s="68"/>
      <c r="F53" s="68"/>
      <c r="G53" s="68"/>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5"/>
  <sheetViews>
    <sheetView showGridLines="0" showZeros="0" workbookViewId="0" topLeftCell="A1">
      <selection activeCell="A3" sqref="A3"/>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3"/>
      <c r="C1" s="3"/>
      <c r="D1" s="3"/>
      <c r="E1" s="3"/>
      <c r="F1" s="3"/>
      <c r="G1" s="3"/>
      <c r="H1" s="42"/>
      <c r="I1" s="42"/>
      <c r="J1" s="42"/>
    </row>
    <row r="2" spans="1:10" ht="15.75" customHeight="1">
      <c r="A2" s="167"/>
      <c r="B2" s="5" t="s">
        <v>491</v>
      </c>
      <c r="C2" s="45"/>
      <c r="D2" s="45"/>
      <c r="E2" s="196"/>
      <c r="F2" s="196"/>
      <c r="G2" s="196"/>
      <c r="H2" s="196"/>
      <c r="I2" s="43"/>
      <c r="J2" s="190" t="s">
        <v>425</v>
      </c>
    </row>
    <row r="3" spans="1:10" ht="15.75" customHeight="1">
      <c r="A3" s="170"/>
      <c r="B3" s="109" t="str">
        <f>OPYEAR</f>
        <v>OPERATING FUND 2008/2009 BUDGET</v>
      </c>
      <c r="C3" s="49"/>
      <c r="D3" s="49"/>
      <c r="E3" s="197"/>
      <c r="F3" s="197"/>
      <c r="G3" s="197"/>
      <c r="H3" s="197"/>
      <c r="I3" s="47"/>
      <c r="J3" s="219"/>
    </row>
    <row r="4" spans="8:10" ht="15.75" customHeight="1">
      <c r="H4" s="42"/>
      <c r="I4" s="42"/>
      <c r="J4" s="42"/>
    </row>
    <row r="5" spans="2:10" ht="15.75" customHeight="1">
      <c r="B5" s="221" t="s">
        <v>356</v>
      </c>
      <c r="C5" s="74"/>
      <c r="D5" s="74"/>
      <c r="E5" s="74"/>
      <c r="F5" s="74"/>
      <c r="G5" s="74"/>
      <c r="H5" s="74"/>
      <c r="I5" s="237"/>
      <c r="J5" s="238"/>
    </row>
    <row r="6" spans="2:10" ht="15.75" customHeight="1">
      <c r="B6" s="409" t="s">
        <v>358</v>
      </c>
      <c r="C6" s="410"/>
      <c r="D6" s="410"/>
      <c r="E6" s="410"/>
      <c r="F6" s="410"/>
      <c r="G6" s="411"/>
      <c r="H6" s="412"/>
      <c r="I6" s="410"/>
      <c r="J6" s="411"/>
    </row>
    <row r="7" spans="2:10" ht="15.75" customHeight="1">
      <c r="B7" s="393" t="s">
        <v>31</v>
      </c>
      <c r="C7" s="394"/>
      <c r="D7" s="396"/>
      <c r="E7" s="393" t="s">
        <v>32</v>
      </c>
      <c r="F7" s="394"/>
      <c r="G7" s="396"/>
      <c r="H7" s="393" t="s">
        <v>33</v>
      </c>
      <c r="I7" s="394"/>
      <c r="J7" s="396"/>
    </row>
    <row r="8" spans="1:10" ht="15.75" customHeight="1">
      <c r="A8" s="104"/>
      <c r="B8" s="239"/>
      <c r="C8" s="224"/>
      <c r="D8" s="210" t="s">
        <v>59</v>
      </c>
      <c r="E8" s="239"/>
      <c r="F8" s="224"/>
      <c r="G8" s="210" t="s">
        <v>59</v>
      </c>
      <c r="H8" s="211"/>
      <c r="I8" s="209"/>
      <c r="J8" s="210" t="s">
        <v>59</v>
      </c>
    </row>
    <row r="9" spans="1:10" ht="15.75" customHeight="1">
      <c r="A9" s="35" t="s">
        <v>79</v>
      </c>
      <c r="B9" s="56" t="s">
        <v>80</v>
      </c>
      <c r="C9" s="56" t="s">
        <v>81</v>
      </c>
      <c r="D9" s="56" t="s">
        <v>82</v>
      </c>
      <c r="E9" s="56" t="s">
        <v>80</v>
      </c>
      <c r="F9" s="56" t="s">
        <v>81</v>
      </c>
      <c r="G9" s="56" t="s">
        <v>82</v>
      </c>
      <c r="H9" s="212" t="s">
        <v>80</v>
      </c>
      <c r="I9" s="56" t="s">
        <v>81</v>
      </c>
      <c r="J9" s="56" t="s">
        <v>82</v>
      </c>
    </row>
    <row r="10" spans="1:10" ht="4.5" customHeight="1">
      <c r="A10" s="37"/>
      <c r="B10" s="68"/>
      <c r="C10" s="68"/>
      <c r="D10" s="68"/>
      <c r="E10" s="68"/>
      <c r="F10" s="68"/>
      <c r="G10" s="68"/>
      <c r="H10" s="68"/>
      <c r="I10" s="68"/>
      <c r="J10" s="68"/>
    </row>
    <row r="11" spans="1:10" ht="13.5" customHeight="1">
      <c r="A11" s="362" t="s">
        <v>216</v>
      </c>
      <c r="B11" s="363">
        <v>7172009</v>
      </c>
      <c r="C11" s="364">
        <f>B11/'- 3 -'!D11*100</f>
        <v>53.587279836279556</v>
      </c>
      <c r="D11" s="363">
        <f>B11/'- 6 -'!B11</f>
        <v>5178.345848375451</v>
      </c>
      <c r="E11" s="363">
        <v>0</v>
      </c>
      <c r="F11" s="364">
        <f>E11/'- 3 -'!D11*100</f>
        <v>0</v>
      </c>
      <c r="G11" s="363">
        <f>IF('- 6 -'!C11=0,"",E11/'- 6 -'!C11)</f>
      </c>
      <c r="H11" s="363">
        <v>0</v>
      </c>
      <c r="I11" s="364">
        <f>H11/'- 3 -'!D11*100</f>
        <v>0</v>
      </c>
      <c r="J11" s="363">
        <f>IF('- 6 -'!D11=0,"",H11/'- 6 -'!D11)</f>
      </c>
    </row>
    <row r="12" spans="1:10" ht="13.5" customHeight="1">
      <c r="A12" s="23" t="s">
        <v>217</v>
      </c>
      <c r="B12" s="24">
        <v>10980458</v>
      </c>
      <c r="C12" s="355">
        <f>B12/'- 3 -'!D12*100</f>
        <v>43.706604942883466</v>
      </c>
      <c r="D12" s="24">
        <f>B12/'- 6 -'!B12</f>
        <v>5004.766636280766</v>
      </c>
      <c r="E12" s="24">
        <v>0</v>
      </c>
      <c r="F12" s="355">
        <f>E12/'- 3 -'!D12*100</f>
        <v>0</v>
      </c>
      <c r="G12" s="24">
        <f>IF('- 6 -'!C12=0,"",E12/'- 6 -'!C12)</f>
      </c>
      <c r="H12" s="24">
        <v>215796</v>
      </c>
      <c r="I12" s="355">
        <f>H12/'- 3 -'!D12*100</f>
        <v>0.858954200294239</v>
      </c>
      <c r="J12" s="24">
        <f>IF('- 6 -'!D12=0,"",H12/'- 6 -'!D12)</f>
        <v>4904.454545454545</v>
      </c>
    </row>
    <row r="13" spans="1:10" ht="13.5" customHeight="1">
      <c r="A13" s="362" t="s">
        <v>218</v>
      </c>
      <c r="B13" s="363">
        <v>23468400</v>
      </c>
      <c r="C13" s="364">
        <f>B13/'- 3 -'!D13*100</f>
        <v>39.89440097371414</v>
      </c>
      <c r="D13" s="363">
        <f>B13/'- 6 -'!B13</f>
        <v>4702.143858946103</v>
      </c>
      <c r="E13" s="363">
        <v>0</v>
      </c>
      <c r="F13" s="364">
        <f>E13/'- 3 -'!D13*100</f>
        <v>0</v>
      </c>
      <c r="G13" s="363">
        <f>IF('- 6 -'!C13=0,"",E13/'- 6 -'!C13)</f>
      </c>
      <c r="H13" s="363">
        <v>0</v>
      </c>
      <c r="I13" s="364">
        <f>H13/'- 3 -'!D13*100</f>
        <v>0</v>
      </c>
      <c r="J13" s="363">
        <f>IF('- 6 -'!D13=0,"",H13/'- 6 -'!D13)</f>
      </c>
    </row>
    <row r="14" spans="1:10" ht="13.5" customHeight="1">
      <c r="A14" s="23" t="s">
        <v>254</v>
      </c>
      <c r="B14" s="24">
        <v>0</v>
      </c>
      <c r="C14" s="355">
        <f>B14/'- 3 -'!D14*100</f>
        <v>0</v>
      </c>
      <c r="D14" s="24"/>
      <c r="E14" s="24">
        <v>26970676</v>
      </c>
      <c r="F14" s="355">
        <f>E14/'- 3 -'!D14*100</f>
        <v>47.420902089280574</v>
      </c>
      <c r="G14" s="24">
        <f>IF('- 6 -'!C14=0,"",E14/'- 6 -'!C14)</f>
        <v>5708.079576719577</v>
      </c>
      <c r="H14" s="24">
        <v>0</v>
      </c>
      <c r="I14" s="355">
        <f>H14/'- 3 -'!D14*100</f>
        <v>0</v>
      </c>
      <c r="J14" s="24">
        <f>IF('- 6 -'!D14=0,"",H14/'- 6 -'!D14)</f>
      </c>
    </row>
    <row r="15" spans="1:10" ht="13.5" customHeight="1">
      <c r="A15" s="362" t="s">
        <v>219</v>
      </c>
      <c r="B15" s="363">
        <v>7731486</v>
      </c>
      <c r="C15" s="364">
        <f>B15/'- 3 -'!D15*100</f>
        <v>47.34819903512751</v>
      </c>
      <c r="D15" s="363">
        <f>B15/'- 6 -'!B15</f>
        <v>4836.713168595558</v>
      </c>
      <c r="E15" s="363">
        <v>0</v>
      </c>
      <c r="F15" s="364">
        <f>E15/'- 3 -'!D15*100</f>
        <v>0</v>
      </c>
      <c r="G15" s="363">
        <f>IF('- 6 -'!C15=0,"",E15/'- 6 -'!C15)</f>
      </c>
      <c r="H15" s="363">
        <v>0</v>
      </c>
      <c r="I15" s="364">
        <f>H15/'- 3 -'!D15*100</f>
        <v>0</v>
      </c>
      <c r="J15" s="363">
        <f>IF('- 6 -'!D15=0,"",H15/'- 6 -'!D15)</f>
      </c>
    </row>
    <row r="16" spans="1:10" ht="13.5" customHeight="1">
      <c r="A16" s="23" t="s">
        <v>220</v>
      </c>
      <c r="B16" s="24">
        <v>3308807</v>
      </c>
      <c r="C16" s="355">
        <f>B16/'- 3 -'!D16*100</f>
        <v>29.01877577824889</v>
      </c>
      <c r="D16" s="24">
        <f>B16/'- 6 -'!B16</f>
        <v>4975.64962406015</v>
      </c>
      <c r="E16" s="24">
        <v>0</v>
      </c>
      <c r="F16" s="355">
        <f>E16/'- 3 -'!D16*100</f>
        <v>0</v>
      </c>
      <c r="G16" s="24">
        <f>IF('- 6 -'!C16=0,"",E16/'- 6 -'!C16)</f>
      </c>
      <c r="H16" s="24">
        <v>0</v>
      </c>
      <c r="I16" s="355">
        <f>H16/'- 3 -'!D16*100</f>
        <v>0</v>
      </c>
      <c r="J16" s="24">
        <f>IF('- 6 -'!D16=0,"",H16/'- 6 -'!D16)</f>
      </c>
    </row>
    <row r="17" spans="1:10" ht="13.5" customHeight="1">
      <c r="A17" s="362" t="s">
        <v>221</v>
      </c>
      <c r="B17" s="363">
        <v>6946052</v>
      </c>
      <c r="C17" s="364">
        <f>B17/'- 3 -'!D17*100</f>
        <v>47.30362180540351</v>
      </c>
      <c r="D17" s="363">
        <f>B17/'- 6 -'!B17</f>
        <v>5149.037805782061</v>
      </c>
      <c r="E17" s="363">
        <v>0</v>
      </c>
      <c r="F17" s="364">
        <f>E17/'- 3 -'!D17*100</f>
        <v>0</v>
      </c>
      <c r="G17" s="363">
        <f>IF('- 6 -'!C17=0,"",E17/'- 6 -'!C17)</f>
      </c>
      <c r="H17" s="363">
        <v>0</v>
      </c>
      <c r="I17" s="364">
        <f>H17/'- 3 -'!D17*100</f>
        <v>0</v>
      </c>
      <c r="J17" s="363">
        <f>IF('- 6 -'!D17=0,"",H17/'- 6 -'!D17)</f>
      </c>
    </row>
    <row r="18" spans="1:10" ht="13.5" customHeight="1">
      <c r="A18" s="23" t="s">
        <v>222</v>
      </c>
      <c r="B18" s="24">
        <v>34967113</v>
      </c>
      <c r="C18" s="355">
        <f>B18/'- 3 -'!D18*100</f>
        <v>34.948578370946755</v>
      </c>
      <c r="D18" s="24">
        <f>B18/'- 6 -'!B18</f>
        <v>6014.709130315123</v>
      </c>
      <c r="E18" s="24">
        <v>0</v>
      </c>
      <c r="F18" s="355">
        <f>E18/'- 3 -'!D18*100</f>
        <v>0</v>
      </c>
      <c r="G18" s="24">
        <f>IF('- 6 -'!C18=0,"",E18/'- 6 -'!C18)</f>
      </c>
      <c r="H18" s="24">
        <v>0</v>
      </c>
      <c r="I18" s="355">
        <f>H18/'- 3 -'!D18*100</f>
        <v>0</v>
      </c>
      <c r="J18" s="24">
        <f>IF('- 6 -'!D18=0,"",H18/'- 6 -'!D18)</f>
      </c>
    </row>
    <row r="19" spans="1:10" ht="13.5" customHeight="1">
      <c r="A19" s="362" t="s">
        <v>223</v>
      </c>
      <c r="B19" s="363">
        <v>15275900</v>
      </c>
      <c r="C19" s="364">
        <f>B19/'- 3 -'!D19*100</f>
        <v>52.675453667555914</v>
      </c>
      <c r="D19" s="363">
        <f>B19/'- 6 -'!B19</f>
        <v>4180.5966064586755</v>
      </c>
      <c r="E19" s="363">
        <v>0</v>
      </c>
      <c r="F19" s="364">
        <f>E19/'- 3 -'!D19*100</f>
        <v>0</v>
      </c>
      <c r="G19" s="363">
        <f>IF('- 6 -'!C19=0,"",E19/'- 6 -'!C19)</f>
      </c>
      <c r="H19" s="363">
        <v>0</v>
      </c>
      <c r="I19" s="364">
        <f>H19/'- 3 -'!D19*100</f>
        <v>0</v>
      </c>
      <c r="J19" s="363">
        <f>IF('- 6 -'!D19=0,"",H19/'- 6 -'!D19)</f>
      </c>
    </row>
    <row r="20" spans="1:10" ht="13.5" customHeight="1">
      <c r="A20" s="23" t="s">
        <v>224</v>
      </c>
      <c r="B20" s="24">
        <v>28031079</v>
      </c>
      <c r="C20" s="355">
        <f>B20/'- 3 -'!D20*100</f>
        <v>50.72787123098007</v>
      </c>
      <c r="D20" s="24">
        <f>B20/'- 6 -'!B20</f>
        <v>4179.821766359918</v>
      </c>
      <c r="E20" s="24">
        <v>0</v>
      </c>
      <c r="F20" s="355">
        <f>E20/'- 3 -'!D20*100</f>
        <v>0</v>
      </c>
      <c r="G20" s="24">
        <f>IF('- 6 -'!C20=0,"",E20/'- 6 -'!C20)</f>
      </c>
      <c r="H20" s="24">
        <v>0</v>
      </c>
      <c r="I20" s="355">
        <f>H20/'- 3 -'!D20*100</f>
        <v>0</v>
      </c>
      <c r="J20" s="24">
        <f>IF('- 6 -'!D20=0,"",H20/'- 6 -'!D20)</f>
      </c>
    </row>
    <row r="21" spans="1:10" ht="13.5" customHeight="1">
      <c r="A21" s="362" t="s">
        <v>225</v>
      </c>
      <c r="B21" s="363">
        <v>13834023</v>
      </c>
      <c r="C21" s="364">
        <f>B21/'- 3 -'!D21*100</f>
        <v>48.653444140424426</v>
      </c>
      <c r="D21" s="363">
        <f>B21/'- 6 -'!B21</f>
        <v>4731.521649907654</v>
      </c>
      <c r="E21" s="363">
        <v>0</v>
      </c>
      <c r="F21" s="364">
        <f>E21/'- 3 -'!D21*100</f>
        <v>0</v>
      </c>
      <c r="G21" s="363">
        <f>IF('- 6 -'!C21=0,"",E21/'- 6 -'!C21)</f>
      </c>
      <c r="H21" s="363">
        <v>46977</v>
      </c>
      <c r="I21" s="364">
        <f>H21/'- 3 -'!D21*100</f>
        <v>0.16521534230387777</v>
      </c>
      <c r="J21" s="363">
        <f>IF('- 6 -'!D21=0,"",H21/'- 6 -'!D21)</f>
        <v>4270.636363636364</v>
      </c>
    </row>
    <row r="22" spans="1:10" ht="13.5" customHeight="1">
      <c r="A22" s="23" t="s">
        <v>226</v>
      </c>
      <c r="B22" s="24">
        <v>3884510</v>
      </c>
      <c r="C22" s="355">
        <f>B22/'- 3 -'!D22*100</f>
        <v>24.229960791789043</v>
      </c>
      <c r="D22" s="24">
        <f>B22/'- 6 -'!B22</f>
        <v>4602.5</v>
      </c>
      <c r="E22" s="24">
        <v>0</v>
      </c>
      <c r="F22" s="355">
        <f>E22/'- 3 -'!D22*100</f>
        <v>0</v>
      </c>
      <c r="G22" s="24">
        <f>IF('- 6 -'!C22=0,"",E22/'- 6 -'!C22)</f>
      </c>
      <c r="H22" s="24">
        <v>0</v>
      </c>
      <c r="I22" s="355">
        <f>H22/'- 3 -'!D22*100</f>
        <v>0</v>
      </c>
      <c r="J22" s="24">
        <f>IF('- 6 -'!D22=0,"",H22/'- 6 -'!D22)</f>
      </c>
    </row>
    <row r="23" spans="1:10" ht="13.5" customHeight="1">
      <c r="A23" s="362" t="s">
        <v>227</v>
      </c>
      <c r="B23" s="363">
        <v>5947786</v>
      </c>
      <c r="C23" s="364">
        <f>B23/'- 3 -'!D23*100</f>
        <v>44.85112029280058</v>
      </c>
      <c r="D23" s="363">
        <f>B23/'- 6 -'!B23</f>
        <v>4701.807114624506</v>
      </c>
      <c r="E23" s="363">
        <v>0</v>
      </c>
      <c r="F23" s="364">
        <f>E23/'- 3 -'!D23*100</f>
        <v>0</v>
      </c>
      <c r="G23" s="363">
        <f>IF('- 6 -'!C23=0,"",E23/'- 6 -'!C23)</f>
      </c>
      <c r="H23" s="363">
        <v>0</v>
      </c>
      <c r="I23" s="364">
        <f>H23/'- 3 -'!D23*100</f>
        <v>0</v>
      </c>
      <c r="J23" s="363">
        <f>IF('- 6 -'!D23=0,"",H23/'- 6 -'!D23)</f>
      </c>
    </row>
    <row r="24" spans="1:10" ht="13.5" customHeight="1">
      <c r="A24" s="23" t="s">
        <v>228</v>
      </c>
      <c r="B24" s="24">
        <v>16677659</v>
      </c>
      <c r="C24" s="355">
        <f>B24/'- 3 -'!D24*100</f>
        <v>37.54796592939847</v>
      </c>
      <c r="D24" s="24">
        <f>B24/'- 6 -'!B24</f>
        <v>5358.284016064257</v>
      </c>
      <c r="E24" s="24">
        <v>0</v>
      </c>
      <c r="F24" s="355">
        <f>E24/'- 3 -'!D24*100</f>
        <v>0</v>
      </c>
      <c r="G24" s="24">
        <f>IF('- 6 -'!C24=0,"",E24/'- 6 -'!C24)</f>
      </c>
      <c r="H24" s="24">
        <v>1118045</v>
      </c>
      <c r="I24" s="355">
        <f>H24/'- 3 -'!D24*100</f>
        <v>2.5171587671587674</v>
      </c>
      <c r="J24" s="24">
        <f>IF('- 6 -'!D24=0,"",H24/'- 6 -'!D24)</f>
        <v>4544.8983739837395</v>
      </c>
    </row>
    <row r="25" spans="1:10" ht="13.5" customHeight="1">
      <c r="A25" s="362" t="s">
        <v>229</v>
      </c>
      <c r="B25" s="363">
        <v>48782723</v>
      </c>
      <c r="C25" s="364">
        <f>B25/'- 3 -'!D25*100</f>
        <v>36.37630051810443</v>
      </c>
      <c r="D25" s="363">
        <f>B25/'- 6 -'!B25</f>
        <v>4818.046716049383</v>
      </c>
      <c r="E25" s="363">
        <v>965388</v>
      </c>
      <c r="F25" s="364">
        <f>E25/'- 3 -'!D25*100</f>
        <v>0.7198705165468477</v>
      </c>
      <c r="G25" s="363">
        <f>IF('- 6 -'!C25=0,"",E25/'- 6 -'!C25)</f>
        <v>3956.5081967213114</v>
      </c>
      <c r="H25" s="363">
        <v>13784807</v>
      </c>
      <c r="I25" s="364">
        <f>H25/'- 3 -'!D25*100</f>
        <v>10.27905477962084</v>
      </c>
      <c r="J25" s="363">
        <f>IF('- 6 -'!D25=0,"",H25/'- 6 -'!D25)</f>
        <v>4042.465395894428</v>
      </c>
    </row>
    <row r="26" spans="1:10" ht="13.5" customHeight="1">
      <c r="A26" s="23" t="s">
        <v>230</v>
      </c>
      <c r="B26" s="24">
        <v>12928739</v>
      </c>
      <c r="C26" s="355">
        <f>B26/'- 3 -'!D26*100</f>
        <v>39.85923477479987</v>
      </c>
      <c r="D26" s="24">
        <f>B26/'- 6 -'!B26</f>
        <v>5275.959600081616</v>
      </c>
      <c r="E26" s="24">
        <v>0</v>
      </c>
      <c r="F26" s="355">
        <f>E26/'- 3 -'!D26*100</f>
        <v>0</v>
      </c>
      <c r="G26" s="24">
        <f>IF('- 6 -'!C26=0,"",E26/'- 6 -'!C26)</f>
      </c>
      <c r="H26" s="24">
        <v>449451</v>
      </c>
      <c r="I26" s="355">
        <f>H26/'- 3 -'!D26*100</f>
        <v>1.385655084286919</v>
      </c>
      <c r="J26" s="24">
        <f>IF('- 6 -'!D26=0,"",H26/'- 6 -'!D26)</f>
        <v>3552.9723320158105</v>
      </c>
    </row>
    <row r="27" spans="1:10" ht="13.5" customHeight="1">
      <c r="A27" s="362" t="s">
        <v>231</v>
      </c>
      <c r="B27" s="363">
        <v>14686363</v>
      </c>
      <c r="C27" s="364">
        <f>B27/'- 3 -'!D27*100</f>
        <v>41.61604488686445</v>
      </c>
      <c r="D27" s="363">
        <f>B27/'- 6 -'!B27</f>
        <v>5746.063226260808</v>
      </c>
      <c r="E27" s="363">
        <v>0</v>
      </c>
      <c r="F27" s="364">
        <f>E27/'- 3 -'!D27*100</f>
        <v>0</v>
      </c>
      <c r="G27" s="363">
        <f>IF('- 6 -'!C27=0,"",E27/'- 6 -'!C27)</f>
      </c>
      <c r="H27" s="363">
        <v>0</v>
      </c>
      <c r="I27" s="364">
        <f>H27/'- 3 -'!D27*100</f>
        <v>0</v>
      </c>
      <c r="J27" s="363">
        <f>IF('- 6 -'!D27=0,"",H27/'- 6 -'!D27)</f>
      </c>
    </row>
    <row r="28" spans="1:10" ht="13.5" customHeight="1">
      <c r="A28" s="23" t="s">
        <v>232</v>
      </c>
      <c r="B28" s="24">
        <v>9354195</v>
      </c>
      <c r="C28" s="355">
        <f>B28/'- 3 -'!D28*100</f>
        <v>50.33986774678251</v>
      </c>
      <c r="D28" s="24">
        <f>B28/'- 6 -'!B28</f>
        <v>5311.865417376491</v>
      </c>
      <c r="E28" s="24">
        <v>0</v>
      </c>
      <c r="F28" s="355">
        <f>E28/'- 3 -'!D28*100</f>
        <v>0</v>
      </c>
      <c r="G28" s="24">
        <f>IF('- 6 -'!C28=0,"",E28/'- 6 -'!C28)</f>
      </c>
      <c r="H28" s="24">
        <v>0</v>
      </c>
      <c r="I28" s="355">
        <f>H28/'- 3 -'!D28*100</f>
        <v>0</v>
      </c>
      <c r="J28" s="24">
        <f>IF('- 6 -'!D28=0,"",H28/'- 6 -'!D28)</f>
      </c>
    </row>
    <row r="29" spans="1:10" ht="13.5" customHeight="1">
      <c r="A29" s="362" t="s">
        <v>233</v>
      </c>
      <c r="B29" s="363">
        <v>41601685</v>
      </c>
      <c r="C29" s="364">
        <f>B29/'- 3 -'!D29*100</f>
        <v>33.814531749396934</v>
      </c>
      <c r="D29" s="363">
        <f>B29/'- 6 -'!B29</f>
        <v>5417.59148326605</v>
      </c>
      <c r="E29" s="363">
        <v>0</v>
      </c>
      <c r="F29" s="364">
        <f>E29/'- 3 -'!D29*100</f>
        <v>0</v>
      </c>
      <c r="G29" s="363">
        <f>IF('- 6 -'!C29=0,"",E29/'- 6 -'!C29)</f>
      </c>
      <c r="H29" s="363">
        <v>6902492</v>
      </c>
      <c r="I29" s="364">
        <f>H29/'- 3 -'!D29*100</f>
        <v>5.610458684160469</v>
      </c>
      <c r="J29" s="363">
        <f>IF('- 6 -'!D29=0,"",H29/'- 6 -'!D29)</f>
        <v>5062.33370003667</v>
      </c>
    </row>
    <row r="30" spans="1:10" ht="13.5" customHeight="1">
      <c r="A30" s="23" t="s">
        <v>234</v>
      </c>
      <c r="B30" s="24">
        <v>5874493</v>
      </c>
      <c r="C30" s="355">
        <f>B30/'- 3 -'!D30*100</f>
        <v>51.48483691088156</v>
      </c>
      <c r="D30" s="24">
        <f>B30/'- 6 -'!B30</f>
        <v>4991.073067119796</v>
      </c>
      <c r="E30" s="24">
        <v>0</v>
      </c>
      <c r="F30" s="355">
        <f>E30/'- 3 -'!D30*100</f>
        <v>0</v>
      </c>
      <c r="G30" s="24">
        <f>IF('- 6 -'!C30=0,"",E30/'- 6 -'!C30)</f>
      </c>
      <c r="H30" s="24">
        <v>0</v>
      </c>
      <c r="I30" s="355">
        <f>H30/'- 3 -'!D30*100</f>
        <v>0</v>
      </c>
      <c r="J30" s="24">
        <f>IF('- 6 -'!D30=0,"",H30/'- 6 -'!D30)</f>
      </c>
    </row>
    <row r="31" spans="1:10" ht="13.5" customHeight="1">
      <c r="A31" s="362" t="s">
        <v>235</v>
      </c>
      <c r="B31" s="363">
        <v>12047562</v>
      </c>
      <c r="C31" s="364">
        <f>B31/'- 3 -'!D31*100</f>
        <v>41.04618705456088</v>
      </c>
      <c r="D31" s="363">
        <f>B31/'- 6 -'!B31</f>
        <v>5299.591782870716</v>
      </c>
      <c r="E31" s="363">
        <v>0</v>
      </c>
      <c r="F31" s="364">
        <f>E31/'- 3 -'!D31*100</f>
        <v>0</v>
      </c>
      <c r="G31" s="363">
        <f>IF('- 6 -'!C31=0,"",E31/'- 6 -'!C31)</f>
      </c>
      <c r="H31" s="363">
        <v>0</v>
      </c>
      <c r="I31" s="364">
        <f>H31/'- 3 -'!D31*100</f>
        <v>0</v>
      </c>
      <c r="J31" s="363">
        <f>IF('- 6 -'!D31=0,"",H31/'- 6 -'!D31)</f>
      </c>
    </row>
    <row r="32" spans="1:10" ht="13.5" customHeight="1">
      <c r="A32" s="23" t="s">
        <v>236</v>
      </c>
      <c r="B32" s="24">
        <v>9265943</v>
      </c>
      <c r="C32" s="355">
        <f>B32/'- 3 -'!D32*100</f>
        <v>42.285291756161044</v>
      </c>
      <c r="D32" s="24">
        <f>B32/'- 6 -'!B32</f>
        <v>5249.826062322946</v>
      </c>
      <c r="E32" s="24">
        <v>0</v>
      </c>
      <c r="F32" s="355">
        <f>E32/'- 3 -'!D32*100</f>
        <v>0</v>
      </c>
      <c r="G32" s="24">
        <f>IF('- 6 -'!C32=0,"",E32/'- 6 -'!C32)</f>
      </c>
      <c r="H32" s="24">
        <v>510283</v>
      </c>
      <c r="I32" s="355">
        <f>H32/'- 3 -'!D32*100</f>
        <v>2.3286853300531987</v>
      </c>
      <c r="J32" s="24">
        <f>IF('- 6 -'!D32=0,"",H32/'- 6 -'!D32)</f>
        <v>5102.83</v>
      </c>
    </row>
    <row r="33" spans="1:10" ht="13.5" customHeight="1">
      <c r="A33" s="362" t="s">
        <v>237</v>
      </c>
      <c r="B33" s="363">
        <v>9635700</v>
      </c>
      <c r="C33" s="364">
        <f>B33/'- 3 -'!D33*100</f>
        <v>41.90983624382924</v>
      </c>
      <c r="D33" s="363">
        <f>B33/'- 6 -'!B33</f>
        <v>5320.357793606096</v>
      </c>
      <c r="E33" s="363">
        <v>0</v>
      </c>
      <c r="F33" s="364">
        <f>E33/'- 3 -'!D33*100</f>
        <v>0</v>
      </c>
      <c r="G33" s="363">
        <f>IF('- 6 -'!C33=0,"",E33/'- 6 -'!C33)</f>
      </c>
      <c r="H33" s="363">
        <v>0</v>
      </c>
      <c r="I33" s="364">
        <f>H33/'- 3 -'!D33*100</f>
        <v>0</v>
      </c>
      <c r="J33" s="363">
        <f>IF('- 6 -'!D33=0,"",H33/'- 6 -'!D33)</f>
      </c>
    </row>
    <row r="34" spans="1:10" ht="13.5" customHeight="1">
      <c r="A34" s="23" t="s">
        <v>238</v>
      </c>
      <c r="B34" s="24">
        <v>8170929</v>
      </c>
      <c r="C34" s="355">
        <f>B34/'- 3 -'!D34*100</f>
        <v>39.512465805292905</v>
      </c>
      <c r="D34" s="24">
        <f>B34/'- 6 -'!B34</f>
        <v>4875.255966587112</v>
      </c>
      <c r="E34" s="24">
        <v>0</v>
      </c>
      <c r="F34" s="355">
        <f>E34/'- 3 -'!D34*100</f>
        <v>0</v>
      </c>
      <c r="G34" s="24">
        <f>IF('- 6 -'!C34=0,"",E34/'- 6 -'!C34)</f>
      </c>
      <c r="H34" s="24">
        <v>1140113</v>
      </c>
      <c r="I34" s="355">
        <f>H34/'- 3 -'!D34*100</f>
        <v>5.513286913479472</v>
      </c>
      <c r="J34" s="24">
        <f>IF('- 6 -'!D34=0,"",H34/'- 6 -'!D34)</f>
        <v>6032.343915343916</v>
      </c>
    </row>
    <row r="35" spans="1:10" ht="13.5" customHeight="1">
      <c r="A35" s="362" t="s">
        <v>239</v>
      </c>
      <c r="B35" s="363">
        <v>46956615</v>
      </c>
      <c r="C35" s="364">
        <f>B35/'- 3 -'!D35*100</f>
        <v>31.142273772443367</v>
      </c>
      <c r="D35" s="363">
        <f>B35/'- 6 -'!B35</f>
        <v>4879.876851130163</v>
      </c>
      <c r="E35" s="363">
        <v>0</v>
      </c>
      <c r="F35" s="364">
        <f>E35/'- 3 -'!D35*100</f>
        <v>0</v>
      </c>
      <c r="G35" s="363">
        <f>IF('- 6 -'!C35=0,"",E35/'- 6 -'!C35)</f>
      </c>
      <c r="H35" s="363">
        <v>4661575</v>
      </c>
      <c r="I35" s="364">
        <f>H35/'- 3 -'!D35*100</f>
        <v>3.0916207409920347</v>
      </c>
      <c r="J35" s="363">
        <f>IF('- 6 -'!D35=0,"",H35/'- 6 -'!D35)</f>
        <v>4241.651501364877</v>
      </c>
    </row>
    <row r="36" spans="1:10" ht="13.5" customHeight="1">
      <c r="A36" s="23" t="s">
        <v>240</v>
      </c>
      <c r="B36" s="24">
        <v>9801420</v>
      </c>
      <c r="C36" s="355">
        <f>B36/'- 3 -'!D36*100</f>
        <v>51.00820280421205</v>
      </c>
      <c r="D36" s="24">
        <f>B36/'- 6 -'!B36</f>
        <v>5397.5549314389555</v>
      </c>
      <c r="E36" s="24">
        <v>0</v>
      </c>
      <c r="F36" s="355">
        <f>E36/'- 3 -'!D36*100</f>
        <v>0</v>
      </c>
      <c r="G36" s="24">
        <f>IF('- 6 -'!C36=0,"",E36/'- 6 -'!C36)</f>
      </c>
      <c r="H36" s="24">
        <v>0</v>
      </c>
      <c r="I36" s="355">
        <f>H36/'- 3 -'!D36*100</f>
        <v>0</v>
      </c>
      <c r="J36" s="24">
        <f>IF('- 6 -'!D36=0,"",H36/'- 6 -'!D36)</f>
      </c>
    </row>
    <row r="37" spans="1:10" ht="13.5" customHeight="1">
      <c r="A37" s="362" t="s">
        <v>241</v>
      </c>
      <c r="B37" s="363">
        <v>7435791</v>
      </c>
      <c r="C37" s="364">
        <f>B37/'- 3 -'!D37*100</f>
        <v>22.568613503057154</v>
      </c>
      <c r="D37" s="363">
        <f>B37/'- 6 -'!B37</f>
        <v>4440.60376231711</v>
      </c>
      <c r="E37" s="363">
        <v>0</v>
      </c>
      <c r="F37" s="364">
        <f>E37/'- 3 -'!D37*100</f>
        <v>0</v>
      </c>
      <c r="G37" s="363">
        <f>IF('- 6 -'!C37=0,"",E37/'- 6 -'!C37)</f>
      </c>
      <c r="H37" s="363">
        <v>2906339</v>
      </c>
      <c r="I37" s="364">
        <f>H37/'- 3 -'!D37*100</f>
        <v>8.821124961670066</v>
      </c>
      <c r="J37" s="363">
        <f>IF('- 6 -'!D37=0,"",H37/'- 6 -'!D37)</f>
        <v>4691.426957223567</v>
      </c>
    </row>
    <row r="38" spans="1:10" ht="13.5" customHeight="1">
      <c r="A38" s="23" t="s">
        <v>242</v>
      </c>
      <c r="B38" s="24">
        <v>24610116</v>
      </c>
      <c r="C38" s="355">
        <f>B38/'- 3 -'!D38*100</f>
        <v>29.50927895178163</v>
      </c>
      <c r="D38" s="24">
        <f>B38/'- 6 -'!B38</f>
        <v>4961.716935483871</v>
      </c>
      <c r="E38" s="24">
        <v>0</v>
      </c>
      <c r="F38" s="355">
        <f>E38/'- 3 -'!D38*100</f>
        <v>0</v>
      </c>
      <c r="G38" s="24">
        <f>IF('- 6 -'!C38=0,"",E38/'- 6 -'!C38)</f>
      </c>
      <c r="H38" s="24">
        <v>888960</v>
      </c>
      <c r="I38" s="355">
        <f>H38/'- 3 -'!D38*100</f>
        <v>1.0659262482540026</v>
      </c>
      <c r="J38" s="24">
        <f>IF('- 6 -'!D38=0,"",H38/'- 6 -'!D38)</f>
        <v>4336.390243902439</v>
      </c>
    </row>
    <row r="39" spans="1:10" ht="13.5" customHeight="1">
      <c r="A39" s="362" t="s">
        <v>243</v>
      </c>
      <c r="B39" s="363">
        <v>9092220</v>
      </c>
      <c r="C39" s="364">
        <f>B39/'- 3 -'!D39*100</f>
        <v>52.8254911571152</v>
      </c>
      <c r="D39" s="363">
        <f>B39/'- 6 -'!B39</f>
        <v>5567.801592161665</v>
      </c>
      <c r="E39" s="363">
        <v>0</v>
      </c>
      <c r="F39" s="364">
        <f>E39/'- 3 -'!D39*100</f>
        <v>0</v>
      </c>
      <c r="G39" s="363">
        <f>IF('- 6 -'!C39=0,"",E39/'- 6 -'!C39)</f>
      </c>
      <c r="H39" s="363">
        <v>0</v>
      </c>
      <c r="I39" s="364">
        <f>H39/'- 3 -'!D39*100</f>
        <v>0</v>
      </c>
      <c r="J39" s="363">
        <f>IF('- 6 -'!D39=0,"",H39/'- 6 -'!D39)</f>
      </c>
    </row>
    <row r="40" spans="1:10" ht="13.5" customHeight="1">
      <c r="A40" s="23" t="s">
        <v>244</v>
      </c>
      <c r="B40" s="24">
        <v>30001611</v>
      </c>
      <c r="C40" s="355">
        <f>B40/'- 3 -'!D40*100</f>
        <v>35.6526578021331</v>
      </c>
      <c r="D40" s="24">
        <f>B40/'- 6 -'!B40</f>
        <v>5308.8920937146095</v>
      </c>
      <c r="E40" s="24">
        <v>0</v>
      </c>
      <c r="F40" s="355">
        <f>E40/'- 3 -'!D40*100</f>
        <v>0</v>
      </c>
      <c r="G40" s="24">
        <f>IF('- 6 -'!C40=0,"",E40/'- 6 -'!C40)</f>
      </c>
      <c r="H40" s="24">
        <v>3241329</v>
      </c>
      <c r="I40" s="355">
        <f>H40/'- 3 -'!D40*100</f>
        <v>3.8518596105099245</v>
      </c>
      <c r="J40" s="24">
        <f>IF('- 6 -'!D40=0,"",H40/'- 6 -'!D40)</f>
        <v>4986.66</v>
      </c>
    </row>
    <row r="41" spans="1:10" ht="13.5" customHeight="1">
      <c r="A41" s="362" t="s">
        <v>245</v>
      </c>
      <c r="B41" s="363">
        <v>16818226</v>
      </c>
      <c r="C41" s="364">
        <f>B41/'- 3 -'!D41*100</f>
        <v>32.8154943089843</v>
      </c>
      <c r="D41" s="363">
        <f>B41/'- 6 -'!B41</f>
        <v>5437.512447462011</v>
      </c>
      <c r="E41" s="363">
        <v>0</v>
      </c>
      <c r="F41" s="364">
        <f>E41/'- 3 -'!D41*100</f>
        <v>0</v>
      </c>
      <c r="G41" s="363">
        <f>IF('- 6 -'!C41=0,"",E41/'- 6 -'!C41)</f>
      </c>
      <c r="H41" s="363">
        <v>0</v>
      </c>
      <c r="I41" s="364">
        <f>H41/'- 3 -'!D41*100</f>
        <v>0</v>
      </c>
      <c r="J41" s="363">
        <f>IF('- 6 -'!D41=0,"",H41/'- 6 -'!D41)</f>
      </c>
    </row>
    <row r="42" spans="1:10" ht="13.5" customHeight="1">
      <c r="A42" s="23" t="s">
        <v>246</v>
      </c>
      <c r="B42" s="24">
        <v>6447002</v>
      </c>
      <c r="C42" s="355">
        <f>B42/'- 3 -'!D42*100</f>
        <v>36.37522337438291</v>
      </c>
      <c r="D42" s="24">
        <f>B42/'- 6 -'!B42</f>
        <v>5207.59450726979</v>
      </c>
      <c r="E42" s="24">
        <v>0</v>
      </c>
      <c r="F42" s="355">
        <f>E42/'- 3 -'!D42*100</f>
        <v>0</v>
      </c>
      <c r="G42" s="24">
        <f>IF('- 6 -'!C42=0,"",E42/'- 6 -'!C42)</f>
      </c>
      <c r="H42" s="24">
        <v>0</v>
      </c>
      <c r="I42" s="355">
        <f>H42/'- 3 -'!D42*100</f>
        <v>0</v>
      </c>
      <c r="J42" s="24">
        <f>IF('- 6 -'!D42=0,"",H42/'- 6 -'!D42)</f>
      </c>
    </row>
    <row r="43" spans="1:10" ht="13.5" customHeight="1">
      <c r="A43" s="362" t="s">
        <v>247</v>
      </c>
      <c r="B43" s="363">
        <v>5094353</v>
      </c>
      <c r="C43" s="364">
        <f>B43/'- 3 -'!D43*100</f>
        <v>49.413068899586875</v>
      </c>
      <c r="D43" s="363">
        <f>B43/'- 6 -'!B43</f>
        <v>5071.531110004978</v>
      </c>
      <c r="E43" s="363">
        <v>0</v>
      </c>
      <c r="F43" s="364">
        <f>E43/'- 3 -'!D43*100</f>
        <v>0</v>
      </c>
      <c r="G43" s="363">
        <f>IF('- 6 -'!C43=0,"",E43/'- 6 -'!C43)</f>
      </c>
      <c r="H43" s="363">
        <v>0</v>
      </c>
      <c r="I43" s="364">
        <f>H43/'- 3 -'!D43*100</f>
        <v>0</v>
      </c>
      <c r="J43" s="363">
        <f>IF('- 6 -'!D43=0,"",H43/'- 6 -'!D43)</f>
      </c>
    </row>
    <row r="44" spans="1:10" ht="13.5" customHeight="1">
      <c r="A44" s="23" t="s">
        <v>248</v>
      </c>
      <c r="B44" s="24">
        <v>4023668</v>
      </c>
      <c r="C44" s="355">
        <f>B44/'- 3 -'!D44*100</f>
        <v>47.520459162987486</v>
      </c>
      <c r="D44" s="24">
        <f>B44/'- 6 -'!B44</f>
        <v>5565.239280774551</v>
      </c>
      <c r="E44" s="24">
        <v>271493</v>
      </c>
      <c r="F44" s="355">
        <f>E44/'- 3 -'!D44*100</f>
        <v>3.2063957611654246</v>
      </c>
      <c r="G44" s="24">
        <f>IF('- 6 -'!C44=0,"",E44/'- 6 -'!C44)</f>
        <v>4763.035087719299</v>
      </c>
      <c r="H44" s="24">
        <v>0</v>
      </c>
      <c r="I44" s="355">
        <f>H44/'- 3 -'!D44*100</f>
        <v>0</v>
      </c>
      <c r="J44" s="24">
        <f>IF('- 6 -'!D44=0,"",H44/'- 6 -'!D44)</f>
      </c>
    </row>
    <row r="45" spans="1:10" ht="13.5" customHeight="1">
      <c r="A45" s="362" t="s">
        <v>249</v>
      </c>
      <c r="B45" s="363">
        <v>3230218</v>
      </c>
      <c r="C45" s="364">
        <f>B45/'- 3 -'!D45*100</f>
        <v>24.80439826786374</v>
      </c>
      <c r="D45" s="363">
        <f>B45/'- 6 -'!B45</f>
        <v>4483.300485773768</v>
      </c>
      <c r="E45" s="363">
        <v>0</v>
      </c>
      <c r="F45" s="364">
        <f>E45/'- 3 -'!D45*100</f>
        <v>0</v>
      </c>
      <c r="G45" s="363">
        <f>IF('- 6 -'!C45=0,"",E45/'- 6 -'!C45)</f>
      </c>
      <c r="H45" s="363">
        <v>0</v>
      </c>
      <c r="I45" s="364">
        <f>H45/'- 3 -'!D45*100</f>
        <v>0</v>
      </c>
      <c r="J45" s="363">
        <f>IF('- 6 -'!D45=0,"",H45/'- 6 -'!D45)</f>
      </c>
    </row>
    <row r="46" spans="1:10" ht="13.5" customHeight="1">
      <c r="A46" s="23" t="s">
        <v>250</v>
      </c>
      <c r="B46" s="24">
        <v>107143800</v>
      </c>
      <c r="C46" s="355">
        <f>B46/'- 3 -'!D46*100</f>
        <v>34.97175333026082</v>
      </c>
      <c r="D46" s="24">
        <f>B46/'- 6 -'!B46</f>
        <v>4836.973500067717</v>
      </c>
      <c r="E46" s="24">
        <v>0</v>
      </c>
      <c r="F46" s="355">
        <f>E46/'- 3 -'!D46*100</f>
        <v>0</v>
      </c>
      <c r="G46" s="24">
        <f>IF('- 6 -'!C46=0,"",E46/'- 6 -'!C46)</f>
      </c>
      <c r="H46" s="24">
        <v>4458800</v>
      </c>
      <c r="I46" s="355">
        <f>H46/'- 3 -'!D46*100</f>
        <v>1.4553530278837128</v>
      </c>
      <c r="J46" s="24">
        <f>IF('- 6 -'!D46=0,"",H46/'- 6 -'!D46)</f>
        <v>4510.672736469398</v>
      </c>
    </row>
    <row r="47" spans="1:10" ht="4.5" customHeight="1">
      <c r="A47"/>
      <c r="B47"/>
      <c r="C47"/>
      <c r="D47"/>
      <c r="E47"/>
      <c r="F47"/>
      <c r="G47"/>
      <c r="H47"/>
      <c r="I47"/>
      <c r="J47"/>
    </row>
    <row r="48" spans="1:10" ht="13.5" customHeight="1">
      <c r="A48" s="365" t="s">
        <v>251</v>
      </c>
      <c r="B48" s="366">
        <f>SUM(B11:B46)</f>
        <v>621228654</v>
      </c>
      <c r="C48" s="367">
        <f>B48/'- 3 -'!D48*100</f>
        <v>35.956638866551025</v>
      </c>
      <c r="D48" s="366">
        <f>B48/'- 6 -'!B48</f>
        <v>5007.381157045044</v>
      </c>
      <c r="E48" s="366">
        <f>SUM(E11:E46)</f>
        <v>28207557</v>
      </c>
      <c r="F48" s="367">
        <f>E48/'- 3 -'!D48*100</f>
        <v>1.6326499652359137</v>
      </c>
      <c r="G48" s="366">
        <f>E48/'- 6 -'!C48</f>
        <v>5612.32729805014</v>
      </c>
      <c r="H48" s="366">
        <f>SUM(H11:H46)</f>
        <v>40324967</v>
      </c>
      <c r="I48" s="367">
        <f>H48/'- 3 -'!D48*100</f>
        <v>2.3340041808898717</v>
      </c>
      <c r="J48" s="366">
        <f>H48/'- 6 -'!D48</f>
        <v>4454.8129695095</v>
      </c>
    </row>
    <row r="49" spans="1:10" ht="4.5" customHeight="1">
      <c r="A49" s="25" t="s">
        <v>3</v>
      </c>
      <c r="B49" s="26"/>
      <c r="C49" s="353"/>
      <c r="D49" s="26"/>
      <c r="E49" s="26"/>
      <c r="F49" s="353"/>
      <c r="H49" s="26"/>
      <c r="I49" s="353"/>
      <c r="J49" s="26"/>
    </row>
    <row r="50" spans="1:10" ht="13.5" customHeight="1">
      <c r="A50" s="23" t="s">
        <v>252</v>
      </c>
      <c r="B50" s="24">
        <v>1461544</v>
      </c>
      <c r="C50" s="355">
        <f>B50/'- 3 -'!D50*100</f>
        <v>51.429080149183825</v>
      </c>
      <c r="D50" s="24">
        <f>B50/'- 6 -'!B50</f>
        <v>6845.639344262295</v>
      </c>
      <c r="E50" s="24">
        <v>0</v>
      </c>
      <c r="F50" s="355">
        <f>E50/'- 3 -'!D50*100</f>
        <v>0</v>
      </c>
      <c r="G50" s="24">
        <f>IF('- 6 -'!C50=0,"",E50/'- 6 -'!C50)</f>
      </c>
      <c r="H50" s="24">
        <v>0</v>
      </c>
      <c r="I50" s="355">
        <f>H50/'- 3 -'!D50*100</f>
        <v>0</v>
      </c>
      <c r="J50" s="24">
        <f>IF('- 6 -'!D50=0,"",H50/'- 6 -'!D50)</f>
      </c>
    </row>
    <row r="51" spans="1:10" ht="13.5" customHeight="1">
      <c r="A51" s="362" t="s">
        <v>253</v>
      </c>
      <c r="B51" s="363">
        <v>213296</v>
      </c>
      <c r="C51" s="364">
        <f>B51/'- 3 -'!D51*100</f>
        <v>1.7578211114401192</v>
      </c>
      <c r="D51" s="363">
        <f>B51/'- 6 -'!B51</f>
        <v>5764.756756756757</v>
      </c>
      <c r="E51" s="363">
        <v>0</v>
      </c>
      <c r="F51" s="364">
        <f>E51/'- 3 -'!D51*100</f>
        <v>0</v>
      </c>
      <c r="G51" s="363">
        <f>IF('- 6 -'!C51=0,"",E51/'- 6 -'!C51)</f>
      </c>
      <c r="H51" s="363">
        <v>0</v>
      </c>
      <c r="I51" s="364">
        <f>H51/'- 3 -'!D51*100</f>
        <v>0</v>
      </c>
      <c r="J51" s="363">
        <f>IF('- 6 -'!D51=0,"",H51/'- 6 -'!D51)</f>
      </c>
    </row>
    <row r="52" spans="1:10" ht="49.5" customHeight="1">
      <c r="A52" s="27"/>
      <c r="B52" s="27"/>
      <c r="C52" s="27"/>
      <c r="D52" s="27"/>
      <c r="E52" s="27"/>
      <c r="F52" s="27"/>
      <c r="G52" s="27"/>
      <c r="H52" s="73"/>
      <c r="I52" s="73"/>
      <c r="J52" s="73"/>
    </row>
    <row r="53" spans="1:10" ht="15" customHeight="1">
      <c r="A53" s="126" t="s">
        <v>387</v>
      </c>
      <c r="B53" s="68"/>
      <c r="C53" s="68"/>
      <c r="D53" s="68"/>
      <c r="E53" s="68"/>
      <c r="F53" s="68"/>
      <c r="G53" s="68"/>
      <c r="I53" s="68"/>
      <c r="J53" s="68"/>
    </row>
    <row r="54" ht="14.25" customHeight="1"/>
    <row r="55" ht="14.25" customHeight="1">
      <c r="A55" s="28"/>
    </row>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9"/>
  <sheetViews>
    <sheetView showGridLines="0" showZeros="0" workbookViewId="0" topLeftCell="A1">
      <selection activeCell="A4" sqref="A4"/>
    </sheetView>
  </sheetViews>
  <sheetFormatPr defaultColWidth="15.83203125" defaultRowHeight="12"/>
  <cols>
    <col min="1" max="1" width="31.83203125" style="1" customWidth="1"/>
    <col min="2" max="2" width="15.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ustomWidth="1"/>
  </cols>
  <sheetData>
    <row r="1" spans="1:9" ht="6.75" customHeight="1">
      <c r="A1" s="3"/>
      <c r="B1" s="42"/>
      <c r="C1" s="42"/>
      <c r="D1" s="42"/>
      <c r="E1" s="42"/>
      <c r="F1" s="42"/>
      <c r="G1" s="42"/>
      <c r="H1" s="42"/>
      <c r="I1" s="42"/>
    </row>
    <row r="2" spans="1:9" ht="15.75" customHeight="1">
      <c r="A2" s="167"/>
      <c r="B2" s="5" t="s">
        <v>491</v>
      </c>
      <c r="C2" s="45"/>
      <c r="D2" s="45"/>
      <c r="E2" s="45"/>
      <c r="F2" s="45"/>
      <c r="G2" s="45"/>
      <c r="H2" s="218"/>
      <c r="I2" s="190" t="s">
        <v>424</v>
      </c>
    </row>
    <row r="3" spans="1:9" ht="15.75" customHeight="1">
      <c r="A3" s="170"/>
      <c r="B3" s="109" t="str">
        <f>OPYEAR</f>
        <v>OPERATING FUND 2008/2009 BUDGET</v>
      </c>
      <c r="C3" s="49"/>
      <c r="D3" s="49"/>
      <c r="E3" s="49"/>
      <c r="F3" s="49"/>
      <c r="G3" s="49"/>
      <c r="H3" s="219"/>
      <c r="I3" s="220"/>
    </row>
    <row r="4" spans="2:9" ht="15.75" customHeight="1">
      <c r="B4" s="42"/>
      <c r="C4" s="42"/>
      <c r="D4" s="42"/>
      <c r="E4" s="42"/>
      <c r="F4" s="42"/>
      <c r="G4" s="42"/>
      <c r="H4" s="42"/>
      <c r="I4" s="42"/>
    </row>
    <row r="5" spans="2:9" ht="15.75" customHeight="1">
      <c r="B5" s="221" t="s">
        <v>356</v>
      </c>
      <c r="C5" s="222"/>
      <c r="D5" s="222"/>
      <c r="E5" s="222"/>
      <c r="F5" s="222"/>
      <c r="G5" s="222"/>
      <c r="H5" s="222"/>
      <c r="I5" s="223"/>
    </row>
    <row r="6" spans="2:9" ht="15.75" customHeight="1">
      <c r="B6" s="406" t="s">
        <v>357</v>
      </c>
      <c r="C6" s="407"/>
      <c r="D6" s="407"/>
      <c r="E6" s="407"/>
      <c r="F6" s="407"/>
      <c r="G6" s="407"/>
      <c r="H6" s="407"/>
      <c r="I6" s="408"/>
    </row>
    <row r="7" spans="2:9" ht="15.75" customHeight="1">
      <c r="B7" s="211"/>
      <c r="C7" s="224"/>
      <c r="D7" s="224"/>
      <c r="E7" s="225" t="s">
        <v>160</v>
      </c>
      <c r="F7" s="226" t="s">
        <v>161</v>
      </c>
      <c r="G7" s="226"/>
      <c r="H7" s="226"/>
      <c r="I7" s="227"/>
    </row>
    <row r="8" spans="1:9" ht="15.75" customHeight="1">
      <c r="A8" s="104"/>
      <c r="B8" s="228"/>
      <c r="C8" s="228"/>
      <c r="D8" s="210" t="s">
        <v>59</v>
      </c>
      <c r="E8" s="229" t="s">
        <v>162</v>
      </c>
      <c r="F8" s="228"/>
      <c r="G8" s="230"/>
      <c r="H8" s="231" t="s">
        <v>69</v>
      </c>
      <c r="I8" s="228"/>
    </row>
    <row r="9" spans="1:9" ht="15.75" customHeight="1">
      <c r="A9" s="35" t="s">
        <v>79</v>
      </c>
      <c r="B9" s="56" t="s">
        <v>80</v>
      </c>
      <c r="C9" s="56" t="s">
        <v>81</v>
      </c>
      <c r="D9" s="56" t="s">
        <v>82</v>
      </c>
      <c r="E9" s="232" t="s">
        <v>86</v>
      </c>
      <c r="F9" s="56" t="s">
        <v>68</v>
      </c>
      <c r="G9" s="233" t="s">
        <v>32</v>
      </c>
      <c r="H9" s="56" t="s">
        <v>84</v>
      </c>
      <c r="I9" s="56" t="s">
        <v>44</v>
      </c>
    </row>
    <row r="10" spans="1:9" ht="4.5" customHeight="1">
      <c r="A10" s="37"/>
      <c r="B10" s="68"/>
      <c r="C10" s="68"/>
      <c r="D10" s="68"/>
      <c r="E10" s="68"/>
      <c r="F10" s="68"/>
      <c r="G10" s="68"/>
      <c r="H10" s="68"/>
      <c r="I10" s="68"/>
    </row>
    <row r="11" spans="1:9" ht="13.5" customHeight="1">
      <c r="A11" s="362" t="s">
        <v>216</v>
      </c>
      <c r="B11" s="363">
        <v>0</v>
      </c>
      <c r="C11" s="364">
        <f>B11/'- 3 -'!D11*100</f>
        <v>0</v>
      </c>
      <c r="D11" s="413">
        <f>IF(E11=0,"",B11/E11)</f>
      </c>
      <c r="E11" s="414">
        <f>SUM('- 6 -'!E11:H11)</f>
        <v>0</v>
      </c>
      <c r="F11" s="364">
        <f>IF(E11=0,"",'- 6 -'!E11/E11*100)</f>
      </c>
      <c r="G11" s="364">
        <f>IF(E11=0,"",'- 6 -'!F11/E11*100)</f>
      </c>
      <c r="H11" s="364">
        <f>IF(E11=0,"",'- 6 -'!G11/E11*100)</f>
      </c>
      <c r="I11" s="364">
        <f>IF(E11=0,"",'- 6 -'!H11/E11*100)</f>
      </c>
    </row>
    <row r="12" spans="1:9" ht="13.5" customHeight="1">
      <c r="A12" s="23" t="s">
        <v>217</v>
      </c>
      <c r="B12" s="24">
        <v>0</v>
      </c>
      <c r="C12" s="355">
        <f>B12/'- 3 -'!D12*100</f>
        <v>0</v>
      </c>
      <c r="D12" s="234">
        <f aca="true" t="shared" si="0" ref="D12:D46">IF(E12=0,"",B12/E12)</f>
      </c>
      <c r="E12" s="235">
        <f>SUM('- 6 -'!E12:H12)</f>
        <v>0</v>
      </c>
      <c r="F12" s="355">
        <f>IF(E12=0,"",'- 6 -'!E12/E12*100)</f>
      </c>
      <c r="G12" s="355">
        <f>IF(E12=0,"",'- 6 -'!F12/E12*100)</f>
      </c>
      <c r="H12" s="355">
        <f>IF(E12=0,"",'- 6 -'!G12/E12*100)</f>
      </c>
      <c r="I12" s="355">
        <f>IF(E12=0,"",'- 6 -'!H12/E12*100)</f>
      </c>
    </row>
    <row r="13" spans="1:9" ht="13.5" customHeight="1">
      <c r="A13" s="362" t="s">
        <v>218</v>
      </c>
      <c r="B13" s="363">
        <v>4746100</v>
      </c>
      <c r="C13" s="364">
        <f>B13/'- 3 -'!D13*100</f>
        <v>8.06798999767111</v>
      </c>
      <c r="D13" s="413">
        <f t="shared" si="0"/>
        <v>3907.863318237958</v>
      </c>
      <c r="E13" s="414">
        <f>SUM('- 6 -'!E13:H13)</f>
        <v>1214.5</v>
      </c>
      <c r="F13" s="364">
        <f>IF(E13=0,"",'- 6 -'!E13/E13*100)</f>
        <v>57.678056813503495</v>
      </c>
      <c r="G13" s="364">
        <f>IF(E13=0,"",'- 6 -'!F13/E13*100)</f>
        <v>0</v>
      </c>
      <c r="H13" s="364">
        <f>IF(E13=0,"",'- 6 -'!G13/E13*100)</f>
        <v>42.321943186496505</v>
      </c>
      <c r="I13" s="364">
        <f>IF(E13=0,"",'- 6 -'!H13/E13*100)</f>
        <v>0</v>
      </c>
    </row>
    <row r="14" spans="1:9" ht="13.5" customHeight="1">
      <c r="A14" s="23" t="s">
        <v>254</v>
      </c>
      <c r="B14" s="24">
        <v>0</v>
      </c>
      <c r="C14" s="355">
        <f>B14/'- 3 -'!D14*100</f>
        <v>0</v>
      </c>
      <c r="D14" s="234">
        <f t="shared" si="0"/>
      </c>
      <c r="E14" s="235">
        <f>SUM('- 6 -'!E14:H14)</f>
        <v>0</v>
      </c>
      <c r="F14" s="355">
        <f>IF(E14=0,"",'- 6 -'!E14/E14*100)</f>
      </c>
      <c r="G14" s="355">
        <f>IF(E14=0,"",'- 6 -'!F14/E14*100)</f>
      </c>
      <c r="H14" s="355">
        <f>IF(E14=0,"",'- 6 -'!G14/E14*100)</f>
      </c>
      <c r="I14" s="355">
        <f>IF(E14=0,"",'- 6 -'!H14/E14*100)</f>
      </c>
    </row>
    <row r="15" spans="1:9" ht="13.5" customHeight="1">
      <c r="A15" s="362" t="s">
        <v>219</v>
      </c>
      <c r="B15" s="363">
        <v>0</v>
      </c>
      <c r="C15" s="364">
        <f>B15/'- 3 -'!D15*100</f>
        <v>0</v>
      </c>
      <c r="D15" s="413">
        <f t="shared" si="0"/>
      </c>
      <c r="E15" s="414">
        <f>SUM('- 6 -'!E15:H15)</f>
        <v>0</v>
      </c>
      <c r="F15" s="364">
        <f>IF(E15=0,"",'- 6 -'!E15/E15*100)</f>
      </c>
      <c r="G15" s="364">
        <f>IF(E15=0,"",'- 6 -'!F15/E15*100)</f>
      </c>
      <c r="H15" s="364">
        <f>IF(E15=0,"",'- 6 -'!G15/E15*100)</f>
      </c>
      <c r="I15" s="364">
        <f>IF(E15=0,"",'- 6 -'!H15/E15*100)</f>
      </c>
    </row>
    <row r="16" spans="1:9" ht="13.5" customHeight="1">
      <c r="A16" s="23" t="s">
        <v>220</v>
      </c>
      <c r="B16" s="24">
        <v>1767916</v>
      </c>
      <c r="C16" s="355">
        <f>B16/'- 3 -'!D16*100</f>
        <v>15.504910984163981</v>
      </c>
      <c r="D16" s="234">
        <f t="shared" si="0"/>
        <v>4464.434343434344</v>
      </c>
      <c r="E16" s="235">
        <f>SUM('- 6 -'!E16:H16)</f>
        <v>396</v>
      </c>
      <c r="F16" s="355">
        <f>IF(E16=0,"",'- 6 -'!E16/E16*100)</f>
        <v>75.37878787878788</v>
      </c>
      <c r="G16" s="355">
        <f>IF(E16=0,"",'- 6 -'!F16/E16*100)</f>
        <v>0</v>
      </c>
      <c r="H16" s="355">
        <f>IF(E16=0,"",'- 6 -'!G16/E16*100)</f>
        <v>24.62121212121212</v>
      </c>
      <c r="I16" s="355">
        <f>IF(E16=0,"",'- 6 -'!H16/E16*100)</f>
        <v>0</v>
      </c>
    </row>
    <row r="17" spans="1:9" ht="13.5" customHeight="1">
      <c r="A17" s="362" t="s">
        <v>221</v>
      </c>
      <c r="B17" s="363">
        <v>0</v>
      </c>
      <c r="C17" s="364">
        <f>B17/'- 3 -'!D17*100</f>
        <v>0</v>
      </c>
      <c r="D17" s="413">
        <f t="shared" si="0"/>
      </c>
      <c r="E17" s="414">
        <f>SUM('- 6 -'!E17:H17)</f>
        <v>0</v>
      </c>
      <c r="F17" s="364">
        <f>IF(E17=0,"",'- 6 -'!E17/E17*100)</f>
      </c>
      <c r="G17" s="364">
        <f>IF(E17=0,"",'- 6 -'!F17/E17*100)</f>
      </c>
      <c r="H17" s="364">
        <f>IF(E17=0,"",'- 6 -'!G17/E17*100)</f>
      </c>
      <c r="I17" s="364">
        <f>IF(E17=0,"",'- 6 -'!H17/E17*100)</f>
      </c>
    </row>
    <row r="18" spans="1:9" ht="13.5" customHeight="1">
      <c r="A18" s="23" t="s">
        <v>222</v>
      </c>
      <c r="B18" s="24">
        <v>0</v>
      </c>
      <c r="C18" s="355">
        <f>B18/'- 3 -'!D18*100</f>
        <v>0</v>
      </c>
      <c r="D18" s="234">
        <f t="shared" si="0"/>
      </c>
      <c r="E18" s="235">
        <f>SUM('- 6 -'!E18:H18)</f>
        <v>0</v>
      </c>
      <c r="F18" s="355">
        <f>IF(E18=0,"",'- 6 -'!E18/E18*100)</f>
      </c>
      <c r="G18" s="355">
        <f>IF(E18=0,"",'- 6 -'!F18/E18*100)</f>
      </c>
      <c r="H18" s="355">
        <f>IF(E18=0,"",'- 6 -'!G18/E18*100)</f>
      </c>
      <c r="I18" s="355">
        <f>IF(E18=0,"",'- 6 -'!H18/E18*100)</f>
      </c>
    </row>
    <row r="19" spans="1:9" ht="13.5" customHeight="1">
      <c r="A19" s="362" t="s">
        <v>223</v>
      </c>
      <c r="B19" s="363">
        <v>0</v>
      </c>
      <c r="C19" s="364">
        <f>B19/'- 3 -'!D19*100</f>
        <v>0</v>
      </c>
      <c r="D19" s="413">
        <f t="shared" si="0"/>
      </c>
      <c r="E19" s="414">
        <f>SUM('- 6 -'!E19:H19)</f>
        <v>0</v>
      </c>
      <c r="F19" s="364">
        <f>IF(E19=0,"",'- 6 -'!E19/E19*100)</f>
      </c>
      <c r="G19" s="364">
        <f>IF(E19=0,"",'- 6 -'!F19/E19*100)</f>
      </c>
      <c r="H19" s="364">
        <f>IF(E19=0,"",'- 6 -'!G19/E19*100)</f>
      </c>
      <c r="I19" s="364">
        <f>IF(E19=0,"",'- 6 -'!H19/E19*100)</f>
      </c>
    </row>
    <row r="20" spans="1:9" ht="13.5" customHeight="1">
      <c r="A20" s="23" t="s">
        <v>224</v>
      </c>
      <c r="B20" s="24">
        <v>0</v>
      </c>
      <c r="C20" s="355">
        <f>B20/'- 3 -'!D20*100</f>
        <v>0</v>
      </c>
      <c r="D20" s="234">
        <f t="shared" si="0"/>
      </c>
      <c r="E20" s="235">
        <f>SUM('- 6 -'!E20:H20)</f>
        <v>0</v>
      </c>
      <c r="F20" s="355">
        <f>IF(E20=0,"",'- 6 -'!E20/E20*100)</f>
      </c>
      <c r="G20" s="355">
        <f>IF(E20=0,"",'- 6 -'!F20/E20*100)</f>
      </c>
      <c r="H20" s="355">
        <f>IF(E20=0,"",'- 6 -'!G20/E20*100)</f>
      </c>
      <c r="I20" s="355">
        <f>IF(E20=0,"",'- 6 -'!H20/E20*100)</f>
      </c>
    </row>
    <row r="21" spans="1:9" ht="13.5" customHeight="1">
      <c r="A21" s="362" t="s">
        <v>225</v>
      </c>
      <c r="B21" s="363">
        <v>0</v>
      </c>
      <c r="C21" s="364">
        <f>B21/'- 3 -'!D21*100</f>
        <v>0</v>
      </c>
      <c r="D21" s="413">
        <f t="shared" si="0"/>
      </c>
      <c r="E21" s="414">
        <f>SUM('- 6 -'!E21:H21)</f>
        <v>0</v>
      </c>
      <c r="F21" s="364">
        <f>IF(E21=0,"",'- 6 -'!E21/E21*100)</f>
      </c>
      <c r="G21" s="364">
        <f>IF(E21=0,"",'- 6 -'!F21/E21*100)</f>
      </c>
      <c r="H21" s="364">
        <f>IF(E21=0,"",'- 6 -'!G21/E21*100)</f>
      </c>
      <c r="I21" s="364">
        <f>IF(E21=0,"",'- 6 -'!H21/E21*100)</f>
      </c>
    </row>
    <row r="22" spans="1:9" ht="13.5" customHeight="1">
      <c r="A22" s="23" t="s">
        <v>226</v>
      </c>
      <c r="B22" s="24">
        <v>3337711</v>
      </c>
      <c r="C22" s="355">
        <f>B22/'- 3 -'!D22*100</f>
        <v>20.81925562408721</v>
      </c>
      <c r="D22" s="234">
        <f t="shared" si="0"/>
        <v>4486.170698924731</v>
      </c>
      <c r="E22" s="235">
        <f>SUM('- 6 -'!E22:H22)</f>
        <v>744</v>
      </c>
      <c r="F22" s="355">
        <f>IF(E22=0,"",'- 6 -'!E22/E22*100)</f>
        <v>79.56989247311827</v>
      </c>
      <c r="G22" s="355">
        <f>IF(E22=0,"",'- 6 -'!F22/E22*100)</f>
        <v>0</v>
      </c>
      <c r="H22" s="355">
        <f>IF(E22=0,"",'- 6 -'!G22/E22*100)</f>
        <v>20.43010752688172</v>
      </c>
      <c r="I22" s="355">
        <f>IF(E22=0,"",'- 6 -'!H22/E22*100)</f>
        <v>0</v>
      </c>
    </row>
    <row r="23" spans="1:9" ht="13.5" customHeight="1">
      <c r="A23" s="362" t="s">
        <v>227</v>
      </c>
      <c r="B23" s="363">
        <v>0</v>
      </c>
      <c r="C23" s="364">
        <f>B23/'- 3 -'!D23*100</f>
        <v>0</v>
      </c>
      <c r="D23" s="413">
        <f t="shared" si="0"/>
      </c>
      <c r="E23" s="414">
        <f>SUM('- 6 -'!E23:H23)</f>
        <v>0</v>
      </c>
      <c r="F23" s="364">
        <f>IF(E23=0,"",'- 6 -'!E23/E23*100)</f>
      </c>
      <c r="G23" s="364">
        <f>IF(E23=0,"",'- 6 -'!F23/E23*100)</f>
      </c>
      <c r="H23" s="364">
        <f>IF(E23=0,"",'- 6 -'!G23/E23*100)</f>
      </c>
      <c r="I23" s="364">
        <f>IF(E23=0,"",'- 6 -'!H23/E23*100)</f>
      </c>
    </row>
    <row r="24" spans="1:9" ht="13.5" customHeight="1">
      <c r="A24" s="23" t="s">
        <v>228</v>
      </c>
      <c r="B24" s="24">
        <v>3414030</v>
      </c>
      <c r="C24" s="355">
        <f>B24/'- 3 -'!D24*100</f>
        <v>7.686323489522377</v>
      </c>
      <c r="D24" s="234">
        <f t="shared" si="0"/>
        <v>4937.136659436009</v>
      </c>
      <c r="E24" s="235">
        <f>SUM('- 6 -'!E24:H24)</f>
        <v>691.5</v>
      </c>
      <c r="F24" s="355">
        <f>IF(E24=0,"",'- 6 -'!E24/E24*100)</f>
        <v>79.89877078814173</v>
      </c>
      <c r="G24" s="355">
        <f>IF(E24=0,"",'- 6 -'!F24/E24*100)</f>
        <v>0</v>
      </c>
      <c r="H24" s="355">
        <f>IF(E24=0,"",'- 6 -'!G24/E24*100)</f>
        <v>10.12292118582791</v>
      </c>
      <c r="I24" s="355">
        <f>IF(E24=0,"",'- 6 -'!H24/E24*100)</f>
        <v>9.97830802603037</v>
      </c>
    </row>
    <row r="25" spans="1:9" ht="13.5" customHeight="1">
      <c r="A25" s="362" t="s">
        <v>229</v>
      </c>
      <c r="B25" s="363">
        <v>0</v>
      </c>
      <c r="C25" s="364">
        <f>B25/'- 3 -'!D25*100</f>
        <v>0</v>
      </c>
      <c r="D25" s="413">
        <f t="shared" si="0"/>
      </c>
      <c r="E25" s="414">
        <f>SUM('- 6 -'!E25:H25)</f>
        <v>0</v>
      </c>
      <c r="F25" s="364">
        <f>IF(E25=0,"",'- 6 -'!E25/E25*100)</f>
      </c>
      <c r="G25" s="364">
        <f>IF(E25=0,"",'- 6 -'!F25/E25*100)</f>
      </c>
      <c r="H25" s="364">
        <f>IF(E25=0,"",'- 6 -'!G25/E25*100)</f>
      </c>
      <c r="I25" s="364">
        <f>IF(E25=0,"",'- 6 -'!H25/E25*100)</f>
      </c>
    </row>
    <row r="26" spans="1:9" ht="13.5" customHeight="1">
      <c r="A26" s="23" t="s">
        <v>230</v>
      </c>
      <c r="B26" s="24">
        <v>1712413</v>
      </c>
      <c r="C26" s="355">
        <f>B26/'- 3 -'!D26*100</f>
        <v>5.279360330378653</v>
      </c>
      <c r="D26" s="234">
        <f t="shared" si="0"/>
        <v>4494.522309711286</v>
      </c>
      <c r="E26" s="235">
        <f>SUM('- 6 -'!E26:H26)</f>
        <v>381</v>
      </c>
      <c r="F26" s="355">
        <f>IF(E26=0,"",'- 6 -'!E26/E26*100)</f>
        <v>60.367454068241464</v>
      </c>
      <c r="G26" s="355">
        <f>IF(E26=0,"",'- 6 -'!F26/E26*100)</f>
        <v>0</v>
      </c>
      <c r="H26" s="355">
        <f>IF(E26=0,"",'- 6 -'!G26/E26*100)</f>
        <v>10.498687664041995</v>
      </c>
      <c r="I26" s="355">
        <f>IF(E26=0,"",'- 6 -'!H26/E26*100)</f>
        <v>29.133858267716533</v>
      </c>
    </row>
    <row r="27" spans="1:9" ht="13.5" customHeight="1">
      <c r="A27" s="362" t="s">
        <v>231</v>
      </c>
      <c r="B27" s="363">
        <v>2077001</v>
      </c>
      <c r="C27" s="364">
        <f>B27/'- 3 -'!D27*100</f>
        <v>5.885498461808574</v>
      </c>
      <c r="D27" s="413">
        <f t="shared" si="0"/>
        <v>4998.799037304452</v>
      </c>
      <c r="E27" s="414">
        <f>SUM('- 6 -'!E27:H27)</f>
        <v>415.5</v>
      </c>
      <c r="F27" s="364">
        <f>IF(E27=0,"",'- 6 -'!E27/E27*100)</f>
        <v>38.26714801444043</v>
      </c>
      <c r="G27" s="364">
        <f>IF(E27=0,"",'- 6 -'!F27/E27*100)</f>
        <v>0</v>
      </c>
      <c r="H27" s="364">
        <f>IF(E27=0,"",'- 6 -'!G27/E27*100)</f>
        <v>61.73285198555957</v>
      </c>
      <c r="I27" s="364">
        <f>IF(E27=0,"",'- 6 -'!H27/E27*100)</f>
        <v>0</v>
      </c>
    </row>
    <row r="28" spans="1:9" ht="13.5" customHeight="1">
      <c r="A28" s="23" t="s">
        <v>232</v>
      </c>
      <c r="B28" s="24">
        <v>0</v>
      </c>
      <c r="C28" s="355">
        <f>B28/'- 3 -'!D28*100</f>
        <v>0</v>
      </c>
      <c r="D28" s="234">
        <f t="shared" si="0"/>
      </c>
      <c r="E28" s="235">
        <f>SUM('- 6 -'!E28:H28)</f>
        <v>0</v>
      </c>
      <c r="F28" s="355">
        <f>IF(E28=0,"",'- 6 -'!E28/E28*100)</f>
      </c>
      <c r="G28" s="355">
        <f>IF(E28=0,"",'- 6 -'!F28/E28*100)</f>
      </c>
      <c r="H28" s="355">
        <f>IF(E28=0,"",'- 6 -'!G28/E28*100)</f>
      </c>
      <c r="I28" s="355">
        <f>IF(E28=0,"",'- 6 -'!H28/E28*100)</f>
      </c>
    </row>
    <row r="29" spans="1:9" ht="13.5" customHeight="1">
      <c r="A29" s="362" t="s">
        <v>233</v>
      </c>
      <c r="B29" s="363">
        <v>15054786</v>
      </c>
      <c r="C29" s="364">
        <f>B29/'- 3 -'!D29*100</f>
        <v>12.236776928082998</v>
      </c>
      <c r="D29" s="413">
        <f t="shared" si="0"/>
        <v>4919.864705882353</v>
      </c>
      <c r="E29" s="414">
        <f>SUM('- 6 -'!E29:H29)</f>
        <v>3060</v>
      </c>
      <c r="F29" s="364">
        <f>IF(E29=0,"",'- 6 -'!E29/E29*100)</f>
        <v>72.97385620915033</v>
      </c>
      <c r="G29" s="364">
        <f>IF(E29=0,"",'- 6 -'!F29/E29*100)</f>
        <v>0</v>
      </c>
      <c r="H29" s="364">
        <f>IF(E29=0,"",'- 6 -'!G29/E29*100)</f>
        <v>27.026143790849673</v>
      </c>
      <c r="I29" s="364">
        <f>IF(E29=0,"",'- 6 -'!H29/E29*100)</f>
        <v>0</v>
      </c>
    </row>
    <row r="30" spans="1:9" ht="13.5" customHeight="1">
      <c r="A30" s="23" t="s">
        <v>234</v>
      </c>
      <c r="B30" s="24">
        <v>0</v>
      </c>
      <c r="C30" s="355">
        <f>B30/'- 3 -'!D30*100</f>
        <v>0</v>
      </c>
      <c r="D30" s="234">
        <f t="shared" si="0"/>
      </c>
      <c r="E30" s="235">
        <f>SUM('- 6 -'!E30:H30)</f>
        <v>0</v>
      </c>
      <c r="F30" s="355">
        <f>IF(E30=0,"",'- 6 -'!E30/E30*100)</f>
      </c>
      <c r="G30" s="355">
        <f>IF(E30=0,"",'- 6 -'!F30/E30*100)</f>
      </c>
      <c r="H30" s="355">
        <f>IF(E30=0,"",'- 6 -'!G30/E30*100)</f>
      </c>
      <c r="I30" s="355">
        <f>IF(E30=0,"",'- 6 -'!H30/E30*100)</f>
      </c>
    </row>
    <row r="31" spans="1:9" ht="13.5" customHeight="1">
      <c r="A31" s="362" t="s">
        <v>235</v>
      </c>
      <c r="B31" s="363">
        <v>2448103</v>
      </c>
      <c r="C31" s="364">
        <f>B31/'- 3 -'!D31*100</f>
        <v>8.340716044194805</v>
      </c>
      <c r="D31" s="413">
        <f t="shared" si="0"/>
        <v>3323.968771215207</v>
      </c>
      <c r="E31" s="414">
        <f>SUM('- 6 -'!E31:H31)</f>
        <v>736.5</v>
      </c>
      <c r="F31" s="364">
        <f>IF(E31=0,"",'- 6 -'!E31/E31*100)</f>
        <v>79.97284453496266</v>
      </c>
      <c r="G31" s="364">
        <f>IF(E31=0,"",'- 6 -'!F31/E31*100)</f>
        <v>0</v>
      </c>
      <c r="H31" s="364">
        <f>IF(E31=0,"",'- 6 -'!G31/E31*100)</f>
        <v>20.02715546503734</v>
      </c>
      <c r="I31" s="364">
        <f>IF(E31=0,"",'- 6 -'!H31/E31*100)</f>
        <v>0</v>
      </c>
    </row>
    <row r="32" spans="1:9" ht="13.5" customHeight="1">
      <c r="A32" s="23" t="s">
        <v>236</v>
      </c>
      <c r="B32" s="24">
        <v>1060055</v>
      </c>
      <c r="C32" s="355">
        <f>B32/'- 3 -'!D32*100</f>
        <v>4.837579397215944</v>
      </c>
      <c r="D32" s="234">
        <f t="shared" si="0"/>
        <v>5608.756613756614</v>
      </c>
      <c r="E32" s="235">
        <f>SUM('- 6 -'!E32:H32)</f>
        <v>189</v>
      </c>
      <c r="F32" s="355">
        <f>IF(E32=0,"",'- 6 -'!E32/E32*100)</f>
        <v>71.42857142857143</v>
      </c>
      <c r="G32" s="355">
        <f>IF(E32=0,"",'- 6 -'!F32/E32*100)</f>
        <v>0</v>
      </c>
      <c r="H32" s="355">
        <f>IF(E32=0,"",'- 6 -'!G32/E32*100)</f>
        <v>28.57142857142857</v>
      </c>
      <c r="I32" s="355">
        <f>IF(E32=0,"",'- 6 -'!H32/E32*100)</f>
        <v>0</v>
      </c>
    </row>
    <row r="33" spans="1:9" ht="13.5" customHeight="1">
      <c r="A33" s="362" t="s">
        <v>237</v>
      </c>
      <c r="B33" s="363">
        <v>1817100</v>
      </c>
      <c r="C33" s="364">
        <f>B33/'- 3 -'!D33*100</f>
        <v>7.903355587934671</v>
      </c>
      <c r="D33" s="413">
        <f t="shared" si="0"/>
        <v>5424.179104477612</v>
      </c>
      <c r="E33" s="414">
        <f>SUM('- 6 -'!E33:H33)</f>
        <v>335</v>
      </c>
      <c r="F33" s="364">
        <f>IF(E33=0,"",'- 6 -'!E33/E33*100)</f>
        <v>35.82089552238806</v>
      </c>
      <c r="G33" s="364">
        <f>IF(E33=0,"",'- 6 -'!F33/E33*100)</f>
        <v>38.80597014925373</v>
      </c>
      <c r="H33" s="364">
        <f>IF(E33=0,"",'- 6 -'!G33/E33*100)</f>
        <v>25.37313432835821</v>
      </c>
      <c r="I33" s="364">
        <f>IF(E33=0,"",'- 6 -'!H33/E33*100)</f>
        <v>0</v>
      </c>
    </row>
    <row r="34" spans="1:9" ht="13.5" customHeight="1">
      <c r="A34" s="23" t="s">
        <v>238</v>
      </c>
      <c r="B34" s="24">
        <v>629011</v>
      </c>
      <c r="C34" s="355">
        <f>B34/'- 3 -'!D34*100</f>
        <v>3.0417319289707567</v>
      </c>
      <c r="D34" s="234">
        <f t="shared" si="0"/>
        <v>5220.008298755187</v>
      </c>
      <c r="E34" s="235">
        <f>SUM('- 6 -'!E34:H34)</f>
        <v>120.5</v>
      </c>
      <c r="F34" s="355">
        <f>IF(E34=0,"",'- 6 -'!E34/E34*100)</f>
        <v>37.75933609958506</v>
      </c>
      <c r="G34" s="355">
        <f>IF(E34=0,"",'- 6 -'!F34/E34*100)</f>
        <v>62.24066390041494</v>
      </c>
      <c r="H34" s="355">
        <f>IF(E34=0,"",'- 6 -'!G34/E34*100)</f>
        <v>0</v>
      </c>
      <c r="I34" s="355">
        <f>IF(E34=0,"",'- 6 -'!H34/E34*100)</f>
        <v>0</v>
      </c>
    </row>
    <row r="35" spans="1:9" ht="13.5" customHeight="1">
      <c r="A35" s="362" t="s">
        <v>239</v>
      </c>
      <c r="B35" s="363">
        <v>21493550</v>
      </c>
      <c r="C35" s="364">
        <f>B35/'- 3 -'!D35*100</f>
        <v>14.25481837738304</v>
      </c>
      <c r="D35" s="413">
        <f t="shared" si="0"/>
        <v>4445.868238701003</v>
      </c>
      <c r="E35" s="414">
        <f>SUM('- 6 -'!E35:H35)</f>
        <v>4834.5</v>
      </c>
      <c r="F35" s="364">
        <f>IF(E35=0,"",'- 6 -'!E35/E35*100)</f>
        <v>61.58858206639777</v>
      </c>
      <c r="G35" s="364">
        <f>IF(E35=0,"",'- 6 -'!F35/E35*100)</f>
        <v>0</v>
      </c>
      <c r="H35" s="364">
        <f>IF(E35=0,"",'- 6 -'!G35/E35*100)</f>
        <v>28.565518667907746</v>
      </c>
      <c r="I35" s="364">
        <f>IF(E35=0,"",'- 6 -'!H35/E35*100)</f>
        <v>9.845899265694486</v>
      </c>
    </row>
    <row r="36" spans="1:9" ht="13.5" customHeight="1">
      <c r="A36" s="23" t="s">
        <v>240</v>
      </c>
      <c r="B36" s="24">
        <v>0</v>
      </c>
      <c r="C36" s="355">
        <f>B36/'- 3 -'!D36*100</f>
        <v>0</v>
      </c>
      <c r="D36" s="234">
        <f t="shared" si="0"/>
      </c>
      <c r="E36" s="235">
        <f>SUM('- 6 -'!E36:H36)</f>
        <v>0</v>
      </c>
      <c r="F36" s="355">
        <f>IF(E36=0,"",'- 6 -'!E36/E36*100)</f>
      </c>
      <c r="G36" s="355">
        <f>IF(E36=0,"",'- 6 -'!F36/E36*100)</f>
      </c>
      <c r="H36" s="355">
        <f>IF(E36=0,"",'- 6 -'!G36/E36*100)</f>
      </c>
      <c r="I36" s="355">
        <f>IF(E36=0,"",'- 6 -'!H36/E36*100)</f>
      </c>
    </row>
    <row r="37" spans="1:9" ht="13.5" customHeight="1">
      <c r="A37" s="362" t="s">
        <v>241</v>
      </c>
      <c r="B37" s="363">
        <v>5787993</v>
      </c>
      <c r="C37" s="364">
        <f>B37/'- 3 -'!D37*100</f>
        <v>17.567327669026774</v>
      </c>
      <c r="D37" s="413">
        <f t="shared" si="0"/>
        <v>4944.889363519863</v>
      </c>
      <c r="E37" s="414">
        <f>SUM('- 6 -'!E37:H37)</f>
        <v>1170.5</v>
      </c>
      <c r="F37" s="364">
        <f>IF(E37=0,"",'- 6 -'!E37/E37*100)</f>
        <v>66.4246048697138</v>
      </c>
      <c r="G37" s="364">
        <f>IF(E37=0,"",'- 6 -'!F37/E37*100)</f>
        <v>0</v>
      </c>
      <c r="H37" s="364">
        <f>IF(E37=0,"",'- 6 -'!G37/E37*100)</f>
        <v>33.5753951302862</v>
      </c>
      <c r="I37" s="364">
        <f>IF(E37=0,"",'- 6 -'!H37/E37*100)</f>
        <v>0</v>
      </c>
    </row>
    <row r="38" spans="1:9" ht="13.5" customHeight="1">
      <c r="A38" s="23" t="s">
        <v>242</v>
      </c>
      <c r="B38" s="24">
        <v>18948185</v>
      </c>
      <c r="C38" s="355">
        <f>B38/'- 3 -'!D38*100</f>
        <v>22.720221099118934</v>
      </c>
      <c r="D38" s="234">
        <f t="shared" si="0"/>
        <v>5413.767142857143</v>
      </c>
      <c r="E38" s="235">
        <f>SUM('- 6 -'!E38:H38)</f>
        <v>3500</v>
      </c>
      <c r="F38" s="355">
        <f>IF(E38=0,"",'- 6 -'!E38/E38*100)</f>
        <v>70.54285714285714</v>
      </c>
      <c r="G38" s="355">
        <f>IF(E38=0,"",'- 6 -'!F38/E38*100)</f>
        <v>0</v>
      </c>
      <c r="H38" s="355">
        <f>IF(E38=0,"",'- 6 -'!G38/E38*100)</f>
        <v>24.857142857142858</v>
      </c>
      <c r="I38" s="355">
        <f>IF(E38=0,"",'- 6 -'!H38/E38*100)</f>
        <v>4.6</v>
      </c>
    </row>
    <row r="39" spans="1:9" ht="13.5" customHeight="1">
      <c r="A39" s="362" t="s">
        <v>243</v>
      </c>
      <c r="B39" s="363">
        <v>0</v>
      </c>
      <c r="C39" s="364">
        <f>B39/'- 3 -'!D39*100</f>
        <v>0</v>
      </c>
      <c r="D39" s="413">
        <f t="shared" si="0"/>
      </c>
      <c r="E39" s="414">
        <f>SUM('- 6 -'!E39:H39)</f>
        <v>0</v>
      </c>
      <c r="F39" s="364">
        <f>IF(E39=0,"",'- 6 -'!E39/E39*100)</f>
      </c>
      <c r="G39" s="364">
        <f>IF(E39=0,"",'- 6 -'!F39/E39*100)</f>
      </c>
      <c r="H39" s="364">
        <f>IF(E39=0,"",'- 6 -'!G39/E39*100)</f>
      </c>
      <c r="I39" s="364">
        <f>IF(E39=0,"",'- 6 -'!H39/E39*100)</f>
      </c>
    </row>
    <row r="40" spans="1:9" ht="13.5" customHeight="1">
      <c r="A40" s="23" t="s">
        <v>244</v>
      </c>
      <c r="B40" s="24">
        <v>7676454</v>
      </c>
      <c r="C40" s="355">
        <f>B40/'- 3 -'!D40*100</f>
        <v>9.12237638158217</v>
      </c>
      <c r="D40" s="234">
        <f t="shared" si="0"/>
        <v>5044.656634027733</v>
      </c>
      <c r="E40" s="235">
        <f>SUM('- 6 -'!E40:H40)</f>
        <v>1521.6999999999998</v>
      </c>
      <c r="F40" s="355">
        <f>IF(E40=0,"",'- 6 -'!E40/E40*100)</f>
        <v>61.60215548399817</v>
      </c>
      <c r="G40" s="355">
        <f>IF(E40=0,"",'- 6 -'!F40/E40*100)</f>
        <v>0</v>
      </c>
      <c r="H40" s="355">
        <f>IF(E40=0,"",'- 6 -'!G40/E40*100)</f>
        <v>38.39784451600184</v>
      </c>
      <c r="I40" s="355">
        <f>IF(E40=0,"",'- 6 -'!H40/E40*100)</f>
        <v>0</v>
      </c>
    </row>
    <row r="41" spans="1:9" ht="13.5" customHeight="1">
      <c r="A41" s="362" t="s">
        <v>245</v>
      </c>
      <c r="B41" s="363">
        <v>7691362</v>
      </c>
      <c r="C41" s="364">
        <f>B41/'- 3 -'!D41*100</f>
        <v>15.007281144832882</v>
      </c>
      <c r="D41" s="413">
        <f t="shared" si="0"/>
        <v>5182.858490566037</v>
      </c>
      <c r="E41" s="414">
        <f>SUM('- 6 -'!E41:H41)</f>
        <v>1484</v>
      </c>
      <c r="F41" s="364">
        <f>IF(E41=0,"",'- 6 -'!E41/E41*100)</f>
        <v>64.6900269541779</v>
      </c>
      <c r="G41" s="364">
        <f>IF(E41=0,"",'- 6 -'!F41/E41*100)</f>
        <v>0</v>
      </c>
      <c r="H41" s="364">
        <f>IF(E41=0,"",'- 6 -'!G41/E41*100)</f>
        <v>30.660377358490564</v>
      </c>
      <c r="I41" s="364">
        <f>IF(E41=0,"",'- 6 -'!H41/E41*100)</f>
        <v>4.649595687331536</v>
      </c>
    </row>
    <row r="42" spans="1:9" ht="13.5" customHeight="1">
      <c r="A42" s="23" t="s">
        <v>246</v>
      </c>
      <c r="B42" s="24">
        <v>1265269</v>
      </c>
      <c r="C42" s="355">
        <f>B42/'- 3 -'!D42*100</f>
        <v>7.138890681852137</v>
      </c>
      <c r="D42" s="234">
        <f t="shared" si="0"/>
        <v>5143.369918699187</v>
      </c>
      <c r="E42" s="235">
        <f>SUM('- 6 -'!E42:H42)</f>
        <v>246</v>
      </c>
      <c r="F42" s="355">
        <f>IF(E42=0,"",'- 6 -'!E42/E42*100)</f>
        <v>70.73170731707317</v>
      </c>
      <c r="G42" s="355">
        <f>IF(E42=0,"",'- 6 -'!F42/E42*100)</f>
        <v>0</v>
      </c>
      <c r="H42" s="355">
        <f>IF(E42=0,"",'- 6 -'!G42/E42*100)</f>
        <v>29.268292682926827</v>
      </c>
      <c r="I42" s="355">
        <f>IF(E42=0,"",'- 6 -'!H42/E42*100)</f>
        <v>0</v>
      </c>
    </row>
    <row r="43" spans="1:9" ht="13.5" customHeight="1">
      <c r="A43" s="362" t="s">
        <v>247</v>
      </c>
      <c r="B43" s="363">
        <v>0</v>
      </c>
      <c r="C43" s="364">
        <f>B43/'- 3 -'!D43*100</f>
        <v>0</v>
      </c>
      <c r="D43" s="413">
        <f t="shared" si="0"/>
      </c>
      <c r="E43" s="414">
        <f>SUM('- 6 -'!E43:H43)</f>
        <v>0</v>
      </c>
      <c r="F43" s="364">
        <f>IF(E43=0,"",'- 6 -'!E43/E43*100)</f>
      </c>
      <c r="G43" s="364">
        <f>IF(E43=0,"",'- 6 -'!F43/E43*100)</f>
      </c>
      <c r="H43" s="364">
        <f>IF(E43=0,"",'- 6 -'!G43/E43*100)</f>
      </c>
      <c r="I43" s="364">
        <f>IF(E43=0,"",'- 6 -'!H43/E43*100)</f>
      </c>
    </row>
    <row r="44" spans="1:9" ht="13.5" customHeight="1">
      <c r="A44" s="23" t="s">
        <v>248</v>
      </c>
      <c r="B44" s="24">
        <v>0</v>
      </c>
      <c r="C44" s="355">
        <f>B44/'- 3 -'!D44*100</f>
        <v>0</v>
      </c>
      <c r="D44" s="234">
        <f t="shared" si="0"/>
      </c>
      <c r="E44" s="235">
        <f>SUM('- 6 -'!E44:H44)</f>
        <v>0</v>
      </c>
      <c r="F44" s="355">
        <f>IF(E44=0,"",'- 6 -'!E44/E44*100)</f>
      </c>
      <c r="G44" s="355">
        <f>IF(E44=0,"",'- 6 -'!F44/E44*100)</f>
      </c>
      <c r="H44" s="355">
        <f>IF(E44=0,"",'- 6 -'!G44/E44*100)</f>
      </c>
      <c r="I44" s="355">
        <f>IF(E44=0,"",'- 6 -'!H44/E44*100)</f>
      </c>
    </row>
    <row r="45" spans="1:9" ht="13.5" customHeight="1">
      <c r="A45" s="362" t="s">
        <v>249</v>
      </c>
      <c r="B45" s="363">
        <v>3229683</v>
      </c>
      <c r="C45" s="364">
        <f>B45/'- 3 -'!D45*100</f>
        <v>24.8002900766911</v>
      </c>
      <c r="D45" s="413">
        <f t="shared" si="0"/>
        <v>4326.43402545211</v>
      </c>
      <c r="E45" s="414">
        <f>SUM('- 6 -'!E45:H45)</f>
        <v>746.5</v>
      </c>
      <c r="F45" s="364">
        <f>IF(E45=0,"",'- 6 -'!E45/E45*100)</f>
        <v>82.18352310783658</v>
      </c>
      <c r="G45" s="364">
        <f>IF(E45=0,"",'- 6 -'!F45/E45*100)</f>
        <v>0</v>
      </c>
      <c r="H45" s="364">
        <f>IF(E45=0,"",'- 6 -'!G45/E45*100)</f>
        <v>17.81647689216343</v>
      </c>
      <c r="I45" s="364">
        <f>IF(E45=0,"",'- 6 -'!H45/E45*100)</f>
        <v>0</v>
      </c>
    </row>
    <row r="46" spans="1:9" ht="13.5" customHeight="1">
      <c r="A46" s="23" t="s">
        <v>250</v>
      </c>
      <c r="B46" s="24">
        <v>22096700</v>
      </c>
      <c r="C46" s="355">
        <f>B46/'- 3 -'!D46*100</f>
        <v>7.212366388095011</v>
      </c>
      <c r="D46" s="234">
        <f t="shared" si="0"/>
        <v>4041.832815072252</v>
      </c>
      <c r="E46" s="235">
        <f>SUM('- 6 -'!E46:H46)</f>
        <v>5467</v>
      </c>
      <c r="F46" s="355">
        <f>IF(E46=0,"",'- 6 -'!E46/E46*100)</f>
        <v>61.48710444485093</v>
      </c>
      <c r="G46" s="355">
        <f>IF(E46=0,"",'- 6 -'!F46/E46*100)</f>
        <v>0</v>
      </c>
      <c r="H46" s="355">
        <f>IF(E46=0,"",'- 6 -'!G46/E46*100)</f>
        <v>34.02231571245656</v>
      </c>
      <c r="I46" s="355">
        <f>IF(E46=0,"",'- 6 -'!H46/E46*100)</f>
        <v>4.490579842692519</v>
      </c>
    </row>
    <row r="47" spans="1:9" ht="4.5" customHeight="1">
      <c r="A47"/>
      <c r="B47"/>
      <c r="C47"/>
      <c r="D47"/>
      <c r="E47"/>
      <c r="F47"/>
      <c r="G47"/>
      <c r="H47"/>
      <c r="I47"/>
    </row>
    <row r="48" spans="1:9" ht="13.5" customHeight="1">
      <c r="A48" s="365" t="s">
        <v>251</v>
      </c>
      <c r="B48" s="366">
        <f>SUM(B11:B46)</f>
        <v>126253422</v>
      </c>
      <c r="C48" s="367">
        <f>B48/'- 3 -'!D48*100</f>
        <v>7.307532695554427</v>
      </c>
      <c r="D48" s="484">
        <f>B48/E48</f>
        <v>4632.524097645457</v>
      </c>
      <c r="E48" s="485">
        <f>SUM(E11:E46)</f>
        <v>27253.7</v>
      </c>
      <c r="F48" s="415">
        <f>IF(E48=0,"",'- 6 -'!E48/E48*100)</f>
        <v>65.7723538455329</v>
      </c>
      <c r="G48" s="367">
        <f>IF(E48=0,"",'- 6 -'!F48/E48*100)</f>
        <v>0.7521914455651894</v>
      </c>
      <c r="H48" s="367">
        <f>IF(E48=0,"",'- 6 -'!G48/E48*100)</f>
        <v>29.323724852038442</v>
      </c>
      <c r="I48" s="367">
        <f>IF(E48=0,"",'- 6 -'!H48/E48*100)</f>
        <v>4.151729856863471</v>
      </c>
    </row>
    <row r="49" spans="1:9" ht="4.5" customHeight="1">
      <c r="A49" s="25" t="s">
        <v>3</v>
      </c>
      <c r="B49" s="26"/>
      <c r="C49" s="353"/>
      <c r="D49" s="26"/>
      <c r="E49" s="236"/>
      <c r="F49" s="353"/>
      <c r="G49" s="353"/>
      <c r="H49" s="353"/>
      <c r="I49" s="353"/>
    </row>
    <row r="50" spans="1:9" ht="13.5" customHeight="1">
      <c r="A50" s="23" t="s">
        <v>252</v>
      </c>
      <c r="B50" s="24">
        <v>0</v>
      </c>
      <c r="C50" s="355">
        <f>B50/'- 3 -'!D50*100</f>
        <v>0</v>
      </c>
      <c r="D50" s="234">
        <f>IF(E50=0,"",B50/E50)</f>
      </c>
      <c r="E50" s="235">
        <f>SUM('- 6 -'!E50:H50)</f>
        <v>0</v>
      </c>
      <c r="F50" s="355">
        <f>IF(E50=0,"",'- 6 -'!E50/E50*100)</f>
      </c>
      <c r="G50" s="355">
        <f>IF(E50=0,"",'- 6 -'!F50/E50*100)</f>
      </c>
      <c r="H50" s="355">
        <f>IF(E50=0,"",'- 6 -'!G50/E50*100)</f>
      </c>
      <c r="I50" s="355">
        <f>IF(E50=0,"",'- 6 -'!H50/E50*100)</f>
      </c>
    </row>
    <row r="51" spans="1:9" ht="13.5" customHeight="1">
      <c r="A51" s="362" t="s">
        <v>253</v>
      </c>
      <c r="B51" s="363">
        <v>0</v>
      </c>
      <c r="C51" s="364">
        <f>B51/'- 3 -'!D51*100</f>
        <v>0</v>
      </c>
      <c r="D51" s="413">
        <f>IF(E51=0,"",B51/E51)</f>
      </c>
      <c r="E51" s="414">
        <f>SUM('- 6 -'!E51:H51)</f>
        <v>0</v>
      </c>
      <c r="F51" s="364">
        <f>IF(E51=0,"",'- 6 -'!E51/E51*100)</f>
      </c>
      <c r="G51" s="364">
        <f>IF(E51=0,"",'- 6 -'!F51/E51*100)</f>
      </c>
      <c r="H51" s="364">
        <f>IF(E51=0,"",'- 6 -'!G51/E51*100)</f>
      </c>
      <c r="I51" s="364">
        <f>IF(E51=0,"",'- 6 -'!H51/E51*100)</f>
      </c>
    </row>
    <row r="52" spans="1:9" ht="49.5" customHeight="1">
      <c r="A52" s="27"/>
      <c r="B52" s="73"/>
      <c r="C52" s="73"/>
      <c r="D52" s="73"/>
      <c r="E52" s="73"/>
      <c r="F52" s="73"/>
      <c r="G52" s="73"/>
      <c r="H52" s="73"/>
      <c r="I52" s="73"/>
    </row>
    <row r="53" spans="1:9" ht="15" customHeight="1">
      <c r="A53" s="126" t="s">
        <v>388</v>
      </c>
      <c r="C53" s="68"/>
      <c r="D53" s="68"/>
      <c r="E53" s="68"/>
      <c r="F53" s="68"/>
      <c r="G53" s="68"/>
      <c r="H53" s="68"/>
      <c r="I53" s="68"/>
    </row>
    <row r="54" ht="14.25" customHeight="1"/>
    <row r="55" ht="14.25" customHeight="1"/>
    <row r="56" ht="14.25" customHeight="1"/>
    <row r="57" ht="14.25" customHeight="1">
      <c r="A57" s="28"/>
    </row>
    <row r="58" ht="14.25" customHeight="1"/>
    <row r="59" ht="14.25" customHeight="1">
      <c r="A59" s="28"/>
    </row>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7"/>
  <sheetViews>
    <sheetView showGridLines="0" showZeros="0" workbookViewId="0" topLeftCell="A1">
      <selection activeCell="A5" sqref="A5"/>
    </sheetView>
  </sheetViews>
  <sheetFormatPr defaultColWidth="15.83203125" defaultRowHeight="12"/>
  <cols>
    <col min="1" max="1" width="31.83203125" style="1" customWidth="1"/>
    <col min="2" max="2" width="16.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491</v>
      </c>
      <c r="C2" s="6"/>
      <c r="D2" s="6"/>
      <c r="E2" s="6"/>
      <c r="F2" s="6"/>
      <c r="G2" s="108"/>
      <c r="H2" s="108"/>
      <c r="I2" s="216"/>
      <c r="J2" s="190" t="s">
        <v>423</v>
      </c>
    </row>
    <row r="3" spans="1:10" ht="15.75" customHeight="1">
      <c r="A3" s="170"/>
      <c r="B3" s="7" t="str">
        <f>OPYEAR</f>
        <v>OPERATING FUND 2008/2009 BUDGET</v>
      </c>
      <c r="C3" s="8"/>
      <c r="D3" s="8"/>
      <c r="E3" s="8"/>
      <c r="F3" s="8"/>
      <c r="G3" s="110"/>
      <c r="H3" s="110"/>
      <c r="I3" s="110"/>
      <c r="J3" s="103"/>
    </row>
    <row r="4" spans="2:10" ht="15.75" customHeight="1">
      <c r="B4" s="4"/>
      <c r="C4" s="4"/>
      <c r="D4" s="103"/>
      <c r="E4" s="4"/>
      <c r="F4" s="4"/>
      <c r="G4" s="4"/>
      <c r="H4" s="4"/>
      <c r="I4" s="4"/>
      <c r="J4" s="4"/>
    </row>
    <row r="5" spans="2:10" ht="15.75" customHeight="1">
      <c r="B5" s="172" t="s">
        <v>428</v>
      </c>
      <c r="C5" s="192"/>
      <c r="D5" s="193"/>
      <c r="E5" s="193"/>
      <c r="F5" s="193"/>
      <c r="G5" s="193"/>
      <c r="H5" s="193"/>
      <c r="I5" s="193"/>
      <c r="J5" s="194"/>
    </row>
    <row r="6" spans="2:10" ht="15.75" customHeight="1">
      <c r="B6" s="356" t="s">
        <v>10</v>
      </c>
      <c r="C6" s="357"/>
      <c r="D6" s="358"/>
      <c r="E6" s="416"/>
      <c r="F6" s="417"/>
      <c r="G6" s="418"/>
      <c r="H6" s="356" t="s">
        <v>11</v>
      </c>
      <c r="I6" s="357"/>
      <c r="J6" s="358"/>
    </row>
    <row r="7" spans="2:10" ht="15.75" customHeight="1">
      <c r="B7" s="359" t="s">
        <v>34</v>
      </c>
      <c r="C7" s="360"/>
      <c r="D7" s="361"/>
      <c r="E7" s="359" t="s">
        <v>355</v>
      </c>
      <c r="F7" s="360"/>
      <c r="G7" s="361"/>
      <c r="H7" s="359" t="s">
        <v>35</v>
      </c>
      <c r="I7" s="360"/>
      <c r="J7" s="361"/>
    </row>
    <row r="8" spans="1:10" ht="15.75" customHeight="1">
      <c r="A8" s="104"/>
      <c r="B8" s="176"/>
      <c r="C8" s="175"/>
      <c r="D8" s="175" t="s">
        <v>59</v>
      </c>
      <c r="E8" s="176"/>
      <c r="F8" s="175"/>
      <c r="G8" s="175" t="s">
        <v>59</v>
      </c>
      <c r="H8" s="176"/>
      <c r="I8" s="175"/>
      <c r="J8" s="175" t="s">
        <v>59</v>
      </c>
    </row>
    <row r="9" spans="1:10" ht="15.75" customHeight="1">
      <c r="A9" s="35" t="s">
        <v>79</v>
      </c>
      <c r="B9" s="115" t="s">
        <v>80</v>
      </c>
      <c r="C9" s="115" t="s">
        <v>81</v>
      </c>
      <c r="D9" s="115" t="s">
        <v>82</v>
      </c>
      <c r="E9" s="115" t="s">
        <v>80</v>
      </c>
      <c r="F9" s="115" t="s">
        <v>81</v>
      </c>
      <c r="G9" s="115" t="s">
        <v>82</v>
      </c>
      <c r="H9" s="115" t="s">
        <v>80</v>
      </c>
      <c r="I9" s="115" t="s">
        <v>81</v>
      </c>
      <c r="J9" s="115" t="s">
        <v>82</v>
      </c>
    </row>
    <row r="10" ht="4.5" customHeight="1">
      <c r="A10" s="37"/>
    </row>
    <row r="11" spans="1:10" ht="13.5" customHeight="1">
      <c r="A11" s="362" t="s">
        <v>216</v>
      </c>
      <c r="B11" s="363">
        <v>112575</v>
      </c>
      <c r="C11" s="364">
        <f>B11/'- 3 -'!D11*100</f>
        <v>0.8411294558566744</v>
      </c>
      <c r="D11" s="363">
        <f>B11/'- 7 -'!F11</f>
        <v>79.67091295116772</v>
      </c>
      <c r="E11" s="363">
        <v>0</v>
      </c>
      <c r="F11" s="364">
        <f>E11/'- 3 -'!D11*100</f>
        <v>0</v>
      </c>
      <c r="G11" s="363">
        <f>E11/'- 7 -'!F11</f>
        <v>0</v>
      </c>
      <c r="H11" s="363">
        <v>173455</v>
      </c>
      <c r="I11" s="364">
        <f>H11/'- 3 -'!D11*100</f>
        <v>1.2960080814178943</v>
      </c>
      <c r="J11" s="363">
        <f>H11/'- 7 -'!F11</f>
        <v>122.75654635527248</v>
      </c>
    </row>
    <row r="12" spans="1:10" ht="13.5" customHeight="1">
      <c r="A12" s="23" t="s">
        <v>217</v>
      </c>
      <c r="B12" s="24">
        <v>241294</v>
      </c>
      <c r="C12" s="355">
        <f>B12/'- 3 -'!D12*100</f>
        <v>0.9604464160864804</v>
      </c>
      <c r="D12" s="24">
        <f>B12/'- 7 -'!F12</f>
        <v>104.32079550367489</v>
      </c>
      <c r="E12" s="24">
        <v>0</v>
      </c>
      <c r="F12" s="355">
        <f>E12/'- 3 -'!D12*100</f>
        <v>0</v>
      </c>
      <c r="G12" s="24">
        <f>E12/'- 7 -'!F12</f>
        <v>0</v>
      </c>
      <c r="H12" s="24">
        <v>449409</v>
      </c>
      <c r="I12" s="355">
        <f>H12/'- 3 -'!D12*100</f>
        <v>1.7888271710320567</v>
      </c>
      <c r="J12" s="24">
        <f>H12/'- 7 -'!F12</f>
        <v>194.2970168612192</v>
      </c>
    </row>
    <row r="13" spans="1:10" ht="13.5" customHeight="1">
      <c r="A13" s="362" t="s">
        <v>218</v>
      </c>
      <c r="B13" s="363">
        <v>201500</v>
      </c>
      <c r="C13" s="364">
        <f>B13/'- 3 -'!D13*100</f>
        <v>0.34253386665488056</v>
      </c>
      <c r="D13" s="363">
        <f>B13/'- 7 -'!F13</f>
        <v>29.744017983479996</v>
      </c>
      <c r="E13" s="363">
        <v>0</v>
      </c>
      <c r="F13" s="364">
        <f>E13/'- 3 -'!D13*100</f>
        <v>0</v>
      </c>
      <c r="G13" s="363">
        <f>E13/'- 7 -'!F13</f>
        <v>0</v>
      </c>
      <c r="H13" s="363">
        <v>985200</v>
      </c>
      <c r="I13" s="364">
        <f>H13/'- 3 -'!D13*100</f>
        <v>1.6747611187513067</v>
      </c>
      <c r="J13" s="363">
        <f>H13/'- 7 -'!F13</f>
        <v>145.42832018523322</v>
      </c>
    </row>
    <row r="14" spans="1:10" ht="13.5" customHeight="1">
      <c r="A14" s="23" t="s">
        <v>254</v>
      </c>
      <c r="B14" s="24">
        <v>250801</v>
      </c>
      <c r="C14" s="355">
        <f>B14/'- 3 -'!D14*100</f>
        <v>0.44096817094586943</v>
      </c>
      <c r="D14" s="24">
        <f>B14/'- 7 -'!F14</f>
        <v>51.87197518097208</v>
      </c>
      <c r="E14" s="24">
        <v>0</v>
      </c>
      <c r="F14" s="355">
        <f>E14/'- 3 -'!D14*100</f>
        <v>0</v>
      </c>
      <c r="G14" s="24">
        <f>E14/'- 7 -'!F14</f>
        <v>0</v>
      </c>
      <c r="H14" s="24">
        <v>777206</v>
      </c>
      <c r="I14" s="355">
        <f>H14/'- 3 -'!D14*100</f>
        <v>1.3665141218262902</v>
      </c>
      <c r="J14" s="24">
        <f>H14/'- 7 -'!F14</f>
        <v>160.74581178903827</v>
      </c>
    </row>
    <row r="15" spans="1:10" ht="13.5" customHeight="1">
      <c r="A15" s="362" t="s">
        <v>219</v>
      </c>
      <c r="B15" s="363">
        <v>205720</v>
      </c>
      <c r="C15" s="364">
        <f>B15/'- 3 -'!D15*100</f>
        <v>1.2598446799886116</v>
      </c>
      <c r="D15" s="363">
        <f>B15/'- 7 -'!F15</f>
        <v>128.69565217391303</v>
      </c>
      <c r="E15" s="363">
        <v>0</v>
      </c>
      <c r="F15" s="364">
        <f>E15/'- 3 -'!D15*100</f>
        <v>0</v>
      </c>
      <c r="G15" s="363">
        <f>E15/'- 7 -'!F15</f>
        <v>0</v>
      </c>
      <c r="H15" s="363">
        <v>227560</v>
      </c>
      <c r="I15" s="364">
        <f>H15/'- 3 -'!D15*100</f>
        <v>1.3935944749086548</v>
      </c>
      <c r="J15" s="363">
        <f>H15/'- 7 -'!F15</f>
        <v>142.35846105724116</v>
      </c>
    </row>
    <row r="16" spans="1:10" ht="13.5" customHeight="1">
      <c r="A16" s="23" t="s">
        <v>220</v>
      </c>
      <c r="B16" s="24">
        <v>144678</v>
      </c>
      <c r="C16" s="355">
        <f>B16/'- 3 -'!D16*100</f>
        <v>1.268849601093534</v>
      </c>
      <c r="D16" s="24">
        <f>B16/'- 7 -'!F16</f>
        <v>134.3966558290757</v>
      </c>
      <c r="E16" s="24">
        <v>0</v>
      </c>
      <c r="F16" s="355">
        <f>E16/'- 3 -'!D16*100</f>
        <v>0</v>
      </c>
      <c r="G16" s="24">
        <f>E16/'- 7 -'!F16</f>
        <v>0</v>
      </c>
      <c r="H16" s="24">
        <v>96330</v>
      </c>
      <c r="I16" s="355">
        <f>H16/'- 3 -'!D16*100</f>
        <v>0.8448297742112839</v>
      </c>
      <c r="J16" s="24">
        <f>H16/'- 7 -'!F16</f>
        <v>89.48444031583837</v>
      </c>
    </row>
    <row r="17" spans="1:10" ht="13.5" customHeight="1">
      <c r="A17" s="362" t="s">
        <v>221</v>
      </c>
      <c r="B17" s="363">
        <v>111300</v>
      </c>
      <c r="C17" s="364">
        <f>B17/'- 3 -'!D17*100</f>
        <v>0.7579691466377462</v>
      </c>
      <c r="D17" s="363">
        <f>B17/'- 7 -'!F17</f>
        <v>80.71065989847716</v>
      </c>
      <c r="E17" s="363">
        <v>0</v>
      </c>
      <c r="F17" s="364">
        <f>E17/'- 3 -'!D17*100</f>
        <v>0</v>
      </c>
      <c r="G17" s="363">
        <f>E17/'- 7 -'!F17</f>
        <v>0</v>
      </c>
      <c r="H17" s="363">
        <v>350680</v>
      </c>
      <c r="I17" s="364">
        <f>H17/'- 3 -'!D17*100</f>
        <v>2.3881816742401156</v>
      </c>
      <c r="J17" s="363">
        <f>H17/'- 7 -'!F17</f>
        <v>254.30021754894852</v>
      </c>
    </row>
    <row r="18" spans="1:10" ht="13.5" customHeight="1">
      <c r="A18" s="23" t="s">
        <v>222</v>
      </c>
      <c r="B18" s="24">
        <v>0</v>
      </c>
      <c r="C18" s="355">
        <f>B18/'- 3 -'!D18*100</f>
        <v>0</v>
      </c>
      <c r="D18" s="24">
        <f>B18/'- 7 -'!F18</f>
        <v>0</v>
      </c>
      <c r="E18" s="24">
        <v>0</v>
      </c>
      <c r="F18" s="355">
        <f>E18/'- 3 -'!D18*100</f>
        <v>0</v>
      </c>
      <c r="G18" s="24">
        <f>E18/'- 7 -'!F18</f>
        <v>0</v>
      </c>
      <c r="H18" s="24">
        <v>2932812</v>
      </c>
      <c r="I18" s="355">
        <f>H18/'- 3 -'!D18*100</f>
        <v>2.931257436930898</v>
      </c>
      <c r="J18" s="24">
        <f>H18/'- 7 -'!F18</f>
        <v>504.47433603963117</v>
      </c>
    </row>
    <row r="19" spans="1:10" ht="13.5" customHeight="1">
      <c r="A19" s="362" t="s">
        <v>223</v>
      </c>
      <c r="B19" s="363">
        <v>137850</v>
      </c>
      <c r="C19" s="364">
        <f>B19/'- 3 -'!D19*100</f>
        <v>0.475344253894866</v>
      </c>
      <c r="D19" s="363">
        <f>B19/'- 7 -'!F19</f>
        <v>36.124213836477985</v>
      </c>
      <c r="E19" s="363">
        <v>0</v>
      </c>
      <c r="F19" s="364">
        <f>E19/'- 3 -'!D19*100</f>
        <v>0</v>
      </c>
      <c r="G19" s="363">
        <f>E19/'- 7 -'!F19</f>
        <v>0</v>
      </c>
      <c r="H19" s="363">
        <v>502350</v>
      </c>
      <c r="I19" s="364">
        <f>H19/'- 3 -'!D19*100</f>
        <v>1.7322392886767206</v>
      </c>
      <c r="J19" s="363">
        <f>H19/'- 7 -'!F19</f>
        <v>131.6430817610063</v>
      </c>
    </row>
    <row r="20" spans="1:10" ht="13.5" customHeight="1">
      <c r="A20" s="23" t="s">
        <v>224</v>
      </c>
      <c r="B20" s="24">
        <v>360128.8700334559</v>
      </c>
      <c r="C20" s="355">
        <f>B20/'- 3 -'!D20*100</f>
        <v>0.6517255702363618</v>
      </c>
      <c r="D20" s="24">
        <f>B20/'- 7 -'!F20</f>
        <v>50.15722423864288</v>
      </c>
      <c r="E20" s="24">
        <v>6000</v>
      </c>
      <c r="F20" s="355">
        <f>E20/'- 3 -'!D20*100</f>
        <v>0.01085820590016818</v>
      </c>
      <c r="G20" s="24">
        <f>E20/'- 7 -'!F20</f>
        <v>0.8356545961002786</v>
      </c>
      <c r="H20" s="24">
        <v>643993.7538279224</v>
      </c>
      <c r="I20" s="355">
        <f>H20/'- 3 -'!D20*100</f>
        <v>1.165436129580967</v>
      </c>
      <c r="J20" s="24">
        <f>H20/'- 7 -'!F20</f>
        <v>89.69272337436244</v>
      </c>
    </row>
    <row r="21" spans="1:10" ht="13.5" customHeight="1">
      <c r="A21" s="362" t="s">
        <v>225</v>
      </c>
      <c r="B21" s="363">
        <v>129000</v>
      </c>
      <c r="C21" s="364">
        <f>B21/'- 3 -'!D21*100</f>
        <v>0.45368540258424833</v>
      </c>
      <c r="D21" s="363">
        <f>B21/'- 7 -'!F21</f>
        <v>43.35405814148883</v>
      </c>
      <c r="E21" s="363">
        <v>0</v>
      </c>
      <c r="F21" s="364">
        <f>E21/'- 3 -'!D21*100</f>
        <v>0</v>
      </c>
      <c r="G21" s="363">
        <f>E21/'- 7 -'!F21</f>
        <v>0</v>
      </c>
      <c r="H21" s="363">
        <v>443272</v>
      </c>
      <c r="I21" s="364">
        <f>H21/'- 3 -'!D21*100</f>
        <v>1.5589615176304257</v>
      </c>
      <c r="J21" s="363">
        <f>H21/'- 7 -'!F21</f>
        <v>148.9739539573181</v>
      </c>
    </row>
    <row r="22" spans="1:10" ht="13.5" customHeight="1">
      <c r="A22" s="23" t="s">
        <v>226</v>
      </c>
      <c r="B22" s="24">
        <v>114450</v>
      </c>
      <c r="C22" s="355">
        <f>B22/'- 3 -'!D22*100</f>
        <v>0.7138915880304739</v>
      </c>
      <c r="D22" s="24">
        <f>B22/'- 7 -'!F22</f>
        <v>67.52212389380531</v>
      </c>
      <c r="E22" s="24">
        <v>0</v>
      </c>
      <c r="F22" s="355">
        <f>E22/'- 3 -'!D22*100</f>
        <v>0</v>
      </c>
      <c r="G22" s="24">
        <f>E22/'- 7 -'!F22</f>
        <v>0</v>
      </c>
      <c r="H22" s="24">
        <v>175400</v>
      </c>
      <c r="I22" s="355">
        <f>H22/'- 3 -'!D22*100</f>
        <v>1.0940723856753614</v>
      </c>
      <c r="J22" s="24">
        <f>H22/'- 7 -'!F22</f>
        <v>103.48082595870207</v>
      </c>
    </row>
    <row r="23" spans="1:10" ht="13.5" customHeight="1">
      <c r="A23" s="362" t="s">
        <v>227</v>
      </c>
      <c r="B23" s="363">
        <v>106200</v>
      </c>
      <c r="C23" s="364">
        <f>B23/'- 3 -'!D23*100</f>
        <v>0.8008339531878621</v>
      </c>
      <c r="D23" s="363">
        <f>B23/'- 7 -'!F23</f>
        <v>81.504221028396</v>
      </c>
      <c r="E23" s="363">
        <v>0</v>
      </c>
      <c r="F23" s="364">
        <f>E23/'- 3 -'!D23*100</f>
        <v>0</v>
      </c>
      <c r="G23" s="363">
        <f>E23/'- 7 -'!F23</f>
        <v>0</v>
      </c>
      <c r="H23" s="363">
        <v>246469</v>
      </c>
      <c r="I23" s="364">
        <f>H23/'- 3 -'!D23*100</f>
        <v>1.8585757401907643</v>
      </c>
      <c r="J23" s="363">
        <f>H23/'- 7 -'!F23</f>
        <v>189.1550268610898</v>
      </c>
    </row>
    <row r="24" spans="1:10" ht="13.5" customHeight="1">
      <c r="A24" s="23" t="s">
        <v>228</v>
      </c>
      <c r="B24" s="24">
        <v>171070</v>
      </c>
      <c r="C24" s="355">
        <f>B24/'- 3 -'!D24*100</f>
        <v>0.3851458128231425</v>
      </c>
      <c r="D24" s="24">
        <f>B24/'- 7 -'!F24</f>
        <v>38.65115228197018</v>
      </c>
      <c r="E24" s="24">
        <v>25000</v>
      </c>
      <c r="F24" s="355">
        <f>E24/'- 3 -'!D24*100</f>
        <v>0.05628482679943042</v>
      </c>
      <c r="G24" s="24">
        <f>E24/'- 7 -'!F24</f>
        <v>5.648441030275644</v>
      </c>
      <c r="H24" s="24">
        <v>1015150</v>
      </c>
      <c r="I24" s="355">
        <f>H24/'- 3 -'!D24*100</f>
        <v>2.2855016770176713</v>
      </c>
      <c r="J24" s="24">
        <f>H24/'- 7 -'!F24</f>
        <v>229.3605964753728</v>
      </c>
    </row>
    <row r="25" spans="1:10" ht="13.5" customHeight="1">
      <c r="A25" s="362" t="s">
        <v>229</v>
      </c>
      <c r="B25" s="363">
        <v>1330268</v>
      </c>
      <c r="C25" s="364">
        <f>B25/'- 3 -'!D25*100</f>
        <v>0.9919542321903132</v>
      </c>
      <c r="D25" s="363">
        <f>B25/'- 7 -'!F25</f>
        <v>93.78652002256064</v>
      </c>
      <c r="E25" s="363">
        <v>0</v>
      </c>
      <c r="F25" s="364">
        <f>E25/'- 3 -'!D25*100</f>
        <v>0</v>
      </c>
      <c r="G25" s="363">
        <f>E25/'- 7 -'!F25</f>
        <v>0</v>
      </c>
      <c r="H25" s="363">
        <v>2324697</v>
      </c>
      <c r="I25" s="364">
        <f>H25/'- 3 -'!D25*100</f>
        <v>1.733480041397767</v>
      </c>
      <c r="J25" s="363">
        <f>H25/'- 7 -'!F25</f>
        <v>163.89572758037224</v>
      </c>
    </row>
    <row r="26" spans="1:10" ht="13.5" customHeight="1">
      <c r="A26" s="23" t="s">
        <v>230</v>
      </c>
      <c r="B26" s="24">
        <v>258124</v>
      </c>
      <c r="C26" s="355">
        <f>B26/'- 3 -'!D26*100</f>
        <v>0.7957949431116554</v>
      </c>
      <c r="D26" s="24">
        <f>B26/'- 7 -'!F26</f>
        <v>82.4413925263494</v>
      </c>
      <c r="E26" s="24">
        <v>7100</v>
      </c>
      <c r="F26" s="355">
        <f>E26/'- 3 -'!D26*100</f>
        <v>0.021889262897261605</v>
      </c>
      <c r="G26" s="24">
        <f>E26/'- 7 -'!F26</f>
        <v>2.2676461194506548</v>
      </c>
      <c r="H26" s="24">
        <v>428473</v>
      </c>
      <c r="I26" s="355">
        <f>H26/'- 3 -'!D26*100</f>
        <v>1.3209800199124466</v>
      </c>
      <c r="J26" s="24">
        <f>H26/'- 7 -'!F26</f>
        <v>136.84861066751836</v>
      </c>
    </row>
    <row r="27" spans="1:10" ht="13.5" customHeight="1">
      <c r="A27" s="362" t="s">
        <v>231</v>
      </c>
      <c r="B27" s="363">
        <v>166286</v>
      </c>
      <c r="C27" s="364">
        <f>B27/'- 3 -'!D27*100</f>
        <v>0.47119669043024076</v>
      </c>
      <c r="D27" s="363">
        <f>B27/'- 7 -'!F27</f>
        <v>51.62494101284057</v>
      </c>
      <c r="E27" s="363">
        <v>43496</v>
      </c>
      <c r="F27" s="364">
        <f>E27/'- 3 -'!D27*100</f>
        <v>0.12325253627457364</v>
      </c>
      <c r="G27" s="363">
        <f>E27/'- 7 -'!F27</f>
        <v>13.503713086456548</v>
      </c>
      <c r="H27" s="363">
        <v>978703</v>
      </c>
      <c r="I27" s="364">
        <f>H27/'- 3 -'!D27*100</f>
        <v>2.7733039132226884</v>
      </c>
      <c r="J27" s="363">
        <f>H27/'- 7 -'!F27</f>
        <v>303.84689417082683</v>
      </c>
    </row>
    <row r="28" spans="1:10" ht="13.5" customHeight="1">
      <c r="A28" s="23" t="s">
        <v>232</v>
      </c>
      <c r="B28" s="24">
        <v>118903</v>
      </c>
      <c r="C28" s="355">
        <f>B28/'- 3 -'!D28*100</f>
        <v>0.6398798928925129</v>
      </c>
      <c r="D28" s="24">
        <f>B28/'- 7 -'!F28</f>
        <v>67.52015900056786</v>
      </c>
      <c r="E28" s="24">
        <v>0</v>
      </c>
      <c r="F28" s="355">
        <f>E28/'- 3 -'!D28*100</f>
        <v>0</v>
      </c>
      <c r="G28" s="24">
        <f>E28/'- 7 -'!F28</f>
        <v>0</v>
      </c>
      <c r="H28" s="24">
        <v>242060</v>
      </c>
      <c r="I28" s="355">
        <f>H28/'- 3 -'!D28*100</f>
        <v>1.3026528083695255</v>
      </c>
      <c r="J28" s="24">
        <f>H28/'- 7 -'!F28</f>
        <v>137.45599091425328</v>
      </c>
    </row>
    <row r="29" spans="1:10" ht="13.5" customHeight="1">
      <c r="A29" s="362" t="s">
        <v>233</v>
      </c>
      <c r="B29" s="363">
        <v>495717</v>
      </c>
      <c r="C29" s="364">
        <f>B29/'- 3 -'!D29*100</f>
        <v>0.4029269063312171</v>
      </c>
      <c r="D29" s="363">
        <f>B29/'- 7 -'!F29</f>
        <v>40.76452448501295</v>
      </c>
      <c r="E29" s="363">
        <v>0</v>
      </c>
      <c r="F29" s="364">
        <f>E29/'- 3 -'!D29*100</f>
        <v>0</v>
      </c>
      <c r="G29" s="363">
        <f>E29/'- 7 -'!F29</f>
        <v>0</v>
      </c>
      <c r="H29" s="363">
        <v>2433760</v>
      </c>
      <c r="I29" s="364">
        <f>H29/'- 3 -'!D29*100</f>
        <v>1.9782000366190045</v>
      </c>
      <c r="J29" s="363">
        <f>H29/'- 7 -'!F29</f>
        <v>200.13650754492002</v>
      </c>
    </row>
    <row r="30" spans="1:10" ht="13.5" customHeight="1">
      <c r="A30" s="23" t="s">
        <v>234</v>
      </c>
      <c r="B30" s="24">
        <v>123200</v>
      </c>
      <c r="C30" s="355">
        <f>B30/'- 3 -'!D30*100</f>
        <v>1.0797411636069034</v>
      </c>
      <c r="D30" s="24">
        <f>B30/'- 7 -'!F30</f>
        <v>104.67289719626169</v>
      </c>
      <c r="E30" s="24">
        <v>0</v>
      </c>
      <c r="F30" s="355">
        <f>E30/'- 3 -'!D30*100</f>
        <v>0</v>
      </c>
      <c r="G30" s="24">
        <f>E30/'- 7 -'!F30</f>
        <v>0</v>
      </c>
      <c r="H30" s="24">
        <v>90219</v>
      </c>
      <c r="I30" s="355">
        <f>H30/'- 3 -'!D30*100</f>
        <v>0.7906912990215197</v>
      </c>
      <c r="J30" s="24">
        <f>H30/'- 7 -'!F30</f>
        <v>76.65165675446049</v>
      </c>
    </row>
    <row r="31" spans="1:10" ht="13.5" customHeight="1">
      <c r="A31" s="362" t="s">
        <v>235</v>
      </c>
      <c r="B31" s="363">
        <v>114987</v>
      </c>
      <c r="C31" s="364">
        <f>B31/'- 3 -'!D31*100</f>
        <v>0.3917620769117263</v>
      </c>
      <c r="D31" s="363">
        <f>B31/'- 7 -'!F31</f>
        <v>35.112678636863315</v>
      </c>
      <c r="E31" s="363">
        <v>6000</v>
      </c>
      <c r="F31" s="364">
        <f>E31/'- 3 -'!D31*100</f>
        <v>0.020442071377376206</v>
      </c>
      <c r="G31" s="363">
        <f>E31/'- 7 -'!F31</f>
        <v>1.8321729571271528</v>
      </c>
      <c r="H31" s="363">
        <v>528987</v>
      </c>
      <c r="I31" s="364">
        <f>H31/'- 3 -'!D31*100</f>
        <v>1.8022650019506845</v>
      </c>
      <c r="J31" s="363">
        <f>H31/'- 7 -'!F31</f>
        <v>161.53261267863687</v>
      </c>
    </row>
    <row r="32" spans="1:10" ht="13.5" customHeight="1">
      <c r="A32" s="23" t="s">
        <v>236</v>
      </c>
      <c r="B32" s="24">
        <v>105840</v>
      </c>
      <c r="C32" s="355">
        <f>B32/'- 3 -'!D32*100</f>
        <v>0.48300267759817705</v>
      </c>
      <c r="D32" s="24">
        <f>B32/'- 7 -'!F32</f>
        <v>48.24065633546034</v>
      </c>
      <c r="E32" s="24">
        <v>0</v>
      </c>
      <c r="F32" s="355">
        <f>E32/'- 3 -'!D32*100</f>
        <v>0</v>
      </c>
      <c r="G32" s="24">
        <f>E32/'- 7 -'!F32</f>
        <v>0</v>
      </c>
      <c r="H32" s="24">
        <v>303670</v>
      </c>
      <c r="I32" s="355">
        <f>H32/'- 3 -'!D32*100</f>
        <v>1.3858033173302948</v>
      </c>
      <c r="J32" s="24">
        <f>H32/'- 7 -'!F32</f>
        <v>138.40929808568825</v>
      </c>
    </row>
    <row r="33" spans="1:10" ht="13.5" customHeight="1">
      <c r="A33" s="362" t="s">
        <v>237</v>
      </c>
      <c r="B33" s="363">
        <v>160000</v>
      </c>
      <c r="C33" s="364">
        <f>B33/'- 3 -'!D33*100</f>
        <v>0.6959093578061457</v>
      </c>
      <c r="D33" s="363">
        <f>B33/'- 7 -'!F33</f>
        <v>73.52941176470588</v>
      </c>
      <c r="E33" s="363">
        <v>0</v>
      </c>
      <c r="F33" s="364">
        <f>E33/'- 3 -'!D33*100</f>
        <v>0</v>
      </c>
      <c r="G33" s="363">
        <f>E33/'- 7 -'!F33</f>
        <v>0</v>
      </c>
      <c r="H33" s="363">
        <v>321100</v>
      </c>
      <c r="I33" s="364">
        <f>H33/'- 3 -'!D33*100</f>
        <v>1.3966030924472088</v>
      </c>
      <c r="J33" s="363">
        <f>H33/'- 7 -'!F33</f>
        <v>147.56433823529412</v>
      </c>
    </row>
    <row r="34" spans="1:10" ht="13.5" customHeight="1">
      <c r="A34" s="23" t="s">
        <v>238</v>
      </c>
      <c r="B34" s="24">
        <v>134836</v>
      </c>
      <c r="C34" s="355">
        <f>B34/'- 3 -'!D34*100</f>
        <v>0.6520314690437862</v>
      </c>
      <c r="D34" s="24">
        <f>B34/'- 7 -'!F34</f>
        <v>66.58567901234568</v>
      </c>
      <c r="E34" s="24">
        <v>0</v>
      </c>
      <c r="F34" s="355">
        <f>E34/'- 3 -'!D34*100</f>
        <v>0</v>
      </c>
      <c r="G34" s="24">
        <f>E34/'- 7 -'!F34</f>
        <v>0</v>
      </c>
      <c r="H34" s="24">
        <v>292308</v>
      </c>
      <c r="I34" s="355">
        <f>H34/'- 3 -'!D34*100</f>
        <v>1.4135246866804936</v>
      </c>
      <c r="J34" s="24">
        <f>H34/'- 7 -'!F34</f>
        <v>144.34962962962962</v>
      </c>
    </row>
    <row r="35" spans="1:10" ht="13.5" customHeight="1">
      <c r="A35" s="362" t="s">
        <v>239</v>
      </c>
      <c r="B35" s="363">
        <v>707200</v>
      </c>
      <c r="C35" s="364">
        <f>B35/'- 3 -'!D35*100</f>
        <v>0.46902477982861307</v>
      </c>
      <c r="D35" s="363">
        <f>B35/'- 7 -'!F35</f>
        <v>43.33067826726303</v>
      </c>
      <c r="E35" s="363">
        <v>0</v>
      </c>
      <c r="F35" s="364">
        <f>E35/'- 3 -'!D35*100</f>
        <v>0</v>
      </c>
      <c r="G35" s="363">
        <f>E35/'- 7 -'!F35</f>
        <v>0</v>
      </c>
      <c r="H35" s="363">
        <v>2437850</v>
      </c>
      <c r="I35" s="364">
        <f>H35/'- 3 -'!D35*100</f>
        <v>1.6168156950016748</v>
      </c>
      <c r="J35" s="363">
        <f>H35/'- 7 -'!F35</f>
        <v>149.36891121867532</v>
      </c>
    </row>
    <row r="36" spans="1:10" ht="13.5" customHeight="1">
      <c r="A36" s="23" t="s">
        <v>240</v>
      </c>
      <c r="B36" s="24">
        <v>170385</v>
      </c>
      <c r="C36" s="355">
        <f>B36/'- 3 -'!D36*100</f>
        <v>0.8867115820764407</v>
      </c>
      <c r="D36" s="24">
        <f>B36/'- 7 -'!F36</f>
        <v>92.7013057671382</v>
      </c>
      <c r="E36" s="24">
        <v>0</v>
      </c>
      <c r="F36" s="355">
        <f>E36/'- 3 -'!D36*100</f>
        <v>0</v>
      </c>
      <c r="G36" s="24">
        <f>E36/'- 7 -'!F36</f>
        <v>0</v>
      </c>
      <c r="H36" s="24">
        <v>187475</v>
      </c>
      <c r="I36" s="355">
        <f>H36/'- 3 -'!D36*100</f>
        <v>0.9756507547599892</v>
      </c>
      <c r="J36" s="24">
        <f>H36/'- 7 -'!F36</f>
        <v>101.99945593035909</v>
      </c>
    </row>
    <row r="37" spans="1:10" ht="13.5" customHeight="1">
      <c r="A37" s="362" t="s">
        <v>241</v>
      </c>
      <c r="B37" s="363">
        <v>186008</v>
      </c>
      <c r="C37" s="364">
        <f>B37/'- 3 -'!D37*100</f>
        <v>0.5645589904929623</v>
      </c>
      <c r="D37" s="363">
        <f>B37/'- 7 -'!F37</f>
        <v>53.689709914850624</v>
      </c>
      <c r="E37" s="363">
        <v>0</v>
      </c>
      <c r="F37" s="364">
        <f>E37/'- 3 -'!D37*100</f>
        <v>0</v>
      </c>
      <c r="G37" s="363">
        <f>E37/'- 7 -'!F37</f>
        <v>0</v>
      </c>
      <c r="H37" s="363">
        <v>436277</v>
      </c>
      <c r="I37" s="364">
        <f>H37/'- 3 -'!D37*100</f>
        <v>1.3241586528283629</v>
      </c>
      <c r="J37" s="363">
        <f>H37/'- 7 -'!F37</f>
        <v>125.92783951508154</v>
      </c>
    </row>
    <row r="38" spans="1:10" ht="13.5" customHeight="1">
      <c r="A38" s="23" t="s">
        <v>242</v>
      </c>
      <c r="B38" s="24">
        <v>360859</v>
      </c>
      <c r="C38" s="355">
        <f>B38/'- 3 -'!D38*100</f>
        <v>0.43269559937307767</v>
      </c>
      <c r="D38" s="24">
        <f>B38/'- 7 -'!F38</f>
        <v>41.02068887120609</v>
      </c>
      <c r="E38" s="24">
        <v>0</v>
      </c>
      <c r="F38" s="355">
        <f>E38/'- 3 -'!D38*100</f>
        <v>0</v>
      </c>
      <c r="G38" s="24">
        <f>E38/'- 7 -'!F38</f>
        <v>0</v>
      </c>
      <c r="H38" s="24">
        <v>1239610</v>
      </c>
      <c r="I38" s="355">
        <f>H38/'- 3 -'!D38*100</f>
        <v>1.4863805307304536</v>
      </c>
      <c r="J38" s="24">
        <f>H38/'- 7 -'!F38</f>
        <v>140.91281118563145</v>
      </c>
    </row>
    <row r="39" spans="1:10" ht="13.5" customHeight="1">
      <c r="A39" s="362" t="s">
        <v>243</v>
      </c>
      <c r="B39" s="363">
        <v>212000</v>
      </c>
      <c r="C39" s="364">
        <f>B39/'- 3 -'!D39*100</f>
        <v>1.2317128407922842</v>
      </c>
      <c r="D39" s="363">
        <f>B39/'- 7 -'!F39</f>
        <v>129.82241273729332</v>
      </c>
      <c r="E39" s="363">
        <v>0</v>
      </c>
      <c r="F39" s="364">
        <f>E39/'- 3 -'!D39*100</f>
        <v>0</v>
      </c>
      <c r="G39" s="363">
        <f>E39/'- 7 -'!F39</f>
        <v>0</v>
      </c>
      <c r="H39" s="363">
        <v>184850</v>
      </c>
      <c r="I39" s="364">
        <f>H39/'- 3 -'!D39*100</f>
        <v>1.0739722576436497</v>
      </c>
      <c r="J39" s="363">
        <f>H39/'- 7 -'!F39</f>
        <v>113.19657072872015</v>
      </c>
    </row>
    <row r="40" spans="1:10" ht="13.5" customHeight="1">
      <c r="A40" s="23" t="s">
        <v>244</v>
      </c>
      <c r="B40" s="24">
        <v>295394</v>
      </c>
      <c r="C40" s="355">
        <f>B40/'- 3 -'!D40*100</f>
        <v>0.3510338561087038</v>
      </c>
      <c r="D40" s="24">
        <f>B40/'- 7 -'!F40</f>
        <v>35.34858674580571</v>
      </c>
      <c r="E40" s="24">
        <v>156011</v>
      </c>
      <c r="F40" s="355">
        <f>E40/'- 3 -'!D40*100</f>
        <v>0.18539693739674803</v>
      </c>
      <c r="G40" s="24">
        <f>E40/'- 7 -'!F40</f>
        <v>18.669195605868413</v>
      </c>
      <c r="H40" s="24">
        <v>1692845</v>
      </c>
      <c r="I40" s="355">
        <f>H40/'- 3 -'!D40*100</f>
        <v>2.0117060879514774</v>
      </c>
      <c r="J40" s="24">
        <f>H40/'- 7 -'!F40</f>
        <v>202.57580834310605</v>
      </c>
    </row>
    <row r="41" spans="1:10" ht="13.5" customHeight="1">
      <c r="A41" s="362" t="s">
        <v>245</v>
      </c>
      <c r="B41" s="363">
        <v>253610</v>
      </c>
      <c r="C41" s="364">
        <f>B41/'- 3 -'!D41*100</f>
        <v>0.4948403899258762</v>
      </c>
      <c r="D41" s="363">
        <f>B41/'- 7 -'!F41</f>
        <v>54.78721106070426</v>
      </c>
      <c r="E41" s="363">
        <v>194943</v>
      </c>
      <c r="F41" s="364">
        <f>E41/'- 3 -'!D41*100</f>
        <v>0.3803701357727222</v>
      </c>
      <c r="G41" s="363">
        <f>E41/'- 7 -'!F41</f>
        <v>42.11341542449773</v>
      </c>
      <c r="H41" s="363">
        <v>923421</v>
      </c>
      <c r="I41" s="364">
        <f>H41/'- 3 -'!D41*100</f>
        <v>1.8017665222417985</v>
      </c>
      <c r="J41" s="363">
        <f>H41/'- 7 -'!F41</f>
        <v>199.48606610499027</v>
      </c>
    </row>
    <row r="42" spans="1:10" ht="13.5" customHeight="1">
      <c r="A42" s="23" t="s">
        <v>246</v>
      </c>
      <c r="B42" s="24">
        <v>135336</v>
      </c>
      <c r="C42" s="355">
        <f>B42/'- 3 -'!D42*100</f>
        <v>0.7635917020958712</v>
      </c>
      <c r="D42" s="24">
        <f>B42/'- 7 -'!F42</f>
        <v>83.13022113022113</v>
      </c>
      <c r="E42" s="24">
        <v>0</v>
      </c>
      <c r="F42" s="355">
        <f>E42/'- 3 -'!D42*100</f>
        <v>0</v>
      </c>
      <c r="G42" s="24">
        <f>E42/'- 7 -'!F42</f>
        <v>0</v>
      </c>
      <c r="H42" s="24">
        <v>226265</v>
      </c>
      <c r="I42" s="355">
        <f>H42/'- 3 -'!D42*100</f>
        <v>1.2766305822155397</v>
      </c>
      <c r="J42" s="24">
        <f>H42/'- 7 -'!F42</f>
        <v>138.98341523341523</v>
      </c>
    </row>
    <row r="43" spans="1:10" ht="13.5" customHeight="1">
      <c r="A43" s="362" t="s">
        <v>247</v>
      </c>
      <c r="B43" s="363">
        <v>127474</v>
      </c>
      <c r="C43" s="364">
        <f>B43/'- 3 -'!D43*100</f>
        <v>1.236443871264111</v>
      </c>
      <c r="D43" s="363">
        <f>B43/'- 7 -'!F43</f>
        <v>126.90293678446989</v>
      </c>
      <c r="E43" s="363">
        <v>2000</v>
      </c>
      <c r="F43" s="364">
        <f>E43/'- 3 -'!D43*100</f>
        <v>0.019399153886504084</v>
      </c>
      <c r="G43" s="363">
        <f>E43/'- 7 -'!F43</f>
        <v>1.991040318566451</v>
      </c>
      <c r="H43" s="363">
        <v>197405</v>
      </c>
      <c r="I43" s="364">
        <f>H43/'- 3 -'!D43*100</f>
        <v>1.9147449864826698</v>
      </c>
      <c r="J43" s="363">
        <f>H43/'- 7 -'!F43</f>
        <v>196.52065704330514</v>
      </c>
    </row>
    <row r="44" spans="1:10" ht="13.5" customHeight="1">
      <c r="A44" s="23" t="s">
        <v>248</v>
      </c>
      <c r="B44" s="24">
        <v>71918</v>
      </c>
      <c r="C44" s="355">
        <f>B44/'- 3 -'!D44*100</f>
        <v>0.8493683827999063</v>
      </c>
      <c r="D44" s="24">
        <f>B44/'- 7 -'!F44</f>
        <v>92.2025641025641</v>
      </c>
      <c r="E44" s="24">
        <v>0</v>
      </c>
      <c r="F44" s="355">
        <f>E44/'- 3 -'!D44*100</f>
        <v>0</v>
      </c>
      <c r="G44" s="24">
        <f>E44/'- 7 -'!F44</f>
        <v>0</v>
      </c>
      <c r="H44" s="24">
        <v>91025</v>
      </c>
      <c r="I44" s="355">
        <f>H44/'- 3 -'!D44*100</f>
        <v>1.0750265169270765</v>
      </c>
      <c r="J44" s="24">
        <f>H44/'- 7 -'!F44</f>
        <v>116.69871794871794</v>
      </c>
    </row>
    <row r="45" spans="1:10" ht="13.5" customHeight="1">
      <c r="A45" s="362" t="s">
        <v>249</v>
      </c>
      <c r="B45" s="363">
        <v>84770</v>
      </c>
      <c r="C45" s="364">
        <f>B45/'- 3 -'!D45*100</f>
        <v>0.6509371321585136</v>
      </c>
      <c r="D45" s="363">
        <f>B45/'- 7 -'!F45</f>
        <v>55.76973684210526</v>
      </c>
      <c r="E45" s="363">
        <v>0</v>
      </c>
      <c r="F45" s="364">
        <f>E45/'- 3 -'!D45*100</f>
        <v>0</v>
      </c>
      <c r="G45" s="363">
        <f>E45/'- 7 -'!F45</f>
        <v>0</v>
      </c>
      <c r="H45" s="363">
        <v>150735</v>
      </c>
      <c r="I45" s="364">
        <f>H45/'- 3 -'!D45*100</f>
        <v>1.1574732643141858</v>
      </c>
      <c r="J45" s="363">
        <f>H45/'- 7 -'!F45</f>
        <v>99.16776315789474</v>
      </c>
    </row>
    <row r="46" spans="1:10" ht="13.5" customHeight="1">
      <c r="A46" s="23" t="s">
        <v>250</v>
      </c>
      <c r="B46" s="24">
        <v>611500</v>
      </c>
      <c r="C46" s="355">
        <f>B46/'- 3 -'!D46*100</f>
        <v>0.1995936970823743</v>
      </c>
      <c r="D46" s="24">
        <f>B46/'- 7 -'!F46</f>
        <v>20.12108848014215</v>
      </c>
      <c r="E46" s="24">
        <v>99400</v>
      </c>
      <c r="F46" s="355">
        <f>E46/'- 3 -'!D46*100</f>
        <v>0.0324441757808471</v>
      </c>
      <c r="G46" s="24">
        <f>E46/'- 7 -'!F46</f>
        <v>3.270705142969958</v>
      </c>
      <c r="H46" s="24">
        <v>9399100</v>
      </c>
      <c r="I46" s="355">
        <f>H46/'- 3 -'!D46*100</f>
        <v>3.067867732210865</v>
      </c>
      <c r="J46" s="24">
        <f>H46/'- 7 -'!F46</f>
        <v>309.2724819847981</v>
      </c>
    </row>
    <row r="47" spans="1:10" ht="4.5" customHeight="1">
      <c r="A47"/>
      <c r="B47"/>
      <c r="C47"/>
      <c r="D47"/>
      <c r="E47"/>
      <c r="F47"/>
      <c r="G47"/>
      <c r="H47"/>
      <c r="I47"/>
      <c r="J47"/>
    </row>
    <row r="48" spans="1:10" ht="13.5" customHeight="1">
      <c r="A48" s="365" t="s">
        <v>251</v>
      </c>
      <c r="B48" s="366">
        <f>SUM(B11:B46)</f>
        <v>8511181.870033456</v>
      </c>
      <c r="C48" s="367">
        <f>B48/'- 3 -'!D48*100</f>
        <v>0.4926261705055372</v>
      </c>
      <c r="D48" s="366">
        <f>B48/'- 7 -'!F48</f>
        <v>49.407346830201426</v>
      </c>
      <c r="E48" s="366">
        <f>SUM(E11:E46)</f>
        <v>539950</v>
      </c>
      <c r="F48" s="367">
        <f>E48/'- 3 -'!D48*100</f>
        <v>0.03125224026771023</v>
      </c>
      <c r="G48" s="366">
        <f>E48/'- 7 -'!F48</f>
        <v>3.134405694571581</v>
      </c>
      <c r="H48" s="366">
        <f>SUM(H11:H46)</f>
        <v>34130121.75382792</v>
      </c>
      <c r="I48" s="367">
        <f>H48/'- 3 -'!D48*100</f>
        <v>1.9754472921878579</v>
      </c>
      <c r="J48" s="366">
        <f>H48/'- 7 -'!F48</f>
        <v>198.12510043822508</v>
      </c>
    </row>
    <row r="49" spans="1:10" ht="4.5" customHeight="1">
      <c r="A49" s="25" t="s">
        <v>3</v>
      </c>
      <c r="B49" s="26"/>
      <c r="C49" s="353"/>
      <c r="D49" s="26"/>
      <c r="E49" s="26"/>
      <c r="F49" s="353"/>
      <c r="H49" s="26"/>
      <c r="I49" s="353"/>
      <c r="J49" s="26"/>
    </row>
    <row r="50" spans="1:10" ht="13.5" customHeight="1">
      <c r="A50" s="23" t="s">
        <v>252</v>
      </c>
      <c r="B50" s="24">
        <v>54388</v>
      </c>
      <c r="C50" s="355">
        <f>B50/'- 3 -'!D50*100</f>
        <v>1.9138149868589724</v>
      </c>
      <c r="D50" s="24">
        <f>B50/'- 7 -'!F50</f>
        <v>254.7447306791569</v>
      </c>
      <c r="E50" s="24">
        <v>7000</v>
      </c>
      <c r="F50" s="355">
        <f>E50/'- 3 -'!D50*100</f>
        <v>0.24631729256477178</v>
      </c>
      <c r="G50" s="24">
        <f>E50/'- 7 -'!F50</f>
        <v>32.78688524590164</v>
      </c>
      <c r="H50" s="24">
        <v>6000</v>
      </c>
      <c r="I50" s="355">
        <f>H50/'- 3 -'!D50*100</f>
        <v>0.21112910791266154</v>
      </c>
      <c r="J50" s="24">
        <f>H50/'- 7 -'!F50</f>
        <v>28.10304449648712</v>
      </c>
    </row>
    <row r="51" spans="1:10" ht="13.5" customHeight="1">
      <c r="A51" s="362" t="s">
        <v>253</v>
      </c>
      <c r="B51" s="363">
        <v>0</v>
      </c>
      <c r="C51" s="364">
        <f>B51/'- 3 -'!D51*100</f>
        <v>0</v>
      </c>
      <c r="D51" s="363">
        <f>B51/'- 7 -'!F51</f>
        <v>0</v>
      </c>
      <c r="E51" s="363">
        <v>0</v>
      </c>
      <c r="F51" s="364">
        <f>E51/'- 3 -'!D51*100</f>
        <v>0</v>
      </c>
      <c r="G51" s="363">
        <f>E51/'- 7 -'!F51</f>
        <v>0</v>
      </c>
      <c r="H51" s="363">
        <v>0</v>
      </c>
      <c r="I51" s="364">
        <f>H51/'- 3 -'!D51*100</f>
        <v>0</v>
      </c>
      <c r="J51" s="363">
        <f>H51/'- 7 -'!F51</f>
        <v>0</v>
      </c>
    </row>
    <row r="52" spans="1:10" ht="49.5" customHeight="1">
      <c r="A52" s="27"/>
      <c r="B52" s="27"/>
      <c r="C52" s="27"/>
      <c r="D52" s="27"/>
      <c r="E52" s="27"/>
      <c r="F52" s="27"/>
      <c r="G52" s="27"/>
      <c r="H52" s="27"/>
      <c r="I52" s="27"/>
      <c r="J52" s="27"/>
    </row>
    <row r="53" spans="1:10" ht="15" customHeight="1">
      <c r="A53" s="127" t="s">
        <v>531</v>
      </c>
      <c r="B53" s="163"/>
      <c r="C53" s="117"/>
      <c r="D53" s="117"/>
      <c r="E53" s="117"/>
      <c r="F53" s="117"/>
      <c r="G53" s="117"/>
      <c r="H53" s="117"/>
      <c r="I53" s="117"/>
      <c r="J53" s="117"/>
    </row>
    <row r="54" spans="1:10" ht="12" customHeight="1">
      <c r="A54" s="1" t="s">
        <v>437</v>
      </c>
      <c r="C54" s="117"/>
      <c r="D54" s="117"/>
      <c r="E54" s="117"/>
      <c r="F54" s="117"/>
      <c r="G54" s="117"/>
      <c r="H54" s="117"/>
      <c r="I54" s="117"/>
      <c r="J54" s="117"/>
    </row>
    <row r="55" spans="1:10" ht="12" customHeight="1">
      <c r="A55" s="1" t="s">
        <v>438</v>
      </c>
      <c r="C55" s="117"/>
      <c r="D55" s="117"/>
      <c r="E55" s="217"/>
      <c r="F55" s="117"/>
      <c r="G55" s="117"/>
      <c r="H55" s="117"/>
      <c r="I55" s="117"/>
      <c r="J55" s="117"/>
    </row>
    <row r="56" spans="3:10" ht="14.25" customHeight="1">
      <c r="C56" s="117"/>
      <c r="D56" s="117"/>
      <c r="E56" s="217"/>
      <c r="F56" s="117"/>
      <c r="G56" s="117"/>
      <c r="H56" s="117"/>
      <c r="I56" s="117"/>
      <c r="J56" s="117"/>
    </row>
    <row r="57" spans="3:10" ht="14.25" customHeight="1">
      <c r="C57" s="117"/>
      <c r="D57" s="117"/>
      <c r="E57" s="217"/>
      <c r="F57" s="117"/>
      <c r="G57" s="117"/>
      <c r="H57" s="117"/>
      <c r="I57" s="117"/>
      <c r="J57" s="117"/>
    </row>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6"/>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491</v>
      </c>
      <c r="C2" s="6"/>
      <c r="D2" s="6"/>
      <c r="E2" s="6"/>
      <c r="F2" s="6"/>
      <c r="G2" s="6"/>
      <c r="H2" s="108"/>
      <c r="I2" s="108"/>
      <c r="J2" s="190" t="s">
        <v>422</v>
      </c>
    </row>
    <row r="3" spans="1:10" ht="15.75" customHeight="1">
      <c r="A3" s="170"/>
      <c r="B3" s="7" t="str">
        <f>OPYEAR</f>
        <v>OPERATING FUND 2008/2009 BUDGET</v>
      </c>
      <c r="C3" s="8"/>
      <c r="D3" s="8"/>
      <c r="E3" s="8"/>
      <c r="F3" s="8"/>
      <c r="G3" s="8"/>
      <c r="H3" s="110"/>
      <c r="I3" s="110"/>
      <c r="J3" s="103"/>
    </row>
    <row r="4" spans="2:10" ht="15.75" customHeight="1">
      <c r="B4" s="4"/>
      <c r="C4" s="4"/>
      <c r="D4" s="4"/>
      <c r="E4" s="4"/>
      <c r="F4" s="4"/>
      <c r="G4" s="4"/>
      <c r="H4" s="4"/>
      <c r="I4" s="4"/>
      <c r="J4" s="4"/>
    </row>
    <row r="5" spans="2:10" ht="15.75" customHeight="1">
      <c r="B5" s="172" t="s">
        <v>429</v>
      </c>
      <c r="C5" s="200"/>
      <c r="D5" s="201"/>
      <c r="E5" s="201"/>
      <c r="F5" s="201"/>
      <c r="G5" s="201"/>
      <c r="H5" s="201"/>
      <c r="I5" s="201"/>
      <c r="J5" s="202"/>
    </row>
    <row r="6" spans="2:10" ht="15.75" customHeight="1">
      <c r="B6" s="356" t="s">
        <v>109</v>
      </c>
      <c r="C6" s="357"/>
      <c r="D6" s="358"/>
      <c r="E6" s="356" t="s">
        <v>61</v>
      </c>
      <c r="F6" s="357"/>
      <c r="G6" s="358"/>
      <c r="H6" s="356" t="s">
        <v>168</v>
      </c>
      <c r="I6" s="357"/>
      <c r="J6" s="358"/>
    </row>
    <row r="7" spans="2:10" ht="15.75" customHeight="1">
      <c r="B7" s="359" t="s">
        <v>446</v>
      </c>
      <c r="C7" s="360"/>
      <c r="D7" s="361"/>
      <c r="E7" s="359" t="s">
        <v>466</v>
      </c>
      <c r="F7" s="360"/>
      <c r="G7" s="361"/>
      <c r="H7" s="359" t="s">
        <v>135</v>
      </c>
      <c r="I7" s="360"/>
      <c r="J7" s="361"/>
    </row>
    <row r="8" spans="1:10" ht="15.75" customHeight="1">
      <c r="A8" s="104"/>
      <c r="B8" s="176"/>
      <c r="C8" s="175"/>
      <c r="D8" s="175" t="s">
        <v>59</v>
      </c>
      <c r="E8" s="176"/>
      <c r="F8" s="175"/>
      <c r="G8" s="175" t="s">
        <v>59</v>
      </c>
      <c r="H8" s="176"/>
      <c r="I8" s="175"/>
      <c r="J8" s="175" t="s">
        <v>59</v>
      </c>
    </row>
    <row r="9" spans="1:10" ht="15.75" customHeight="1">
      <c r="A9" s="35" t="s">
        <v>79</v>
      </c>
      <c r="B9" s="115" t="s">
        <v>80</v>
      </c>
      <c r="C9" s="115" t="s">
        <v>81</v>
      </c>
      <c r="D9" s="115" t="s">
        <v>82</v>
      </c>
      <c r="E9" s="115" t="s">
        <v>80</v>
      </c>
      <c r="F9" s="115" t="s">
        <v>81</v>
      </c>
      <c r="G9" s="115" t="s">
        <v>82</v>
      </c>
      <c r="H9" s="115" t="s">
        <v>80</v>
      </c>
      <c r="I9" s="115" t="s">
        <v>81</v>
      </c>
      <c r="J9" s="115" t="s">
        <v>82</v>
      </c>
    </row>
    <row r="10" ht="4.5" customHeight="1">
      <c r="A10" s="37"/>
    </row>
    <row r="11" spans="1:10" ht="13.5" customHeight="1">
      <c r="A11" s="362" t="s">
        <v>216</v>
      </c>
      <c r="B11" s="363">
        <v>551920</v>
      </c>
      <c r="C11" s="364">
        <f>B11/'- 3 -'!D11*100</f>
        <v>4.123794530547775</v>
      </c>
      <c r="D11" s="363">
        <f>IF(AND(B11&gt;0,'- 7 -'!D11=0),"N/A ",IF(B11&gt;0,B11/'- 7 -'!D11,0))</f>
        <v>19711.428571428572</v>
      </c>
      <c r="E11" s="363">
        <v>585666</v>
      </c>
      <c r="F11" s="364">
        <f>E11/'- 3 -'!D11*100</f>
        <v>4.375935366588986</v>
      </c>
      <c r="G11" s="363">
        <f>E11/'- 7 -'!F11</f>
        <v>414.484076433121</v>
      </c>
      <c r="H11" s="363">
        <v>241604</v>
      </c>
      <c r="I11" s="364">
        <f>H11/'- 3 -'!D11*100</f>
        <v>1.805198676906915</v>
      </c>
      <c r="J11" s="363">
        <f>H11/'- 7 -'!F11</f>
        <v>170.9865534324133</v>
      </c>
    </row>
    <row r="12" spans="1:10" ht="13.5" customHeight="1">
      <c r="A12" s="23" t="s">
        <v>217</v>
      </c>
      <c r="B12" s="24">
        <v>0</v>
      </c>
      <c r="C12" s="355">
        <f>B12/'- 3 -'!D12*100</f>
        <v>0</v>
      </c>
      <c r="D12" s="24">
        <f>IF(AND(B12&gt;0,'- 7 -'!D12=0),"N/A ",IF(B12&gt;0,B12/'- 7 -'!D12,0))</f>
        <v>0</v>
      </c>
      <c r="E12" s="24">
        <v>2095536</v>
      </c>
      <c r="F12" s="355">
        <f>E12/'- 3 -'!D12*100</f>
        <v>8.34106957064908</v>
      </c>
      <c r="G12" s="24">
        <f>E12/'- 7 -'!F12</f>
        <v>905.981841763943</v>
      </c>
      <c r="H12" s="24">
        <v>1041017</v>
      </c>
      <c r="I12" s="355">
        <f>H12/'- 3 -'!D12*100</f>
        <v>4.143663111122114</v>
      </c>
      <c r="J12" s="24">
        <f>H12/'- 7 -'!F12</f>
        <v>450.07220060527453</v>
      </c>
    </row>
    <row r="13" spans="1:10" ht="13.5" customHeight="1">
      <c r="A13" s="362" t="s">
        <v>218</v>
      </c>
      <c r="B13" s="363">
        <v>2695000</v>
      </c>
      <c r="C13" s="364">
        <f>B13/'- 3 -'!D13*100</f>
        <v>4.581284221513167</v>
      </c>
      <c r="D13" s="363">
        <f>IF(AND(B13&gt;0,'- 7 -'!D13=0),"N/A ",IF(B13&gt;0,B13/'- 7 -'!D13,0))</f>
        <v>13611.111111111111</v>
      </c>
      <c r="E13" s="363">
        <v>3385100</v>
      </c>
      <c r="F13" s="364">
        <f>E13/'- 3 -'!D13*100</f>
        <v>5.754398967808616</v>
      </c>
      <c r="G13" s="363">
        <f>E13/'- 7 -'!F13</f>
        <v>499.68474082321654</v>
      </c>
      <c r="H13" s="363">
        <v>3588200</v>
      </c>
      <c r="I13" s="364">
        <f>H13/'- 3 -'!D13*100</f>
        <v>6.0996527063575305</v>
      </c>
      <c r="J13" s="363">
        <f>H13/'- 7 -'!F13</f>
        <v>529.6649395946547</v>
      </c>
    </row>
    <row r="14" spans="1:10" ht="13.5" customHeight="1">
      <c r="A14" s="23" t="s">
        <v>254</v>
      </c>
      <c r="B14" s="24">
        <v>863922</v>
      </c>
      <c r="C14" s="355">
        <f>B14/'- 3 -'!D14*100</f>
        <v>1.5189815996742335</v>
      </c>
      <c r="D14" s="24">
        <f>IF(AND(B14&gt;0,'- 7 -'!D14=0),"N/A ",IF(B14&gt;0,B14/'- 7 -'!D14,0))</f>
        <v>7853.836363636364</v>
      </c>
      <c r="E14" s="24">
        <v>2923829</v>
      </c>
      <c r="F14" s="355">
        <f>E14/'- 3 -'!D14*100</f>
        <v>5.1407910107555015</v>
      </c>
      <c r="G14" s="24">
        <f>E14/'- 7 -'!F14</f>
        <v>604.7216132368148</v>
      </c>
      <c r="H14" s="24">
        <v>1875741</v>
      </c>
      <c r="I14" s="355">
        <f>H14/'- 3 -'!D14*100</f>
        <v>3.298001514898968</v>
      </c>
      <c r="J14" s="24">
        <f>H14/'- 7 -'!F14</f>
        <v>387.95056876938986</v>
      </c>
    </row>
    <row r="15" spans="1:10" ht="13.5" customHeight="1">
      <c r="A15" s="362" t="s">
        <v>219</v>
      </c>
      <c r="B15" s="363">
        <v>0</v>
      </c>
      <c r="C15" s="364">
        <f>B15/'- 3 -'!D15*100</f>
        <v>0</v>
      </c>
      <c r="D15" s="363">
        <f>IF(AND(B15&gt;0,'- 7 -'!D15=0),"N/A ",IF(B15&gt;0,B15/'- 7 -'!D15,0))</f>
        <v>0</v>
      </c>
      <c r="E15" s="363">
        <v>1144044</v>
      </c>
      <c r="F15" s="364">
        <f>E15/'- 3 -'!D15*100</f>
        <v>7.006211097962723</v>
      </c>
      <c r="G15" s="363">
        <f>E15/'- 7 -'!F15</f>
        <v>715.698467313106</v>
      </c>
      <c r="H15" s="363">
        <v>867690</v>
      </c>
      <c r="I15" s="364">
        <f>H15/'- 3 -'!D15*100</f>
        <v>5.3137985143851765</v>
      </c>
      <c r="J15" s="363">
        <f>H15/'- 7 -'!F15</f>
        <v>542.8151391929935</v>
      </c>
    </row>
    <row r="16" spans="1:10" ht="13.5" customHeight="1">
      <c r="A16" s="23" t="s">
        <v>220</v>
      </c>
      <c r="B16" s="24">
        <v>103854</v>
      </c>
      <c r="C16" s="355">
        <f>B16/'- 3 -'!D16*100</f>
        <v>0.9108164784692067</v>
      </c>
      <c r="D16" s="24">
        <f>IF(AND(B16&gt;0,'- 7 -'!D16=0),"N/A ",IF(B16&gt;0,B16/'- 7 -'!D16,0))</f>
        <v>23078.666666666668</v>
      </c>
      <c r="E16" s="24">
        <v>1049694</v>
      </c>
      <c r="F16" s="355">
        <f>E16/'- 3 -'!D16*100</f>
        <v>9.205987179600742</v>
      </c>
      <c r="G16" s="24">
        <f>E16/'- 7 -'!F16</f>
        <v>975.098931723177</v>
      </c>
      <c r="H16" s="24">
        <v>495194</v>
      </c>
      <c r="I16" s="355">
        <f>H16/'- 3 -'!D16*100</f>
        <v>4.342931954850852</v>
      </c>
      <c r="J16" s="24">
        <f>H16/'- 7 -'!F16</f>
        <v>460.0037157454714</v>
      </c>
    </row>
    <row r="17" spans="1:10" ht="13.5" customHeight="1">
      <c r="A17" s="362" t="s">
        <v>221</v>
      </c>
      <c r="B17" s="363">
        <v>0</v>
      </c>
      <c r="C17" s="364">
        <f>B17/'- 3 -'!D17*100</f>
        <v>0</v>
      </c>
      <c r="D17" s="363">
        <f>IF(AND(B17&gt;0,'- 7 -'!D17=0),"N/A ",IF(B17&gt;0,B17/'- 7 -'!D17,0))</f>
        <v>0</v>
      </c>
      <c r="E17" s="363">
        <v>827750</v>
      </c>
      <c r="F17" s="364">
        <f>E17/'- 3 -'!D17*100</f>
        <v>5.637097584271289</v>
      </c>
      <c r="G17" s="363">
        <f>E17/'- 7 -'!F17</f>
        <v>600.253807106599</v>
      </c>
      <c r="H17" s="363">
        <v>651327</v>
      </c>
      <c r="I17" s="364">
        <f>H17/'- 3 -'!D17*100</f>
        <v>4.435631360037047</v>
      </c>
      <c r="J17" s="363">
        <f>H17/'- 7 -'!F17</f>
        <v>472.3183466279913</v>
      </c>
    </row>
    <row r="18" spans="1:10" ht="13.5" customHeight="1">
      <c r="A18" s="23" t="s">
        <v>222</v>
      </c>
      <c r="B18" s="24">
        <v>0</v>
      </c>
      <c r="C18" s="355">
        <f>B18/'- 3 -'!D18*100</f>
        <v>0</v>
      </c>
      <c r="D18" s="24">
        <f>IF(AND(B18&gt;0,'- 7 -'!D18=0),"N/A ",IF(B18&gt;0,B18/'- 7 -'!D18,0))</f>
        <v>0</v>
      </c>
      <c r="E18" s="24">
        <v>11451087</v>
      </c>
      <c r="F18" s="355">
        <f>E18/'- 3 -'!D18*100</f>
        <v>11.445017249551872</v>
      </c>
      <c r="G18" s="24">
        <f>E18/'- 7 -'!F18</f>
        <v>1969.7067221687078</v>
      </c>
      <c r="H18" s="24">
        <v>3019755</v>
      </c>
      <c r="I18" s="355">
        <f>H18/'- 3 -'!D18*100</f>
        <v>3.0181543520209493</v>
      </c>
      <c r="J18" s="24">
        <f>H18/'- 7 -'!F18</f>
        <v>519.4294413100316</v>
      </c>
    </row>
    <row r="19" spans="1:10" ht="13.5" customHeight="1">
      <c r="A19" s="362" t="s">
        <v>223</v>
      </c>
      <c r="B19" s="363">
        <v>1351500</v>
      </c>
      <c r="C19" s="364">
        <f>B19/'- 3 -'!D19*100</f>
        <v>4.660339203038893</v>
      </c>
      <c r="D19" s="363">
        <f>IF(AND(B19&gt;0,'- 7 -'!D19=0),"N/A ",IF(B19&gt;0,B19/'- 7 -'!D19,0))</f>
        <v>43596.77419354839</v>
      </c>
      <c r="E19" s="363">
        <v>1768400</v>
      </c>
      <c r="F19" s="364">
        <f>E19/'- 3 -'!D19*100</f>
        <v>6.097923674919703</v>
      </c>
      <c r="G19" s="363">
        <f>E19/'- 7 -'!F19</f>
        <v>463.4171907756813</v>
      </c>
      <c r="H19" s="363">
        <v>963100</v>
      </c>
      <c r="I19" s="364">
        <f>H19/'- 3 -'!D19*100</f>
        <v>3.321030474618393</v>
      </c>
      <c r="J19" s="363">
        <f>H19/'- 7 -'!F19</f>
        <v>252.3846960167715</v>
      </c>
    </row>
    <row r="20" spans="1:10" ht="13.5" customHeight="1">
      <c r="A20" s="23" t="s">
        <v>224</v>
      </c>
      <c r="B20" s="24">
        <v>418071.2706572698</v>
      </c>
      <c r="C20" s="355">
        <f>B20/'- 3 -'!D20*100</f>
        <v>0.756583989623596</v>
      </c>
      <c r="D20" s="24">
        <f>IF(AND(B20&gt;0,'- 7 -'!D20=0),"N/A ",IF(B20&gt;0,B20/'- 7 -'!D20,0))</f>
        <v>12668.82638355363</v>
      </c>
      <c r="E20" s="24">
        <v>2888696.193794288</v>
      </c>
      <c r="F20" s="355">
        <f>E20/'- 3 -'!D20*100</f>
        <v>5.227676342541751</v>
      </c>
      <c r="G20" s="24">
        <f>E20/'- 7 -'!F20</f>
        <v>402.325375180263</v>
      </c>
      <c r="H20" s="24">
        <v>2908572.3628656818</v>
      </c>
      <c r="I20" s="355">
        <f>H20/'- 3 -'!D20*100</f>
        <v>5.2636462652557094</v>
      </c>
      <c r="J20" s="24">
        <f>H20/'- 7 -'!F20</f>
        <v>405.093643853159</v>
      </c>
    </row>
    <row r="21" spans="1:10" ht="13.5" customHeight="1">
      <c r="A21" s="362" t="s">
        <v>225</v>
      </c>
      <c r="B21" s="363">
        <v>911260</v>
      </c>
      <c r="C21" s="364">
        <f>B21/'- 3 -'!D21*100</f>
        <v>3.2048477516195515</v>
      </c>
      <c r="D21" s="363">
        <f>IF(AND(B21&gt;0,'- 7 -'!D21=0),"N/A ",IF(B21&gt;0,B21/'- 7 -'!D21,0))</f>
        <v>22389.68058968059</v>
      </c>
      <c r="E21" s="363">
        <v>881550</v>
      </c>
      <c r="F21" s="364">
        <f>E21/'- 3 -'!D21*100</f>
        <v>3.100359431380962</v>
      </c>
      <c r="G21" s="363">
        <f>E21/'- 7 -'!F21</f>
        <v>296.26953453201145</v>
      </c>
      <c r="H21" s="363">
        <v>1686718</v>
      </c>
      <c r="I21" s="364">
        <f>H21/'- 3 -'!D21*100</f>
        <v>5.932087867256575</v>
      </c>
      <c r="J21" s="363">
        <f>H21/'- 7 -'!F21</f>
        <v>566.8687615526802</v>
      </c>
    </row>
    <row r="22" spans="1:10" ht="13.5" customHeight="1">
      <c r="A22" s="23" t="s">
        <v>226</v>
      </c>
      <c r="B22" s="24">
        <v>1018840</v>
      </c>
      <c r="C22" s="355">
        <f>B22/'- 3 -'!D22*100</f>
        <v>6.355100965914967</v>
      </c>
      <c r="D22" s="24">
        <f>IF(AND(B22&gt;0,'- 7 -'!D22=0),"N/A ",IF(B22&gt;0,B22/'- 7 -'!D22,0))</f>
        <v>10503.505154639175</v>
      </c>
      <c r="E22" s="24">
        <v>862155</v>
      </c>
      <c r="F22" s="355">
        <f>E22/'- 3 -'!D22*100</f>
        <v>5.377764981025891</v>
      </c>
      <c r="G22" s="24">
        <f>E22/'- 7 -'!F22</f>
        <v>508.646017699115</v>
      </c>
      <c r="H22" s="24">
        <v>719060</v>
      </c>
      <c r="I22" s="355">
        <f>H22/'- 3 -'!D22*100</f>
        <v>4.485197774479619</v>
      </c>
      <c r="J22" s="24">
        <f>H22/'- 7 -'!F22</f>
        <v>424.22418879056045</v>
      </c>
    </row>
    <row r="23" spans="1:10" ht="13.5" customHeight="1">
      <c r="A23" s="362" t="s">
        <v>227</v>
      </c>
      <c r="B23" s="363">
        <v>0</v>
      </c>
      <c r="C23" s="364">
        <f>B23/'- 3 -'!D23*100</f>
        <v>0</v>
      </c>
      <c r="D23" s="363">
        <f>IF(AND(B23&gt;0,'- 7 -'!D23=0),"N/A ",IF(B23&gt;0,B23/'- 7 -'!D23,0))</f>
        <v>0</v>
      </c>
      <c r="E23" s="363">
        <v>1175500</v>
      </c>
      <c r="F23" s="364">
        <f>E23/'- 3 -'!D23*100</f>
        <v>8.864221393336457</v>
      </c>
      <c r="G23" s="363">
        <f>E23/'- 7 -'!F23</f>
        <v>902.1488871834229</v>
      </c>
      <c r="H23" s="363">
        <v>535095</v>
      </c>
      <c r="I23" s="364">
        <f>H23/'- 3 -'!D23*100</f>
        <v>4.035049380235961</v>
      </c>
      <c r="J23" s="363">
        <f>H23/'- 7 -'!F23</f>
        <v>410.663852647736</v>
      </c>
    </row>
    <row r="24" spans="1:10" ht="13.5" customHeight="1">
      <c r="A24" s="23" t="s">
        <v>228</v>
      </c>
      <c r="B24" s="24">
        <v>503725</v>
      </c>
      <c r="C24" s="355">
        <f>B24/'- 3 -'!D24*100</f>
        <v>1.1340829751817234</v>
      </c>
      <c r="D24" s="24">
        <f>IF(AND(B24&gt;0,'- 7 -'!D24=0),"N/A ",IF(B24&gt;0,B24/'- 7 -'!D24,0))</f>
        <v>26511.842105263157</v>
      </c>
      <c r="E24" s="24">
        <v>2896235</v>
      </c>
      <c r="F24" s="355">
        <f>E24/'- 3 -'!D24*100</f>
        <v>6.520563413817934</v>
      </c>
      <c r="G24" s="24">
        <f>E24/'- 7 -'!F24</f>
        <v>654.3685042928151</v>
      </c>
      <c r="H24" s="24">
        <v>1877580</v>
      </c>
      <c r="I24" s="355">
        <f>H24/'- 3 -'!D24*100</f>
        <v>4.227170604082983</v>
      </c>
      <c r="J24" s="24">
        <f>H24/'- 7 -'!F24</f>
        <v>424.21599638499777</v>
      </c>
    </row>
    <row r="25" spans="1:10" ht="13.5" customHeight="1">
      <c r="A25" s="362" t="s">
        <v>229</v>
      </c>
      <c r="B25" s="363">
        <v>5521419</v>
      </c>
      <c r="C25" s="364">
        <f>B25/'- 3 -'!D25*100</f>
        <v>4.117211678207705</v>
      </c>
      <c r="D25" s="363">
        <f>IF(AND(B25&gt;0,'- 7 -'!D25=0),"N/A ",IF(B25&gt;0,B25/'- 7 -'!D25,0))</f>
        <v>26933.751219512196</v>
      </c>
      <c r="E25" s="363">
        <v>8766817</v>
      </c>
      <c r="F25" s="364">
        <f>E25/'- 3 -'!D25*100</f>
        <v>6.537240034329914</v>
      </c>
      <c r="G25" s="363">
        <f>E25/'- 7 -'!F25</f>
        <v>618.0779046813311</v>
      </c>
      <c r="H25" s="363">
        <v>5967448</v>
      </c>
      <c r="I25" s="364">
        <f>H25/'- 3 -'!D25*100</f>
        <v>4.449806579558119</v>
      </c>
      <c r="J25" s="363">
        <f>H25/'- 7 -'!F25</f>
        <v>420.716864072194</v>
      </c>
    </row>
    <row r="26" spans="1:10" ht="13.5" customHeight="1">
      <c r="A26" s="23" t="s">
        <v>230</v>
      </c>
      <c r="B26" s="24">
        <v>306582</v>
      </c>
      <c r="C26" s="355">
        <f>B26/'- 3 -'!D26*100</f>
        <v>0.9451907038828531</v>
      </c>
      <c r="D26" s="24">
        <f>IF(AND(B26&gt;0,'- 7 -'!D26=0),"N/A ",IF(B26&gt;0,B26/'- 7 -'!D26,0))</f>
        <v>20438.8</v>
      </c>
      <c r="E26" s="24">
        <v>1673113</v>
      </c>
      <c r="F26" s="355">
        <f>E26/'- 3 -'!D26*100</f>
        <v>5.158198635750148</v>
      </c>
      <c r="G26" s="24">
        <f>E26/'- 7 -'!F26</f>
        <v>534.370169274992</v>
      </c>
      <c r="H26" s="24">
        <v>1622892</v>
      </c>
      <c r="I26" s="355">
        <f>H26/'- 3 -'!D26*100</f>
        <v>5.003367555191927</v>
      </c>
      <c r="J26" s="24">
        <f>H26/'- 7 -'!F26</f>
        <v>518.3302459278186</v>
      </c>
    </row>
    <row r="27" spans="1:10" ht="13.5" customHeight="1">
      <c r="A27" s="362" t="s">
        <v>231</v>
      </c>
      <c r="B27" s="363">
        <v>2397981</v>
      </c>
      <c r="C27" s="364">
        <f>B27/'- 3 -'!D27*100</f>
        <v>6.795044146317785</v>
      </c>
      <c r="D27" s="363">
        <f>IF(AND(B27&gt;0,'- 7 -'!D27=0),"N/A ",IF(B27&gt;0,B27/'- 7 -'!D27,0))</f>
        <v>26644.233333333334</v>
      </c>
      <c r="E27" s="363">
        <v>826876</v>
      </c>
      <c r="F27" s="364">
        <f>E27/'- 3 -'!D27*100</f>
        <v>2.343079000013205</v>
      </c>
      <c r="G27" s="363">
        <f>E27/'- 7 -'!F27</f>
        <v>256.7108759903634</v>
      </c>
      <c r="H27" s="363">
        <v>1499670</v>
      </c>
      <c r="I27" s="364">
        <f>H27/'- 3 -'!D27*100</f>
        <v>4.24954320109642</v>
      </c>
      <c r="J27" s="363">
        <f>H27/'- 7 -'!F27</f>
        <v>465.58564935548765</v>
      </c>
    </row>
    <row r="28" spans="1:10" ht="13.5" customHeight="1">
      <c r="A28" s="23" t="s">
        <v>232</v>
      </c>
      <c r="B28" s="24">
        <v>0</v>
      </c>
      <c r="C28" s="355">
        <f>B28/'- 3 -'!D28*100</f>
        <v>0</v>
      </c>
      <c r="D28" s="24">
        <f>IF(AND(B28&gt;0,'- 7 -'!D28=0),"N/A ",IF(B28&gt;0,B28/'- 7 -'!D28,0))</f>
        <v>0</v>
      </c>
      <c r="E28" s="24">
        <v>1392690</v>
      </c>
      <c r="F28" s="355">
        <f>E28/'- 3 -'!D28*100</f>
        <v>7.494801039775901</v>
      </c>
      <c r="G28" s="24">
        <f>E28/'- 7 -'!F28</f>
        <v>790.8517887563884</v>
      </c>
      <c r="H28" s="24">
        <v>660906</v>
      </c>
      <c r="I28" s="355">
        <f>H28/'- 3 -'!D28*100</f>
        <v>3.556684528498181</v>
      </c>
      <c r="J28" s="24">
        <f>H28/'- 7 -'!F28</f>
        <v>375.3015332197615</v>
      </c>
    </row>
    <row r="29" spans="1:10" ht="13.5" customHeight="1">
      <c r="A29" s="362" t="s">
        <v>233</v>
      </c>
      <c r="B29" s="363">
        <v>1549584</v>
      </c>
      <c r="C29" s="364">
        <f>B29/'- 3 -'!D29*100</f>
        <v>1.2595272851654327</v>
      </c>
      <c r="D29" s="363">
        <f>IF(AND(B29&gt;0,'- 7 -'!D29=0),"N/A ",IF(B29&gt;0,B29/'- 7 -'!D29,0))</f>
        <v>26716.96551724138</v>
      </c>
      <c r="E29" s="363">
        <v>10273818</v>
      </c>
      <c r="F29" s="364">
        <f>E29/'- 3 -'!D29*100</f>
        <v>8.350727739718373</v>
      </c>
      <c r="G29" s="363">
        <f>E29/'- 7 -'!F29</f>
        <v>844.851609719995</v>
      </c>
      <c r="H29" s="363">
        <v>7811588</v>
      </c>
      <c r="I29" s="364">
        <f>H29/'- 3 -'!D29*100</f>
        <v>6.349386820250384</v>
      </c>
      <c r="J29" s="363">
        <f>H29/'- 7 -'!F29</f>
        <v>642.3739155462357</v>
      </c>
    </row>
    <row r="30" spans="1:10" ht="13.5" customHeight="1">
      <c r="A30" s="23" t="s">
        <v>234</v>
      </c>
      <c r="B30" s="24">
        <v>0</v>
      </c>
      <c r="C30" s="355">
        <f>B30/'- 3 -'!D30*100</f>
        <v>0</v>
      </c>
      <c r="D30" s="24">
        <f>IF(AND(B30&gt;0,'- 7 -'!D30=0),"N/A ",IF(B30&gt;0,B30/'- 7 -'!D30,0))</f>
        <v>0</v>
      </c>
      <c r="E30" s="24">
        <v>644150</v>
      </c>
      <c r="F30" s="355">
        <f>E30/'- 3 -'!D30*100</f>
        <v>5.645416156959309</v>
      </c>
      <c r="G30" s="24">
        <f>E30/'- 7 -'!F30</f>
        <v>547.2812234494478</v>
      </c>
      <c r="H30" s="24">
        <v>503550</v>
      </c>
      <c r="I30" s="355">
        <f>H30/'- 3 -'!D30*100</f>
        <v>4.413179082258574</v>
      </c>
      <c r="J30" s="24">
        <f>H30/'- 7 -'!F30</f>
        <v>427.8249787595582</v>
      </c>
    </row>
    <row r="31" spans="1:10" ht="13.5" customHeight="1">
      <c r="A31" s="362" t="s">
        <v>235</v>
      </c>
      <c r="B31" s="363">
        <v>1223109</v>
      </c>
      <c r="C31" s="364">
        <f>B31/'- 3 -'!D31*100</f>
        <v>4.1671469133852055</v>
      </c>
      <c r="D31" s="363">
        <f>IF(AND(B31&gt;0,'- 7 -'!D31=0),"N/A ",IF(B31&gt;0,B31/'- 7 -'!D31,0))</f>
        <v>6795.05</v>
      </c>
      <c r="E31" s="363">
        <v>1449288</v>
      </c>
      <c r="F31" s="364">
        <f>E31/'- 3 -'!D31*100</f>
        <v>4.937741457062468</v>
      </c>
      <c r="G31" s="363">
        <f>E31/'- 7 -'!F31</f>
        <v>442.55771344814946</v>
      </c>
      <c r="H31" s="363">
        <v>1440525</v>
      </c>
      <c r="I31" s="364">
        <f>H31/'- 3 -'!D31*100</f>
        <v>4.90788581181581</v>
      </c>
      <c r="J31" s="363">
        <f>H31/'- 7 -'!F31</f>
        <v>439.8818248442653</v>
      </c>
    </row>
    <row r="32" spans="1:10" ht="13.5" customHeight="1">
      <c r="A32" s="23" t="s">
        <v>236</v>
      </c>
      <c r="B32" s="24">
        <v>0</v>
      </c>
      <c r="C32" s="355">
        <f>B32/'- 3 -'!D32*100</f>
        <v>0</v>
      </c>
      <c r="D32" s="24">
        <f>IF(AND(B32&gt;0,'- 7 -'!D32=0),"N/A ",IF(B32&gt;0,B32/'- 7 -'!D32,0))</f>
        <v>0</v>
      </c>
      <c r="E32" s="24">
        <v>980100</v>
      </c>
      <c r="F32" s="355">
        <f>E32/'- 3 -'!D32*100</f>
        <v>4.472703366534139</v>
      </c>
      <c r="G32" s="24">
        <f>E32/'- 7 -'!F32</f>
        <v>446.718322698268</v>
      </c>
      <c r="H32" s="24">
        <v>1363045</v>
      </c>
      <c r="I32" s="355">
        <f>H32/'- 3 -'!D32*100</f>
        <v>6.220279522740053</v>
      </c>
      <c r="J32" s="24">
        <f>H32/'- 7 -'!F32</f>
        <v>621.260255241568</v>
      </c>
    </row>
    <row r="33" spans="1:10" ht="13.5" customHeight="1">
      <c r="A33" s="362" t="s">
        <v>237</v>
      </c>
      <c r="B33" s="363">
        <v>0</v>
      </c>
      <c r="C33" s="364">
        <f>B33/'- 3 -'!D33*100</f>
        <v>0</v>
      </c>
      <c r="D33" s="363">
        <f>IF(AND(B33&gt;0,'- 7 -'!D33=0),"N/A ",IF(B33&gt;0,B33/'- 7 -'!D33,0))</f>
        <v>0</v>
      </c>
      <c r="E33" s="363">
        <v>1439500</v>
      </c>
      <c r="F33" s="364">
        <f>E33/'- 3 -'!D33*100</f>
        <v>6.261009503512168</v>
      </c>
      <c r="G33" s="363">
        <f>E33/'- 7 -'!F33</f>
        <v>661.5349264705883</v>
      </c>
      <c r="H33" s="363">
        <v>1067400</v>
      </c>
      <c r="I33" s="364">
        <f>H33/'- 3 -'!D33*100</f>
        <v>4.64258530326425</v>
      </c>
      <c r="J33" s="363">
        <f>H33/'- 7 -'!F33</f>
        <v>490.53308823529414</v>
      </c>
    </row>
    <row r="34" spans="1:10" ht="13.5" customHeight="1">
      <c r="A34" s="23" t="s">
        <v>238</v>
      </c>
      <c r="B34" s="24">
        <v>169822</v>
      </c>
      <c r="C34" s="355">
        <f>B34/'- 3 -'!D34*100</f>
        <v>0.821214572784374</v>
      </c>
      <c r="D34" s="24">
        <f>IF(AND(B34&gt;0,'- 7 -'!D34=0),"N/A ",IF(B34&gt;0,B34/'- 7 -'!D34,0))</f>
        <v>17876</v>
      </c>
      <c r="E34" s="24">
        <v>831528</v>
      </c>
      <c r="F34" s="355">
        <f>E34/'- 3 -'!D34*100</f>
        <v>4.021050931435532</v>
      </c>
      <c r="G34" s="24">
        <f>E34/'- 7 -'!F34</f>
        <v>410.6311111111111</v>
      </c>
      <c r="H34" s="24">
        <v>849539</v>
      </c>
      <c r="I34" s="355">
        <f>H34/'- 3 -'!D34*100</f>
        <v>4.108147395205947</v>
      </c>
      <c r="J34" s="24">
        <f>H34/'- 7 -'!F34</f>
        <v>419.5254320987654</v>
      </c>
    </row>
    <row r="35" spans="1:10" ht="13.5" customHeight="1">
      <c r="A35" s="362" t="s">
        <v>239</v>
      </c>
      <c r="B35" s="363">
        <v>4031878</v>
      </c>
      <c r="C35" s="364">
        <f>B35/'- 3 -'!D35*100</f>
        <v>2.673997018164351</v>
      </c>
      <c r="D35" s="363">
        <f>IF(AND(B35&gt;0,'- 7 -'!D35=0),"N/A ",IF(B35&gt;0,B35/'- 7 -'!D35,0))</f>
        <v>23441.1511627907</v>
      </c>
      <c r="E35" s="363">
        <v>9455705</v>
      </c>
      <c r="F35" s="364">
        <f>E35/'- 3 -'!D35*100</f>
        <v>6.271153783582177</v>
      </c>
      <c r="G35" s="363">
        <f>E35/'- 7 -'!F35</f>
        <v>579.3581888364683</v>
      </c>
      <c r="H35" s="363">
        <v>8356919</v>
      </c>
      <c r="I35" s="364">
        <f>H35/'- 3 -'!D35*100</f>
        <v>5.542423775481551</v>
      </c>
      <c r="J35" s="363">
        <f>H35/'- 7 -'!F35</f>
        <v>512.0347405183506</v>
      </c>
    </row>
    <row r="36" spans="1:10" ht="13.5" customHeight="1">
      <c r="A36" s="23" t="s">
        <v>240</v>
      </c>
      <c r="B36" s="24">
        <v>225240</v>
      </c>
      <c r="C36" s="355">
        <f>B36/'- 3 -'!D36*100</f>
        <v>1.172186030148766</v>
      </c>
      <c r="D36" s="24">
        <f>IF(AND(B36&gt;0,'- 7 -'!D36=0),"N/A ",IF(B36&gt;0,B36/'- 7 -'!D36,0))</f>
        <v>22983.673469387755</v>
      </c>
      <c r="E36" s="24">
        <v>969400</v>
      </c>
      <c r="F36" s="355">
        <f>E36/'- 3 -'!D36*100</f>
        <v>5.044917144495711</v>
      </c>
      <c r="G36" s="24">
        <f>E36/'- 7 -'!F36</f>
        <v>527.4211099020674</v>
      </c>
      <c r="H36" s="24">
        <v>684650</v>
      </c>
      <c r="I36" s="355">
        <f>H36/'- 3 -'!D36*100</f>
        <v>3.5630312801516286</v>
      </c>
      <c r="J36" s="24">
        <f>H36/'- 7 -'!F36</f>
        <v>372.49727965179545</v>
      </c>
    </row>
    <row r="37" spans="1:10" ht="13.5" customHeight="1">
      <c r="A37" s="362" t="s">
        <v>241</v>
      </c>
      <c r="B37" s="363">
        <v>0</v>
      </c>
      <c r="C37" s="364">
        <f>B37/'- 3 -'!D37*100</f>
        <v>0</v>
      </c>
      <c r="D37" s="363">
        <f>IF(AND(B37&gt;0,'- 7 -'!D37=0),"N/A ",IF(B37&gt;0,B37/'- 7 -'!D37,0))</f>
        <v>0</v>
      </c>
      <c r="E37" s="363">
        <v>3951954</v>
      </c>
      <c r="F37" s="364">
        <f>E37/'- 3 -'!D37*100</f>
        <v>11.994705392857428</v>
      </c>
      <c r="G37" s="363">
        <f>E37/'- 7 -'!F37</f>
        <v>1140.6996680617694</v>
      </c>
      <c r="H37" s="363">
        <v>1063711</v>
      </c>
      <c r="I37" s="364">
        <f>H37/'- 3 -'!D37*100</f>
        <v>3.2285041951757956</v>
      </c>
      <c r="J37" s="363">
        <f>H37/'- 7 -'!F37</f>
        <v>307.03160629239426</v>
      </c>
    </row>
    <row r="38" spans="1:10" ht="13.5" customHeight="1">
      <c r="A38" s="23" t="s">
        <v>242</v>
      </c>
      <c r="B38" s="24">
        <v>796410</v>
      </c>
      <c r="C38" s="355">
        <f>B38/'- 3 -'!D38*100</f>
        <v>0.9549522176160572</v>
      </c>
      <c r="D38" s="24">
        <f>IF(AND(B38&gt;0,'- 7 -'!D38=0),"N/A ",IF(B38&gt;0,B38/'- 7 -'!D38,0))</f>
        <v>46847.64705882353</v>
      </c>
      <c r="E38" s="24">
        <v>6194370</v>
      </c>
      <c r="F38" s="355">
        <f>E38/'- 3 -'!D38*100</f>
        <v>7.427490071991031</v>
      </c>
      <c r="G38" s="24">
        <f>E38/'- 7 -'!F38</f>
        <v>704.1457314993747</v>
      </c>
      <c r="H38" s="24">
        <v>1411157</v>
      </c>
      <c r="I38" s="355">
        <f>H38/'- 3 -'!D38*100</f>
        <v>1.692077581339288</v>
      </c>
      <c r="J38" s="24">
        <f>H38/'- 7 -'!F38</f>
        <v>160.41343639877232</v>
      </c>
    </row>
    <row r="39" spans="1:10" ht="13.5" customHeight="1">
      <c r="A39" s="362" t="s">
        <v>243</v>
      </c>
      <c r="B39" s="363">
        <v>0</v>
      </c>
      <c r="C39" s="364">
        <f>B39/'- 3 -'!D39*100</f>
        <v>0</v>
      </c>
      <c r="D39" s="363">
        <f>IF(AND(B39&gt;0,'- 7 -'!D39=0),"N/A ",IF(B39&gt;0,B39/'- 7 -'!D39,0))</f>
        <v>0</v>
      </c>
      <c r="E39" s="363">
        <v>1085400</v>
      </c>
      <c r="F39" s="364">
        <f>E39/'- 3 -'!D39*100</f>
        <v>6.306137346207288</v>
      </c>
      <c r="G39" s="363">
        <f>E39/'- 7 -'!F39</f>
        <v>664.6662584200857</v>
      </c>
      <c r="H39" s="363">
        <v>801500</v>
      </c>
      <c r="I39" s="364">
        <f>H39/'- 3 -'!D39*100</f>
        <v>4.6566879334670555</v>
      </c>
      <c r="J39" s="363">
        <f>H39/'- 7 -'!F39</f>
        <v>490.81445192896507</v>
      </c>
    </row>
    <row r="40" spans="1:10" ht="13.5" customHeight="1">
      <c r="A40" s="23" t="s">
        <v>244</v>
      </c>
      <c r="B40" s="24">
        <v>438100</v>
      </c>
      <c r="C40" s="355">
        <f>B40/'- 3 -'!D40*100</f>
        <v>0.520619688826527</v>
      </c>
      <c r="D40" s="24">
        <f>IF(AND(B40&gt;0,'- 7 -'!D40=0),"N/A ",IF(B40&gt;0,B40/'- 7 -'!D40,0))</f>
        <v>31292.85714285714</v>
      </c>
      <c r="E40" s="24">
        <v>6476569</v>
      </c>
      <c r="F40" s="355">
        <f>E40/'- 3 -'!D40*100</f>
        <v>7.696483308476447</v>
      </c>
      <c r="G40" s="24">
        <f>E40/'- 7 -'!F40</f>
        <v>775.0244118421367</v>
      </c>
      <c r="H40" s="24">
        <v>3974190</v>
      </c>
      <c r="I40" s="355">
        <f>H40/'- 3 -'!D40*100</f>
        <v>4.722760924760318</v>
      </c>
      <c r="J40" s="24">
        <f>H40/'- 7 -'!F40</f>
        <v>475.5749946150348</v>
      </c>
    </row>
    <row r="41" spans="1:10" ht="13.5" customHeight="1">
      <c r="A41" s="362" t="s">
        <v>245</v>
      </c>
      <c r="B41" s="363">
        <v>406758</v>
      </c>
      <c r="C41" s="364">
        <f>B41/'- 3 -'!D41*100</f>
        <v>0.7936606889533913</v>
      </c>
      <c r="D41" s="363">
        <f>IF(AND(B41&gt;0,'- 7 -'!D41=0),"N/A ",IF(B41&gt;0,B41/'- 7 -'!D41,0))</f>
        <v>7822.2692307692305</v>
      </c>
      <c r="E41" s="363">
        <v>5604599</v>
      </c>
      <c r="F41" s="364">
        <f>E41/'- 3 -'!D41*100</f>
        <v>10.935617501432024</v>
      </c>
      <c r="G41" s="363">
        <f>E41/'- 7 -'!F41</f>
        <v>1210.758047094405</v>
      </c>
      <c r="H41" s="363">
        <v>1776020</v>
      </c>
      <c r="I41" s="364">
        <f>H41/'- 3 -'!D41*100</f>
        <v>3.4653461193018993</v>
      </c>
      <c r="J41" s="363">
        <f>H41/'- 7 -'!F41</f>
        <v>383.67249945992654</v>
      </c>
    </row>
    <row r="42" spans="1:10" ht="13.5" customHeight="1">
      <c r="A42" s="23" t="s">
        <v>246</v>
      </c>
      <c r="B42" s="24">
        <v>0</v>
      </c>
      <c r="C42" s="355">
        <f>B42/'- 3 -'!D42*100</f>
        <v>0</v>
      </c>
      <c r="D42" s="24">
        <f>IF(AND(B42&gt;0,'- 7 -'!D42=0),"N/A ",IF(B42&gt;0,B42/'- 7 -'!D42,0))</f>
        <v>0</v>
      </c>
      <c r="E42" s="24">
        <v>1728169</v>
      </c>
      <c r="F42" s="355">
        <f>E42/'- 3 -'!D42*100</f>
        <v>9.750661377751078</v>
      </c>
      <c r="G42" s="24">
        <f>E42/'- 7 -'!F42</f>
        <v>1061.5288697788699</v>
      </c>
      <c r="H42" s="24">
        <v>730691</v>
      </c>
      <c r="I42" s="355">
        <f>H42/'- 3 -'!D42*100</f>
        <v>4.122698944819813</v>
      </c>
      <c r="J42" s="24">
        <f>H42/'- 7 -'!F42</f>
        <v>448.8273955773956</v>
      </c>
    </row>
    <row r="43" spans="1:10" ht="13.5" customHeight="1">
      <c r="A43" s="362" t="s">
        <v>247</v>
      </c>
      <c r="B43" s="363">
        <v>0</v>
      </c>
      <c r="C43" s="364">
        <f>B43/'- 3 -'!D43*100</f>
        <v>0</v>
      </c>
      <c r="D43" s="363">
        <f>IF(AND(B43&gt;0,'- 7 -'!D43=0),"N/A ",IF(B43&gt;0,B43/'- 7 -'!D43,0))</f>
        <v>0</v>
      </c>
      <c r="E43" s="363">
        <v>450323</v>
      </c>
      <c r="F43" s="364">
        <f>E43/'- 3 -'!D43*100</f>
        <v>4.36794258781609</v>
      </c>
      <c r="G43" s="363">
        <f>E43/'- 7 -'!F43</f>
        <v>448.30562468889997</v>
      </c>
      <c r="H43" s="363">
        <v>897776</v>
      </c>
      <c r="I43" s="364">
        <f>H43/'- 3 -'!D43*100</f>
        <v>8.708047389805046</v>
      </c>
      <c r="J43" s="363">
        <f>H43/'- 7 -'!F43</f>
        <v>893.754106520657</v>
      </c>
    </row>
    <row r="44" spans="1:10" ht="13.5" customHeight="1">
      <c r="A44" s="23" t="s">
        <v>248</v>
      </c>
      <c r="B44" s="24">
        <v>0</v>
      </c>
      <c r="C44" s="355">
        <f>B44/'- 3 -'!D44*100</f>
        <v>0</v>
      </c>
      <c r="D44" s="24">
        <f>IF(AND(B44&gt;0,'- 7 -'!D44=0),"N/A ",IF(B44&gt;0,B44/'- 7 -'!D44,0))</f>
        <v>0</v>
      </c>
      <c r="E44" s="24">
        <v>712225</v>
      </c>
      <c r="F44" s="355">
        <f>E44/'- 3 -'!D44*100</f>
        <v>8.411543653044625</v>
      </c>
      <c r="G44" s="24">
        <f>E44/'- 7 -'!F44</f>
        <v>913.1089743589744</v>
      </c>
      <c r="H44" s="24">
        <v>359591</v>
      </c>
      <c r="I44" s="355">
        <f>H44/'- 3 -'!D44*100</f>
        <v>4.24685372423317</v>
      </c>
      <c r="J44" s="24">
        <f>H44/'- 7 -'!F44</f>
        <v>461.0141025641026</v>
      </c>
    </row>
    <row r="45" spans="1:10" ht="13.5" customHeight="1">
      <c r="A45" s="362" t="s">
        <v>249</v>
      </c>
      <c r="B45" s="363">
        <v>172914</v>
      </c>
      <c r="C45" s="364">
        <f>B45/'- 3 -'!D45*100</f>
        <v>1.3277827447216846</v>
      </c>
      <c r="D45" s="363">
        <f>IF(AND(B45&gt;0,'- 7 -'!D45=0),"N/A ",IF(B45&gt;0,B45/'- 7 -'!D45,0))</f>
        <v>21614.25</v>
      </c>
      <c r="E45" s="363">
        <v>738862</v>
      </c>
      <c r="F45" s="364">
        <f>E45/'- 3 -'!D45*100</f>
        <v>5.673619338691797</v>
      </c>
      <c r="G45" s="363">
        <f>E45/'- 7 -'!F45</f>
        <v>486.0934210526316</v>
      </c>
      <c r="H45" s="363">
        <v>575485</v>
      </c>
      <c r="I45" s="364">
        <f>H45/'- 3 -'!D45*100</f>
        <v>4.419069900911197</v>
      </c>
      <c r="J45" s="363">
        <f>H45/'- 7 -'!F45</f>
        <v>378.60855263157896</v>
      </c>
    </row>
    <row r="46" spans="1:10" ht="13.5" customHeight="1">
      <c r="A46" s="23" t="s">
        <v>250</v>
      </c>
      <c r="B46" s="24">
        <v>26844300</v>
      </c>
      <c r="C46" s="355">
        <f>B46/'- 3 -'!D46*100</f>
        <v>8.761983781828912</v>
      </c>
      <c r="D46" s="24">
        <f>IF(AND(B46&gt;0,'- 7 -'!D46=0),"N/A ",IF(B46&gt;0,B46/'- 7 -'!D46,0))</f>
        <v>21683.602584814216</v>
      </c>
      <c r="E46" s="24">
        <v>13270700</v>
      </c>
      <c r="F46" s="355">
        <f>E46/'- 3 -'!D46*100</f>
        <v>4.331558586870097</v>
      </c>
      <c r="G46" s="24">
        <f>E46/'- 7 -'!F46</f>
        <v>436.665460169129</v>
      </c>
      <c r="H46" s="24">
        <v>13869800</v>
      </c>
      <c r="I46" s="355">
        <f>H46/'- 3 -'!D46*100</f>
        <v>4.527104921983835</v>
      </c>
      <c r="J46" s="24">
        <f>H46/'- 7 -'!F46</f>
        <v>456.3785331183574</v>
      </c>
    </row>
    <row r="47" spans="1:10" ht="4.5" customHeight="1">
      <c r="A47"/>
      <c r="B47"/>
      <c r="C47"/>
      <c r="D47"/>
      <c r="E47"/>
      <c r="F47"/>
      <c r="G47"/>
      <c r="H47"/>
      <c r="I47"/>
      <c r="J47"/>
    </row>
    <row r="48" spans="1:10" ht="13.5" customHeight="1">
      <c r="A48" s="365" t="s">
        <v>251</v>
      </c>
      <c r="B48" s="366">
        <f>SUM(B11:B46)</f>
        <v>52502189.27065727</v>
      </c>
      <c r="C48" s="367">
        <f>B48/'- 3 -'!D48*100</f>
        <v>3.038820323488062</v>
      </c>
      <c r="D48" s="366">
        <f>B48/'- 7 -'!D48</f>
        <v>19966.60554122733</v>
      </c>
      <c r="E48" s="366">
        <f>SUM(E11:E46)</f>
        <v>112851398.19379428</v>
      </c>
      <c r="F48" s="367">
        <f>E48/'- 3 -'!D48*100</f>
        <v>6.531825189183256</v>
      </c>
      <c r="G48" s="366">
        <f>E48/'- 7 -'!F48</f>
        <v>655.1015189165548</v>
      </c>
      <c r="H48" s="366">
        <f>SUM(H11:H46)</f>
        <v>77758706.36286569</v>
      </c>
      <c r="I48" s="367">
        <f>H48/'- 3 -'!D48*100</f>
        <v>4.500664458113912</v>
      </c>
      <c r="J48" s="366">
        <f>H48/'- 7 -'!F48</f>
        <v>451.38870641038176</v>
      </c>
    </row>
    <row r="49" spans="1:10" ht="4.5" customHeight="1">
      <c r="A49" s="25" t="s">
        <v>3</v>
      </c>
      <c r="B49" s="26"/>
      <c r="C49" s="353"/>
      <c r="D49" s="26"/>
      <c r="E49" s="26"/>
      <c r="F49" s="353"/>
      <c r="H49" s="26"/>
      <c r="I49" s="353"/>
      <c r="J49" s="26"/>
    </row>
    <row r="50" spans="1:10" ht="13.5" customHeight="1">
      <c r="A50" s="23" t="s">
        <v>252</v>
      </c>
      <c r="B50" s="24">
        <v>0</v>
      </c>
      <c r="C50" s="355">
        <f>B50/'- 3 -'!D50*100</f>
        <v>0</v>
      </c>
      <c r="D50" s="24">
        <f>IF(AND(B50&gt;0,'- 7 -'!D50=0),"N/A ",IF(B50&gt;0,B50/'- 7 -'!D50,0))</f>
        <v>0</v>
      </c>
      <c r="E50" s="24">
        <v>275552</v>
      </c>
      <c r="F50" s="355">
        <f>E50/'- 3 -'!D50*100</f>
        <v>9.696174657258284</v>
      </c>
      <c r="G50" s="24">
        <f>E50/'- 7 -'!F50</f>
        <v>1290.64168618267</v>
      </c>
      <c r="H50" s="24">
        <v>84827</v>
      </c>
      <c r="I50" s="355">
        <f>H50/'- 3 -'!D50*100</f>
        <v>2.9849081394845567</v>
      </c>
      <c r="J50" s="24">
        <f>H50/'- 7 -'!F50</f>
        <v>397.3161592505855</v>
      </c>
    </row>
    <row r="51" spans="1:10" ht="13.5" customHeight="1">
      <c r="A51" s="362" t="s">
        <v>253</v>
      </c>
      <c r="B51" s="363">
        <v>0</v>
      </c>
      <c r="C51" s="364">
        <f>B51/'- 3 -'!D51*100</f>
        <v>0</v>
      </c>
      <c r="D51" s="363">
        <f>IF(AND(B51&gt;0,'- 7 -'!D51=0),"N/A ",IF(B51&gt;0,B51/'- 7 -'!D51,0))</f>
        <v>0</v>
      </c>
      <c r="E51" s="363">
        <v>85769</v>
      </c>
      <c r="F51" s="364">
        <f>E51/'- 3 -'!D51*100</f>
        <v>0.7068419422169547</v>
      </c>
      <c r="G51" s="363">
        <f>E51/'- 7 -'!F51</f>
        <v>137.45032051282053</v>
      </c>
      <c r="H51" s="363">
        <v>129334</v>
      </c>
      <c r="I51" s="364">
        <f>H51/'- 3 -'!D51*100</f>
        <v>1.0658710694386972</v>
      </c>
      <c r="J51" s="363">
        <f>H51/'- 7 -'!F51</f>
        <v>207.26602564102564</v>
      </c>
    </row>
    <row r="52" spans="1:10" ht="49.5" customHeight="1">
      <c r="A52" s="27"/>
      <c r="B52" s="27"/>
      <c r="C52" s="27"/>
      <c r="D52" s="27"/>
      <c r="E52" s="27"/>
      <c r="F52" s="27"/>
      <c r="G52" s="27"/>
      <c r="H52" s="27"/>
      <c r="I52" s="27"/>
      <c r="J52" s="27"/>
    </row>
    <row r="53" spans="1:10" ht="12" customHeight="1">
      <c r="A53" s="162" t="s">
        <v>530</v>
      </c>
      <c r="C53" s="117"/>
      <c r="D53" s="117"/>
      <c r="E53" s="117"/>
      <c r="F53" s="117"/>
      <c r="G53" s="117"/>
      <c r="H53" s="117"/>
      <c r="I53" s="117"/>
      <c r="J53" s="117"/>
    </row>
    <row r="54" spans="3:10" ht="12" customHeight="1">
      <c r="C54" s="117"/>
      <c r="D54" s="117"/>
      <c r="E54" s="217"/>
      <c r="F54" s="117"/>
      <c r="G54" s="117"/>
      <c r="H54" s="117"/>
      <c r="I54" s="117"/>
      <c r="J54" s="117"/>
    </row>
    <row r="55" ht="14.25" customHeight="1">
      <c r="B55" s="117"/>
    </row>
    <row r="56" ht="14.25" customHeight="1">
      <c r="B56" s="117"/>
    </row>
    <row r="57" ht="14.25" customHeight="1"/>
    <row r="58"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sheetPr codeName="Sheet23">
    <pageSetUpPr fitToPage="1"/>
  </sheetPr>
  <dimension ref="A1:E54"/>
  <sheetViews>
    <sheetView showGridLines="0" showZeros="0" workbookViewId="0" topLeftCell="A1">
      <selection activeCell="A1" sqref="A1"/>
    </sheetView>
  </sheetViews>
  <sheetFormatPr defaultColWidth="15.83203125" defaultRowHeight="12"/>
  <cols>
    <col min="1" max="1" width="36.83203125" style="1" customWidth="1"/>
    <col min="2" max="2" width="24.83203125" style="1" customWidth="1"/>
    <col min="3" max="4" width="15.83203125" style="1" customWidth="1"/>
    <col min="5" max="5" width="40.83203125" style="1" customWidth="1"/>
    <col min="6" max="16384" width="15.83203125" style="1" customWidth="1"/>
  </cols>
  <sheetData>
    <row r="1" spans="1:5" ht="6.75" customHeight="1">
      <c r="A1" s="3"/>
      <c r="B1" s="4"/>
      <c r="C1" s="4"/>
      <c r="D1" s="4"/>
      <c r="E1" s="4"/>
    </row>
    <row r="2" spans="1:5" ht="15.75" customHeight="1">
      <c r="A2" s="167"/>
      <c r="B2" s="5" t="s">
        <v>491</v>
      </c>
      <c r="C2" s="6"/>
      <c r="D2" s="6"/>
      <c r="E2" s="190" t="s">
        <v>421</v>
      </c>
    </row>
    <row r="3" spans="1:5" ht="15.75" customHeight="1">
      <c r="A3" s="170"/>
      <c r="B3" s="7" t="str">
        <f>OPYEAR</f>
        <v>OPERATING FUND 2008/2009 BUDGET</v>
      </c>
      <c r="C3" s="8"/>
      <c r="D3" s="8"/>
      <c r="E3" s="103"/>
    </row>
    <row r="4" spans="2:5" ht="15.75" customHeight="1">
      <c r="B4" s="4"/>
      <c r="C4" s="4"/>
      <c r="D4" s="4"/>
      <c r="E4" s="4"/>
    </row>
    <row r="5" spans="2:5" ht="15.75" customHeight="1">
      <c r="B5" s="517" t="s">
        <v>468</v>
      </c>
      <c r="C5" s="180"/>
      <c r="D5" s="174"/>
      <c r="E5" s="77"/>
    </row>
    <row r="6" spans="2:5" ht="15.75" customHeight="1">
      <c r="B6" s="356" t="s">
        <v>18</v>
      </c>
      <c r="C6" s="357"/>
      <c r="D6" s="358"/>
      <c r="E6" s="107"/>
    </row>
    <row r="7" spans="2:5" ht="15.75" customHeight="1">
      <c r="B7" s="359" t="s">
        <v>460</v>
      </c>
      <c r="C7" s="360"/>
      <c r="D7" s="361"/>
      <c r="E7" s="107"/>
    </row>
    <row r="8" spans="1:5" ht="15.75" customHeight="1">
      <c r="A8" s="104"/>
      <c r="B8" s="176"/>
      <c r="C8" s="175"/>
      <c r="D8" s="175" t="s">
        <v>59</v>
      </c>
      <c r="E8" s="107"/>
    </row>
    <row r="9" spans="1:4" ht="15.75" customHeight="1">
      <c r="A9" s="35" t="s">
        <v>79</v>
      </c>
      <c r="B9" s="115" t="s">
        <v>80</v>
      </c>
      <c r="C9" s="115" t="s">
        <v>81</v>
      </c>
      <c r="D9" s="115" t="s">
        <v>82</v>
      </c>
    </row>
    <row r="10" ht="4.5" customHeight="1">
      <c r="A10" s="37"/>
    </row>
    <row r="11" spans="1:4" ht="13.5" customHeight="1">
      <c r="A11" s="362" t="s">
        <v>216</v>
      </c>
      <c r="B11" s="363">
        <v>225390</v>
      </c>
      <c r="C11" s="364">
        <f>B11/'- 3 -'!D11*100</f>
        <v>1.6840521257431567</v>
      </c>
      <c r="D11" s="363">
        <f>B11/'- 7 -'!F11</f>
        <v>159.51167728237792</v>
      </c>
    </row>
    <row r="12" spans="1:4" ht="13.5" customHeight="1">
      <c r="A12" s="23" t="s">
        <v>217</v>
      </c>
      <c r="B12" s="24">
        <v>283780</v>
      </c>
      <c r="C12" s="355">
        <f>B12/'- 3 -'!D12*100</f>
        <v>1.1295576514833416</v>
      </c>
      <c r="D12" s="24">
        <f>B12/'- 7 -'!F12</f>
        <v>122.68914829226114</v>
      </c>
    </row>
    <row r="13" spans="1:4" ht="13.5" customHeight="1">
      <c r="A13" s="362" t="s">
        <v>218</v>
      </c>
      <c r="B13" s="363">
        <v>1366500</v>
      </c>
      <c r="C13" s="364">
        <f>B13/'- 3 -'!D13*100</f>
        <v>2.3229405894982347</v>
      </c>
      <c r="D13" s="363">
        <f>B13/'- 7 -'!F13</f>
        <v>201.71315421551074</v>
      </c>
    </row>
    <row r="14" spans="1:4" ht="13.5" customHeight="1">
      <c r="A14" s="23" t="s">
        <v>254</v>
      </c>
      <c r="B14" s="24">
        <v>851354</v>
      </c>
      <c r="C14" s="355">
        <f>B14/'- 3 -'!D14*100</f>
        <v>1.496884048338921</v>
      </c>
      <c r="D14" s="24">
        <f>B14/'- 7 -'!F14</f>
        <v>176.0814891416753</v>
      </c>
    </row>
    <row r="15" spans="1:4" ht="13.5" customHeight="1">
      <c r="A15" s="362" t="s">
        <v>219</v>
      </c>
      <c r="B15" s="363">
        <v>326390</v>
      </c>
      <c r="C15" s="364">
        <f>B15/'- 3 -'!D15*100</f>
        <v>1.9988367932212858</v>
      </c>
      <c r="D15" s="363">
        <f>B15/'- 7 -'!F15</f>
        <v>204.18517360025024</v>
      </c>
    </row>
    <row r="16" spans="1:4" ht="13.5" customHeight="1">
      <c r="A16" s="23" t="s">
        <v>220</v>
      </c>
      <c r="B16" s="24">
        <v>238423</v>
      </c>
      <c r="C16" s="355">
        <f>B16/'- 3 -'!D16*100</f>
        <v>2.091008504689888</v>
      </c>
      <c r="D16" s="24">
        <f>B16/'- 7 -'!F16</f>
        <v>221.47979563399906</v>
      </c>
    </row>
    <row r="17" spans="1:4" ht="13.5" customHeight="1">
      <c r="A17" s="362" t="s">
        <v>221</v>
      </c>
      <c r="B17" s="363">
        <v>173537</v>
      </c>
      <c r="C17" s="364">
        <f>B17/'- 3 -'!D17*100</f>
        <v>1.1818121455532307</v>
      </c>
      <c r="D17" s="363">
        <f>B17/'- 7 -'!F17</f>
        <v>125.84263959390863</v>
      </c>
    </row>
    <row r="18" spans="1:4" ht="13.5" customHeight="1">
      <c r="A18" s="23" t="s">
        <v>222</v>
      </c>
      <c r="B18" s="24">
        <v>1399867</v>
      </c>
      <c r="C18" s="355">
        <f>B18/'- 3 -'!D18*100</f>
        <v>1.3991249880538354</v>
      </c>
      <c r="D18" s="24">
        <f>B18/'- 7 -'!F18</f>
        <v>240.79176413925964</v>
      </c>
    </row>
    <row r="19" spans="1:4" ht="13.5" customHeight="1">
      <c r="A19" s="362" t="s">
        <v>223</v>
      </c>
      <c r="B19" s="363">
        <v>514000</v>
      </c>
      <c r="C19" s="364">
        <f>B19/'- 3 -'!D19*100</f>
        <v>1.772411653985935</v>
      </c>
      <c r="D19" s="363">
        <f>B19/'- 7 -'!F19</f>
        <v>134.69601677148847</v>
      </c>
    </row>
    <row r="20" spans="1:4" ht="13.5" customHeight="1">
      <c r="A20" s="23" t="s">
        <v>224</v>
      </c>
      <c r="B20" s="24">
        <v>619095.054853355</v>
      </c>
      <c r="C20" s="355">
        <f>B20/'- 3 -'!D20*100</f>
        <v>1.1203769295622739</v>
      </c>
      <c r="D20" s="24">
        <f>B20/'- 7 -'!F20</f>
        <v>86.22493800186004</v>
      </c>
    </row>
    <row r="21" spans="1:4" ht="13.5" customHeight="1">
      <c r="A21" s="362" t="s">
        <v>225</v>
      </c>
      <c r="B21" s="363">
        <v>573200</v>
      </c>
      <c r="C21" s="364">
        <f>B21/'- 3 -'!D21*100</f>
        <v>2.0159106415603962</v>
      </c>
      <c r="D21" s="363">
        <f>B21/'- 7 -'!F21</f>
        <v>192.63989245504956</v>
      </c>
    </row>
    <row r="22" spans="1:4" ht="13.5" customHeight="1">
      <c r="A22" s="23" t="s">
        <v>226</v>
      </c>
      <c r="B22" s="24">
        <v>397610</v>
      </c>
      <c r="C22" s="355">
        <f>B22/'- 3 -'!D22*100</f>
        <v>2.480126118975943</v>
      </c>
      <c r="D22" s="24">
        <f>B22/'- 7 -'!F22</f>
        <v>234.57817109144543</v>
      </c>
    </row>
    <row r="23" spans="1:4" ht="13.5" customHeight="1">
      <c r="A23" s="362" t="s">
        <v>227</v>
      </c>
      <c r="B23" s="363">
        <v>285564</v>
      </c>
      <c r="C23" s="364">
        <f>B23/'- 3 -'!D23*100</f>
        <v>2.153383681809215</v>
      </c>
      <c r="D23" s="363">
        <f>B23/'- 7 -'!F23</f>
        <v>219.1588641596316</v>
      </c>
    </row>
    <row r="24" spans="1:4" ht="13.5" customHeight="1">
      <c r="A24" s="23" t="s">
        <v>228</v>
      </c>
      <c r="B24" s="24">
        <v>504845</v>
      </c>
      <c r="C24" s="355">
        <f>B24/'- 3 -'!D24*100</f>
        <v>1.136604535422338</v>
      </c>
      <c r="D24" s="24">
        <f>B24/'- 7 -'!F24</f>
        <v>114.0634884771803</v>
      </c>
    </row>
    <row r="25" spans="1:4" ht="13.5" customHeight="1">
      <c r="A25" s="362" t="s">
        <v>229</v>
      </c>
      <c r="B25" s="363">
        <v>2280275</v>
      </c>
      <c r="C25" s="364">
        <f>B25/'- 3 -'!D25*100</f>
        <v>1.700355444773359</v>
      </c>
      <c r="D25" s="363">
        <f>B25/'- 7 -'!F25</f>
        <v>160.76388888888889</v>
      </c>
    </row>
    <row r="26" spans="1:4" ht="13.5" customHeight="1">
      <c r="A26" s="23" t="s">
        <v>230</v>
      </c>
      <c r="B26" s="24">
        <v>765051</v>
      </c>
      <c r="C26" s="355">
        <f>B26/'- 3 -'!D26*100</f>
        <v>2.3586482350440687</v>
      </c>
      <c r="D26" s="24">
        <f>B26/'- 7 -'!F26</f>
        <v>244.34717342702012</v>
      </c>
    </row>
    <row r="27" spans="1:4" ht="13.5" customHeight="1">
      <c r="A27" s="362" t="s">
        <v>231</v>
      </c>
      <c r="B27" s="363">
        <v>421194</v>
      </c>
      <c r="C27" s="364">
        <f>B27/'- 3 -'!D27*100</f>
        <v>1.1935173065025007</v>
      </c>
      <c r="D27" s="363">
        <f>B27/'- 7 -'!F27</f>
        <v>130.76335593472916</v>
      </c>
    </row>
    <row r="28" spans="1:4" ht="13.5" customHeight="1">
      <c r="A28" s="23" t="s">
        <v>232</v>
      </c>
      <c r="B28" s="24">
        <v>310410</v>
      </c>
      <c r="C28" s="355">
        <f>B28/'- 3 -'!D28*100</f>
        <v>1.6704802868957467</v>
      </c>
      <c r="D28" s="24">
        <f>B28/'- 7 -'!F28</f>
        <v>176.26916524701875</v>
      </c>
    </row>
    <row r="29" spans="1:4" ht="13.5" customHeight="1">
      <c r="A29" s="362" t="s">
        <v>233</v>
      </c>
      <c r="B29" s="363">
        <v>2304315</v>
      </c>
      <c r="C29" s="364">
        <f>B29/'- 3 -'!D29*100</f>
        <v>1.872985017989334</v>
      </c>
      <c r="D29" s="363">
        <f>B29/'- 7 -'!F29</f>
        <v>189.4917972122857</v>
      </c>
    </row>
    <row r="30" spans="1:4" ht="13.5" customHeight="1">
      <c r="A30" s="23" t="s">
        <v>234</v>
      </c>
      <c r="B30" s="24">
        <v>129485</v>
      </c>
      <c r="C30" s="355">
        <f>B30/'- 3 -'!D30*100</f>
        <v>1.1348237383899342</v>
      </c>
      <c r="D30" s="24">
        <f>B30/'- 7 -'!F30</f>
        <v>110.01274426508071</v>
      </c>
    </row>
    <row r="31" spans="1:4" ht="13.5" customHeight="1">
      <c r="A31" s="362" t="s">
        <v>235</v>
      </c>
      <c r="B31" s="363">
        <v>494948</v>
      </c>
      <c r="C31" s="364">
        <f>B31/'- 3 -'!D31*100</f>
        <v>1.6862937240149332</v>
      </c>
      <c r="D31" s="363">
        <f>B31/'- 7 -'!F31</f>
        <v>151.138390130695</v>
      </c>
    </row>
    <row r="32" spans="1:4" ht="13.5" customHeight="1">
      <c r="A32" s="23" t="s">
        <v>236</v>
      </c>
      <c r="B32" s="24">
        <v>253916</v>
      </c>
      <c r="C32" s="355">
        <f>B32/'- 3 -'!D32*100</f>
        <v>1.158750074499421</v>
      </c>
      <c r="D32" s="24">
        <f>B32/'- 7 -'!F32</f>
        <v>115.73199635369188</v>
      </c>
    </row>
    <row r="33" spans="1:4" ht="13.5" customHeight="1">
      <c r="A33" s="362" t="s">
        <v>237</v>
      </c>
      <c r="B33" s="363">
        <v>211200</v>
      </c>
      <c r="C33" s="364">
        <f>B33/'- 3 -'!D33*100</f>
        <v>0.9186003523041124</v>
      </c>
      <c r="D33" s="363">
        <f>B33/'- 7 -'!F33</f>
        <v>97.05882352941177</v>
      </c>
    </row>
    <row r="34" spans="1:4" ht="13.5" customHeight="1">
      <c r="A34" s="23" t="s">
        <v>238</v>
      </c>
      <c r="B34" s="24">
        <v>444467</v>
      </c>
      <c r="C34" s="355">
        <f>B34/'- 3 -'!D34*100</f>
        <v>2.1493256322605574</v>
      </c>
      <c r="D34" s="24">
        <f>B34/'- 7 -'!F34</f>
        <v>219.48987654320987</v>
      </c>
    </row>
    <row r="35" spans="1:4" ht="13.5" customHeight="1">
      <c r="A35" s="362" t="s">
        <v>239</v>
      </c>
      <c r="B35" s="363">
        <v>2031000</v>
      </c>
      <c r="C35" s="364">
        <f>B35/'- 3 -'!D35*100</f>
        <v>1.3469871717080222</v>
      </c>
      <c r="D35" s="363">
        <f>B35/'- 7 -'!F35</f>
        <v>124.44090435635071</v>
      </c>
    </row>
    <row r="36" spans="1:4" ht="13.5" customHeight="1">
      <c r="A36" s="23" t="s">
        <v>240</v>
      </c>
      <c r="B36" s="24">
        <v>420095</v>
      </c>
      <c r="C36" s="355">
        <f>B36/'- 3 -'!D36*100</f>
        <v>2.186243519514056</v>
      </c>
      <c r="D36" s="24">
        <f>B36/'- 7 -'!F36</f>
        <v>228.56093579978238</v>
      </c>
    </row>
    <row r="37" spans="1:4" ht="13.5" customHeight="1">
      <c r="A37" s="362" t="s">
        <v>241</v>
      </c>
      <c r="B37" s="363">
        <v>575067</v>
      </c>
      <c r="C37" s="364">
        <f>B37/'- 3 -'!D37*100</f>
        <v>1.745404740580063</v>
      </c>
      <c r="D37" s="363">
        <f>B37/'- 7 -'!F37</f>
        <v>165.98845432241305</v>
      </c>
    </row>
    <row r="38" spans="1:4" ht="13.5" customHeight="1">
      <c r="A38" s="23" t="s">
        <v>242</v>
      </c>
      <c r="B38" s="24">
        <v>1301331</v>
      </c>
      <c r="C38" s="355">
        <f>B38/'- 3 -'!D38*100</f>
        <v>1.5603883983155928</v>
      </c>
      <c r="D38" s="24">
        <f>B38/'- 7 -'!F38</f>
        <v>147.92895305217687</v>
      </c>
    </row>
    <row r="39" spans="1:4" ht="13.5" customHeight="1">
      <c r="A39" s="362" t="s">
        <v>243</v>
      </c>
      <c r="B39" s="363">
        <v>115000</v>
      </c>
      <c r="C39" s="364">
        <f>B39/'- 3 -'!D39*100</f>
        <v>0.6681461164675127</v>
      </c>
      <c r="D39" s="363">
        <f>B39/'- 7 -'!F39</f>
        <v>70.4225352112676</v>
      </c>
    </row>
    <row r="40" spans="1:4" ht="13.5" customHeight="1">
      <c r="A40" s="23" t="s">
        <v>244</v>
      </c>
      <c r="B40" s="24">
        <v>1598363</v>
      </c>
      <c r="C40" s="355">
        <f>B40/'- 3 -'!D40*100</f>
        <v>1.8994276368222647</v>
      </c>
      <c r="D40" s="24">
        <f>B40/'- 7 -'!F40</f>
        <v>191.26953545700403</v>
      </c>
    </row>
    <row r="41" spans="1:4" ht="13.5" customHeight="1">
      <c r="A41" s="362" t="s">
        <v>245</v>
      </c>
      <c r="B41" s="363">
        <v>937334</v>
      </c>
      <c r="C41" s="364">
        <f>B41/'- 3 -'!D41*100</f>
        <v>1.8289133790102174</v>
      </c>
      <c r="D41" s="363">
        <f>B41/'- 7 -'!F41</f>
        <v>202.49168286887016</v>
      </c>
    </row>
    <row r="42" spans="1:4" ht="13.5" customHeight="1">
      <c r="A42" s="23" t="s">
        <v>246</v>
      </c>
      <c r="B42" s="24">
        <v>262921</v>
      </c>
      <c r="C42" s="355">
        <f>B42/'- 3 -'!D42*100</f>
        <v>1.4834507736799416</v>
      </c>
      <c r="D42" s="24">
        <f>B42/'- 7 -'!F42</f>
        <v>161.49938574938574</v>
      </c>
    </row>
    <row r="43" spans="1:4" ht="13.5" customHeight="1">
      <c r="A43" s="362" t="s">
        <v>247</v>
      </c>
      <c r="B43" s="363">
        <v>171726</v>
      </c>
      <c r="C43" s="364">
        <f>B43/'- 3 -'!D43*100</f>
        <v>1.6656695501569003</v>
      </c>
      <c r="D43" s="363">
        <f>B43/'- 7 -'!F43</f>
        <v>170.95669487307117</v>
      </c>
    </row>
    <row r="44" spans="1:4" ht="13.5" customHeight="1">
      <c r="A44" s="23" t="s">
        <v>248</v>
      </c>
      <c r="B44" s="24">
        <v>63976</v>
      </c>
      <c r="C44" s="355">
        <f>B44/'- 3 -'!D44*100</f>
        <v>0.7555715072444563</v>
      </c>
      <c r="D44" s="24">
        <f>B44/'- 7 -'!F44</f>
        <v>82.02051282051282</v>
      </c>
    </row>
    <row r="45" spans="1:4" ht="13.5" customHeight="1">
      <c r="A45" s="362" t="s">
        <v>249</v>
      </c>
      <c r="B45" s="363">
        <v>282519</v>
      </c>
      <c r="C45" s="364">
        <f>B45/'- 3 -'!D45*100</f>
        <v>2.1694244147728097</v>
      </c>
      <c r="D45" s="363">
        <f>B45/'- 7 -'!F45</f>
        <v>185.86776315789473</v>
      </c>
    </row>
    <row r="46" spans="1:4" ht="13.5" customHeight="1">
      <c r="A46" s="23" t="s">
        <v>250</v>
      </c>
      <c r="B46" s="24">
        <v>4425300</v>
      </c>
      <c r="C46" s="355">
        <f>B46/'- 3 -'!D46*100</f>
        <v>1.444418622565218</v>
      </c>
      <c r="D46" s="24">
        <f>B46/'- 7 -'!F46</f>
        <v>145.61218781876212</v>
      </c>
    </row>
    <row r="47" spans="1:4" ht="4.5" customHeight="1">
      <c r="A47"/>
      <c r="B47"/>
      <c r="C47"/>
      <c r="D47"/>
    </row>
    <row r="48" spans="1:5" ht="13.5" customHeight="1">
      <c r="A48" s="365" t="s">
        <v>251</v>
      </c>
      <c r="B48" s="366">
        <f>SUM(B11:B46)</f>
        <v>27559448.054853357</v>
      </c>
      <c r="C48" s="367">
        <f>B48/'- 3 -'!D48*100</f>
        <v>1.5951374983901405</v>
      </c>
      <c r="D48" s="366">
        <f>B48/'- 7 -'!F48</f>
        <v>159.98238896635252</v>
      </c>
      <c r="E48" s="37"/>
    </row>
    <row r="49" spans="1:4" ht="4.5" customHeight="1">
      <c r="A49" s="25" t="s">
        <v>3</v>
      </c>
      <c r="B49" s="26"/>
      <c r="C49" s="353"/>
      <c r="D49" s="26"/>
    </row>
    <row r="50" spans="1:4" ht="13.5" customHeight="1">
      <c r="A50" s="23" t="s">
        <v>252</v>
      </c>
      <c r="B50" s="24">
        <v>98148</v>
      </c>
      <c r="C50" s="355">
        <f>B50/'- 3 -'!D50*100</f>
        <v>3.453649947235317</v>
      </c>
      <c r="D50" s="24">
        <f>B50/'- 7 -'!F50</f>
        <v>459.7096018735363</v>
      </c>
    </row>
    <row r="51" spans="1:4" ht="13.5" customHeight="1">
      <c r="A51" s="362" t="s">
        <v>253</v>
      </c>
      <c r="B51" s="363">
        <v>647729</v>
      </c>
      <c r="C51" s="364">
        <f>B51/'- 3 -'!D51*100</f>
        <v>5.338082808360199</v>
      </c>
      <c r="D51" s="363">
        <f>B51/'- 7 -'!F51</f>
        <v>1038.0272435897436</v>
      </c>
    </row>
    <row r="52" spans="1:5" ht="49.5" customHeight="1">
      <c r="A52"/>
      <c r="B52"/>
      <c r="C52"/>
      <c r="D52"/>
      <c r="E52"/>
    </row>
    <row r="53" spans="1:5" ht="15" customHeight="1">
      <c r="A53"/>
      <c r="B53"/>
      <c r="C53"/>
      <c r="D53"/>
      <c r="E53"/>
    </row>
    <row r="54" spans="1:5" ht="14.25" customHeight="1">
      <c r="A54"/>
      <c r="B54"/>
      <c r="C54"/>
      <c r="D54"/>
      <c r="E54"/>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58"/>
  <sheetViews>
    <sheetView showGridLines="0" showZeros="0" workbookViewId="0" topLeftCell="A1">
      <selection activeCell="A2" sqref="A2"/>
    </sheetView>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ustomWidth="1"/>
  </cols>
  <sheetData>
    <row r="1" spans="1:6" ht="6.75" customHeight="1">
      <c r="A1" s="3"/>
      <c r="B1" s="4"/>
      <c r="C1" s="4"/>
      <c r="D1" s="4"/>
      <c r="E1" s="4"/>
      <c r="F1" s="4"/>
    </row>
    <row r="2" spans="1:6" ht="15.75" customHeight="1">
      <c r="A2" s="5" t="s">
        <v>478</v>
      </c>
      <c r="B2" s="6"/>
      <c r="C2" s="6"/>
      <c r="D2" s="6"/>
      <c r="E2" s="6"/>
      <c r="F2" s="6"/>
    </row>
    <row r="3" spans="1:6" ht="15.75" customHeight="1">
      <c r="A3" s="7" t="str">
        <f>"OPERATING FUND 2008/2009 BUDGET"</f>
        <v>OPERATING FUND 2008/2009 BUDGET</v>
      </c>
      <c r="B3" s="8"/>
      <c r="C3" s="9"/>
      <c r="D3" s="8"/>
      <c r="E3" s="8"/>
      <c r="F3" s="8"/>
    </row>
    <row r="4" spans="2:6" ht="15.75" customHeight="1">
      <c r="B4" s="4"/>
      <c r="C4" s="4"/>
      <c r="D4" s="4"/>
      <c r="E4" s="4"/>
      <c r="F4" s="4"/>
    </row>
    <row r="5" spans="2:6" ht="15.75" customHeight="1">
      <c r="B5" s="4"/>
      <c r="C5" s="4"/>
      <c r="D5" s="4"/>
      <c r="E5" s="4"/>
      <c r="F5" s="4"/>
    </row>
    <row r="6" spans="2:6" ht="15.75" customHeight="1">
      <c r="B6" s="10"/>
      <c r="C6" s="11" t="s">
        <v>28</v>
      </c>
      <c r="D6" s="12"/>
      <c r="E6" s="13" t="s">
        <v>28</v>
      </c>
      <c r="F6" s="13" t="s">
        <v>29</v>
      </c>
    </row>
    <row r="7" spans="2:6" ht="15.75" customHeight="1">
      <c r="B7" s="10"/>
      <c r="C7" s="14" t="s">
        <v>105</v>
      </c>
      <c r="D7" s="15"/>
      <c r="E7" s="16" t="s">
        <v>450</v>
      </c>
      <c r="F7" s="16" t="s">
        <v>260</v>
      </c>
    </row>
    <row r="8" spans="1:6" ht="15.75" customHeight="1">
      <c r="A8" s="17"/>
      <c r="B8" s="18" t="s">
        <v>54</v>
      </c>
      <c r="C8" s="14" t="s">
        <v>118</v>
      </c>
      <c r="D8" s="16" t="s">
        <v>477</v>
      </c>
      <c r="E8" s="16" t="s">
        <v>76</v>
      </c>
      <c r="F8" s="16" t="s">
        <v>77</v>
      </c>
    </row>
    <row r="9" spans="1:6" ht="13.5">
      <c r="A9" s="19" t="s">
        <v>79</v>
      </c>
      <c r="B9" s="20" t="s">
        <v>330</v>
      </c>
      <c r="C9" s="20" t="s">
        <v>331</v>
      </c>
      <c r="D9" s="21" t="s">
        <v>476</v>
      </c>
      <c r="E9" s="21" t="s">
        <v>332</v>
      </c>
      <c r="F9" s="21" t="s">
        <v>333</v>
      </c>
    </row>
    <row r="10" ht="4.5" customHeight="1">
      <c r="A10" s="22"/>
    </row>
    <row r="11" spans="1:6" ht="13.5" customHeight="1">
      <c r="A11" s="362" t="s">
        <v>216</v>
      </c>
      <c r="B11" s="363">
        <v>13426790</v>
      </c>
      <c r="C11" s="363">
        <v>-43000</v>
      </c>
      <c r="D11" s="363">
        <f>B11+C11</f>
        <v>13383790</v>
      </c>
      <c r="E11" s="363">
        <f>-'- 15 -'!H11-'- 16 -'!B11</f>
        <v>-14629</v>
      </c>
      <c r="F11" s="363">
        <f>D11+E11</f>
        <v>13369161</v>
      </c>
    </row>
    <row r="12" spans="1:6" ht="13.5" customHeight="1">
      <c r="A12" s="23" t="s">
        <v>217</v>
      </c>
      <c r="B12" s="24">
        <v>25305709</v>
      </c>
      <c r="C12" s="24">
        <v>-182600</v>
      </c>
      <c r="D12" s="24">
        <f aca="true" t="shared" si="0" ref="D12:D46">B12+C12</f>
        <v>25123109</v>
      </c>
      <c r="E12" s="24">
        <f>-'- 15 -'!H12-'- 16 -'!B12</f>
        <v>-537696</v>
      </c>
      <c r="F12" s="24">
        <f aca="true" t="shared" si="1" ref="F12:F46">D12+E12</f>
        <v>24585413</v>
      </c>
    </row>
    <row r="13" spans="1:6" ht="13.5" customHeight="1">
      <c r="A13" s="362" t="s">
        <v>218</v>
      </c>
      <c r="B13" s="363">
        <v>58961300</v>
      </c>
      <c r="C13" s="363">
        <v>-135000</v>
      </c>
      <c r="D13" s="363">
        <f t="shared" si="0"/>
        <v>58826300</v>
      </c>
      <c r="E13" s="363">
        <f>-'- 15 -'!H13-'- 16 -'!B13</f>
        <v>-121300</v>
      </c>
      <c r="F13" s="363">
        <f t="shared" si="1"/>
        <v>58705000</v>
      </c>
    </row>
    <row r="14" spans="1:6" ht="13.5" customHeight="1">
      <c r="A14" s="23" t="s">
        <v>254</v>
      </c>
      <c r="B14" s="24">
        <v>57095180</v>
      </c>
      <c r="C14" s="24">
        <v>-220100</v>
      </c>
      <c r="D14" s="24">
        <f t="shared" si="0"/>
        <v>56875080</v>
      </c>
      <c r="E14" s="24">
        <f>-'- 15 -'!H14-'- 16 -'!B14</f>
        <v>-595019</v>
      </c>
      <c r="F14" s="24">
        <f t="shared" si="1"/>
        <v>56280061</v>
      </c>
    </row>
    <row r="15" spans="1:6" ht="13.5" customHeight="1">
      <c r="A15" s="362" t="s">
        <v>219</v>
      </c>
      <c r="B15" s="363">
        <v>16396997</v>
      </c>
      <c r="C15" s="363">
        <v>-68000</v>
      </c>
      <c r="D15" s="363">
        <f t="shared" si="0"/>
        <v>16328997</v>
      </c>
      <c r="E15" s="363">
        <f>-'- 15 -'!H15-'- 16 -'!B15</f>
        <v>-234515</v>
      </c>
      <c r="F15" s="363">
        <f t="shared" si="1"/>
        <v>16094482</v>
      </c>
    </row>
    <row r="16" spans="1:6" ht="13.5" customHeight="1">
      <c r="A16" s="23" t="s">
        <v>220</v>
      </c>
      <c r="B16" s="24">
        <v>11402297</v>
      </c>
      <c r="C16" s="24">
        <v>0</v>
      </c>
      <c r="D16" s="24">
        <f t="shared" si="0"/>
        <v>11402297</v>
      </c>
      <c r="E16" s="24">
        <f>-'- 15 -'!H16-'- 16 -'!B16</f>
        <v>-93913</v>
      </c>
      <c r="F16" s="24">
        <f t="shared" si="1"/>
        <v>11308384</v>
      </c>
    </row>
    <row r="17" spans="1:6" ht="13.5" customHeight="1">
      <c r="A17" s="362" t="s">
        <v>221</v>
      </c>
      <c r="B17" s="363">
        <v>14869475</v>
      </c>
      <c r="C17" s="363">
        <v>-185500</v>
      </c>
      <c r="D17" s="363">
        <f t="shared" si="0"/>
        <v>14683975</v>
      </c>
      <c r="E17" s="363">
        <f>-'- 15 -'!H17-'- 16 -'!B17</f>
        <v>-55200</v>
      </c>
      <c r="F17" s="363">
        <f t="shared" si="1"/>
        <v>14628775</v>
      </c>
    </row>
    <row r="18" spans="1:6" ht="13.5" customHeight="1">
      <c r="A18" s="23" t="s">
        <v>222</v>
      </c>
      <c r="B18" s="24">
        <v>103753969</v>
      </c>
      <c r="C18" s="24">
        <v>-3700935</v>
      </c>
      <c r="D18" s="24">
        <f t="shared" si="0"/>
        <v>100053034</v>
      </c>
      <c r="E18" s="24">
        <f>-'- 15 -'!H18-'- 16 -'!B18</f>
        <v>-3608631</v>
      </c>
      <c r="F18" s="24">
        <f t="shared" si="1"/>
        <v>96444403</v>
      </c>
    </row>
    <row r="19" spans="1:6" ht="13.5" customHeight="1">
      <c r="A19" s="362" t="s">
        <v>223</v>
      </c>
      <c r="B19" s="363">
        <v>29147035</v>
      </c>
      <c r="C19" s="363">
        <v>-147000</v>
      </c>
      <c r="D19" s="363">
        <f t="shared" si="0"/>
        <v>29000035</v>
      </c>
      <c r="E19" s="363">
        <f>-'- 15 -'!H19-'- 16 -'!B19</f>
        <v>-40300</v>
      </c>
      <c r="F19" s="363">
        <f t="shared" si="1"/>
        <v>28959735</v>
      </c>
    </row>
    <row r="20" spans="1:6" ht="13.5" customHeight="1">
      <c r="A20" s="23" t="s">
        <v>224</v>
      </c>
      <c r="B20" s="24">
        <v>55737247.506031975</v>
      </c>
      <c r="C20" s="24">
        <v>-479500</v>
      </c>
      <c r="D20" s="24">
        <f t="shared" si="0"/>
        <v>55257747.506031975</v>
      </c>
      <c r="E20" s="24">
        <f>-'- 15 -'!H20-'- 16 -'!B20</f>
        <v>-89650</v>
      </c>
      <c r="F20" s="24">
        <f t="shared" si="1"/>
        <v>55168097.506031975</v>
      </c>
    </row>
    <row r="21" spans="1:6" ht="13.5" customHeight="1">
      <c r="A21" s="362" t="s">
        <v>225</v>
      </c>
      <c r="B21" s="363">
        <v>28890000</v>
      </c>
      <c r="C21" s="363">
        <v>-456200</v>
      </c>
      <c r="D21" s="363">
        <f t="shared" si="0"/>
        <v>28433800</v>
      </c>
      <c r="E21" s="363">
        <f>-'- 15 -'!H21-'- 16 -'!B21</f>
        <v>-110000</v>
      </c>
      <c r="F21" s="363">
        <f t="shared" si="1"/>
        <v>28323800</v>
      </c>
    </row>
    <row r="22" spans="1:6" ht="13.5" customHeight="1">
      <c r="A22" s="23" t="s">
        <v>226</v>
      </c>
      <c r="B22" s="24">
        <v>16051846</v>
      </c>
      <c r="C22" s="24">
        <v>-20000</v>
      </c>
      <c r="D22" s="24">
        <f t="shared" si="0"/>
        <v>16031846</v>
      </c>
      <c r="E22" s="24">
        <f>-'- 15 -'!H22-'- 16 -'!B22</f>
        <v>-530940</v>
      </c>
      <c r="F22" s="24">
        <f t="shared" si="1"/>
        <v>15500906</v>
      </c>
    </row>
    <row r="23" spans="1:6" ht="13.5" customHeight="1">
      <c r="A23" s="362" t="s">
        <v>227</v>
      </c>
      <c r="B23" s="363">
        <v>13297276</v>
      </c>
      <c r="C23" s="363">
        <v>-36100</v>
      </c>
      <c r="D23" s="363">
        <f t="shared" si="0"/>
        <v>13261176</v>
      </c>
      <c r="E23" s="363">
        <f>-'- 15 -'!H23-'- 16 -'!B23</f>
        <v>-461000</v>
      </c>
      <c r="F23" s="363">
        <f t="shared" si="1"/>
        <v>12800176</v>
      </c>
    </row>
    <row r="24" spans="1:6" ht="13.5" customHeight="1">
      <c r="A24" s="23" t="s">
        <v>228</v>
      </c>
      <c r="B24" s="24">
        <v>44635944</v>
      </c>
      <c r="C24" s="24">
        <v>-219000</v>
      </c>
      <c r="D24" s="24">
        <f t="shared" si="0"/>
        <v>44416944</v>
      </c>
      <c r="E24" s="24">
        <f>-'- 15 -'!H24-'- 16 -'!B24</f>
        <v>-781620</v>
      </c>
      <c r="F24" s="24">
        <f t="shared" si="1"/>
        <v>43635324</v>
      </c>
    </row>
    <row r="25" spans="1:6" ht="13.5" customHeight="1">
      <c r="A25" s="362" t="s">
        <v>229</v>
      </c>
      <c r="B25" s="363">
        <v>135488722</v>
      </c>
      <c r="C25" s="363">
        <v>-1382938</v>
      </c>
      <c r="D25" s="363">
        <f t="shared" si="0"/>
        <v>134105784</v>
      </c>
      <c r="E25" s="363">
        <f>-'- 15 -'!H25-'- 16 -'!B25</f>
        <v>-864162</v>
      </c>
      <c r="F25" s="363">
        <f t="shared" si="1"/>
        <v>133241622</v>
      </c>
    </row>
    <row r="26" spans="1:6" ht="13.5" customHeight="1">
      <c r="A26" s="23" t="s">
        <v>230</v>
      </c>
      <c r="B26" s="24">
        <v>32441394</v>
      </c>
      <c r="C26" s="24">
        <v>-5400</v>
      </c>
      <c r="D26" s="24">
        <f t="shared" si="0"/>
        <v>32435994</v>
      </c>
      <c r="E26" s="24">
        <f>-'- 15 -'!H26-'- 16 -'!B26</f>
        <v>-214194</v>
      </c>
      <c r="F26" s="24">
        <f t="shared" si="1"/>
        <v>32221800</v>
      </c>
    </row>
    <row r="27" spans="1:6" ht="13.5" customHeight="1">
      <c r="A27" s="362" t="s">
        <v>231</v>
      </c>
      <c r="B27" s="363">
        <v>35291546</v>
      </c>
      <c r="C27" s="363">
        <v>-1400</v>
      </c>
      <c r="D27" s="363">
        <f t="shared" si="0"/>
        <v>35290146</v>
      </c>
      <c r="E27" s="363">
        <f>-'- 15 -'!H27-'- 16 -'!B27</f>
        <v>-36302</v>
      </c>
      <c r="F27" s="363">
        <f t="shared" si="1"/>
        <v>35253844</v>
      </c>
    </row>
    <row r="28" spans="1:6" ht="13.5" customHeight="1">
      <c r="A28" s="23" t="s">
        <v>232</v>
      </c>
      <c r="B28" s="24">
        <v>18689881</v>
      </c>
      <c r="C28" s="24">
        <v>-107800</v>
      </c>
      <c r="D28" s="24">
        <f t="shared" si="0"/>
        <v>18582081</v>
      </c>
      <c r="E28" s="24">
        <f>-'- 15 -'!H28-'- 16 -'!B28</f>
        <v>-12650</v>
      </c>
      <c r="F28" s="24">
        <f t="shared" si="1"/>
        <v>18569431</v>
      </c>
    </row>
    <row r="29" spans="1:6" ht="13.5" customHeight="1">
      <c r="A29" s="362" t="s">
        <v>233</v>
      </c>
      <c r="B29" s="363">
        <v>124889014</v>
      </c>
      <c r="C29" s="363">
        <v>-1860000</v>
      </c>
      <c r="D29" s="363">
        <f t="shared" si="0"/>
        <v>123029014</v>
      </c>
      <c r="E29" s="363">
        <f>-'- 15 -'!H29-'- 16 -'!B29</f>
        <v>-100093</v>
      </c>
      <c r="F29" s="363">
        <f t="shared" si="1"/>
        <v>122928921</v>
      </c>
    </row>
    <row r="30" spans="1:6" ht="13.5" customHeight="1">
      <c r="A30" s="23" t="s">
        <v>234</v>
      </c>
      <c r="B30" s="24">
        <v>11444142</v>
      </c>
      <c r="C30" s="24">
        <v>-34000</v>
      </c>
      <c r="D30" s="24">
        <f t="shared" si="0"/>
        <v>11410142</v>
      </c>
      <c r="E30" s="24">
        <f>-'- 15 -'!H30-'- 16 -'!B30</f>
        <v>-12788</v>
      </c>
      <c r="F30" s="24">
        <f t="shared" si="1"/>
        <v>11397354</v>
      </c>
    </row>
    <row r="31" spans="1:6" ht="13.5" customHeight="1">
      <c r="A31" s="362" t="s">
        <v>235</v>
      </c>
      <c r="B31" s="363">
        <v>29593233</v>
      </c>
      <c r="C31" s="363">
        <v>-242000</v>
      </c>
      <c r="D31" s="363">
        <f t="shared" si="0"/>
        <v>29351233</v>
      </c>
      <c r="E31" s="363">
        <f>-'- 15 -'!H31-'- 16 -'!B31</f>
        <v>-182038</v>
      </c>
      <c r="F31" s="363">
        <f t="shared" si="1"/>
        <v>29169195</v>
      </c>
    </row>
    <row r="32" spans="1:6" ht="13.5" customHeight="1">
      <c r="A32" s="23" t="s">
        <v>236</v>
      </c>
      <c r="B32" s="24">
        <v>22107222</v>
      </c>
      <c r="C32" s="24">
        <v>-194300</v>
      </c>
      <c r="D32" s="24">
        <f t="shared" si="0"/>
        <v>21912922</v>
      </c>
      <c r="E32" s="24">
        <f>-'- 15 -'!H32-'- 16 -'!B32</f>
        <v>-253050</v>
      </c>
      <c r="F32" s="24">
        <f t="shared" si="1"/>
        <v>21659872</v>
      </c>
    </row>
    <row r="33" spans="1:6" ht="13.5" customHeight="1">
      <c r="A33" s="362" t="s">
        <v>237</v>
      </c>
      <c r="B33" s="363">
        <v>23123500</v>
      </c>
      <c r="C33" s="363">
        <v>-132000</v>
      </c>
      <c r="D33" s="363">
        <f t="shared" si="0"/>
        <v>22991500</v>
      </c>
      <c r="E33" s="363">
        <f>-'- 15 -'!H33-'- 16 -'!B33</f>
        <v>-21000</v>
      </c>
      <c r="F33" s="363">
        <f t="shared" si="1"/>
        <v>22970500</v>
      </c>
    </row>
    <row r="34" spans="1:6" ht="13.5" customHeight="1">
      <c r="A34" s="23" t="s">
        <v>238</v>
      </c>
      <c r="B34" s="24">
        <v>20979370</v>
      </c>
      <c r="C34" s="24">
        <v>-300000</v>
      </c>
      <c r="D34" s="24">
        <f t="shared" si="0"/>
        <v>20679370</v>
      </c>
      <c r="E34" s="24">
        <f>-'- 15 -'!H34-'- 16 -'!B34</f>
        <v>-17050</v>
      </c>
      <c r="F34" s="24">
        <f t="shared" si="1"/>
        <v>20662320</v>
      </c>
    </row>
    <row r="35" spans="1:6" ht="13.5" customHeight="1">
      <c r="A35" s="362" t="s">
        <v>239</v>
      </c>
      <c r="B35" s="363">
        <v>151006146</v>
      </c>
      <c r="C35" s="363">
        <v>-225200</v>
      </c>
      <c r="D35" s="363">
        <f t="shared" si="0"/>
        <v>150780946</v>
      </c>
      <c r="E35" s="363">
        <f>-'- 15 -'!H35-'- 16 -'!B35</f>
        <v>-572000</v>
      </c>
      <c r="F35" s="363">
        <f t="shared" si="1"/>
        <v>150208946</v>
      </c>
    </row>
    <row r="36" spans="1:6" ht="13.5" customHeight="1">
      <c r="A36" s="23" t="s">
        <v>240</v>
      </c>
      <c r="B36" s="24">
        <v>19364880</v>
      </c>
      <c r="C36" s="24">
        <v>-149500</v>
      </c>
      <c r="D36" s="24">
        <f t="shared" si="0"/>
        <v>19215380</v>
      </c>
      <c r="E36" s="24">
        <f>-'- 15 -'!H36-'- 16 -'!B36</f>
        <v>-20155</v>
      </c>
      <c r="F36" s="24">
        <f t="shared" si="1"/>
        <v>19195225</v>
      </c>
    </row>
    <row r="37" spans="1:6" ht="13.5" customHeight="1">
      <c r="A37" s="362" t="s">
        <v>241</v>
      </c>
      <c r="B37" s="363">
        <v>33565237</v>
      </c>
      <c r="C37" s="363">
        <v>-617750</v>
      </c>
      <c r="D37" s="363">
        <f t="shared" si="0"/>
        <v>32947487</v>
      </c>
      <c r="E37" s="363">
        <f>-'- 15 -'!H37-'- 16 -'!B37</f>
        <v>-10000</v>
      </c>
      <c r="F37" s="363">
        <f t="shared" si="1"/>
        <v>32937487</v>
      </c>
    </row>
    <row r="38" spans="1:6" ht="13.5" customHeight="1">
      <c r="A38" s="23" t="s">
        <v>242</v>
      </c>
      <c r="B38" s="24">
        <v>84433395</v>
      </c>
      <c r="C38" s="24">
        <v>-1035505</v>
      </c>
      <c r="D38" s="24">
        <f t="shared" si="0"/>
        <v>83397890</v>
      </c>
      <c r="E38" s="24">
        <f>-'- 15 -'!H38-'- 16 -'!B38</f>
        <v>-1128338</v>
      </c>
      <c r="F38" s="24">
        <f t="shared" si="1"/>
        <v>82269552</v>
      </c>
    </row>
    <row r="39" spans="1:6" ht="13.5" customHeight="1">
      <c r="A39" s="362" t="s">
        <v>243</v>
      </c>
      <c r="B39" s="363">
        <v>17318804</v>
      </c>
      <c r="C39" s="363">
        <v>-107000</v>
      </c>
      <c r="D39" s="363">
        <f t="shared" si="0"/>
        <v>17211804</v>
      </c>
      <c r="E39" s="363">
        <f>-'- 15 -'!H39-'- 16 -'!B39</f>
        <v>-72150</v>
      </c>
      <c r="F39" s="363">
        <f t="shared" si="1"/>
        <v>17139654</v>
      </c>
    </row>
    <row r="40" spans="1:6" ht="13.5" customHeight="1">
      <c r="A40" s="23" t="s">
        <v>244</v>
      </c>
      <c r="B40" s="24">
        <v>84735113</v>
      </c>
      <c r="C40" s="24">
        <v>-585395</v>
      </c>
      <c r="D40" s="24">
        <f t="shared" si="0"/>
        <v>84149718</v>
      </c>
      <c r="E40" s="24">
        <f>-'- 15 -'!H40-'- 16 -'!B40</f>
        <v>-691482</v>
      </c>
      <c r="F40" s="24">
        <f t="shared" si="1"/>
        <v>83458236</v>
      </c>
    </row>
    <row r="41" spans="1:6" ht="13.5" customHeight="1">
      <c r="A41" s="362" t="s">
        <v>245</v>
      </c>
      <c r="B41" s="363">
        <v>51827219</v>
      </c>
      <c r="C41" s="363">
        <v>-576350</v>
      </c>
      <c r="D41" s="363">
        <f t="shared" si="0"/>
        <v>51250869</v>
      </c>
      <c r="E41" s="363">
        <f>-'- 15 -'!H41-'- 16 -'!B41</f>
        <v>-1125064</v>
      </c>
      <c r="F41" s="363">
        <f t="shared" si="1"/>
        <v>50125805</v>
      </c>
    </row>
    <row r="42" spans="1:6" ht="13.5" customHeight="1">
      <c r="A42" s="23" t="s">
        <v>246</v>
      </c>
      <c r="B42" s="24">
        <v>17731208</v>
      </c>
      <c r="C42" s="24">
        <v>-7600</v>
      </c>
      <c r="D42" s="24">
        <f t="shared" si="0"/>
        <v>17723608</v>
      </c>
      <c r="E42" s="24">
        <f>-'- 15 -'!H42-'- 16 -'!B42</f>
        <v>-61041</v>
      </c>
      <c r="F42" s="24">
        <f t="shared" si="1"/>
        <v>17662567</v>
      </c>
    </row>
    <row r="43" spans="1:6" ht="13.5" customHeight="1">
      <c r="A43" s="362" t="s">
        <v>247</v>
      </c>
      <c r="B43" s="363">
        <v>10337728</v>
      </c>
      <c r="C43" s="363">
        <v>-28000</v>
      </c>
      <c r="D43" s="363">
        <f t="shared" si="0"/>
        <v>10309728</v>
      </c>
      <c r="E43" s="363">
        <f>-'- 15 -'!H43-'- 16 -'!B43</f>
        <v>-148000</v>
      </c>
      <c r="F43" s="363">
        <f t="shared" si="1"/>
        <v>10161728</v>
      </c>
    </row>
    <row r="44" spans="1:6" ht="13.5" customHeight="1">
      <c r="A44" s="23" t="s">
        <v>248</v>
      </c>
      <c r="B44" s="24">
        <v>8635533</v>
      </c>
      <c r="C44" s="24">
        <v>-168300</v>
      </c>
      <c r="D44" s="24">
        <f t="shared" si="0"/>
        <v>8467233</v>
      </c>
      <c r="E44" s="24">
        <f>-'- 15 -'!H44-'- 16 -'!B44</f>
        <v>-6050</v>
      </c>
      <c r="F44" s="24">
        <f t="shared" si="1"/>
        <v>8461183</v>
      </c>
    </row>
    <row r="45" spans="1:6" ht="13.5" customHeight="1">
      <c r="A45" s="362" t="s">
        <v>249</v>
      </c>
      <c r="B45" s="363">
        <v>13174363</v>
      </c>
      <c r="C45" s="363">
        <v>-151600</v>
      </c>
      <c r="D45" s="363">
        <f t="shared" si="0"/>
        <v>13022763</v>
      </c>
      <c r="E45" s="363">
        <f>-'- 15 -'!H45-'- 16 -'!B45</f>
        <v>-400605</v>
      </c>
      <c r="F45" s="363">
        <f t="shared" si="1"/>
        <v>12622158</v>
      </c>
    </row>
    <row r="46" spans="1:6" ht="13.5" customHeight="1">
      <c r="A46" s="23" t="s">
        <v>250</v>
      </c>
      <c r="B46" s="24">
        <v>308493200</v>
      </c>
      <c r="C46" s="24">
        <v>-2120800</v>
      </c>
      <c r="D46" s="24">
        <f t="shared" si="0"/>
        <v>306372400</v>
      </c>
      <c r="E46" s="24">
        <f>-'- 15 -'!H46-'- 16 -'!B46</f>
        <v>-7408600</v>
      </c>
      <c r="F46" s="24">
        <f t="shared" si="1"/>
        <v>298963800</v>
      </c>
    </row>
    <row r="47" spans="1:7" ht="4.5" customHeight="1">
      <c r="A47"/>
      <c r="B47"/>
      <c r="C47"/>
      <c r="D47"/>
      <c r="E47"/>
      <c r="F47"/>
      <c r="G47"/>
    </row>
    <row r="48" spans="1:6" ht="13.5" customHeight="1">
      <c r="A48" s="365" t="s">
        <v>251</v>
      </c>
      <c r="B48" s="366">
        <f>SUM(B11:B46)</f>
        <v>1743641915.506032</v>
      </c>
      <c r="C48" s="366">
        <f>SUM(C11:C46)</f>
        <v>-15925773</v>
      </c>
      <c r="D48" s="366">
        <f>SUM(D11:D46)</f>
        <v>1727716142.506032</v>
      </c>
      <c r="E48" s="366">
        <f>SUM(E11:E46)</f>
        <v>-20631225</v>
      </c>
      <c r="F48" s="366">
        <f>SUM(F11:F46)</f>
        <v>1707084917.506032</v>
      </c>
    </row>
    <row r="49" spans="1:6" ht="4.5" customHeight="1">
      <c r="A49" s="25" t="s">
        <v>3</v>
      </c>
      <c r="B49" s="26"/>
      <c r="C49" s="26"/>
      <c r="D49" s="26"/>
      <c r="E49" s="26"/>
      <c r="F49" s="26"/>
    </row>
    <row r="50" spans="1:6" ht="13.5" customHeight="1">
      <c r="A50" s="23" t="s">
        <v>252</v>
      </c>
      <c r="B50" s="24">
        <v>2841863</v>
      </c>
      <c r="C50" s="24"/>
      <c r="D50" s="24">
        <f>B50+C50</f>
        <v>2841863</v>
      </c>
      <c r="E50" s="24">
        <f>-'- 15 -'!H50-'- 16 -'!B50</f>
        <v>-9000</v>
      </c>
      <c r="F50" s="24">
        <f>D50+E50</f>
        <v>2832863</v>
      </c>
    </row>
    <row r="51" spans="1:6" ht="13.5" customHeight="1">
      <c r="A51" s="362" t="s">
        <v>253</v>
      </c>
      <c r="B51" s="363">
        <v>12703840</v>
      </c>
      <c r="C51" s="363">
        <v>-569727</v>
      </c>
      <c r="D51" s="363">
        <f>B51+C51</f>
        <v>12134113</v>
      </c>
      <c r="E51" s="363">
        <f>-'- 15 -'!H51-'- 16 -'!B51</f>
        <v>-4223373</v>
      </c>
      <c r="F51" s="363">
        <f>D51+E51</f>
        <v>7910740</v>
      </c>
    </row>
    <row r="52" spans="1:6" ht="49.5" customHeight="1">
      <c r="A52" s="27"/>
      <c r="B52" s="27"/>
      <c r="C52" s="27"/>
      <c r="D52" s="27"/>
      <c r="E52" s="27"/>
      <c r="F52" s="27"/>
    </row>
    <row r="53" spans="1:6" ht="15" customHeight="1">
      <c r="A53" s="40" t="s">
        <v>479</v>
      </c>
      <c r="B53" s="28"/>
      <c r="C53" s="28"/>
      <c r="D53" s="28"/>
      <c r="E53" s="28"/>
      <c r="F53" s="28"/>
    </row>
    <row r="54" spans="1:6" ht="12" customHeight="1">
      <c r="A54" s="41" t="s">
        <v>368</v>
      </c>
      <c r="B54" s="28"/>
      <c r="C54" s="28"/>
      <c r="D54" s="28"/>
      <c r="E54" s="28"/>
      <c r="F54" s="28"/>
    </row>
    <row r="55" spans="1:6" ht="12" customHeight="1">
      <c r="A55" s="29" t="s">
        <v>367</v>
      </c>
      <c r="B55" s="28"/>
      <c r="C55" s="28"/>
      <c r="D55" s="28"/>
      <c r="E55" s="28"/>
      <c r="F55" s="28"/>
    </row>
    <row r="56" spans="1:6" ht="12" customHeight="1">
      <c r="A56" s="41" t="s">
        <v>334</v>
      </c>
      <c r="B56" s="28"/>
      <c r="C56" s="28"/>
      <c r="D56" s="28"/>
      <c r="E56" s="28"/>
      <c r="F56" s="28"/>
    </row>
    <row r="57" ht="12" customHeight="1">
      <c r="A57" s="41" t="s">
        <v>480</v>
      </c>
    </row>
    <row r="58" ht="12" customHeight="1">
      <c r="A58" s="41" t="s">
        <v>335</v>
      </c>
    </row>
    <row r="59" ht="14.25" customHeight="1"/>
  </sheetData>
  <printOptions horizontalCentered="1"/>
  <pageMargins left="0.5" right="0.5" top="0.6" bottom="0" header="0.3" footer="0"/>
  <pageSetup fitToHeight="1" fitToWidth="1" horizontalDpi="1200" verticalDpi="1200" orientation="portrait"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sheetPr codeName="Sheet171">
    <pageSetUpPr fitToPage="1"/>
  </sheetPr>
  <dimension ref="A1:F58"/>
  <sheetViews>
    <sheetView showGridLines="0" showZeros="0" workbookViewId="0" topLeftCell="A1">
      <selection activeCell="A1" sqref="A1"/>
    </sheetView>
  </sheetViews>
  <sheetFormatPr defaultColWidth="15.83203125" defaultRowHeight="12"/>
  <cols>
    <col min="1" max="1" width="34.83203125" style="1" customWidth="1"/>
    <col min="2" max="2" width="23.83203125" style="1" customWidth="1"/>
    <col min="3" max="3" width="12.83203125" style="1" customWidth="1"/>
    <col min="4" max="4" width="22.83203125" style="1" customWidth="1"/>
    <col min="5" max="5" width="12.83203125" style="1" customWidth="1"/>
    <col min="6" max="6" width="25.83203125" style="1" customWidth="1"/>
    <col min="7" max="16384" width="15.83203125" style="1" customWidth="1"/>
  </cols>
  <sheetData>
    <row r="1" spans="1:5" ht="6.75" customHeight="1">
      <c r="A1" s="3"/>
      <c r="B1" s="4"/>
      <c r="C1" s="4"/>
      <c r="D1" s="4"/>
      <c r="E1" s="4"/>
    </row>
    <row r="2" spans="1:6" ht="15.75" customHeight="1">
      <c r="A2" s="167"/>
      <c r="B2" s="5" t="s">
        <v>491</v>
      </c>
      <c r="C2" s="6"/>
      <c r="D2" s="6"/>
      <c r="E2" s="190"/>
      <c r="F2" s="190" t="s">
        <v>420</v>
      </c>
    </row>
    <row r="3" spans="1:6" ht="15.75" customHeight="1">
      <c r="A3" s="170"/>
      <c r="B3" s="7" t="str">
        <f>OPYEAR</f>
        <v>OPERATING FUND 2008/2009 BUDGET</v>
      </c>
      <c r="C3" s="8"/>
      <c r="D3" s="8"/>
      <c r="E3" s="103"/>
      <c r="F3" s="103"/>
    </row>
    <row r="4" spans="2:5" ht="15.75" customHeight="1">
      <c r="B4" s="4"/>
      <c r="C4" s="4"/>
      <c r="D4" s="4"/>
      <c r="E4" s="4"/>
    </row>
    <row r="5" spans="2:5" ht="15.75" customHeight="1">
      <c r="B5" s="172" t="s">
        <v>278</v>
      </c>
      <c r="C5" s="201"/>
      <c r="D5" s="74"/>
      <c r="E5" s="215"/>
    </row>
    <row r="6" spans="2:5" ht="15.75" customHeight="1">
      <c r="B6" s="356" t="s">
        <v>30</v>
      </c>
      <c r="C6" s="357"/>
      <c r="D6" s="416"/>
      <c r="E6" s="418"/>
    </row>
    <row r="7" spans="2:5" ht="15.75" customHeight="1">
      <c r="B7" s="359" t="s">
        <v>200</v>
      </c>
      <c r="C7" s="360"/>
      <c r="D7" s="359" t="s">
        <v>156</v>
      </c>
      <c r="E7" s="361"/>
    </row>
    <row r="8" spans="1:5" ht="15.75" customHeight="1">
      <c r="A8" s="104"/>
      <c r="B8" s="176"/>
      <c r="C8" s="175"/>
      <c r="D8" s="175"/>
      <c r="E8" s="176"/>
    </row>
    <row r="9" spans="1:5" ht="15.75" customHeight="1">
      <c r="A9" s="35" t="s">
        <v>79</v>
      </c>
      <c r="B9" s="115" t="s">
        <v>80</v>
      </c>
      <c r="C9" s="115" t="s">
        <v>81</v>
      </c>
      <c r="D9" s="115" t="s">
        <v>80</v>
      </c>
      <c r="E9" s="115" t="s">
        <v>81</v>
      </c>
    </row>
    <row r="10" ht="4.5" customHeight="1">
      <c r="A10" s="37"/>
    </row>
    <row r="11" spans="1:5" ht="13.5" customHeight="1">
      <c r="A11" s="362" t="s">
        <v>216</v>
      </c>
      <c r="B11" s="363">
        <v>0</v>
      </c>
      <c r="C11" s="364">
        <f>B11/'- 3 -'!D11*100</f>
        <v>0</v>
      </c>
      <c r="D11" s="363">
        <v>0</v>
      </c>
      <c r="E11" s="364">
        <f>D11/'- 3 -'!D11*100</f>
        <v>0</v>
      </c>
    </row>
    <row r="12" spans="1:5" ht="13.5" customHeight="1">
      <c r="A12" s="23" t="s">
        <v>217</v>
      </c>
      <c r="B12" s="24">
        <v>98810</v>
      </c>
      <c r="C12" s="355">
        <f>B12/'- 3 -'!D12*100</f>
        <v>0.3933032332901155</v>
      </c>
      <c r="D12" s="24">
        <v>413699</v>
      </c>
      <c r="E12" s="355">
        <f>D12/'- 3 -'!D12*100</f>
        <v>1.6466871198146695</v>
      </c>
    </row>
    <row r="13" spans="1:5" ht="13.5" customHeight="1">
      <c r="A13" s="362" t="s">
        <v>218</v>
      </c>
      <c r="B13" s="363">
        <v>0</v>
      </c>
      <c r="C13" s="364">
        <f>B13/'- 3 -'!D13*100</f>
        <v>0</v>
      </c>
      <c r="D13" s="363">
        <v>0</v>
      </c>
      <c r="E13" s="364">
        <f>D13/'- 3 -'!D13*100</f>
        <v>0</v>
      </c>
    </row>
    <row r="14" spans="1:5" ht="13.5" customHeight="1">
      <c r="A14" s="23" t="s">
        <v>254</v>
      </c>
      <c r="B14" s="24">
        <v>0</v>
      </c>
      <c r="C14" s="355">
        <f>B14/'- 3 -'!D14*100</f>
        <v>0</v>
      </c>
      <c r="D14" s="24">
        <v>0</v>
      </c>
      <c r="E14" s="355">
        <f>D14/'- 3 -'!D14*100</f>
        <v>0</v>
      </c>
    </row>
    <row r="15" spans="1:5" ht="13.5" customHeight="1">
      <c r="A15" s="362" t="s">
        <v>219</v>
      </c>
      <c r="B15" s="363">
        <v>0</v>
      </c>
      <c r="C15" s="364">
        <f>B15/'- 3 -'!D15*100</f>
        <v>0</v>
      </c>
      <c r="D15" s="363">
        <v>0</v>
      </c>
      <c r="E15" s="364">
        <f>D15/'- 3 -'!D15*100</f>
        <v>0</v>
      </c>
    </row>
    <row r="16" spans="1:5" ht="13.5" customHeight="1">
      <c r="A16" s="23" t="s">
        <v>220</v>
      </c>
      <c r="B16" s="24">
        <v>10662</v>
      </c>
      <c r="C16" s="355">
        <f>B16/'- 3 -'!D16*100</f>
        <v>0.09350747485353171</v>
      </c>
      <c r="D16" s="24">
        <v>71838</v>
      </c>
      <c r="E16" s="355">
        <f>D16/'- 3 -'!D16*100</f>
        <v>0.6300309490272004</v>
      </c>
    </row>
    <row r="17" spans="1:5" ht="13.5" customHeight="1">
      <c r="A17" s="362" t="s">
        <v>221</v>
      </c>
      <c r="B17" s="363">
        <v>0</v>
      </c>
      <c r="C17" s="364">
        <f>B17/'- 3 -'!D17*100</f>
        <v>0</v>
      </c>
      <c r="D17" s="363">
        <v>0</v>
      </c>
      <c r="E17" s="364">
        <f>D17/'- 3 -'!D17*100</f>
        <v>0</v>
      </c>
    </row>
    <row r="18" spans="1:5" ht="13.5" customHeight="1">
      <c r="A18" s="23" t="s">
        <v>222</v>
      </c>
      <c r="B18" s="24">
        <v>220295</v>
      </c>
      <c r="C18" s="355">
        <f>B18/'- 3 -'!D18*100</f>
        <v>0.2201782306771427</v>
      </c>
      <c r="D18" s="24">
        <v>1568620</v>
      </c>
      <c r="E18" s="355">
        <f>D18/'- 3 -'!D18*100</f>
        <v>1.5677885390262127</v>
      </c>
    </row>
    <row r="19" spans="1:5" ht="13.5" customHeight="1">
      <c r="A19" s="362" t="s">
        <v>223</v>
      </c>
      <c r="B19" s="363">
        <v>0</v>
      </c>
      <c r="C19" s="364">
        <f>B19/'- 3 -'!D19*100</f>
        <v>0</v>
      </c>
      <c r="D19" s="363">
        <v>0</v>
      </c>
      <c r="E19" s="364">
        <f>D19/'- 3 -'!D19*100</f>
        <v>0</v>
      </c>
    </row>
    <row r="20" spans="1:5" ht="13.5" customHeight="1">
      <c r="A20" s="23" t="s">
        <v>224</v>
      </c>
      <c r="B20" s="24">
        <v>0</v>
      </c>
      <c r="C20" s="355">
        <f>B20/'- 3 -'!D20*100</f>
        <v>0</v>
      </c>
      <c r="D20" s="24">
        <v>0</v>
      </c>
      <c r="E20" s="355">
        <f>D20/'- 3 -'!D20*100</f>
        <v>0</v>
      </c>
    </row>
    <row r="21" spans="1:5" ht="13.5" customHeight="1">
      <c r="A21" s="362" t="s">
        <v>225</v>
      </c>
      <c r="B21" s="363">
        <v>0</v>
      </c>
      <c r="C21" s="364">
        <f>B21/'- 3 -'!D21*100</f>
        <v>0</v>
      </c>
      <c r="D21" s="363">
        <v>0</v>
      </c>
      <c r="E21" s="364">
        <f>D21/'- 3 -'!D21*100</f>
        <v>0</v>
      </c>
    </row>
    <row r="22" spans="1:5" ht="13.5" customHeight="1">
      <c r="A22" s="23" t="s">
        <v>226</v>
      </c>
      <c r="B22" s="24">
        <v>67950</v>
      </c>
      <c r="C22" s="355">
        <f>B22/'- 3 -'!D22*100</f>
        <v>0.42384389171402964</v>
      </c>
      <c r="D22" s="24">
        <v>387050</v>
      </c>
      <c r="E22" s="355">
        <f>D22/'- 3 -'!D22*100</f>
        <v>2.4142572227802086</v>
      </c>
    </row>
    <row r="23" spans="1:5" ht="13.5" customHeight="1">
      <c r="A23" s="362" t="s">
        <v>227</v>
      </c>
      <c r="B23" s="363">
        <v>12159</v>
      </c>
      <c r="C23" s="364">
        <f>B23/'- 3 -'!D23*100</f>
        <v>0.09168870091159337</v>
      </c>
      <c r="D23" s="363">
        <v>226841</v>
      </c>
      <c r="E23" s="364">
        <f>D23/'- 3 -'!D23*100</f>
        <v>1.710564734228699</v>
      </c>
    </row>
    <row r="24" spans="1:5" ht="13.5" customHeight="1">
      <c r="A24" s="23" t="s">
        <v>228</v>
      </c>
      <c r="B24" s="24">
        <v>127570</v>
      </c>
      <c r="C24" s="355">
        <f>B24/'- 3 -'!D24*100</f>
        <v>0.28721021419213355</v>
      </c>
      <c r="D24" s="24">
        <v>193625</v>
      </c>
      <c r="E24" s="355">
        <f>D24/'- 3 -'!D24*100</f>
        <v>0.4359259835615885</v>
      </c>
    </row>
    <row r="25" spans="1:5" ht="13.5" customHeight="1">
      <c r="A25" s="362" t="s">
        <v>229</v>
      </c>
      <c r="B25" s="363">
        <v>0</v>
      </c>
      <c r="C25" s="364">
        <f>B25/'- 3 -'!D25*100</f>
        <v>0</v>
      </c>
      <c r="D25" s="363">
        <v>0</v>
      </c>
      <c r="E25" s="364">
        <f>D25/'- 3 -'!D25*100</f>
        <v>0</v>
      </c>
    </row>
    <row r="26" spans="1:5" ht="13.5" customHeight="1">
      <c r="A26" s="23" t="s">
        <v>230</v>
      </c>
      <c r="B26" s="24">
        <v>0</v>
      </c>
      <c r="C26" s="355">
        <f>B26/'- 3 -'!D26*100</f>
        <v>0</v>
      </c>
      <c r="D26" s="24">
        <v>121981</v>
      </c>
      <c r="E26" s="355">
        <f>D26/'- 3 -'!D26*100</f>
        <v>0.37606678555927714</v>
      </c>
    </row>
    <row r="27" spans="1:5" ht="13.5" customHeight="1">
      <c r="A27" s="362" t="s">
        <v>231</v>
      </c>
      <c r="B27" s="363">
        <v>0</v>
      </c>
      <c r="C27" s="364">
        <f>B27/'- 3 -'!D27*100</f>
        <v>0</v>
      </c>
      <c r="D27" s="363">
        <v>0</v>
      </c>
      <c r="E27" s="364">
        <f>D27/'- 3 -'!D27*100</f>
        <v>0</v>
      </c>
    </row>
    <row r="28" spans="1:5" ht="13.5" customHeight="1">
      <c r="A28" s="23" t="s">
        <v>232</v>
      </c>
      <c r="B28" s="24">
        <v>0</v>
      </c>
      <c r="C28" s="355">
        <f>B28/'- 3 -'!D28*100</f>
        <v>0</v>
      </c>
      <c r="D28" s="24">
        <v>0</v>
      </c>
      <c r="E28" s="355">
        <f>D28/'- 3 -'!D28*100</f>
        <v>0</v>
      </c>
    </row>
    <row r="29" spans="1:5" ht="13.5" customHeight="1">
      <c r="A29" s="362" t="s">
        <v>233</v>
      </c>
      <c r="B29" s="363">
        <v>0</v>
      </c>
      <c r="C29" s="364">
        <f>B29/'- 3 -'!D29*100</f>
        <v>0</v>
      </c>
      <c r="D29" s="363">
        <v>0</v>
      </c>
      <c r="E29" s="364">
        <f>D29/'- 3 -'!D29*100</f>
        <v>0</v>
      </c>
    </row>
    <row r="30" spans="1:5" ht="13.5" customHeight="1">
      <c r="A30" s="23" t="s">
        <v>234</v>
      </c>
      <c r="B30" s="24">
        <v>0</v>
      </c>
      <c r="C30" s="355">
        <f>B30/'- 3 -'!D30*100</f>
        <v>0</v>
      </c>
      <c r="D30" s="24">
        <v>0</v>
      </c>
      <c r="E30" s="355">
        <f>D30/'- 3 -'!D30*100</f>
        <v>0</v>
      </c>
    </row>
    <row r="31" spans="1:5" ht="13.5" customHeight="1">
      <c r="A31" s="362" t="s">
        <v>235</v>
      </c>
      <c r="B31" s="363">
        <v>37696</v>
      </c>
      <c r="C31" s="364">
        <f>B31/'- 3 -'!D31*100</f>
        <v>0.12843072044026227</v>
      </c>
      <c r="D31" s="363">
        <v>112304</v>
      </c>
      <c r="E31" s="364">
        <f>D31/'- 3 -'!D31*100</f>
        <v>0.3826210639941429</v>
      </c>
    </row>
    <row r="32" spans="1:5" ht="13.5" customHeight="1">
      <c r="A32" s="23" t="s">
        <v>236</v>
      </c>
      <c r="B32" s="24">
        <v>62025</v>
      </c>
      <c r="C32" s="355">
        <f>B32/'- 3 -'!D32*100</f>
        <v>0.28305216438045094</v>
      </c>
      <c r="D32" s="24">
        <v>169425</v>
      </c>
      <c r="E32" s="355">
        <f>D32/'- 3 -'!D32*100</f>
        <v>0.7731739290634083</v>
      </c>
    </row>
    <row r="33" spans="1:5" ht="13.5" customHeight="1">
      <c r="A33" s="362" t="s">
        <v>237</v>
      </c>
      <c r="B33" s="363">
        <v>0</v>
      </c>
      <c r="C33" s="364">
        <f>B33/'- 3 -'!D33*100</f>
        <v>0</v>
      </c>
      <c r="D33" s="363">
        <v>0</v>
      </c>
      <c r="E33" s="364">
        <f>D33/'- 3 -'!D33*100</f>
        <v>0</v>
      </c>
    </row>
    <row r="34" spans="1:5" ht="13.5" customHeight="1">
      <c r="A34" s="23" t="s">
        <v>238</v>
      </c>
      <c r="B34" s="24">
        <v>0</v>
      </c>
      <c r="C34" s="355">
        <f>B34/'- 3 -'!D34*100</f>
        <v>0</v>
      </c>
      <c r="D34" s="24">
        <v>0</v>
      </c>
      <c r="E34" s="355">
        <f>D34/'- 3 -'!D34*100</f>
        <v>0</v>
      </c>
    </row>
    <row r="35" spans="1:5" ht="13.5" customHeight="1">
      <c r="A35" s="362" t="s">
        <v>239</v>
      </c>
      <c r="B35" s="363">
        <v>0</v>
      </c>
      <c r="C35" s="364">
        <f>B35/'- 3 -'!D35*100</f>
        <v>0</v>
      </c>
      <c r="D35" s="363">
        <v>0</v>
      </c>
      <c r="E35" s="364">
        <f>D35/'- 3 -'!D35*100</f>
        <v>0</v>
      </c>
    </row>
    <row r="36" spans="1:5" ht="13.5" customHeight="1">
      <c r="A36" s="23" t="s">
        <v>240</v>
      </c>
      <c r="B36" s="24">
        <v>0</v>
      </c>
      <c r="C36" s="355">
        <f>B36/'- 3 -'!D36*100</f>
        <v>0</v>
      </c>
      <c r="D36" s="24">
        <v>0</v>
      </c>
      <c r="E36" s="355">
        <f>D36/'- 3 -'!D36*100</f>
        <v>0</v>
      </c>
    </row>
    <row r="37" spans="1:5" ht="13.5" customHeight="1">
      <c r="A37" s="362" t="s">
        <v>241</v>
      </c>
      <c r="B37" s="363">
        <v>0</v>
      </c>
      <c r="C37" s="364">
        <f>B37/'- 3 -'!D37*100</f>
        <v>0</v>
      </c>
      <c r="D37" s="363">
        <v>0</v>
      </c>
      <c r="E37" s="364">
        <f>D37/'- 3 -'!D37*100</f>
        <v>0</v>
      </c>
    </row>
    <row r="38" spans="1:5" ht="13.5" customHeight="1">
      <c r="A38" s="23" t="s">
        <v>242</v>
      </c>
      <c r="B38" s="24">
        <v>81616</v>
      </c>
      <c r="C38" s="355">
        <f>B38/'- 3 -'!D38*100</f>
        <v>0.09786338719121072</v>
      </c>
      <c r="D38" s="24">
        <v>208178</v>
      </c>
      <c r="E38" s="355">
        <f>D38/'- 3 -'!D38*100</f>
        <v>0.24962022420471308</v>
      </c>
    </row>
    <row r="39" spans="1:5" ht="13.5" customHeight="1">
      <c r="A39" s="362" t="s">
        <v>243</v>
      </c>
      <c r="B39" s="363">
        <v>0</v>
      </c>
      <c r="C39" s="364">
        <f>B39/'- 3 -'!D39*100</f>
        <v>0</v>
      </c>
      <c r="D39" s="363">
        <v>0</v>
      </c>
      <c r="E39" s="364">
        <f>D39/'- 3 -'!D39*100</f>
        <v>0</v>
      </c>
    </row>
    <row r="40" spans="1:5" ht="13.5" customHeight="1">
      <c r="A40" s="23" t="s">
        <v>244</v>
      </c>
      <c r="B40" s="24">
        <v>0</v>
      </c>
      <c r="C40" s="355">
        <f>B40/'- 3 -'!D40*100</f>
        <v>0</v>
      </c>
      <c r="D40" s="24">
        <v>0</v>
      </c>
      <c r="E40" s="355">
        <f>D40/'- 3 -'!D40*100</f>
        <v>0</v>
      </c>
    </row>
    <row r="41" spans="1:5" ht="13.5" customHeight="1">
      <c r="A41" s="362" t="s">
        <v>245</v>
      </c>
      <c r="B41" s="363">
        <v>375048</v>
      </c>
      <c r="C41" s="364">
        <f>B41/'- 3 -'!D41*100</f>
        <v>0.7317885673314145</v>
      </c>
      <c r="D41" s="363">
        <v>600402</v>
      </c>
      <c r="E41" s="364">
        <f>D41/'- 3 -'!D41*100</f>
        <v>1.171496233556547</v>
      </c>
    </row>
    <row r="42" spans="1:5" ht="13.5" customHeight="1">
      <c r="A42" s="23" t="s">
        <v>246</v>
      </c>
      <c r="B42" s="24">
        <v>0</v>
      </c>
      <c r="C42" s="355">
        <f>B42/'- 3 -'!D42*100</f>
        <v>0</v>
      </c>
      <c r="D42" s="24">
        <v>0</v>
      </c>
      <c r="E42" s="355">
        <f>D42/'- 3 -'!D42*100</f>
        <v>0</v>
      </c>
    </row>
    <row r="43" spans="1:5" ht="13.5" customHeight="1">
      <c r="A43" s="362" t="s">
        <v>247</v>
      </c>
      <c r="B43" s="363">
        <v>2000</v>
      </c>
      <c r="C43" s="364">
        <f>B43/'- 3 -'!D43*100</f>
        <v>0.019399153886504084</v>
      </c>
      <c r="D43" s="363">
        <v>141000</v>
      </c>
      <c r="E43" s="364">
        <f>D43/'- 3 -'!D43*100</f>
        <v>1.367640348998538</v>
      </c>
    </row>
    <row r="44" spans="1:5" ht="13.5" customHeight="1">
      <c r="A44" s="23" t="s">
        <v>248</v>
      </c>
      <c r="B44" s="24">
        <v>0</v>
      </c>
      <c r="C44" s="355">
        <f>B44/'- 3 -'!D44*100</f>
        <v>0</v>
      </c>
      <c r="D44" s="24">
        <v>0</v>
      </c>
      <c r="E44" s="355">
        <f>D44/'- 3 -'!D44*100</f>
        <v>0</v>
      </c>
    </row>
    <row r="45" spans="1:5" ht="13.5" customHeight="1">
      <c r="A45" s="362" t="s">
        <v>249</v>
      </c>
      <c r="B45" s="363">
        <v>197249</v>
      </c>
      <c r="C45" s="364">
        <f>B45/'- 3 -'!D45*100</f>
        <v>1.5146478516118276</v>
      </c>
      <c r="D45" s="363">
        <v>174426</v>
      </c>
      <c r="E45" s="364">
        <f>D45/'- 3 -'!D45*100</f>
        <v>1.3393931840731494</v>
      </c>
    </row>
    <row r="46" spans="1:5" ht="13.5" customHeight="1">
      <c r="A46" s="23" t="s">
        <v>250</v>
      </c>
      <c r="B46" s="24">
        <v>111400</v>
      </c>
      <c r="C46" s="355">
        <f>B46/'- 3 -'!D46*100</f>
        <v>0.03636097768597955</v>
      </c>
      <c r="D46" s="24">
        <v>428600</v>
      </c>
      <c r="E46" s="355">
        <f>D46/'- 3 -'!D46*100</f>
        <v>0.13989510804498057</v>
      </c>
    </row>
    <row r="47" spans="1:5" ht="4.5" customHeight="1">
      <c r="A47"/>
      <c r="B47"/>
      <c r="C47"/>
      <c r="D47"/>
      <c r="E47"/>
    </row>
    <row r="48" spans="1:5" ht="13.5" customHeight="1">
      <c r="A48" s="365" t="s">
        <v>251</v>
      </c>
      <c r="B48" s="366">
        <f>SUM(B11:B46)</f>
        <v>1404480</v>
      </c>
      <c r="C48" s="367">
        <f>B48/'- 3 -'!D48*100</f>
        <v>0.08129113142178658</v>
      </c>
      <c r="D48" s="366">
        <f>SUM(D11:D46)</f>
        <v>4817989</v>
      </c>
      <c r="E48" s="367">
        <f>D48/'- 3 -'!D48*100</f>
        <v>0.27886461678893404</v>
      </c>
    </row>
    <row r="49" spans="1:5" ht="4.5" customHeight="1">
      <c r="A49" s="25" t="s">
        <v>3</v>
      </c>
      <c r="B49" s="26"/>
      <c r="C49" s="353"/>
      <c r="D49" s="26"/>
      <c r="E49" s="353"/>
    </row>
    <row r="50" spans="1:5" ht="13.5" customHeight="1">
      <c r="A50" s="23" t="s">
        <v>252</v>
      </c>
      <c r="B50" s="24">
        <v>0</v>
      </c>
      <c r="C50" s="355">
        <f>B50/'- 3 -'!D50*100</f>
        <v>0</v>
      </c>
      <c r="D50" s="24">
        <v>0</v>
      </c>
      <c r="E50" s="355">
        <f>D50/'- 3 -'!D50*100</f>
        <v>0</v>
      </c>
    </row>
    <row r="51" spans="1:5" ht="13.5" customHeight="1">
      <c r="A51" s="362" t="s">
        <v>253</v>
      </c>
      <c r="B51" s="363">
        <v>28222</v>
      </c>
      <c r="C51" s="364">
        <f>B51/'- 3 -'!D51*100</f>
        <v>0.23258395566284903</v>
      </c>
      <c r="D51" s="363">
        <v>1888777</v>
      </c>
      <c r="E51" s="364">
        <f>D51/'- 3 -'!D51*100</f>
        <v>15.565843172879632</v>
      </c>
    </row>
    <row r="52" ht="49.5" customHeight="1"/>
    <row r="53" ht="15" customHeight="1">
      <c r="A53" s="166"/>
    </row>
    <row r="54" ht="14.25" customHeight="1"/>
    <row r="55" ht="14.25" customHeight="1"/>
    <row r="56" ht="14.25" customHeight="1"/>
    <row r="57" ht="14.25" customHeight="1"/>
    <row r="58" ht="14.25" customHeight="1">
      <c r="A58" s="28"/>
    </row>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I51"/>
  <sheetViews>
    <sheetView showGridLines="0" showZeros="0" workbookViewId="0" topLeftCell="A1">
      <selection activeCell="A1" sqref="A1"/>
    </sheetView>
  </sheetViews>
  <sheetFormatPr defaultColWidth="15.83203125" defaultRowHeight="12"/>
  <cols>
    <col min="1" max="1" width="29.83203125" style="1" customWidth="1"/>
    <col min="2" max="2" width="14.83203125" style="1" customWidth="1"/>
    <col min="3" max="3" width="8.83203125" style="1" customWidth="1"/>
    <col min="4" max="4" width="17.83203125" style="1" customWidth="1"/>
    <col min="5" max="5" width="8.83203125" style="1" customWidth="1"/>
    <col min="6" max="6" width="18.83203125" style="1" customWidth="1"/>
    <col min="7" max="7" width="8.83203125" style="1" customWidth="1"/>
    <col min="8" max="8" width="16.83203125" style="1" customWidth="1"/>
    <col min="9" max="9" width="8.83203125" style="1" customWidth="1"/>
    <col min="10" max="16384" width="15.83203125" style="1" customWidth="1"/>
  </cols>
  <sheetData>
    <row r="1" spans="1:9" ht="6.75" customHeight="1">
      <c r="A1" s="3"/>
      <c r="B1" s="4"/>
      <c r="C1" s="4"/>
      <c r="D1" s="4"/>
      <c r="E1" s="4"/>
      <c r="F1" s="4"/>
      <c r="G1" s="4"/>
      <c r="H1" s="4"/>
      <c r="I1" s="4"/>
    </row>
    <row r="2" spans="1:9" ht="15.75" customHeight="1">
      <c r="A2" s="167"/>
      <c r="B2" s="5" t="s">
        <v>491</v>
      </c>
      <c r="C2" s="6"/>
      <c r="D2" s="6"/>
      <c r="E2" s="6"/>
      <c r="F2" s="6"/>
      <c r="G2" s="108"/>
      <c r="H2" s="108"/>
      <c r="I2" s="190" t="s">
        <v>419</v>
      </c>
    </row>
    <row r="3" spans="1:9" ht="15.75" customHeight="1">
      <c r="A3" s="170"/>
      <c r="B3" s="7" t="str">
        <f>OPYEAR</f>
        <v>OPERATING FUND 2008/2009 BUDGET</v>
      </c>
      <c r="C3" s="8"/>
      <c r="D3" s="8"/>
      <c r="E3" s="8"/>
      <c r="F3" s="8"/>
      <c r="G3" s="110"/>
      <c r="H3" s="110"/>
      <c r="I3" s="103"/>
    </row>
    <row r="4" spans="2:9" ht="15.75" customHeight="1">
      <c r="B4" s="4"/>
      <c r="C4" s="4"/>
      <c r="D4" s="4"/>
      <c r="E4" s="4"/>
      <c r="F4" s="4"/>
      <c r="G4" s="4"/>
      <c r="H4" s="4"/>
      <c r="I4" s="4"/>
    </row>
    <row r="5" spans="2:9" ht="15.75" customHeight="1">
      <c r="B5" s="4"/>
      <c r="C5" s="4"/>
      <c r="D5" s="4"/>
      <c r="E5" s="4"/>
      <c r="F5" s="4"/>
      <c r="G5" s="4"/>
      <c r="H5" s="4"/>
      <c r="I5" s="4"/>
    </row>
    <row r="6" spans="2:9" ht="15.75" customHeight="1">
      <c r="B6" s="191" t="s">
        <v>13</v>
      </c>
      <c r="C6" s="192"/>
      <c r="D6" s="193"/>
      <c r="E6" s="193"/>
      <c r="F6" s="193"/>
      <c r="G6" s="193"/>
      <c r="H6" s="193"/>
      <c r="I6" s="194"/>
    </row>
    <row r="7" spans="2:9" ht="15.75" customHeight="1">
      <c r="B7" s="356" t="s">
        <v>212</v>
      </c>
      <c r="C7" s="358"/>
      <c r="D7" s="356" t="s">
        <v>403</v>
      </c>
      <c r="E7" s="358"/>
      <c r="F7" s="356" t="s">
        <v>37</v>
      </c>
      <c r="G7" s="358"/>
      <c r="H7" s="419"/>
      <c r="I7" s="370"/>
    </row>
    <row r="8" spans="1:9" ht="15.75" customHeight="1">
      <c r="A8" s="104"/>
      <c r="B8" s="360" t="s">
        <v>76</v>
      </c>
      <c r="C8" s="361"/>
      <c r="D8" s="359" t="s">
        <v>404</v>
      </c>
      <c r="E8" s="361"/>
      <c r="F8" s="359" t="s">
        <v>60</v>
      </c>
      <c r="G8" s="361"/>
      <c r="H8" s="359" t="s">
        <v>172</v>
      </c>
      <c r="I8" s="361"/>
    </row>
    <row r="9" spans="1:9" ht="15.75" customHeight="1">
      <c r="A9" s="35" t="s">
        <v>79</v>
      </c>
      <c r="B9" s="195" t="s">
        <v>80</v>
      </c>
      <c r="C9" s="195" t="s">
        <v>81</v>
      </c>
      <c r="D9" s="195" t="s">
        <v>80</v>
      </c>
      <c r="E9" s="195" t="s">
        <v>81</v>
      </c>
      <c r="F9" s="195" t="s">
        <v>80</v>
      </c>
      <c r="G9" s="195" t="s">
        <v>81</v>
      </c>
      <c r="H9" s="195" t="s">
        <v>80</v>
      </c>
      <c r="I9" s="195" t="s">
        <v>81</v>
      </c>
    </row>
    <row r="10" ht="4.5" customHeight="1">
      <c r="A10" s="37"/>
    </row>
    <row r="11" spans="1:9" ht="13.5" customHeight="1">
      <c r="A11" s="362" t="s">
        <v>216</v>
      </c>
      <c r="B11" s="363">
        <v>0</v>
      </c>
      <c r="C11" s="364">
        <f>B11/'- 3 -'!D11*100</f>
        <v>0</v>
      </c>
      <c r="D11" s="363">
        <v>0</v>
      </c>
      <c r="E11" s="364">
        <f>D11/'- 3 -'!D11*100</f>
        <v>0</v>
      </c>
      <c r="F11" s="363">
        <v>0</v>
      </c>
      <c r="G11" s="364">
        <f>F11/'- 3 -'!D11*100</f>
        <v>0</v>
      </c>
      <c r="H11" s="363">
        <v>14629</v>
      </c>
      <c r="I11" s="364">
        <f>H11/'- 3 -'!D11*100</f>
        <v>0.10930386684190353</v>
      </c>
    </row>
    <row r="12" spans="1:9" ht="13.5" customHeight="1">
      <c r="A12" s="23" t="s">
        <v>217</v>
      </c>
      <c r="B12" s="24">
        <v>0</v>
      </c>
      <c r="C12" s="355">
        <f>B12/'- 3 -'!D12*100</f>
        <v>0</v>
      </c>
      <c r="D12" s="24">
        <v>0</v>
      </c>
      <c r="E12" s="355">
        <f>D12/'- 3 -'!D12*100</f>
        <v>0</v>
      </c>
      <c r="F12" s="24">
        <v>0</v>
      </c>
      <c r="G12" s="355">
        <f>F12/'- 3 -'!D12*100</f>
        <v>0</v>
      </c>
      <c r="H12" s="24">
        <v>25187</v>
      </c>
      <c r="I12" s="355">
        <f>H12/'- 3 -'!D12*100</f>
        <v>0.10025431167774658</v>
      </c>
    </row>
    <row r="13" spans="1:9" ht="13.5" customHeight="1">
      <c r="A13" s="362" t="s">
        <v>218</v>
      </c>
      <c r="B13" s="363">
        <v>0</v>
      </c>
      <c r="C13" s="364">
        <f>B13/'- 3 -'!D13*100</f>
        <v>0</v>
      </c>
      <c r="D13" s="363">
        <v>0</v>
      </c>
      <c r="E13" s="364">
        <f>D13/'- 3 -'!D13*100</f>
        <v>0</v>
      </c>
      <c r="F13" s="363">
        <v>46900</v>
      </c>
      <c r="G13" s="364">
        <f>F13/'- 3 -'!D13*100</f>
        <v>0.0797262448938655</v>
      </c>
      <c r="H13" s="363">
        <v>74400</v>
      </c>
      <c r="I13" s="364">
        <f>H13/'- 3 -'!D13*100</f>
        <v>0.1264740430725713</v>
      </c>
    </row>
    <row r="14" spans="1:9" ht="13.5" customHeight="1">
      <c r="A14" s="23" t="s">
        <v>254</v>
      </c>
      <c r="B14" s="24">
        <v>0</v>
      </c>
      <c r="C14" s="355">
        <f>B14/'- 3 -'!D14*100</f>
        <v>0</v>
      </c>
      <c r="D14" s="24">
        <v>0</v>
      </c>
      <c r="E14" s="355">
        <f>D14/'- 3 -'!D14*100</f>
        <v>0</v>
      </c>
      <c r="F14" s="24">
        <v>0</v>
      </c>
      <c r="G14" s="355">
        <f>F14/'- 3 -'!D14*100</f>
        <v>0</v>
      </c>
      <c r="H14" s="24">
        <v>595019</v>
      </c>
      <c r="I14" s="355">
        <f>H14/'- 3 -'!D14*100</f>
        <v>1.0461857811892308</v>
      </c>
    </row>
    <row r="15" spans="1:9" ht="13.5" customHeight="1">
      <c r="A15" s="362" t="s">
        <v>219</v>
      </c>
      <c r="B15" s="363">
        <v>218840</v>
      </c>
      <c r="C15" s="364">
        <f>B15/'- 3 -'!D15*100</f>
        <v>1.3401925421383811</v>
      </c>
      <c r="D15" s="363">
        <v>0</v>
      </c>
      <c r="E15" s="364">
        <f>D15/'- 3 -'!D15*100</f>
        <v>0</v>
      </c>
      <c r="F15" s="363">
        <v>0</v>
      </c>
      <c r="G15" s="364">
        <f>F15/'- 3 -'!D15*100</f>
        <v>0</v>
      </c>
      <c r="H15" s="363">
        <v>15675</v>
      </c>
      <c r="I15" s="364">
        <f>H15/'- 3 -'!D15*100</f>
        <v>0.09599487341445406</v>
      </c>
    </row>
    <row r="16" spans="1:9" ht="13.5" customHeight="1">
      <c r="A16" s="23" t="s">
        <v>220</v>
      </c>
      <c r="B16" s="24">
        <v>0</v>
      </c>
      <c r="C16" s="355">
        <f>B16/'- 3 -'!D16*100</f>
        <v>0</v>
      </c>
      <c r="D16" s="24">
        <v>0</v>
      </c>
      <c r="E16" s="355">
        <f>D16/'- 3 -'!D16*100</f>
        <v>0</v>
      </c>
      <c r="F16" s="24">
        <v>0</v>
      </c>
      <c r="G16" s="355">
        <f>F16/'- 3 -'!D16*100</f>
        <v>0</v>
      </c>
      <c r="H16" s="24">
        <v>11413</v>
      </c>
      <c r="I16" s="355">
        <f>H16/'- 3 -'!D16*100</f>
        <v>0.1000938670515248</v>
      </c>
    </row>
    <row r="17" spans="1:9" ht="13.5" customHeight="1">
      <c r="A17" s="362" t="s">
        <v>221</v>
      </c>
      <c r="B17" s="363">
        <v>0</v>
      </c>
      <c r="C17" s="364">
        <f>B17/'- 3 -'!D17*100</f>
        <v>0</v>
      </c>
      <c r="D17" s="363">
        <v>0</v>
      </c>
      <c r="E17" s="364">
        <f>D17/'- 3 -'!D17*100</f>
        <v>0</v>
      </c>
      <c r="F17" s="363">
        <v>0</v>
      </c>
      <c r="G17" s="364">
        <f>F17/'- 3 -'!D17*100</f>
        <v>0</v>
      </c>
      <c r="H17" s="363">
        <v>55200</v>
      </c>
      <c r="I17" s="364">
        <f>H17/'- 3 -'!D17*100</f>
        <v>0.3759200080359712</v>
      </c>
    </row>
    <row r="18" spans="1:9" ht="13.5" customHeight="1">
      <c r="A18" s="23" t="s">
        <v>222</v>
      </c>
      <c r="B18" s="24">
        <v>0</v>
      </c>
      <c r="C18" s="355">
        <f>B18/'- 3 -'!D18*100</f>
        <v>0</v>
      </c>
      <c r="D18" s="24">
        <v>0</v>
      </c>
      <c r="E18" s="355">
        <f>D18/'- 3 -'!D18*100</f>
        <v>0</v>
      </c>
      <c r="F18" s="24">
        <v>440171</v>
      </c>
      <c r="G18" s="355">
        <f>F18/'- 3 -'!D18*100</f>
        <v>0.4399376834489597</v>
      </c>
      <c r="H18" s="24">
        <v>1379545</v>
      </c>
      <c r="I18" s="355">
        <f>H18/'- 3 -'!D18*100</f>
        <v>1.3788137599105692</v>
      </c>
    </row>
    <row r="19" spans="1:9" ht="13.5" customHeight="1">
      <c r="A19" s="362" t="s">
        <v>223</v>
      </c>
      <c r="B19" s="363">
        <v>0</v>
      </c>
      <c r="C19" s="364">
        <f>B19/'- 3 -'!D19*100</f>
        <v>0</v>
      </c>
      <c r="D19" s="363">
        <v>0</v>
      </c>
      <c r="E19" s="364">
        <f>D19/'- 3 -'!D19*100</f>
        <v>0</v>
      </c>
      <c r="F19" s="363">
        <v>0</v>
      </c>
      <c r="G19" s="364">
        <f>F19/'- 3 -'!D19*100</f>
        <v>0</v>
      </c>
      <c r="H19" s="363">
        <v>40300</v>
      </c>
      <c r="I19" s="364">
        <f>H19/'- 3 -'!D19*100</f>
        <v>0.13896534952457817</v>
      </c>
    </row>
    <row r="20" spans="1:9" ht="13.5" customHeight="1">
      <c r="A20" s="23" t="s">
        <v>224</v>
      </c>
      <c r="B20" s="24">
        <v>0</v>
      </c>
      <c r="C20" s="355">
        <f>B20/'- 3 -'!D20*100</f>
        <v>0</v>
      </c>
      <c r="D20" s="24">
        <v>0</v>
      </c>
      <c r="E20" s="355">
        <f>D20/'- 3 -'!D20*100</f>
        <v>0</v>
      </c>
      <c r="F20" s="24">
        <v>0</v>
      </c>
      <c r="G20" s="355">
        <f>F20/'- 3 -'!D20*100</f>
        <v>0</v>
      </c>
      <c r="H20" s="24">
        <v>89650</v>
      </c>
      <c r="I20" s="355">
        <f>H20/'- 3 -'!D20*100</f>
        <v>0.16223969315834624</v>
      </c>
    </row>
    <row r="21" spans="1:9" ht="13.5" customHeight="1">
      <c r="A21" s="362" t="s">
        <v>225</v>
      </c>
      <c r="B21" s="363">
        <v>82637</v>
      </c>
      <c r="C21" s="364">
        <f>B21/'- 3 -'!D21*100</f>
        <v>0.29062946211902735</v>
      </c>
      <c r="D21" s="363">
        <v>0</v>
      </c>
      <c r="E21" s="364">
        <f>D21/'- 3 -'!D21*100</f>
        <v>0</v>
      </c>
      <c r="F21" s="363">
        <v>0</v>
      </c>
      <c r="G21" s="364">
        <f>F21/'- 3 -'!D21*100</f>
        <v>0</v>
      </c>
      <c r="H21" s="363">
        <v>27363</v>
      </c>
      <c r="I21" s="364">
        <f>H21/'- 3 -'!D21*100</f>
        <v>0.0962340594644402</v>
      </c>
    </row>
    <row r="22" spans="1:9" ht="13.5" customHeight="1">
      <c r="A22" s="23" t="s">
        <v>226</v>
      </c>
      <c r="B22" s="24">
        <v>0</v>
      </c>
      <c r="C22" s="355">
        <f>B22/'- 3 -'!D22*100</f>
        <v>0</v>
      </c>
      <c r="D22" s="24">
        <v>0</v>
      </c>
      <c r="E22" s="355">
        <f>D22/'- 3 -'!D22*100</f>
        <v>0</v>
      </c>
      <c r="F22" s="24">
        <v>75940</v>
      </c>
      <c r="G22" s="355">
        <f>F22/'- 3 -'!D22*100</f>
        <v>0.4736821948015219</v>
      </c>
      <c r="H22" s="24">
        <v>0</v>
      </c>
      <c r="I22" s="355">
        <f>H22/'- 3 -'!D22*100</f>
        <v>0</v>
      </c>
    </row>
    <row r="23" spans="1:9" ht="13.5" customHeight="1">
      <c r="A23" s="362" t="s">
        <v>227</v>
      </c>
      <c r="B23" s="363">
        <v>112000</v>
      </c>
      <c r="C23" s="364">
        <f>B23/'- 3 -'!D23*100</f>
        <v>0.8445706474297604</v>
      </c>
      <c r="D23" s="363">
        <v>0</v>
      </c>
      <c r="E23" s="364">
        <f>D23/'- 3 -'!D23*100</f>
        <v>0</v>
      </c>
      <c r="F23" s="363">
        <v>80000</v>
      </c>
      <c r="G23" s="364">
        <f>F23/'- 3 -'!D23*100</f>
        <v>0.6032647481641146</v>
      </c>
      <c r="H23" s="363">
        <v>30000</v>
      </c>
      <c r="I23" s="364">
        <f>H23/'- 3 -'!D23*100</f>
        <v>0.22622428056154298</v>
      </c>
    </row>
    <row r="24" spans="1:9" ht="13.5" customHeight="1">
      <c r="A24" s="23" t="s">
        <v>228</v>
      </c>
      <c r="B24" s="24">
        <v>179810</v>
      </c>
      <c r="C24" s="355">
        <f>B24/'- 3 -'!D24*100</f>
        <v>0.40482298827222335</v>
      </c>
      <c r="D24" s="24">
        <v>0</v>
      </c>
      <c r="E24" s="355">
        <f>D24/'- 3 -'!D24*100</f>
        <v>0</v>
      </c>
      <c r="F24" s="24">
        <v>151455</v>
      </c>
      <c r="G24" s="355">
        <f>F24/'- 3 -'!D24*100</f>
        <v>0.3409847377163093</v>
      </c>
      <c r="H24" s="24">
        <v>129160</v>
      </c>
      <c r="I24" s="355">
        <f>H24/'- 3 -'!D24*100</f>
        <v>0.29078992917657726</v>
      </c>
    </row>
    <row r="25" spans="1:9" ht="13.5" customHeight="1">
      <c r="A25" s="362" t="s">
        <v>229</v>
      </c>
      <c r="B25" s="363">
        <v>318953</v>
      </c>
      <c r="C25" s="364">
        <f>B25/'- 3 -'!D25*100</f>
        <v>0.23783687063042708</v>
      </c>
      <c r="D25" s="363">
        <v>600</v>
      </c>
      <c r="E25" s="364">
        <f>D25/'- 3 -'!D25*100</f>
        <v>0.0004474079954672201</v>
      </c>
      <c r="F25" s="363">
        <v>170000</v>
      </c>
      <c r="G25" s="364">
        <f>F25/'- 3 -'!D25*100</f>
        <v>0.12676559871571239</v>
      </c>
      <c r="H25" s="363">
        <v>374609</v>
      </c>
      <c r="I25" s="364">
        <f>H25/'- 3 -'!D25*100</f>
        <v>0.2793384362899664</v>
      </c>
    </row>
    <row r="26" spans="1:9" ht="13.5" customHeight="1">
      <c r="A26" s="23" t="s">
        <v>230</v>
      </c>
      <c r="B26" s="24">
        <v>0</v>
      </c>
      <c r="C26" s="355">
        <f>B26/'- 3 -'!D26*100</f>
        <v>0</v>
      </c>
      <c r="D26" s="24">
        <v>0</v>
      </c>
      <c r="E26" s="355">
        <f>D26/'- 3 -'!D26*100</f>
        <v>0</v>
      </c>
      <c r="F26" s="24">
        <v>0</v>
      </c>
      <c r="G26" s="355">
        <f>F26/'- 3 -'!D26*100</f>
        <v>0</v>
      </c>
      <c r="H26" s="24">
        <v>92213</v>
      </c>
      <c r="I26" s="355">
        <f>H26/'- 3 -'!D26*100</f>
        <v>0.28429219711904</v>
      </c>
    </row>
    <row r="27" spans="1:9" ht="13.5" customHeight="1">
      <c r="A27" s="362" t="s">
        <v>231</v>
      </c>
      <c r="B27" s="363">
        <v>0</v>
      </c>
      <c r="C27" s="364">
        <f>B27/'- 3 -'!D27*100</f>
        <v>0</v>
      </c>
      <c r="D27" s="363">
        <v>0</v>
      </c>
      <c r="E27" s="364">
        <f>D27/'- 3 -'!D27*100</f>
        <v>0</v>
      </c>
      <c r="F27" s="363">
        <v>0</v>
      </c>
      <c r="G27" s="364">
        <f>F27/'- 3 -'!D27*100</f>
        <v>0</v>
      </c>
      <c r="H27" s="363">
        <v>36302</v>
      </c>
      <c r="I27" s="364">
        <f>H27/'- 3 -'!D27*100</f>
        <v>0.10286724231744465</v>
      </c>
    </row>
    <row r="28" spans="1:9" ht="13.5" customHeight="1">
      <c r="A28" s="23" t="s">
        <v>232</v>
      </c>
      <c r="B28" s="24">
        <v>0</v>
      </c>
      <c r="C28" s="355">
        <f>B28/'- 3 -'!D28*100</f>
        <v>0</v>
      </c>
      <c r="D28" s="24">
        <v>0</v>
      </c>
      <c r="E28" s="355">
        <f>D28/'- 3 -'!D28*100</f>
        <v>0</v>
      </c>
      <c r="F28" s="24">
        <v>0</v>
      </c>
      <c r="G28" s="355">
        <f>F28/'- 3 -'!D28*100</f>
        <v>0</v>
      </c>
      <c r="H28" s="24">
        <v>12650</v>
      </c>
      <c r="I28" s="355">
        <f>H28/'- 3 -'!D28*100</f>
        <v>0.06807633655240229</v>
      </c>
    </row>
    <row r="29" spans="1:9" ht="13.5" customHeight="1">
      <c r="A29" s="362" t="s">
        <v>233</v>
      </c>
      <c r="B29" s="363">
        <v>0</v>
      </c>
      <c r="C29" s="364">
        <f>B29/'- 3 -'!D29*100</f>
        <v>0</v>
      </c>
      <c r="D29" s="363">
        <v>0</v>
      </c>
      <c r="E29" s="364">
        <f>D29/'- 3 -'!D29*100</f>
        <v>0</v>
      </c>
      <c r="F29" s="363">
        <v>0</v>
      </c>
      <c r="G29" s="364">
        <f>F29/'- 3 -'!D29*100</f>
        <v>0</v>
      </c>
      <c r="H29" s="363">
        <v>100093</v>
      </c>
      <c r="I29" s="364">
        <f>H29/'- 3 -'!D29*100</f>
        <v>0.08135723171771499</v>
      </c>
    </row>
    <row r="30" spans="1:9" ht="13.5" customHeight="1">
      <c r="A30" s="23" t="s">
        <v>234</v>
      </c>
      <c r="B30" s="24">
        <v>0</v>
      </c>
      <c r="C30" s="355">
        <f>B30/'- 3 -'!D30*100</f>
        <v>0</v>
      </c>
      <c r="D30" s="24">
        <v>0</v>
      </c>
      <c r="E30" s="355">
        <f>D30/'- 3 -'!D30*100</f>
        <v>0</v>
      </c>
      <c r="F30" s="24">
        <v>0</v>
      </c>
      <c r="G30" s="355">
        <f>F30/'- 3 -'!D30*100</f>
        <v>0</v>
      </c>
      <c r="H30" s="24">
        <v>12788</v>
      </c>
      <c r="I30" s="355">
        <f>H30/'- 3 -'!D30*100</f>
        <v>0.11207573052114514</v>
      </c>
    </row>
    <row r="31" spans="1:9" ht="13.5" customHeight="1">
      <c r="A31" s="362" t="s">
        <v>235</v>
      </c>
      <c r="B31" s="363">
        <v>0</v>
      </c>
      <c r="C31" s="364">
        <f>B31/'- 3 -'!D31*100</f>
        <v>0</v>
      </c>
      <c r="D31" s="363">
        <v>0</v>
      </c>
      <c r="E31" s="364">
        <f>D31/'- 3 -'!D31*100</f>
        <v>0</v>
      </c>
      <c r="F31" s="363">
        <v>0</v>
      </c>
      <c r="G31" s="364">
        <f>F31/'- 3 -'!D31*100</f>
        <v>0</v>
      </c>
      <c r="H31" s="363">
        <v>32038</v>
      </c>
      <c r="I31" s="364">
        <f>H31/'- 3 -'!D31*100</f>
        <v>0.10915384713139648</v>
      </c>
    </row>
    <row r="32" spans="1:9" ht="13.5" customHeight="1">
      <c r="A32" s="23" t="s">
        <v>236</v>
      </c>
      <c r="B32" s="24">
        <v>0</v>
      </c>
      <c r="C32" s="355">
        <f>B32/'- 3 -'!D32*100</f>
        <v>0</v>
      </c>
      <c r="D32" s="24">
        <v>0</v>
      </c>
      <c r="E32" s="355">
        <f>D32/'- 3 -'!D32*100</f>
        <v>0</v>
      </c>
      <c r="F32" s="24">
        <v>0</v>
      </c>
      <c r="G32" s="355">
        <f>F32/'- 3 -'!D32*100</f>
        <v>0</v>
      </c>
      <c r="H32" s="24">
        <v>21600</v>
      </c>
      <c r="I32" s="355">
        <f>H32/'- 3 -'!D32*100</f>
        <v>0.09857197502003612</v>
      </c>
    </row>
    <row r="33" spans="1:9" ht="13.5" customHeight="1">
      <c r="A33" s="362" t="s">
        <v>237</v>
      </c>
      <c r="B33" s="363">
        <v>0</v>
      </c>
      <c r="C33" s="364">
        <f>B33/'- 3 -'!D33*100</f>
        <v>0</v>
      </c>
      <c r="D33" s="363">
        <v>0</v>
      </c>
      <c r="E33" s="364">
        <f>D33/'- 3 -'!D33*100</f>
        <v>0</v>
      </c>
      <c r="F33" s="363">
        <v>0</v>
      </c>
      <c r="G33" s="364">
        <f>F33/'- 3 -'!D33*100</f>
        <v>0</v>
      </c>
      <c r="H33" s="363">
        <v>21000</v>
      </c>
      <c r="I33" s="364">
        <f>H33/'- 3 -'!D33*100</f>
        <v>0.09133810321205663</v>
      </c>
    </row>
    <row r="34" spans="1:9" ht="13.5" customHeight="1">
      <c r="A34" s="23" t="s">
        <v>238</v>
      </c>
      <c r="B34" s="24">
        <v>0</v>
      </c>
      <c r="C34" s="355">
        <f>B34/'- 3 -'!D34*100</f>
        <v>0</v>
      </c>
      <c r="D34" s="24">
        <v>0</v>
      </c>
      <c r="E34" s="355">
        <f>D34/'- 3 -'!D34*100</f>
        <v>0</v>
      </c>
      <c r="F34" s="24">
        <v>0</v>
      </c>
      <c r="G34" s="355">
        <f>F34/'- 3 -'!D34*100</f>
        <v>0</v>
      </c>
      <c r="H34" s="24">
        <v>17050</v>
      </c>
      <c r="I34" s="355">
        <f>H34/'- 3 -'!D34*100</f>
        <v>0.0824493202645922</v>
      </c>
    </row>
    <row r="35" spans="1:9" ht="13.5" customHeight="1">
      <c r="A35" s="362" t="s">
        <v>239</v>
      </c>
      <c r="B35" s="363">
        <v>426600</v>
      </c>
      <c r="C35" s="364">
        <f>B35/'- 3 -'!D35*100</f>
        <v>0.28292699529819904</v>
      </c>
      <c r="D35" s="363">
        <v>0</v>
      </c>
      <c r="E35" s="364">
        <f>D35/'- 3 -'!D35*100</f>
        <v>0</v>
      </c>
      <c r="F35" s="363">
        <v>2500</v>
      </c>
      <c r="G35" s="364">
        <f>F35/'- 3 -'!D35*100</f>
        <v>0.0016580344309552217</v>
      </c>
      <c r="H35" s="363">
        <v>142900</v>
      </c>
      <c r="I35" s="364">
        <f>H35/'- 3 -'!D35*100</f>
        <v>0.09477324807340047</v>
      </c>
    </row>
    <row r="36" spans="1:9" ht="13.5" customHeight="1">
      <c r="A36" s="23" t="s">
        <v>240</v>
      </c>
      <c r="B36" s="24">
        <v>0</v>
      </c>
      <c r="C36" s="355">
        <f>B36/'- 3 -'!D36*100</f>
        <v>0</v>
      </c>
      <c r="D36" s="24">
        <v>0</v>
      </c>
      <c r="E36" s="355">
        <f>D36/'- 3 -'!D36*100</f>
        <v>0</v>
      </c>
      <c r="F36" s="24">
        <v>0</v>
      </c>
      <c r="G36" s="355">
        <f>F36/'- 3 -'!D36*100</f>
        <v>0</v>
      </c>
      <c r="H36" s="24">
        <v>20155</v>
      </c>
      <c r="I36" s="355">
        <f>H36/'- 3 -'!D36*100</f>
        <v>0.10488993712328354</v>
      </c>
    </row>
    <row r="37" spans="1:9" ht="13.5" customHeight="1">
      <c r="A37" s="362" t="s">
        <v>241</v>
      </c>
      <c r="B37" s="363">
        <v>0</v>
      </c>
      <c r="C37" s="364">
        <f>B37/'- 3 -'!D37*100</f>
        <v>0</v>
      </c>
      <c r="D37" s="363">
        <v>0</v>
      </c>
      <c r="E37" s="364">
        <f>D37/'- 3 -'!D37*100</f>
        <v>0</v>
      </c>
      <c r="F37" s="363">
        <v>5000</v>
      </c>
      <c r="G37" s="364">
        <f>F37/'- 3 -'!D37*100</f>
        <v>0.015175664231994386</v>
      </c>
      <c r="H37" s="363">
        <v>5000</v>
      </c>
      <c r="I37" s="364">
        <f>H37/'- 3 -'!D37*100</f>
        <v>0.015175664231994386</v>
      </c>
    </row>
    <row r="38" spans="1:9" ht="13.5" customHeight="1">
      <c r="A38" s="23" t="s">
        <v>242</v>
      </c>
      <c r="B38" s="24">
        <v>72403</v>
      </c>
      <c r="C38" s="355">
        <f>B38/'- 3 -'!D38*100</f>
        <v>0.08681634511376728</v>
      </c>
      <c r="D38" s="24">
        <v>0</v>
      </c>
      <c r="E38" s="355">
        <f>D38/'- 3 -'!D38*100</f>
        <v>0</v>
      </c>
      <c r="F38" s="24">
        <v>87825</v>
      </c>
      <c r="G38" s="355">
        <f>F38/'- 3 -'!D38*100</f>
        <v>0.10530841967344737</v>
      </c>
      <c r="H38" s="24">
        <v>678316</v>
      </c>
      <c r="I38" s="355">
        <f>H38/'- 3 -'!D38*100</f>
        <v>0.8133491147078181</v>
      </c>
    </row>
    <row r="39" spans="1:9" ht="13.5" customHeight="1">
      <c r="A39" s="362" t="s">
        <v>243</v>
      </c>
      <c r="B39" s="363">
        <v>0</v>
      </c>
      <c r="C39" s="364">
        <f>B39/'- 3 -'!D39*100</f>
        <v>0</v>
      </c>
      <c r="D39" s="363">
        <v>0</v>
      </c>
      <c r="E39" s="364">
        <f>D39/'- 3 -'!D39*100</f>
        <v>0</v>
      </c>
      <c r="F39" s="363">
        <v>0</v>
      </c>
      <c r="G39" s="364">
        <f>F39/'- 3 -'!D39*100</f>
        <v>0</v>
      </c>
      <c r="H39" s="363">
        <v>72150</v>
      </c>
      <c r="I39" s="364">
        <f>H39/'- 3 -'!D39*100</f>
        <v>0.41918906350548724</v>
      </c>
    </row>
    <row r="40" spans="1:9" ht="13.5" customHeight="1">
      <c r="A40" s="23" t="s">
        <v>244</v>
      </c>
      <c r="B40" s="24">
        <v>418015</v>
      </c>
      <c r="C40" s="355">
        <f>B40/'- 3 -'!D40*100</f>
        <v>0.4967515161488717</v>
      </c>
      <c r="D40" s="24">
        <v>0</v>
      </c>
      <c r="E40" s="355">
        <f>D40/'- 3 -'!D40*100</f>
        <v>0</v>
      </c>
      <c r="F40" s="24">
        <v>187780</v>
      </c>
      <c r="G40" s="355">
        <f>F40/'- 3 -'!D40*100</f>
        <v>0.2231498862539266</v>
      </c>
      <c r="H40" s="24">
        <v>85687</v>
      </c>
      <c r="I40" s="355">
        <f>H40/'- 3 -'!D40*100</f>
        <v>0.10182684153498887</v>
      </c>
    </row>
    <row r="41" spans="1:9" ht="13.5" customHeight="1">
      <c r="A41" s="362" t="s">
        <v>245</v>
      </c>
      <c r="B41" s="363">
        <v>0</v>
      </c>
      <c r="C41" s="364">
        <f>B41/'- 3 -'!D41*100</f>
        <v>0</v>
      </c>
      <c r="D41" s="363">
        <v>0</v>
      </c>
      <c r="E41" s="364">
        <f>D41/'- 3 -'!D41*100</f>
        <v>0</v>
      </c>
      <c r="F41" s="363">
        <v>0</v>
      </c>
      <c r="G41" s="364">
        <f>F41/'- 3 -'!D41*100</f>
        <v>0</v>
      </c>
      <c r="H41" s="363">
        <v>149614</v>
      </c>
      <c r="I41" s="364">
        <f>H41/'- 3 -'!D41*100</f>
        <v>0.29192480619206673</v>
      </c>
    </row>
    <row r="42" spans="1:9" ht="13.5" customHeight="1">
      <c r="A42" s="23" t="s">
        <v>246</v>
      </c>
      <c r="B42" s="24">
        <v>4000</v>
      </c>
      <c r="C42" s="355">
        <f>B42/'- 3 -'!D42*100</f>
        <v>0.02256876816503728</v>
      </c>
      <c r="D42" s="24">
        <v>0</v>
      </c>
      <c r="E42" s="355">
        <f>D42/'- 3 -'!D42*100</f>
        <v>0</v>
      </c>
      <c r="F42" s="24">
        <v>0</v>
      </c>
      <c r="G42" s="355">
        <f>F42/'- 3 -'!D42*100</f>
        <v>0</v>
      </c>
      <c r="H42" s="24">
        <v>57041</v>
      </c>
      <c r="I42" s="355">
        <f>H42/'- 3 -'!D42*100</f>
        <v>0.32183627622547284</v>
      </c>
    </row>
    <row r="43" spans="1:9" ht="13.5" customHeight="1">
      <c r="A43" s="362" t="s">
        <v>247</v>
      </c>
      <c r="B43" s="363">
        <v>0</v>
      </c>
      <c r="C43" s="364">
        <f>B43/'- 3 -'!D43*100</f>
        <v>0</v>
      </c>
      <c r="D43" s="363">
        <v>0</v>
      </c>
      <c r="E43" s="364">
        <f>D43/'- 3 -'!D43*100</f>
        <v>0</v>
      </c>
      <c r="F43" s="363">
        <v>0</v>
      </c>
      <c r="G43" s="364">
        <f>F43/'- 3 -'!D43*100</f>
        <v>0</v>
      </c>
      <c r="H43" s="363">
        <v>5000</v>
      </c>
      <c r="I43" s="364">
        <f>H43/'- 3 -'!D43*100</f>
        <v>0.048497884716260216</v>
      </c>
    </row>
    <row r="44" spans="1:9" ht="13.5" customHeight="1">
      <c r="A44" s="23" t="s">
        <v>248</v>
      </c>
      <c r="B44" s="24">
        <v>0</v>
      </c>
      <c r="C44" s="355">
        <f>B44/'- 3 -'!D44*100</f>
        <v>0</v>
      </c>
      <c r="D44" s="24">
        <v>0</v>
      </c>
      <c r="E44" s="355">
        <f>D44/'- 3 -'!D44*100</f>
        <v>0</v>
      </c>
      <c r="F44" s="24">
        <v>0</v>
      </c>
      <c r="G44" s="355">
        <f>F44/'- 3 -'!D44*100</f>
        <v>0</v>
      </c>
      <c r="H44" s="24">
        <v>6050</v>
      </c>
      <c r="I44" s="355">
        <f>H44/'- 3 -'!D44*100</f>
        <v>0.07145191351176944</v>
      </c>
    </row>
    <row r="45" spans="1:9" ht="13.5" customHeight="1">
      <c r="A45" s="362" t="s">
        <v>249</v>
      </c>
      <c r="B45" s="363">
        <v>0</v>
      </c>
      <c r="C45" s="364">
        <f>B45/'- 3 -'!D45*100</f>
        <v>0</v>
      </c>
      <c r="D45" s="363">
        <v>0</v>
      </c>
      <c r="E45" s="364">
        <f>D45/'- 3 -'!D45*100</f>
        <v>0</v>
      </c>
      <c r="F45" s="363">
        <v>4000</v>
      </c>
      <c r="G45" s="364">
        <f>F45/'- 3 -'!D45*100</f>
        <v>0.03071544801974819</v>
      </c>
      <c r="H45" s="363">
        <v>24930</v>
      </c>
      <c r="I45" s="364">
        <f>H45/'- 3 -'!D45*100</f>
        <v>0.19143402978308058</v>
      </c>
    </row>
    <row r="46" spans="1:9" ht="13.5" customHeight="1">
      <c r="A46" s="23" t="s">
        <v>250</v>
      </c>
      <c r="B46" s="24">
        <v>0</v>
      </c>
      <c r="C46" s="355">
        <f>B46/'- 3 -'!D46*100</f>
        <v>0</v>
      </c>
      <c r="D46" s="24">
        <v>2511500</v>
      </c>
      <c r="E46" s="355">
        <f>D46/'- 3 -'!D46*100</f>
        <v>0.819753998728345</v>
      </c>
      <c r="F46" s="24">
        <v>167600</v>
      </c>
      <c r="G46" s="355">
        <f>F46/'- 3 -'!D46*100</f>
        <v>0.05470466660834984</v>
      </c>
      <c r="H46" s="24">
        <v>4189500</v>
      </c>
      <c r="I46" s="355">
        <f>H46/'- 3 -'!D46*100</f>
        <v>1.3674534651293655</v>
      </c>
    </row>
    <row r="47" spans="1:9" ht="4.5" customHeight="1">
      <c r="A47"/>
      <c r="B47"/>
      <c r="C47"/>
      <c r="D47"/>
      <c r="E47"/>
      <c r="F47"/>
      <c r="G47"/>
      <c r="H47"/>
      <c r="I47"/>
    </row>
    <row r="48" spans="1:9" ht="13.5" customHeight="1">
      <c r="A48" s="365" t="s">
        <v>251</v>
      </c>
      <c r="B48" s="366">
        <f>SUM(B11:B46)</f>
        <v>1833258</v>
      </c>
      <c r="C48" s="367">
        <f>B48/'- 3 -'!D48*100</f>
        <v>0.10610874986332423</v>
      </c>
      <c r="D48" s="366">
        <f>SUM(D11:D46)</f>
        <v>2512100</v>
      </c>
      <c r="E48" s="367">
        <f>D48/'- 3 -'!D48*100</f>
        <v>0.14540004218263705</v>
      </c>
      <c r="F48" s="366">
        <f>SUM(F11:F46)</f>
        <v>1419171</v>
      </c>
      <c r="G48" s="367">
        <f>F48/'- 3 -'!D48*100</f>
        <v>0.08214144471333752</v>
      </c>
      <c r="H48" s="366">
        <f>SUM(H11:H46)</f>
        <v>8644227</v>
      </c>
      <c r="I48" s="367">
        <f>H48/'- 3 -'!D48*100</f>
        <v>0.500326806431388</v>
      </c>
    </row>
    <row r="49" spans="1:9" ht="4.5" customHeight="1">
      <c r="A49" s="25" t="s">
        <v>3</v>
      </c>
      <c r="B49" s="26"/>
      <c r="C49" s="353"/>
      <c r="D49" s="26"/>
      <c r="E49" s="353"/>
      <c r="F49" s="26"/>
      <c r="G49" s="353"/>
      <c r="H49" s="26"/>
      <c r="I49" s="353"/>
    </row>
    <row r="50" spans="1:9" ht="13.5" customHeight="1">
      <c r="A50" s="23" t="s">
        <v>252</v>
      </c>
      <c r="B50" s="24">
        <v>0</v>
      </c>
      <c r="C50" s="355">
        <f>B50/'- 3 -'!D50*100</f>
        <v>0</v>
      </c>
      <c r="D50" s="24">
        <v>0</v>
      </c>
      <c r="E50" s="355">
        <f>D50/'- 3 -'!D50*100</f>
        <v>0</v>
      </c>
      <c r="F50" s="24">
        <v>0</v>
      </c>
      <c r="G50" s="355">
        <f>F50/'- 3 -'!D50*100</f>
        <v>0</v>
      </c>
      <c r="H50" s="24">
        <v>9000</v>
      </c>
      <c r="I50" s="355">
        <f>H50/'- 3 -'!D50*100</f>
        <v>0.3166936618689923</v>
      </c>
    </row>
    <row r="51" spans="1:9" ht="13.5" customHeight="1">
      <c r="A51" s="362" t="s">
        <v>253</v>
      </c>
      <c r="B51" s="363">
        <v>0</v>
      </c>
      <c r="C51" s="364">
        <f>B51/'- 3 -'!D51*100</f>
        <v>0</v>
      </c>
      <c r="D51" s="363">
        <v>1180513</v>
      </c>
      <c r="E51" s="364">
        <f>D51/'- 3 -'!D51*100</f>
        <v>9.728877586684746</v>
      </c>
      <c r="F51" s="363">
        <v>1125861</v>
      </c>
      <c r="G51" s="364">
        <f>F51/'- 3 -'!D51*100</f>
        <v>9.278477957144457</v>
      </c>
      <c r="H51" s="363">
        <v>0</v>
      </c>
      <c r="I51" s="364">
        <f>H51/'- 3 -'!D51*100</f>
        <v>0</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J52"/>
  <sheetViews>
    <sheetView showGridLines="0" showZeros="0" workbookViewId="0" topLeftCell="A1">
      <selection activeCell="E14" sqref="E14"/>
    </sheetView>
  </sheetViews>
  <sheetFormatPr defaultColWidth="15.83203125" defaultRowHeight="12"/>
  <cols>
    <col min="1" max="1" width="30.83203125" style="1" customWidth="1"/>
    <col min="2" max="2" width="16.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491</v>
      </c>
      <c r="C2" s="6"/>
      <c r="D2" s="6"/>
      <c r="E2" s="6"/>
      <c r="F2" s="6"/>
      <c r="G2" s="108"/>
      <c r="H2" s="108"/>
      <c r="I2" s="179"/>
      <c r="J2" s="190" t="s">
        <v>418</v>
      </c>
    </row>
    <row r="3" spans="1:10" ht="15.75" customHeight="1">
      <c r="A3" s="170"/>
      <c r="B3" s="7" t="str">
        <f>OPYEAR</f>
        <v>OPERATING FUND 2008/2009 BUDGET</v>
      </c>
      <c r="C3" s="8"/>
      <c r="D3" s="8"/>
      <c r="E3" s="8"/>
      <c r="F3" s="8"/>
      <c r="G3" s="110"/>
      <c r="H3" s="110"/>
      <c r="I3" s="110"/>
      <c r="J3" s="103"/>
    </row>
    <row r="4" spans="2:10" ht="15.75" customHeight="1">
      <c r="B4" s="4"/>
      <c r="C4" s="4"/>
      <c r="D4" s="4"/>
      <c r="E4" s="4"/>
      <c r="F4" s="4"/>
      <c r="G4" s="4"/>
      <c r="H4" s="4"/>
      <c r="I4" s="4"/>
      <c r="J4" s="4"/>
    </row>
    <row r="5" spans="2:10" ht="15.75" customHeight="1">
      <c r="B5" s="191" t="s">
        <v>171</v>
      </c>
      <c r="C5" s="192"/>
      <c r="D5" s="193"/>
      <c r="E5" s="193"/>
      <c r="F5" s="193"/>
      <c r="G5" s="193"/>
      <c r="H5" s="193"/>
      <c r="I5" s="193"/>
      <c r="J5" s="194"/>
    </row>
    <row r="6" spans="2:10" ht="15.75" customHeight="1">
      <c r="B6" s="356"/>
      <c r="C6" s="357"/>
      <c r="D6" s="358"/>
      <c r="E6" s="356" t="s">
        <v>14</v>
      </c>
      <c r="F6" s="357"/>
      <c r="G6" s="358"/>
      <c r="H6" s="356" t="s">
        <v>12</v>
      </c>
      <c r="I6" s="357"/>
      <c r="J6" s="358"/>
    </row>
    <row r="7" spans="2:10" ht="15.75" customHeight="1">
      <c r="B7" s="359" t="s">
        <v>38</v>
      </c>
      <c r="C7" s="360"/>
      <c r="D7" s="361"/>
      <c r="E7" s="359" t="s">
        <v>39</v>
      </c>
      <c r="F7" s="360"/>
      <c r="G7" s="361"/>
      <c r="H7" s="359" t="s">
        <v>40</v>
      </c>
      <c r="I7" s="360"/>
      <c r="J7" s="361"/>
    </row>
    <row r="8" spans="1:10" ht="15.75" customHeight="1">
      <c r="A8" s="104"/>
      <c r="B8" s="176"/>
      <c r="C8" s="175"/>
      <c r="D8" s="175" t="s">
        <v>59</v>
      </c>
      <c r="E8" s="176"/>
      <c r="F8" s="175"/>
      <c r="G8" s="175" t="s">
        <v>59</v>
      </c>
      <c r="H8" s="176"/>
      <c r="I8" s="175"/>
      <c r="J8" s="175" t="s">
        <v>59</v>
      </c>
    </row>
    <row r="9" spans="1:10" ht="15.75" customHeight="1">
      <c r="A9" s="35" t="s">
        <v>79</v>
      </c>
      <c r="B9" s="115" t="s">
        <v>80</v>
      </c>
      <c r="C9" s="115" t="s">
        <v>81</v>
      </c>
      <c r="D9" s="115" t="s">
        <v>82</v>
      </c>
      <c r="E9" s="115" t="s">
        <v>80</v>
      </c>
      <c r="F9" s="115" t="s">
        <v>81</v>
      </c>
      <c r="G9" s="115" t="s">
        <v>82</v>
      </c>
      <c r="H9" s="115" t="s">
        <v>80</v>
      </c>
      <c r="I9" s="115" t="s">
        <v>81</v>
      </c>
      <c r="J9" s="115" t="s">
        <v>82</v>
      </c>
    </row>
    <row r="10" ht="4.5" customHeight="1">
      <c r="A10" s="37"/>
    </row>
    <row r="11" spans="1:10" ht="13.5" customHeight="1">
      <c r="A11" s="362" t="s">
        <v>216</v>
      </c>
      <c r="B11" s="363">
        <v>109589</v>
      </c>
      <c r="C11" s="364">
        <f>B11/'- 3 -'!D11*100</f>
        <v>0.8188188846358169</v>
      </c>
      <c r="D11" s="363">
        <f>B11/'- 7 -'!F11</f>
        <v>77.55767869780608</v>
      </c>
      <c r="E11" s="363">
        <v>124332</v>
      </c>
      <c r="F11" s="364">
        <f>E11/'- 3 -'!D11*100</f>
        <v>0.9289745281418791</v>
      </c>
      <c r="G11" s="363">
        <f>E11/'- 7 -'!F11</f>
        <v>87.99150743099787</v>
      </c>
      <c r="H11" s="363">
        <v>286177</v>
      </c>
      <c r="I11" s="364">
        <f>H11/'- 3 -'!D11*100</f>
        <v>2.138235880867826</v>
      </c>
      <c r="J11" s="363">
        <f>H11/'- 7 -'!F11</f>
        <v>202.53149327671622</v>
      </c>
    </row>
    <row r="12" spans="1:10" ht="13.5" customHeight="1">
      <c r="A12" s="23" t="s">
        <v>217</v>
      </c>
      <c r="B12" s="24">
        <v>169081</v>
      </c>
      <c r="C12" s="355">
        <f>B12/'- 3 -'!D12*100</f>
        <v>0.6730098571796986</v>
      </c>
      <c r="D12" s="24">
        <f>B12/'- 7 -'!F12</f>
        <v>73.10030263726762</v>
      </c>
      <c r="E12" s="24">
        <v>127717</v>
      </c>
      <c r="F12" s="355">
        <f>E12/'- 3 -'!D12*100</f>
        <v>0.5083646295528153</v>
      </c>
      <c r="G12" s="24">
        <f>E12/'- 7 -'!F12</f>
        <v>55.217034154777345</v>
      </c>
      <c r="H12" s="24">
        <v>561651</v>
      </c>
      <c r="I12" s="355">
        <f>H12/'- 3 -'!D12*100</f>
        <v>2.2355951247912826</v>
      </c>
      <c r="J12" s="24">
        <f>H12/'- 7 -'!F12</f>
        <v>242.8236057068742</v>
      </c>
    </row>
    <row r="13" spans="1:10" ht="13.5" customHeight="1">
      <c r="A13" s="362" t="s">
        <v>218</v>
      </c>
      <c r="B13" s="363">
        <v>249000</v>
      </c>
      <c r="C13" s="364">
        <f>B13/'- 3 -'!D13*100</f>
        <v>0.42328006350900876</v>
      </c>
      <c r="D13" s="363">
        <f>B13/'- 7 -'!F13</f>
        <v>36.75563512598769</v>
      </c>
      <c r="E13" s="363">
        <v>576400</v>
      </c>
      <c r="F13" s="364">
        <f>E13/'- 3 -'!D13*100</f>
        <v>0.9798338498256733</v>
      </c>
      <c r="G13" s="363">
        <f>E13/'- 7 -'!F13</f>
        <v>85.08412886192491</v>
      </c>
      <c r="H13" s="363">
        <v>1048500</v>
      </c>
      <c r="I13" s="364">
        <f>H13/'- 3 -'!D13*100</f>
        <v>1.7823660505590186</v>
      </c>
      <c r="J13" s="363">
        <f>H13/'- 7 -'!F13</f>
        <v>154.77222260882766</v>
      </c>
    </row>
    <row r="14" spans="1:10" ht="13.5" customHeight="1">
      <c r="A14" s="23" t="s">
        <v>254</v>
      </c>
      <c r="B14" s="24">
        <v>684761</v>
      </c>
      <c r="C14" s="355">
        <f>B14/'- 3 -'!D14*100</f>
        <v>1.203973691113929</v>
      </c>
      <c r="D14" s="24">
        <f>B14/'- 7 -'!F14</f>
        <v>141.6258531540848</v>
      </c>
      <c r="E14" s="24">
        <v>707575</v>
      </c>
      <c r="F14" s="355">
        <f>E14/'- 3 -'!D14*100</f>
        <v>1.2440861621645192</v>
      </c>
      <c r="G14" s="24">
        <f>E14/'- 7 -'!F14</f>
        <v>146.3443640124095</v>
      </c>
      <c r="H14" s="24">
        <v>779522</v>
      </c>
      <c r="I14" s="355">
        <f>H14/'- 3 -'!D14*100</f>
        <v>1.3705862040106143</v>
      </c>
      <c r="J14" s="24">
        <f>H14/'- 7 -'!F14</f>
        <v>161.2248190279214</v>
      </c>
    </row>
    <row r="15" spans="1:10" ht="13.5" customHeight="1">
      <c r="A15" s="362" t="s">
        <v>219</v>
      </c>
      <c r="B15" s="363">
        <v>124000</v>
      </c>
      <c r="C15" s="364">
        <f>B15/'- 3 -'!D15*100</f>
        <v>0.7593852825130656</v>
      </c>
      <c r="D15" s="363">
        <f>B15/'- 7 -'!F15</f>
        <v>77.57272442915233</v>
      </c>
      <c r="E15" s="363">
        <v>137300</v>
      </c>
      <c r="F15" s="364">
        <f>E15/'- 3 -'!D15*100</f>
        <v>0.8408354781374509</v>
      </c>
      <c r="G15" s="363">
        <f>E15/'- 7 -'!F15</f>
        <v>85.89302471066625</v>
      </c>
      <c r="H15" s="363">
        <v>372830</v>
      </c>
      <c r="I15" s="364">
        <f>H15/'- 3 -'!D15*100</f>
        <v>2.283238829672147</v>
      </c>
      <c r="J15" s="363">
        <f>H15/'- 7 -'!F15</f>
        <v>233.23741007194243</v>
      </c>
    </row>
    <row r="16" spans="1:10" ht="13.5" customHeight="1">
      <c r="A16" s="23" t="s">
        <v>220</v>
      </c>
      <c r="B16" s="24">
        <v>97996</v>
      </c>
      <c r="C16" s="355">
        <f>B16/'- 3 -'!D16*100</f>
        <v>0.8594408652923179</v>
      </c>
      <c r="D16" s="24">
        <f>B16/'- 7 -'!F16</f>
        <v>91.03204830469113</v>
      </c>
      <c r="E16" s="24">
        <v>175923</v>
      </c>
      <c r="F16" s="355">
        <f>E16/'- 3 -'!D16*100</f>
        <v>1.542873335083273</v>
      </c>
      <c r="G16" s="24">
        <f>E16/'- 7 -'!F16</f>
        <v>163.42127264282396</v>
      </c>
      <c r="H16" s="24">
        <v>292872</v>
      </c>
      <c r="I16" s="355">
        <f>H16/'- 3 -'!D16*100</f>
        <v>2.5685350942884577</v>
      </c>
      <c r="J16" s="24">
        <f>H16/'- 7 -'!F16</f>
        <v>272.05945192754297</v>
      </c>
    </row>
    <row r="17" spans="1:10" ht="13.5" customHeight="1">
      <c r="A17" s="362" t="s">
        <v>221</v>
      </c>
      <c r="B17" s="363">
        <v>183300</v>
      </c>
      <c r="C17" s="364">
        <f>B17/'- 3 -'!D17*100</f>
        <v>1.2482995919020565</v>
      </c>
      <c r="D17" s="363">
        <f>B17/'- 7 -'!F17</f>
        <v>132.92240754169688</v>
      </c>
      <c r="E17" s="363">
        <v>126660</v>
      </c>
      <c r="F17" s="364">
        <f>E17/'- 3 -'!D17*100</f>
        <v>0.8625729749607991</v>
      </c>
      <c r="G17" s="363">
        <f>E17/'- 7 -'!F17</f>
        <v>91.84916606236403</v>
      </c>
      <c r="H17" s="363">
        <v>259165</v>
      </c>
      <c r="I17" s="364">
        <f>H17/'- 3 -'!D17*100</f>
        <v>1.7649512478739577</v>
      </c>
      <c r="J17" s="363">
        <f>H17/'- 7 -'!F17</f>
        <v>187.9369108049311</v>
      </c>
    </row>
    <row r="18" spans="1:10" ht="13.5" customHeight="1">
      <c r="A18" s="23" t="s">
        <v>222</v>
      </c>
      <c r="B18" s="24">
        <v>867227</v>
      </c>
      <c r="C18" s="355">
        <f>B18/'- 3 -'!D18*100</f>
        <v>0.8667673186202429</v>
      </c>
      <c r="D18" s="24">
        <f>B18/'- 7 -'!F18</f>
        <v>149.1721136645108</v>
      </c>
      <c r="E18" s="24">
        <v>1688882</v>
      </c>
      <c r="F18" s="355">
        <f>E18/'- 3 -'!D18*100</f>
        <v>1.6879867930841557</v>
      </c>
      <c r="G18" s="24">
        <f>E18/'- 7 -'!F18</f>
        <v>290.5053667262969</v>
      </c>
      <c r="H18" s="24">
        <v>2863622</v>
      </c>
      <c r="I18" s="355">
        <f>H18/'- 3 -'!D18*100</f>
        <v>2.8621041117053982</v>
      </c>
      <c r="J18" s="24">
        <f>H18/'- 7 -'!F18</f>
        <v>492.572932434292</v>
      </c>
    </row>
    <row r="19" spans="1:10" ht="13.5" customHeight="1">
      <c r="A19" s="362" t="s">
        <v>223</v>
      </c>
      <c r="B19" s="363">
        <v>145935</v>
      </c>
      <c r="C19" s="364">
        <f>B19/'- 3 -'!D19*100</f>
        <v>0.5032235305922906</v>
      </c>
      <c r="D19" s="363">
        <f>B19/'- 7 -'!F19</f>
        <v>38.242924528301884</v>
      </c>
      <c r="E19" s="363">
        <v>297950</v>
      </c>
      <c r="F19" s="364">
        <f>E19/'- 3 -'!D19*100</f>
        <v>1.0274125531227807</v>
      </c>
      <c r="G19" s="363">
        <f>E19/'- 7 -'!F19</f>
        <v>78.07914046121593</v>
      </c>
      <c r="H19" s="363">
        <v>499925</v>
      </c>
      <c r="I19" s="364">
        <f>H19/'- 3 -'!D19*100</f>
        <v>1.7238772298033433</v>
      </c>
      <c r="J19" s="363">
        <f>H19/'- 7 -'!F19</f>
        <v>131.0075995807128</v>
      </c>
    </row>
    <row r="20" spans="1:10" ht="13.5" customHeight="1">
      <c r="A20" s="23" t="s">
        <v>224</v>
      </c>
      <c r="B20" s="24">
        <v>217187</v>
      </c>
      <c r="C20" s="355">
        <f>B20/'- 3 -'!D20*100</f>
        <v>0.3930435274733045</v>
      </c>
      <c r="D20" s="24">
        <f>B20/'- 7 -'!F20</f>
        <v>30.248885793871867</v>
      </c>
      <c r="E20" s="24">
        <v>450942</v>
      </c>
      <c r="F20" s="355">
        <f>E20/'- 3 -'!D20*100</f>
        <v>0.81607018083894</v>
      </c>
      <c r="G20" s="24">
        <f>E20/'- 7 -'!F20</f>
        <v>62.80529247910864</v>
      </c>
      <c r="H20" s="24">
        <v>883624</v>
      </c>
      <c r="I20" s="355">
        <f>H20/'- 3 -'!D20*100</f>
        <v>1.5990952217217014</v>
      </c>
      <c r="J20" s="24">
        <f>H20/'- 7 -'!F20</f>
        <v>123.06740947075208</v>
      </c>
    </row>
    <row r="21" spans="1:10" ht="13.5" customHeight="1">
      <c r="A21" s="362" t="s">
        <v>225</v>
      </c>
      <c r="B21" s="363">
        <v>190500</v>
      </c>
      <c r="C21" s="364">
        <f>B21/'- 3 -'!D21*100</f>
        <v>0.6699772805604598</v>
      </c>
      <c r="D21" s="363">
        <f>B21/'- 7 -'!F21</f>
        <v>64.02285330196605</v>
      </c>
      <c r="E21" s="363">
        <v>338000</v>
      </c>
      <c r="F21" s="364">
        <f>E21/'- 3 -'!D21*100</f>
        <v>1.1887260935928365</v>
      </c>
      <c r="G21" s="363">
        <f>E21/'- 7 -'!F21</f>
        <v>113.59435389010251</v>
      </c>
      <c r="H21" s="363">
        <v>495000</v>
      </c>
      <c r="I21" s="364">
        <f>H21/'- 3 -'!D21*100</f>
        <v>1.7408858471256041</v>
      </c>
      <c r="J21" s="363">
        <f>H21/'- 7 -'!F21</f>
        <v>166.35859519408504</v>
      </c>
    </row>
    <row r="22" spans="1:10" ht="13.5" customHeight="1">
      <c r="A22" s="23" t="s">
        <v>226</v>
      </c>
      <c r="B22" s="24">
        <v>89300</v>
      </c>
      <c r="C22" s="355">
        <f>B22/'- 3 -'!D22*100</f>
        <v>0.5570163286249131</v>
      </c>
      <c r="D22" s="24">
        <f>B22/'- 7 -'!F22</f>
        <v>52.684365781710916</v>
      </c>
      <c r="E22" s="24">
        <v>103910</v>
      </c>
      <c r="F22" s="355">
        <f>E22/'- 3 -'!D22*100</f>
        <v>0.6481474435320799</v>
      </c>
      <c r="G22" s="24">
        <f>E22/'- 7 -'!F22</f>
        <v>61.30383480825959</v>
      </c>
      <c r="H22" s="24">
        <v>440900</v>
      </c>
      <c r="I22" s="355">
        <f>H22/'- 3 -'!D22*100</f>
        <v>2.750151167869252</v>
      </c>
      <c r="J22" s="24">
        <f>H22/'- 7 -'!F22</f>
        <v>260.117994100295</v>
      </c>
    </row>
    <row r="23" spans="1:10" ht="13.5" customHeight="1">
      <c r="A23" s="362" t="s">
        <v>227</v>
      </c>
      <c r="B23" s="363">
        <v>97150</v>
      </c>
      <c r="C23" s="364">
        <f>B23/'- 3 -'!D23*100</f>
        <v>0.7325896285517967</v>
      </c>
      <c r="D23" s="363">
        <f>B23/'- 7 -'!F23</f>
        <v>74.55871066768995</v>
      </c>
      <c r="E23" s="363">
        <v>118000</v>
      </c>
      <c r="F23" s="364">
        <f>E23/'- 3 -'!D23*100</f>
        <v>0.8898155035420691</v>
      </c>
      <c r="G23" s="363">
        <f>E23/'- 7 -'!F23</f>
        <v>90.56024558710668</v>
      </c>
      <c r="H23" s="363">
        <v>227300</v>
      </c>
      <c r="I23" s="364">
        <f>H23/'- 3 -'!D23*100</f>
        <v>1.7140259657212904</v>
      </c>
      <c r="J23" s="363">
        <f>H23/'- 7 -'!F23</f>
        <v>174.44359171143515</v>
      </c>
    </row>
    <row r="24" spans="1:10" ht="13.5" customHeight="1">
      <c r="A24" s="23" t="s">
        <v>228</v>
      </c>
      <c r="B24" s="24">
        <v>282970</v>
      </c>
      <c r="C24" s="355">
        <f>B24/'- 3 -'!D24*100</f>
        <v>0.6370766975773929</v>
      </c>
      <c r="D24" s="24">
        <f>B24/'- 7 -'!F24</f>
        <v>63.93357433348396</v>
      </c>
      <c r="E24" s="24">
        <v>316700</v>
      </c>
      <c r="F24" s="355">
        <f>E24/'- 3 -'!D24*100</f>
        <v>0.7130161858951845</v>
      </c>
      <c r="G24" s="24">
        <f>E24/'- 7 -'!F24</f>
        <v>71.55445097153186</v>
      </c>
      <c r="H24" s="24">
        <v>792780</v>
      </c>
      <c r="I24" s="355">
        <f>H24/'- 3 -'!D24*100</f>
        <v>1.7848593996020976</v>
      </c>
      <c r="J24" s="24">
        <f>H24/'- 7 -'!F24</f>
        <v>179.118843199277</v>
      </c>
    </row>
    <row r="25" spans="1:10" ht="13.5" customHeight="1">
      <c r="A25" s="362" t="s">
        <v>229</v>
      </c>
      <c r="B25" s="363">
        <v>416038</v>
      </c>
      <c r="C25" s="364">
        <f>B25/'- 3 -'!D25*100</f>
        <v>0.31023121269698556</v>
      </c>
      <c r="D25" s="363">
        <f>B25/'- 7 -'!F25</f>
        <v>29.331500282007894</v>
      </c>
      <c r="E25" s="363">
        <v>777631</v>
      </c>
      <c r="F25" s="364">
        <f>E25/'- 3 -'!D25*100</f>
        <v>0.5798638782052831</v>
      </c>
      <c r="G25" s="363">
        <f>E25/'- 7 -'!F25</f>
        <v>54.824520586576426</v>
      </c>
      <c r="H25" s="363">
        <v>2883479</v>
      </c>
      <c r="I25" s="364">
        <f>H25/'- 3 -'!D25*100</f>
        <v>2.150152598936374</v>
      </c>
      <c r="J25" s="363">
        <f>H25/'- 7 -'!F25</f>
        <v>203.29096164692612</v>
      </c>
    </row>
    <row r="26" spans="1:10" ht="13.5" customHeight="1">
      <c r="A26" s="23" t="s">
        <v>230</v>
      </c>
      <c r="B26" s="24">
        <v>170667</v>
      </c>
      <c r="C26" s="355">
        <f>B26/'- 3 -'!D26*100</f>
        <v>0.5261654691390065</v>
      </c>
      <c r="D26" s="24">
        <f>B26/'- 7 -'!F26</f>
        <v>54.508783136378156</v>
      </c>
      <c r="E26" s="24">
        <v>295273</v>
      </c>
      <c r="F26" s="355">
        <f>E26/'- 3 -'!D26*100</f>
        <v>0.910325115980722</v>
      </c>
      <c r="G26" s="24">
        <f>E26/'- 7 -'!F26</f>
        <v>94.30629191951454</v>
      </c>
      <c r="H26" s="24">
        <v>516337</v>
      </c>
      <c r="I26" s="355">
        <f>H26/'- 3 -'!D26*100</f>
        <v>1.5918642727582204</v>
      </c>
      <c r="J26" s="24">
        <f>H26/'- 7 -'!F26</f>
        <v>164.9112104758863</v>
      </c>
    </row>
    <row r="27" spans="1:10" ht="13.5" customHeight="1">
      <c r="A27" s="362" t="s">
        <v>231</v>
      </c>
      <c r="B27" s="363">
        <v>216047</v>
      </c>
      <c r="C27" s="364">
        <f>B27/'- 3 -'!D27*100</f>
        <v>0.6122020577642269</v>
      </c>
      <c r="D27" s="363">
        <f>B27/'- 7 -'!F27</f>
        <v>67.07367806671138</v>
      </c>
      <c r="E27" s="363">
        <v>376331</v>
      </c>
      <c r="F27" s="364">
        <f>E27/'- 3 -'!D27*100</f>
        <v>1.0663911676647642</v>
      </c>
      <c r="G27" s="363">
        <f>E27/'- 7 -'!F27</f>
        <v>116.8352457591337</v>
      </c>
      <c r="H27" s="363">
        <v>738551</v>
      </c>
      <c r="I27" s="364">
        <f>H27/'- 3 -'!D27*100</f>
        <v>2.0927966690758377</v>
      </c>
      <c r="J27" s="363">
        <f>H27/'- 7 -'!F27</f>
        <v>229.2896083252614</v>
      </c>
    </row>
    <row r="28" spans="1:10" ht="13.5" customHeight="1">
      <c r="A28" s="23" t="s">
        <v>232</v>
      </c>
      <c r="B28" s="24">
        <v>141033</v>
      </c>
      <c r="C28" s="355">
        <f>B28/'- 3 -'!D28*100</f>
        <v>0.7589731203948579</v>
      </c>
      <c r="D28" s="24">
        <f>B28/'- 7 -'!F28</f>
        <v>80.08688245315162</v>
      </c>
      <c r="E28" s="24">
        <v>250441</v>
      </c>
      <c r="F28" s="355">
        <f>E28/'- 3 -'!D28*100</f>
        <v>1.34775539940871</v>
      </c>
      <c r="G28" s="24">
        <f>E28/'- 7 -'!F28</f>
        <v>142.2152186257808</v>
      </c>
      <c r="H28" s="24">
        <v>308553</v>
      </c>
      <c r="I28" s="355">
        <f>H28/'- 3 -'!D28*100</f>
        <v>1.6604867883204255</v>
      </c>
      <c r="J28" s="24">
        <f>H28/'- 7 -'!F28</f>
        <v>175.21465076660988</v>
      </c>
    </row>
    <row r="29" spans="1:10" ht="13.5" customHeight="1">
      <c r="A29" s="362" t="s">
        <v>233</v>
      </c>
      <c r="B29" s="363">
        <v>348137</v>
      </c>
      <c r="C29" s="364">
        <f>B29/'- 3 -'!D29*100</f>
        <v>0.28297146232513903</v>
      </c>
      <c r="D29" s="363">
        <f>B29/'- 7 -'!F29</f>
        <v>28.628510340857694</v>
      </c>
      <c r="E29" s="363">
        <v>1538962</v>
      </c>
      <c r="F29" s="364">
        <f>E29/'- 3 -'!D29*100</f>
        <v>1.2508935493866513</v>
      </c>
      <c r="G29" s="363">
        <f>E29/'- 7 -'!F29</f>
        <v>126.55417129229883</v>
      </c>
      <c r="H29" s="363">
        <v>1492284</v>
      </c>
      <c r="I29" s="364">
        <f>H29/'- 3 -'!D29*100</f>
        <v>1.212952905564211</v>
      </c>
      <c r="J29" s="363">
        <f>H29/'- 7 -'!F29</f>
        <v>122.7156778093006</v>
      </c>
    </row>
    <row r="30" spans="1:10" ht="13.5" customHeight="1">
      <c r="A30" s="23" t="s">
        <v>234</v>
      </c>
      <c r="B30" s="24">
        <v>91141</v>
      </c>
      <c r="C30" s="355">
        <f>B30/'- 3 -'!D30*100</f>
        <v>0.7987718294829284</v>
      </c>
      <c r="D30" s="24">
        <f>B30/'- 7 -'!F30</f>
        <v>77.43500424808836</v>
      </c>
      <c r="E30" s="24">
        <v>113823</v>
      </c>
      <c r="F30" s="355">
        <f>E30/'- 3 -'!D30*100</f>
        <v>0.9975598901398424</v>
      </c>
      <c r="G30" s="24">
        <f>E30/'- 7 -'!F30</f>
        <v>96.70603228547154</v>
      </c>
      <c r="H30" s="24">
        <v>223853</v>
      </c>
      <c r="I30" s="355">
        <f>H30/'- 3 -'!D30*100</f>
        <v>1.9618774244877932</v>
      </c>
      <c r="J30" s="24">
        <f>H30/'- 7 -'!F30</f>
        <v>190.1894647408666</v>
      </c>
    </row>
    <row r="31" spans="1:10" ht="13.5" customHeight="1">
      <c r="A31" s="362" t="s">
        <v>235</v>
      </c>
      <c r="B31" s="363">
        <v>136801</v>
      </c>
      <c r="C31" s="364">
        <f>B31/'- 3 -'!D31*100</f>
        <v>0.4660826344160738</v>
      </c>
      <c r="D31" s="363">
        <f>B31/'- 7 -'!F31</f>
        <v>41.773848784658604</v>
      </c>
      <c r="E31" s="363">
        <v>309289</v>
      </c>
      <c r="F31" s="364">
        <f>E31/'- 3 -'!D31*100</f>
        <v>1.053751302372885</v>
      </c>
      <c r="G31" s="363">
        <f>E31/'- 7 -'!F31</f>
        <v>94.44515695614999</v>
      </c>
      <c r="H31" s="363">
        <v>467132</v>
      </c>
      <c r="I31" s="364">
        <f>H31/'- 3 -'!D31*100</f>
        <v>1.591524281109417</v>
      </c>
      <c r="J31" s="363">
        <f>H31/'- 7 -'!F31</f>
        <v>142.6444363014535</v>
      </c>
    </row>
    <row r="32" spans="1:10" ht="13.5" customHeight="1">
      <c r="A32" s="23" t="s">
        <v>236</v>
      </c>
      <c r="B32" s="24">
        <v>170100</v>
      </c>
      <c r="C32" s="355">
        <f>B32/'- 3 -'!D32*100</f>
        <v>0.7762543032827844</v>
      </c>
      <c r="D32" s="24">
        <f>B32/'- 7 -'!F32</f>
        <v>77.52962625341841</v>
      </c>
      <c r="E32" s="24">
        <v>213600</v>
      </c>
      <c r="F32" s="355">
        <f>E32/'- 3 -'!D32*100</f>
        <v>0.9747673085314682</v>
      </c>
      <c r="G32" s="24">
        <f>E32/'- 7 -'!F32</f>
        <v>97.35642661804923</v>
      </c>
      <c r="H32" s="24">
        <v>537950</v>
      </c>
      <c r="I32" s="355">
        <f>H32/'- 3 -'!D32*100</f>
        <v>2.454944164908724</v>
      </c>
      <c r="J32" s="24">
        <f>H32/'- 7 -'!F32</f>
        <v>245.19143117593435</v>
      </c>
    </row>
    <row r="33" spans="1:10" ht="13.5" customHeight="1">
      <c r="A33" s="362" t="s">
        <v>237</v>
      </c>
      <c r="B33" s="363">
        <v>178500</v>
      </c>
      <c r="C33" s="364">
        <f>B33/'- 3 -'!D33*100</f>
        <v>0.7763738773024813</v>
      </c>
      <c r="D33" s="363">
        <f>B33/'- 7 -'!F33</f>
        <v>82.03125</v>
      </c>
      <c r="E33" s="363">
        <v>428300</v>
      </c>
      <c r="F33" s="364">
        <f>E33/'- 3 -'!D33*100</f>
        <v>1.8628623621773266</v>
      </c>
      <c r="G33" s="363">
        <f>E33/'- 7 -'!F33</f>
        <v>196.82904411764707</v>
      </c>
      <c r="H33" s="363">
        <v>299100</v>
      </c>
      <c r="I33" s="364">
        <f>H33/'- 3 -'!D33*100</f>
        <v>1.3009155557488636</v>
      </c>
      <c r="J33" s="363">
        <f>H33/'- 7 -'!F33</f>
        <v>137.45404411764707</v>
      </c>
    </row>
    <row r="34" spans="1:10" ht="13.5" customHeight="1">
      <c r="A34" s="23" t="s">
        <v>238</v>
      </c>
      <c r="B34" s="24">
        <v>148800</v>
      </c>
      <c r="C34" s="355">
        <f>B34/'- 3 -'!D34*100</f>
        <v>0.7195577041273501</v>
      </c>
      <c r="D34" s="24">
        <f>B34/'- 7 -'!F34</f>
        <v>73.48148148148148</v>
      </c>
      <c r="E34" s="24">
        <v>254453</v>
      </c>
      <c r="F34" s="355">
        <f>E34/'- 3 -'!D34*100</f>
        <v>1.2304678527440633</v>
      </c>
      <c r="G34" s="24">
        <f>E34/'- 7 -'!F34</f>
        <v>125.6558024691358</v>
      </c>
      <c r="H34" s="24">
        <v>481108</v>
      </c>
      <c r="I34" s="355">
        <f>H34/'- 3 -'!D34*100</f>
        <v>2.3265118811646586</v>
      </c>
      <c r="J34" s="24">
        <f>H34/'- 7 -'!F34</f>
        <v>237.5841975308642</v>
      </c>
    </row>
    <row r="35" spans="1:10" ht="13.5" customHeight="1">
      <c r="A35" s="362" t="s">
        <v>239</v>
      </c>
      <c r="B35" s="363">
        <v>353000</v>
      </c>
      <c r="C35" s="364">
        <f>B35/'- 3 -'!D35*100</f>
        <v>0.23411446165087726</v>
      </c>
      <c r="D35" s="363">
        <f>B35/'- 7 -'!F35</f>
        <v>21.62857668035047</v>
      </c>
      <c r="E35" s="363">
        <v>1160830</v>
      </c>
      <c r="F35" s="364">
        <f>E35/'- 3 -'!D35*100</f>
        <v>0.7698784433943</v>
      </c>
      <c r="G35" s="363">
        <f>E35/'- 7 -'!F35</f>
        <v>71.1249310704001</v>
      </c>
      <c r="H35" s="363">
        <v>1930000</v>
      </c>
      <c r="I35" s="364">
        <f>H35/'- 3 -'!D35*100</f>
        <v>1.2800025806974311</v>
      </c>
      <c r="J35" s="363">
        <f>H35/'- 7 -'!F35</f>
        <v>118.2525580540408</v>
      </c>
    </row>
    <row r="36" spans="1:10" ht="13.5" customHeight="1">
      <c r="A36" s="23" t="s">
        <v>240</v>
      </c>
      <c r="B36" s="24">
        <v>185000</v>
      </c>
      <c r="C36" s="355">
        <f>B36/'- 3 -'!D36*100</f>
        <v>0.9627704474228456</v>
      </c>
      <c r="D36" s="24">
        <f>B36/'- 7 -'!F36</f>
        <v>100.65288356909684</v>
      </c>
      <c r="E36" s="24">
        <v>214975</v>
      </c>
      <c r="F36" s="355">
        <f>E36/'- 3 -'!D36*100</f>
        <v>1.11876528072825</v>
      </c>
      <c r="G36" s="24">
        <f>E36/'- 7 -'!F36</f>
        <v>116.9613710554951</v>
      </c>
      <c r="H36" s="24">
        <v>371475</v>
      </c>
      <c r="I36" s="355">
        <f>H36/'- 3 -'!D36*100</f>
        <v>1.9332170376021707</v>
      </c>
      <c r="J36" s="24">
        <f>H36/'- 7 -'!F36</f>
        <v>202.1082698585419</v>
      </c>
    </row>
    <row r="37" spans="1:10" ht="13.5" customHeight="1">
      <c r="A37" s="362" t="s">
        <v>241</v>
      </c>
      <c r="B37" s="363">
        <v>153280</v>
      </c>
      <c r="C37" s="364">
        <f>B37/'- 3 -'!D37*100</f>
        <v>0.4652251626960199</v>
      </c>
      <c r="D37" s="363">
        <f>B37/'- 7 -'!F37</f>
        <v>44.24303651320537</v>
      </c>
      <c r="E37" s="363">
        <v>370631</v>
      </c>
      <c r="F37" s="364">
        <f>E37/'- 3 -'!D37*100</f>
        <v>1.1249143219936621</v>
      </c>
      <c r="G37" s="363">
        <f>E37/'- 7 -'!F37</f>
        <v>106.97965074325299</v>
      </c>
      <c r="H37" s="363">
        <v>582846</v>
      </c>
      <c r="I37" s="364">
        <f>H37/'- 3 -'!D37*100</f>
        <v>1.7690150389922</v>
      </c>
      <c r="J37" s="363">
        <f>H37/'- 7 -'!F37</f>
        <v>168.2337999711358</v>
      </c>
    </row>
    <row r="38" spans="1:10" ht="13.5" customHeight="1">
      <c r="A38" s="23" t="s">
        <v>242</v>
      </c>
      <c r="B38" s="24">
        <v>272326</v>
      </c>
      <c r="C38" s="355">
        <f>B38/'- 3 -'!D38*100</f>
        <v>0.3265382373582833</v>
      </c>
      <c r="D38" s="24">
        <f>B38/'- 7 -'!F38</f>
        <v>30.956689780607025</v>
      </c>
      <c r="E38" s="24">
        <v>732769</v>
      </c>
      <c r="F38" s="355">
        <f>E38/'- 3 -'!D38*100</f>
        <v>0.8786421335120109</v>
      </c>
      <c r="G38" s="24">
        <f>E38/'- 7 -'!F38</f>
        <v>83.29760145504149</v>
      </c>
      <c r="H38" s="24">
        <v>1227660</v>
      </c>
      <c r="I38" s="355">
        <f>H38/'- 3 -'!D38*100</f>
        <v>1.472051631042464</v>
      </c>
      <c r="J38" s="24">
        <f>H38/'- 7 -'!F38</f>
        <v>139.55439354325338</v>
      </c>
    </row>
    <row r="39" spans="1:10" ht="13.5" customHeight="1">
      <c r="A39" s="362" t="s">
        <v>243</v>
      </c>
      <c r="B39" s="363">
        <v>161050</v>
      </c>
      <c r="C39" s="364">
        <f>B39/'- 3 -'!D39*100</f>
        <v>0.9356950613660254</v>
      </c>
      <c r="D39" s="363">
        <f>B39/'- 7 -'!F39</f>
        <v>98.62216778934476</v>
      </c>
      <c r="E39" s="363">
        <v>178950</v>
      </c>
      <c r="F39" s="364">
        <f>E39/'- 3 -'!D39*100</f>
        <v>1.0396934568857512</v>
      </c>
      <c r="G39" s="363">
        <f>E39/'- 7 -'!F39</f>
        <v>109.58358848744642</v>
      </c>
      <c r="H39" s="363">
        <v>318175</v>
      </c>
      <c r="I39" s="364">
        <f>H39/'- 3 -'!D39*100</f>
        <v>1.8485860052787029</v>
      </c>
      <c r="J39" s="363">
        <f>H39/'- 7 -'!F39</f>
        <v>194.84078383343538</v>
      </c>
    </row>
    <row r="40" spans="1:10" ht="13.5" customHeight="1">
      <c r="A40" s="23" t="s">
        <v>244</v>
      </c>
      <c r="B40" s="24">
        <v>381850</v>
      </c>
      <c r="C40" s="355">
        <f>B40/'- 3 -'!D40*100</f>
        <v>0.45377454503174924</v>
      </c>
      <c r="D40" s="24">
        <f>B40/'- 7 -'!F40</f>
        <v>45.69442117607639</v>
      </c>
      <c r="E40" s="24">
        <v>1088861</v>
      </c>
      <c r="F40" s="355">
        <f>E40/'- 3 -'!D40*100</f>
        <v>1.2939568020893428</v>
      </c>
      <c r="G40" s="24">
        <f>E40/'- 7 -'!F40</f>
        <v>130.29952372974654</v>
      </c>
      <c r="H40" s="24">
        <v>1463233</v>
      </c>
      <c r="I40" s="355">
        <f>H40/'- 3 -'!D40*100</f>
        <v>1.73884480516025</v>
      </c>
      <c r="J40" s="24">
        <f>H40/'- 7 -'!F40</f>
        <v>175.09908335926093</v>
      </c>
    </row>
    <row r="41" spans="1:10" ht="13.5" customHeight="1">
      <c r="A41" s="362" t="s">
        <v>245</v>
      </c>
      <c r="B41" s="363">
        <v>239177</v>
      </c>
      <c r="C41" s="364">
        <f>B41/'- 3 -'!D41*100</f>
        <v>0.4666789162150597</v>
      </c>
      <c r="D41" s="363">
        <f>B41/'- 7 -'!F41</f>
        <v>51.669259019226615</v>
      </c>
      <c r="E41" s="363">
        <v>577497</v>
      </c>
      <c r="F41" s="364">
        <f>E41/'- 3 -'!D41*100</f>
        <v>1.1268043084303605</v>
      </c>
      <c r="G41" s="363">
        <f>E41/'- 7 -'!F41</f>
        <v>124.75631885936487</v>
      </c>
      <c r="H41" s="363">
        <v>1079806</v>
      </c>
      <c r="I41" s="364">
        <f>H41/'- 3 -'!D41*100</f>
        <v>2.1069028117357385</v>
      </c>
      <c r="J41" s="363">
        <f>H41/'- 7 -'!F41</f>
        <v>233.2698206956146</v>
      </c>
    </row>
    <row r="42" spans="1:10" ht="13.5" customHeight="1">
      <c r="A42" s="23" t="s">
        <v>246</v>
      </c>
      <c r="B42" s="24">
        <v>162367</v>
      </c>
      <c r="C42" s="355">
        <f>B42/'- 3 -'!D42*100</f>
        <v>0.9161057951631518</v>
      </c>
      <c r="D42" s="24">
        <f>B42/'- 7 -'!F42</f>
        <v>99.73402948402948</v>
      </c>
      <c r="E42" s="24">
        <v>178618</v>
      </c>
      <c r="F42" s="355">
        <f>E42/'- 3 -'!D42*100</f>
        <v>1.007797058025657</v>
      </c>
      <c r="G42" s="24">
        <f>E42/'- 7 -'!F42</f>
        <v>109.71621621621621</v>
      </c>
      <c r="H42" s="24">
        <v>333698</v>
      </c>
      <c r="I42" s="355">
        <f>H42/'- 3 -'!D42*100</f>
        <v>1.8827881997841522</v>
      </c>
      <c r="J42" s="24">
        <f>H42/'- 7 -'!F42</f>
        <v>204.97420147420146</v>
      </c>
    </row>
    <row r="43" spans="1:10" ht="13.5" customHeight="1">
      <c r="A43" s="362" t="s">
        <v>247</v>
      </c>
      <c r="B43" s="363">
        <v>104000</v>
      </c>
      <c r="C43" s="364">
        <f>B43/'- 3 -'!D43*100</f>
        <v>1.0087560020982125</v>
      </c>
      <c r="D43" s="363">
        <f>B43/'- 7 -'!F43</f>
        <v>103.53409656545546</v>
      </c>
      <c r="E43" s="363">
        <v>120283</v>
      </c>
      <c r="F43" s="364">
        <f>E43/'- 3 -'!D43*100</f>
        <v>1.1666942134651854</v>
      </c>
      <c r="G43" s="363">
        <f>E43/'- 7 -'!F43</f>
        <v>119.74415131906422</v>
      </c>
      <c r="H43" s="363">
        <v>289257</v>
      </c>
      <c r="I43" s="364">
        <f>H43/'- 3 -'!D43*100</f>
        <v>2.805670527874256</v>
      </c>
      <c r="J43" s="363">
        <f>H43/'- 7 -'!F43</f>
        <v>287.96117471378795</v>
      </c>
    </row>
    <row r="44" spans="1:10" ht="13.5" customHeight="1">
      <c r="A44" s="23" t="s">
        <v>248</v>
      </c>
      <c r="B44" s="24">
        <v>76950</v>
      </c>
      <c r="C44" s="355">
        <f>B44/'- 3 -'!D44*100</f>
        <v>0.9087974784678772</v>
      </c>
      <c r="D44" s="24">
        <f>B44/'- 7 -'!F44</f>
        <v>98.65384615384616</v>
      </c>
      <c r="E44" s="24">
        <v>47843</v>
      </c>
      <c r="F44" s="355">
        <f>E44/'- 3 -'!D44*100</f>
        <v>0.5650370079576172</v>
      </c>
      <c r="G44" s="24">
        <f>E44/'- 7 -'!F44</f>
        <v>61.33717948717949</v>
      </c>
      <c r="H44" s="24">
        <v>238620</v>
      </c>
      <c r="I44" s="355">
        <f>H44/'- 3 -'!D44*100</f>
        <v>2.818157950773293</v>
      </c>
      <c r="J44" s="24">
        <f>H44/'- 7 -'!F44</f>
        <v>305.9230769230769</v>
      </c>
    </row>
    <row r="45" spans="1:10" ht="13.5" customHeight="1">
      <c r="A45" s="362" t="s">
        <v>249</v>
      </c>
      <c r="B45" s="363">
        <v>109747</v>
      </c>
      <c r="C45" s="364">
        <f>B45/'- 3 -'!D45*100</f>
        <v>0.8427320684558262</v>
      </c>
      <c r="D45" s="363">
        <f>B45/'- 7 -'!F45</f>
        <v>72.20197368421053</v>
      </c>
      <c r="E45" s="363">
        <v>123183</v>
      </c>
      <c r="F45" s="364">
        <f>E45/'- 3 -'!D45*100</f>
        <v>0.9459052583541603</v>
      </c>
      <c r="G45" s="363">
        <f>E45/'- 7 -'!F45</f>
        <v>81.04144736842105</v>
      </c>
      <c r="H45" s="363">
        <v>236152</v>
      </c>
      <c r="I45" s="364">
        <f>H45/'- 3 -'!D45*100</f>
        <v>1.8133786201898938</v>
      </c>
      <c r="J45" s="363">
        <f>H45/'- 7 -'!F45</f>
        <v>155.36315789473684</v>
      </c>
    </row>
    <row r="46" spans="1:10" ht="13.5" customHeight="1">
      <c r="A46" s="23" t="s">
        <v>250</v>
      </c>
      <c r="B46" s="24">
        <v>673400</v>
      </c>
      <c r="C46" s="355">
        <f>B46/'- 3 -'!D46*100</f>
        <v>0.21979786690968245</v>
      </c>
      <c r="D46" s="24">
        <f>B46/'- 7 -'!F46</f>
        <v>22.157875686880985</v>
      </c>
      <c r="E46" s="24">
        <v>1715200</v>
      </c>
      <c r="F46" s="355">
        <f>E46/'- 3 -'!D46*100</f>
        <v>0.5598415523069311</v>
      </c>
      <c r="G46" s="24">
        <f>E46/'- 7 -'!F46</f>
        <v>56.4377611792965</v>
      </c>
      <c r="H46" s="24">
        <v>5169700</v>
      </c>
      <c r="I46" s="355">
        <f>H46/'- 3 -'!D46*100</f>
        <v>1.687390900746934</v>
      </c>
      <c r="J46" s="24">
        <f>H46/'- 7 -'!F46</f>
        <v>170.10628146490737</v>
      </c>
    </row>
    <row r="47" spans="1:10" ht="4.5" customHeight="1">
      <c r="A47"/>
      <c r="B47"/>
      <c r="C47"/>
      <c r="D47"/>
      <c r="E47"/>
      <c r="F47"/>
      <c r="G47"/>
      <c r="H47"/>
      <c r="I47"/>
      <c r="J47"/>
    </row>
    <row r="48" spans="1:10" ht="13.5" customHeight="1">
      <c r="A48" s="365" t="s">
        <v>251</v>
      </c>
      <c r="B48" s="366">
        <f>SUM(B11:B46)</f>
        <v>8397407</v>
      </c>
      <c r="C48" s="367">
        <f>B48/'- 3 -'!D48*100</f>
        <v>0.48604089487869573</v>
      </c>
      <c r="D48" s="366">
        <f>B48/'- 7 -'!F48</f>
        <v>48.7468845641916</v>
      </c>
      <c r="E48" s="366">
        <f>SUM(E11:E46)</f>
        <v>16358034</v>
      </c>
      <c r="F48" s="367">
        <f>E48/'- 3 -'!D48*100</f>
        <v>0.9468010165299992</v>
      </c>
      <c r="G48" s="366">
        <f>E48/'- 7 -'!F48</f>
        <v>94.95826450892774</v>
      </c>
      <c r="H48" s="366">
        <f>SUM(H11:H46)</f>
        <v>30992837</v>
      </c>
      <c r="I48" s="367">
        <f>H48/'- 3 -'!D48*100</f>
        <v>1.7938616325622363</v>
      </c>
      <c r="J48" s="366">
        <f>H48/'- 7 -'!F48</f>
        <v>179.9131860056094</v>
      </c>
    </row>
    <row r="49" spans="1:10" ht="4.5" customHeight="1">
      <c r="A49" s="25" t="s">
        <v>3</v>
      </c>
      <c r="B49" s="26"/>
      <c r="C49" s="353"/>
      <c r="D49" s="26"/>
      <c r="E49" s="26"/>
      <c r="F49" s="353"/>
      <c r="H49" s="26"/>
      <c r="I49" s="353"/>
      <c r="J49" s="26"/>
    </row>
    <row r="50" spans="1:10" ht="13.5" customHeight="1">
      <c r="A50" s="23" t="s">
        <v>252</v>
      </c>
      <c r="B50" s="24">
        <v>43000</v>
      </c>
      <c r="C50" s="355">
        <f>B50/'- 3 -'!D50*100</f>
        <v>1.5130919400407408</v>
      </c>
      <c r="D50" s="24">
        <f>B50/'- 7 -'!F50</f>
        <v>201.40515222482435</v>
      </c>
      <c r="E50" s="24">
        <v>25692</v>
      </c>
      <c r="F50" s="355">
        <f>E50/'- 3 -'!D50*100</f>
        <v>0.9040548400820166</v>
      </c>
      <c r="G50" s="24">
        <f>E50/'- 7 -'!F50</f>
        <v>120.33723653395785</v>
      </c>
      <c r="H50" s="24">
        <v>36251</v>
      </c>
      <c r="I50" s="355">
        <f>H50/'- 3 -'!D50*100</f>
        <v>1.2756068818236488</v>
      </c>
      <c r="J50" s="24">
        <f>H50/'- 7 -'!F50</f>
        <v>169.79391100702577</v>
      </c>
    </row>
    <row r="51" spans="1:10" ht="13.5" customHeight="1">
      <c r="A51" s="362" t="s">
        <v>253</v>
      </c>
      <c r="B51" s="363">
        <v>42950</v>
      </c>
      <c r="C51" s="364">
        <f>B51/'- 3 -'!D51*100</f>
        <v>0.35396077158668293</v>
      </c>
      <c r="D51" s="363">
        <f>B51/'- 7 -'!F51</f>
        <v>68.8301282051282</v>
      </c>
      <c r="E51" s="363">
        <v>164634</v>
      </c>
      <c r="F51" s="364">
        <f>E51/'- 3 -'!D51*100</f>
        <v>1.3567864416624438</v>
      </c>
      <c r="G51" s="363">
        <f>E51/'- 7 -'!F51</f>
        <v>263.83653846153845</v>
      </c>
      <c r="H51" s="363">
        <v>345078</v>
      </c>
      <c r="I51" s="364">
        <f>H51/'- 3 -'!D51*100</f>
        <v>2.8438667086749563</v>
      </c>
      <c r="J51" s="363">
        <f>H51/'- 7 -'!F51</f>
        <v>553.0096153846154</v>
      </c>
    </row>
    <row r="52" spans="2:10" ht="49.5" customHeight="1">
      <c r="B52"/>
      <c r="C52"/>
      <c r="D52"/>
      <c r="E52"/>
      <c r="F52"/>
      <c r="G52"/>
      <c r="H52"/>
      <c r="I52"/>
      <c r="J52"/>
    </row>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E51"/>
  <sheetViews>
    <sheetView showGridLines="0" showZeros="0" workbookViewId="0" topLeftCell="A1">
      <selection activeCell="A1" sqref="A1"/>
    </sheetView>
  </sheetViews>
  <sheetFormatPr defaultColWidth="15.83203125" defaultRowHeight="12"/>
  <cols>
    <col min="1" max="1" width="36.83203125" style="1" customWidth="1"/>
    <col min="2" max="2" width="20.83203125" style="1" customWidth="1"/>
    <col min="3" max="4" width="15.83203125" style="1" customWidth="1"/>
    <col min="5" max="5" width="44.83203125" style="1" customWidth="1"/>
    <col min="6" max="16384" width="15.83203125" style="1" customWidth="1"/>
  </cols>
  <sheetData>
    <row r="1" spans="1:5" ht="6.75" customHeight="1">
      <c r="A1" s="3"/>
      <c r="B1" s="4"/>
      <c r="C1" s="4"/>
      <c r="D1" s="4"/>
      <c r="E1" s="4"/>
    </row>
    <row r="2" spans="1:5" ht="15.75" customHeight="1">
      <c r="A2" s="167"/>
      <c r="B2" s="5" t="s">
        <v>491</v>
      </c>
      <c r="C2" s="6"/>
      <c r="D2" s="6"/>
      <c r="E2" s="190" t="s">
        <v>417</v>
      </c>
    </row>
    <row r="3" spans="1:5" ht="15.75" customHeight="1">
      <c r="A3" s="170"/>
      <c r="B3" s="7" t="str">
        <f>OPYEAR</f>
        <v>OPERATING FUND 2008/2009 BUDGET</v>
      </c>
      <c r="C3" s="8"/>
      <c r="D3" s="8"/>
      <c r="E3" s="103"/>
    </row>
    <row r="4" spans="2:5" ht="15.75" customHeight="1">
      <c r="B4" s="4"/>
      <c r="C4" s="4"/>
      <c r="D4" s="4"/>
      <c r="E4" s="4"/>
    </row>
    <row r="5" spans="2:5" ht="15.75" customHeight="1">
      <c r="B5" s="214" t="s">
        <v>354</v>
      </c>
      <c r="C5" s="180"/>
      <c r="D5" s="174"/>
      <c r="E5" s="77"/>
    </row>
    <row r="6" spans="2:5" ht="15.75" customHeight="1">
      <c r="B6" s="356" t="s">
        <v>15</v>
      </c>
      <c r="C6" s="357"/>
      <c r="D6" s="358"/>
      <c r="E6" s="107"/>
    </row>
    <row r="7" spans="2:5" ht="15.75" customHeight="1">
      <c r="B7" s="359" t="s">
        <v>41</v>
      </c>
      <c r="C7" s="360"/>
      <c r="D7" s="361"/>
      <c r="E7" s="107"/>
    </row>
    <row r="8" spans="1:5" ht="15.75" customHeight="1">
      <c r="A8" s="104"/>
      <c r="B8" s="176"/>
      <c r="C8" s="175"/>
      <c r="D8" s="175" t="s">
        <v>59</v>
      </c>
      <c r="E8" s="107"/>
    </row>
    <row r="9" spans="1:4" ht="15.75" customHeight="1">
      <c r="A9" s="35" t="s">
        <v>79</v>
      </c>
      <c r="B9" s="115" t="s">
        <v>80</v>
      </c>
      <c r="C9" s="115" t="s">
        <v>81</v>
      </c>
      <c r="D9" s="115" t="s">
        <v>82</v>
      </c>
    </row>
    <row r="10" ht="4.5" customHeight="1">
      <c r="A10" s="37"/>
    </row>
    <row r="11" spans="1:4" ht="13.5" customHeight="1">
      <c r="A11" s="362" t="s">
        <v>216</v>
      </c>
      <c r="B11" s="363">
        <v>0</v>
      </c>
      <c r="C11" s="364">
        <f>B11/'- 3 -'!D11*100</f>
        <v>0</v>
      </c>
      <c r="D11" s="363">
        <f>B11/'- 7 -'!F11</f>
        <v>0</v>
      </c>
    </row>
    <row r="12" spans="1:4" ht="13.5" customHeight="1">
      <c r="A12" s="23" t="s">
        <v>217</v>
      </c>
      <c r="B12" s="24">
        <v>22510</v>
      </c>
      <c r="C12" s="355">
        <f>B12/'- 3 -'!D12*100</f>
        <v>0.089598783335295</v>
      </c>
      <c r="D12" s="24">
        <f>B12/'- 7 -'!F12</f>
        <v>9.731949848681365</v>
      </c>
    </row>
    <row r="13" spans="1:4" ht="13.5" customHeight="1">
      <c r="A13" s="362" t="s">
        <v>218</v>
      </c>
      <c r="B13" s="363">
        <v>99200</v>
      </c>
      <c r="C13" s="364">
        <f>B13/'- 3 -'!D13*100</f>
        <v>0.16863205743009504</v>
      </c>
      <c r="D13" s="363">
        <f>B13/'- 7 -'!F13</f>
        <v>14.643208853405536</v>
      </c>
    </row>
    <row r="14" spans="1:4" ht="13.5" customHeight="1">
      <c r="A14" s="23" t="s">
        <v>254</v>
      </c>
      <c r="B14" s="24">
        <v>105343</v>
      </c>
      <c r="C14" s="355">
        <f>B14/'- 3 -'!D14*100</f>
        <v>0.18521820101176123</v>
      </c>
      <c r="D14" s="24">
        <f>B14/'- 7 -'!F14</f>
        <v>21.787590486039296</v>
      </c>
    </row>
    <row r="15" spans="1:4" ht="13.5" customHeight="1">
      <c r="A15" s="362" t="s">
        <v>219</v>
      </c>
      <c r="B15" s="363">
        <v>0</v>
      </c>
      <c r="C15" s="364">
        <f>B15/'- 3 -'!D15*100</f>
        <v>0</v>
      </c>
      <c r="D15" s="363">
        <f>B15/'- 7 -'!F15</f>
        <v>0</v>
      </c>
    </row>
    <row r="16" spans="1:4" ht="13.5" customHeight="1">
      <c r="A16" s="23" t="s">
        <v>220</v>
      </c>
      <c r="B16" s="24">
        <v>9000</v>
      </c>
      <c r="C16" s="355">
        <f>B16/'- 3 -'!D16*100</f>
        <v>0.0789314644233526</v>
      </c>
      <c r="D16" s="24">
        <f>B16/'- 7 -'!F16</f>
        <v>8.360427310729214</v>
      </c>
    </row>
    <row r="17" spans="1:4" ht="13.5" customHeight="1">
      <c r="A17" s="362" t="s">
        <v>221</v>
      </c>
      <c r="B17" s="363">
        <v>30850</v>
      </c>
      <c r="C17" s="364">
        <f>B17/'- 3 -'!D17*100</f>
        <v>0.2100929755056107</v>
      </c>
      <c r="D17" s="363">
        <f>B17/'- 7 -'!F17</f>
        <v>22.37128353879623</v>
      </c>
    </row>
    <row r="18" spans="1:4" ht="13.5" customHeight="1">
      <c r="A18" s="23" t="s">
        <v>222</v>
      </c>
      <c r="B18" s="24">
        <v>329071</v>
      </c>
      <c r="C18" s="355">
        <f>B18/'- 3 -'!D18*100</f>
        <v>0.32889657299147973</v>
      </c>
      <c r="D18" s="24">
        <f>B18/'- 7 -'!F18</f>
        <v>56.60365350213293</v>
      </c>
    </row>
    <row r="19" spans="1:4" ht="13.5" customHeight="1">
      <c r="A19" s="362" t="s">
        <v>223</v>
      </c>
      <c r="B19" s="363">
        <v>38100</v>
      </c>
      <c r="C19" s="364">
        <f>B19/'- 3 -'!D19*100</f>
        <v>0.13137915178378234</v>
      </c>
      <c r="D19" s="363">
        <f>B19/'- 7 -'!F19</f>
        <v>9.984276729559749</v>
      </c>
    </row>
    <row r="20" spans="1:4" ht="13.5" customHeight="1">
      <c r="A20" s="23" t="s">
        <v>224</v>
      </c>
      <c r="B20" s="24">
        <v>10000</v>
      </c>
      <c r="C20" s="355">
        <f>B20/'- 3 -'!D20*100</f>
        <v>0.018097009833613634</v>
      </c>
      <c r="D20" s="24">
        <f>B20/'- 7 -'!F20</f>
        <v>1.392757660167131</v>
      </c>
    </row>
    <row r="21" spans="1:4" ht="13.5" customHeight="1">
      <c r="A21" s="362" t="s">
        <v>225</v>
      </c>
      <c r="B21" s="363">
        <v>9000</v>
      </c>
      <c r="C21" s="364">
        <f>B21/'- 3 -'!D21*100</f>
        <v>0.03165246994773825</v>
      </c>
      <c r="D21" s="363">
        <f>B21/'- 7 -'!F21</f>
        <v>3.024701730801546</v>
      </c>
    </row>
    <row r="22" spans="1:4" ht="13.5" customHeight="1">
      <c r="A22" s="23" t="s">
        <v>226</v>
      </c>
      <c r="B22" s="24">
        <v>0</v>
      </c>
      <c r="C22" s="355">
        <f>B22/'- 3 -'!D22*100</f>
        <v>0</v>
      </c>
      <c r="D22" s="24">
        <f>B22/'- 7 -'!F22</f>
        <v>0</v>
      </c>
    </row>
    <row r="23" spans="1:4" ht="13.5" customHeight="1">
      <c r="A23" s="362" t="s">
        <v>227</v>
      </c>
      <c r="B23" s="363">
        <v>0</v>
      </c>
      <c r="C23" s="364">
        <f>B23/'- 3 -'!D23*100</f>
        <v>0</v>
      </c>
      <c r="D23" s="363">
        <f>B23/'- 7 -'!F23</f>
        <v>0</v>
      </c>
    </row>
    <row r="24" spans="1:4" ht="13.5" customHeight="1">
      <c r="A24" s="23" t="s">
        <v>228</v>
      </c>
      <c r="B24" s="24">
        <v>30100</v>
      </c>
      <c r="C24" s="355">
        <f>B24/'- 3 -'!D24*100</f>
        <v>0.06776693146651422</v>
      </c>
      <c r="D24" s="24">
        <f>B24/'- 7 -'!F24</f>
        <v>6.8007230004518755</v>
      </c>
    </row>
    <row r="25" spans="1:4" ht="13.5" customHeight="1">
      <c r="A25" s="362" t="s">
        <v>229</v>
      </c>
      <c r="B25" s="363">
        <v>225052</v>
      </c>
      <c r="C25" s="364">
        <f>B25/'- 3 -'!D25*100</f>
        <v>0.1678167736598147</v>
      </c>
      <c r="D25" s="363">
        <f>B25/'- 7 -'!F25</f>
        <v>15.866610265087422</v>
      </c>
    </row>
    <row r="26" spans="1:4" ht="13.5" customHeight="1">
      <c r="A26" s="23" t="s">
        <v>230</v>
      </c>
      <c r="B26" s="24">
        <v>20000</v>
      </c>
      <c r="C26" s="355">
        <f>B26/'- 3 -'!D26*100</f>
        <v>0.06165989548524395</v>
      </c>
      <c r="D26" s="24">
        <f>B26/'- 7 -'!F26</f>
        <v>6.387735547748323</v>
      </c>
    </row>
    <row r="27" spans="1:4" ht="13.5" customHeight="1">
      <c r="A27" s="362" t="s">
        <v>231</v>
      </c>
      <c r="B27" s="363">
        <v>160751</v>
      </c>
      <c r="C27" s="364">
        <f>B27/'- 3 -'!D27*100</f>
        <v>0.45551242547990595</v>
      </c>
      <c r="D27" s="363">
        <f>B27/'- 7 -'!F27</f>
        <v>49.90655192111865</v>
      </c>
    </row>
    <row r="28" spans="1:4" ht="13.5" customHeight="1">
      <c r="A28" s="23" t="s">
        <v>232</v>
      </c>
      <c r="B28" s="24">
        <v>9000</v>
      </c>
      <c r="C28" s="355">
        <f>B28/'- 3 -'!D28*100</f>
        <v>0.04843375723095814</v>
      </c>
      <c r="D28" s="24">
        <f>B28/'- 7 -'!F28</f>
        <v>5.1107325383304945</v>
      </c>
    </row>
    <row r="29" spans="1:4" ht="13.5" customHeight="1">
      <c r="A29" s="362" t="s">
        <v>233</v>
      </c>
      <c r="B29" s="363">
        <v>644685</v>
      </c>
      <c r="C29" s="364">
        <f>B29/'- 3 -'!D29*100</f>
        <v>0.524010539497618</v>
      </c>
      <c r="D29" s="363">
        <f>B29/'- 7 -'!F29</f>
        <v>53.01467867275194</v>
      </c>
    </row>
    <row r="30" spans="1:4" ht="13.5" customHeight="1">
      <c r="A30" s="23" t="s">
        <v>234</v>
      </c>
      <c r="B30" s="24">
        <v>10650</v>
      </c>
      <c r="C30" s="355">
        <f>B30/'- 3 -'!D30*100</f>
        <v>0.09333801454881105</v>
      </c>
      <c r="D30" s="24">
        <f>B30/'- 7 -'!F30</f>
        <v>9.048428207306712</v>
      </c>
    </row>
    <row r="31" spans="1:4" ht="13.5" customHeight="1">
      <c r="A31" s="362" t="s">
        <v>235</v>
      </c>
      <c r="B31" s="363">
        <v>7000</v>
      </c>
      <c r="C31" s="364">
        <f>B31/'- 3 -'!D31*100</f>
        <v>0.023849083273605576</v>
      </c>
      <c r="D31" s="363">
        <f>B31/'- 7 -'!F31</f>
        <v>2.137535116648345</v>
      </c>
    </row>
    <row r="32" spans="1:4" ht="13.5" customHeight="1">
      <c r="A32" s="23" t="s">
        <v>236</v>
      </c>
      <c r="B32" s="24">
        <v>16700</v>
      </c>
      <c r="C32" s="355">
        <f>B32/'- 3 -'!D32*100</f>
        <v>0.07621073994604644</v>
      </c>
      <c r="D32" s="24">
        <f>B32/'- 7 -'!F32</f>
        <v>7.6116681859617135</v>
      </c>
    </row>
    <row r="33" spans="1:4" ht="13.5" customHeight="1">
      <c r="A33" s="362" t="s">
        <v>237</v>
      </c>
      <c r="B33" s="363">
        <v>6000</v>
      </c>
      <c r="C33" s="364">
        <f>B33/'- 3 -'!D33*100</f>
        <v>0.026096600917730466</v>
      </c>
      <c r="D33" s="363">
        <f>B33/'- 7 -'!F33</f>
        <v>2.7573529411764706</v>
      </c>
    </row>
    <row r="34" spans="1:4" ht="13.5" customHeight="1">
      <c r="A34" s="23" t="s">
        <v>238</v>
      </c>
      <c r="B34" s="24">
        <v>20000</v>
      </c>
      <c r="C34" s="355">
        <f>B34/'- 3 -'!D34*100</f>
        <v>0.09671474517840728</v>
      </c>
      <c r="D34" s="24">
        <f>B34/'- 7 -'!F34</f>
        <v>9.876543209876543</v>
      </c>
    </row>
    <row r="35" spans="1:4" ht="13.5" customHeight="1">
      <c r="A35" s="362" t="s">
        <v>239</v>
      </c>
      <c r="B35" s="363">
        <v>939500</v>
      </c>
      <c r="C35" s="364">
        <f>B35/'- 3 -'!D35*100</f>
        <v>0.6230893391529723</v>
      </c>
      <c r="D35" s="363">
        <f>B35/'- 7 -'!F35</f>
        <v>57.56387476257582</v>
      </c>
    </row>
    <row r="36" spans="1:4" ht="13.5" customHeight="1">
      <c r="A36" s="23" t="s">
        <v>240</v>
      </c>
      <c r="B36" s="24">
        <v>0</v>
      </c>
      <c r="C36" s="355">
        <f>B36/'- 3 -'!D36*100</f>
        <v>0</v>
      </c>
      <c r="D36" s="24">
        <f>B36/'- 7 -'!F36</f>
        <v>0</v>
      </c>
    </row>
    <row r="37" spans="1:4" ht="13.5" customHeight="1">
      <c r="A37" s="362" t="s">
        <v>241</v>
      </c>
      <c r="B37" s="363">
        <v>54812</v>
      </c>
      <c r="C37" s="364">
        <f>B37/'- 3 -'!D37*100</f>
        <v>0.16636170157681524</v>
      </c>
      <c r="D37" s="363">
        <f>B37/'- 7 -'!F37</f>
        <v>15.821041997402222</v>
      </c>
    </row>
    <row r="38" spans="1:4" ht="13.5" customHeight="1">
      <c r="A38" s="23" t="s">
        <v>242</v>
      </c>
      <c r="B38" s="24">
        <v>262840</v>
      </c>
      <c r="C38" s="355">
        <f>B38/'- 3 -'!D38*100</f>
        <v>0.31516384886955773</v>
      </c>
      <c r="D38" s="24">
        <f>B38/'- 7 -'!F38</f>
        <v>29.878367625326817</v>
      </c>
    </row>
    <row r="39" spans="1:4" ht="13.5" customHeight="1">
      <c r="A39" s="362" t="s">
        <v>243</v>
      </c>
      <c r="B39" s="363">
        <v>12900</v>
      </c>
      <c r="C39" s="364">
        <f>B39/'- 3 -'!D39*100</f>
        <v>0.07494856436896447</v>
      </c>
      <c r="D39" s="363">
        <f>B39/'- 7 -'!F39</f>
        <v>7.899571341090018</v>
      </c>
    </row>
    <row r="40" spans="1:4" ht="13.5" customHeight="1">
      <c r="A40" s="23" t="s">
        <v>244</v>
      </c>
      <c r="B40" s="24">
        <v>135227</v>
      </c>
      <c r="C40" s="355">
        <f>B40/'- 3 -'!D40*100</f>
        <v>0.16069810239886959</v>
      </c>
      <c r="D40" s="24">
        <f>B40/'- 7 -'!F40</f>
        <v>16.18205968934734</v>
      </c>
    </row>
    <row r="41" spans="1:4" ht="13.5" customHeight="1">
      <c r="A41" s="362" t="s">
        <v>245</v>
      </c>
      <c r="B41" s="363">
        <v>64657</v>
      </c>
      <c r="C41" s="364">
        <f>B41/'- 3 -'!D41*100</f>
        <v>0.12615786085500325</v>
      </c>
      <c r="D41" s="363">
        <f>B41/'- 7 -'!F41</f>
        <v>13.967811622380644</v>
      </c>
    </row>
    <row r="42" spans="1:4" ht="13.5" customHeight="1">
      <c r="A42" s="23" t="s">
        <v>246</v>
      </c>
      <c r="B42" s="24">
        <v>27800</v>
      </c>
      <c r="C42" s="355">
        <f>B42/'- 3 -'!D42*100</f>
        <v>0.15685293874700906</v>
      </c>
      <c r="D42" s="24">
        <f>B42/'- 7 -'!F42</f>
        <v>17.076167076167078</v>
      </c>
    </row>
    <row r="43" spans="1:4" ht="13.5" customHeight="1">
      <c r="A43" s="362" t="s">
        <v>247</v>
      </c>
      <c r="B43" s="363">
        <v>0</v>
      </c>
      <c r="C43" s="364">
        <f>B43/'- 3 -'!D43*100</f>
        <v>0</v>
      </c>
      <c r="D43" s="363">
        <f>B43/'- 7 -'!F43</f>
        <v>0</v>
      </c>
    </row>
    <row r="44" spans="1:4" ht="13.5" customHeight="1">
      <c r="A44" s="23" t="s">
        <v>248</v>
      </c>
      <c r="B44" s="24">
        <v>2500</v>
      </c>
      <c r="C44" s="355">
        <f>B44/'- 3 -'!D44*100</f>
        <v>0.02952558409577249</v>
      </c>
      <c r="D44" s="24">
        <f>B44/'- 7 -'!F44</f>
        <v>3.2051282051282053</v>
      </c>
    </row>
    <row r="45" spans="1:4" ht="13.5" customHeight="1">
      <c r="A45" s="362" t="s">
        <v>249</v>
      </c>
      <c r="B45" s="363">
        <v>17918</v>
      </c>
      <c r="C45" s="364">
        <f>B45/'- 3 -'!D45*100</f>
        <v>0.13758984940446203</v>
      </c>
      <c r="D45" s="363">
        <f>B45/'- 7 -'!F45</f>
        <v>11.788157894736843</v>
      </c>
    </row>
    <row r="46" spans="1:4" ht="13.5" customHeight="1">
      <c r="A46" s="23" t="s">
        <v>250</v>
      </c>
      <c r="B46" s="24">
        <v>1067500</v>
      </c>
      <c r="C46" s="355">
        <f>B46/'- 3 -'!D46*100</f>
        <v>0.34843216947740724</v>
      </c>
      <c r="D46" s="24">
        <f>B46/'- 7 -'!F46</f>
        <v>35.12553058471258</v>
      </c>
    </row>
    <row r="47" spans="1:4" ht="4.5" customHeight="1">
      <c r="A47"/>
      <c r="B47"/>
      <c r="C47"/>
      <c r="D47"/>
    </row>
    <row r="48" spans="1:5" ht="13.5" customHeight="1">
      <c r="A48" s="365" t="s">
        <v>251</v>
      </c>
      <c r="B48" s="366">
        <f>SUM(B11:B46)</f>
        <v>4388666</v>
      </c>
      <c r="C48" s="367">
        <f>B48/'- 3 -'!D48*100</f>
        <v>0.25401545381374346</v>
      </c>
      <c r="D48" s="366">
        <f>B48/'- 7 -'!F48</f>
        <v>25.47617316783532</v>
      </c>
      <c r="E48" s="37"/>
    </row>
    <row r="49" spans="1:4" ht="4.5" customHeight="1">
      <c r="A49" s="25" t="s">
        <v>3</v>
      </c>
      <c r="B49" s="26"/>
      <c r="C49" s="353"/>
      <c r="D49" s="26"/>
    </row>
    <row r="50" spans="1:4" ht="13.5" customHeight="1">
      <c r="A50" s="23" t="s">
        <v>252</v>
      </c>
      <c r="B50" s="24">
        <v>6500</v>
      </c>
      <c r="C50" s="355">
        <f>B50/'- 3 -'!D50*100</f>
        <v>0.22872320023871665</v>
      </c>
      <c r="D50" s="24">
        <f>B50/'- 7 -'!F50</f>
        <v>30.44496487119438</v>
      </c>
    </row>
    <row r="51" spans="1:4" ht="13.5" customHeight="1">
      <c r="A51" s="362" t="s">
        <v>253</v>
      </c>
      <c r="B51" s="363">
        <v>220270</v>
      </c>
      <c r="C51" s="364">
        <f>B51/'- 3 -'!D51*100</f>
        <v>1.8152954402188277</v>
      </c>
      <c r="D51" s="363">
        <f>B51/'- 7 -'!F51</f>
        <v>352.99679487179486</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53"/>
  <sheetViews>
    <sheetView showGridLines="0" showZeros="0" workbookViewId="0" topLeftCell="A1">
      <selection activeCell="A1" sqref="A1"/>
    </sheetView>
  </sheetViews>
  <sheetFormatPr defaultColWidth="15.83203125" defaultRowHeight="12"/>
  <cols>
    <col min="1" max="1" width="29.83203125" style="1" customWidth="1"/>
    <col min="2" max="2" width="18.83203125" style="1" customWidth="1"/>
    <col min="3" max="3" width="7.83203125" style="1" customWidth="1"/>
    <col min="4" max="4" width="11.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491</v>
      </c>
      <c r="C2" s="6"/>
      <c r="D2" s="168"/>
      <c r="E2" s="6"/>
      <c r="F2" s="6"/>
      <c r="G2" s="6"/>
      <c r="H2" s="108"/>
      <c r="I2" s="108"/>
      <c r="J2" s="190" t="s">
        <v>416</v>
      </c>
    </row>
    <row r="3" spans="1:10" ht="15.75" customHeight="1">
      <c r="A3" s="170"/>
      <c r="B3" s="7" t="str">
        <f>OPYEAR</f>
        <v>OPERATING FUND 2008/2009 BUDGET</v>
      </c>
      <c r="C3" s="8"/>
      <c r="D3" s="183"/>
      <c r="E3" s="8"/>
      <c r="F3" s="8"/>
      <c r="G3" s="8"/>
      <c r="H3" s="110"/>
      <c r="I3" s="110"/>
      <c r="J3" s="8"/>
    </row>
    <row r="4" spans="2:10" ht="15.75" customHeight="1">
      <c r="B4" s="4"/>
      <c r="C4" s="4"/>
      <c r="D4" s="4"/>
      <c r="E4" s="4"/>
      <c r="F4" s="4"/>
      <c r="G4" s="4"/>
      <c r="H4" s="4"/>
      <c r="I4" s="4"/>
      <c r="J4" s="4"/>
    </row>
    <row r="5" spans="2:10" ht="15.75" customHeight="1">
      <c r="B5" s="517" t="s">
        <v>471</v>
      </c>
      <c r="C5" s="192"/>
      <c r="D5" s="193"/>
      <c r="E5" s="193"/>
      <c r="F5" s="193"/>
      <c r="G5" s="193"/>
      <c r="H5" s="193"/>
      <c r="I5" s="193"/>
      <c r="J5" s="194"/>
    </row>
    <row r="6" spans="2:10" ht="15.75" customHeight="1">
      <c r="B6" s="356" t="s">
        <v>321</v>
      </c>
      <c r="C6" s="357"/>
      <c r="D6" s="358"/>
      <c r="E6" s="356" t="s">
        <v>17</v>
      </c>
      <c r="F6" s="357"/>
      <c r="G6" s="358"/>
      <c r="H6" s="356" t="s">
        <v>314</v>
      </c>
      <c r="I6" s="357"/>
      <c r="J6" s="358"/>
    </row>
    <row r="7" spans="2:10" ht="15.75" customHeight="1">
      <c r="B7" s="359" t="s">
        <v>326</v>
      </c>
      <c r="C7" s="360"/>
      <c r="D7" s="361"/>
      <c r="E7" s="359" t="s">
        <v>43</v>
      </c>
      <c r="F7" s="360"/>
      <c r="G7" s="361"/>
      <c r="H7" s="359" t="s">
        <v>255</v>
      </c>
      <c r="I7" s="360"/>
      <c r="J7" s="361"/>
    </row>
    <row r="8" spans="1:10" ht="15.75" customHeight="1">
      <c r="A8" s="104"/>
      <c r="B8" s="176"/>
      <c r="C8" s="175"/>
      <c r="D8" s="175" t="s">
        <v>59</v>
      </c>
      <c r="E8" s="176"/>
      <c r="F8" s="175"/>
      <c r="G8" s="175" t="s">
        <v>59</v>
      </c>
      <c r="H8" s="176"/>
      <c r="I8" s="175"/>
      <c r="J8" s="175" t="s">
        <v>59</v>
      </c>
    </row>
    <row r="9" spans="1:10" ht="15.75" customHeight="1">
      <c r="A9" s="35" t="s">
        <v>79</v>
      </c>
      <c r="B9" s="115" t="s">
        <v>80</v>
      </c>
      <c r="C9" s="115" t="s">
        <v>81</v>
      </c>
      <c r="D9" s="115" t="s">
        <v>82</v>
      </c>
      <c r="E9" s="115" t="s">
        <v>80</v>
      </c>
      <c r="F9" s="115" t="s">
        <v>81</v>
      </c>
      <c r="G9" s="115" t="s">
        <v>82</v>
      </c>
      <c r="H9" s="115" t="s">
        <v>80</v>
      </c>
      <c r="I9" s="115" t="s">
        <v>81</v>
      </c>
      <c r="J9" s="115" t="s">
        <v>82</v>
      </c>
    </row>
    <row r="10" ht="4.5" customHeight="1">
      <c r="A10" s="37"/>
    </row>
    <row r="11" spans="1:10" ht="13.5" customHeight="1">
      <c r="A11" s="362" t="s">
        <v>216</v>
      </c>
      <c r="B11" s="363">
        <v>0</v>
      </c>
      <c r="C11" s="364">
        <f>B11/'- 3 -'!D11*100</f>
        <v>0</v>
      </c>
      <c r="D11" s="363">
        <f>B11/'- 7 -'!C11</f>
        <v>0</v>
      </c>
      <c r="E11" s="363">
        <v>0</v>
      </c>
      <c r="F11" s="364">
        <f>E11/'- 3 -'!D11*100</f>
        <v>0</v>
      </c>
      <c r="G11" s="363">
        <f>E11/'- 7 -'!F11</f>
        <v>0</v>
      </c>
      <c r="H11" s="363">
        <v>182745</v>
      </c>
      <c r="I11" s="364">
        <f>H11/'- 3 -'!D11*100</f>
        <v>1.3654204078217007</v>
      </c>
      <c r="J11" s="363">
        <f>H11/'- 7 -'!F11</f>
        <v>129.3312101910828</v>
      </c>
    </row>
    <row r="12" spans="1:10" ht="13.5" customHeight="1">
      <c r="A12" s="23" t="s">
        <v>217</v>
      </c>
      <c r="B12" s="24">
        <v>0</v>
      </c>
      <c r="C12" s="355">
        <f>B12/'- 3 -'!D12*100</f>
        <v>0</v>
      </c>
      <c r="D12" s="24">
        <f>B12/'- 7 -'!C12</f>
        <v>0</v>
      </c>
      <c r="E12" s="24">
        <v>0</v>
      </c>
      <c r="F12" s="355">
        <f>E12/'- 3 -'!D12*100</f>
        <v>0</v>
      </c>
      <c r="G12" s="24">
        <f>E12/'- 7 -'!F12</f>
        <v>0</v>
      </c>
      <c r="H12" s="24">
        <v>228480</v>
      </c>
      <c r="I12" s="355">
        <f>H12/'- 3 -'!D12*100</f>
        <v>0.9094415822500312</v>
      </c>
      <c r="J12" s="24">
        <f>H12/'- 7 -'!F12</f>
        <v>98.78080415045396</v>
      </c>
    </row>
    <row r="13" spans="1:10" ht="13.5" customHeight="1">
      <c r="A13" s="362" t="s">
        <v>218</v>
      </c>
      <c r="B13" s="363">
        <v>0</v>
      </c>
      <c r="C13" s="364">
        <f>B13/'- 3 -'!D13*100</f>
        <v>0</v>
      </c>
      <c r="D13" s="363">
        <f>B13/'- 7 -'!C13</f>
        <v>0</v>
      </c>
      <c r="E13" s="363">
        <v>164900</v>
      </c>
      <c r="F13" s="364">
        <f>E13/'- 3 -'!D13*100</f>
        <v>0.2803167970788576</v>
      </c>
      <c r="G13" s="363">
        <f>E13/'- 7 -'!F13</f>
        <v>24.341382458937225</v>
      </c>
      <c r="H13" s="363">
        <v>873100</v>
      </c>
      <c r="I13" s="364">
        <f>H13/'- 3 -'!D13*100</f>
        <v>1.4842000941755644</v>
      </c>
      <c r="J13" s="363">
        <f>H13/'- 7 -'!F13</f>
        <v>128.88090372891506</v>
      </c>
    </row>
    <row r="14" spans="1:10" ht="13.5" customHeight="1">
      <c r="A14" s="23" t="s">
        <v>254</v>
      </c>
      <c r="B14" s="24">
        <v>119492</v>
      </c>
      <c r="C14" s="355">
        <f>B14/'- 3 -'!D14*100</f>
        <v>0.2100955286568388</v>
      </c>
      <c r="D14" s="24">
        <f>B14/'- 7 -'!C14</f>
        <v>25.28931216931217</v>
      </c>
      <c r="E14" s="24">
        <v>558366</v>
      </c>
      <c r="F14" s="355">
        <f>E14/'- 3 -'!D14*100</f>
        <v>0.9817410366719485</v>
      </c>
      <c r="G14" s="24">
        <f>E14/'- 7 -'!F14</f>
        <v>115.4841778697001</v>
      </c>
      <c r="H14" s="24">
        <v>986985</v>
      </c>
      <c r="I14" s="355">
        <f>H14/'- 3 -'!D14*100</f>
        <v>1.7353558008182144</v>
      </c>
      <c r="J14" s="24">
        <f>H14/'- 7 -'!F14</f>
        <v>204.13340227507757</v>
      </c>
    </row>
    <row r="15" spans="1:10" ht="13.5" customHeight="1">
      <c r="A15" s="362" t="s">
        <v>219</v>
      </c>
      <c r="B15" s="363">
        <v>0</v>
      </c>
      <c r="C15" s="364">
        <f>B15/'- 3 -'!D15*100</f>
        <v>0</v>
      </c>
      <c r="D15" s="363">
        <f>B15/'- 7 -'!C15</f>
        <v>0</v>
      </c>
      <c r="E15" s="363">
        <v>99410</v>
      </c>
      <c r="F15" s="364">
        <f>E15/'- 3 -'!D15*100</f>
        <v>0.6087942817308375</v>
      </c>
      <c r="G15" s="363">
        <f>E15/'- 7 -'!F15</f>
        <v>62.189552705661555</v>
      </c>
      <c r="H15" s="363">
        <v>164980</v>
      </c>
      <c r="I15" s="364">
        <f>H15/'- 3 -'!D15*100</f>
        <v>1.0103498702339158</v>
      </c>
      <c r="J15" s="363">
        <f>H15/'- 7 -'!F15</f>
        <v>103.20925868001251</v>
      </c>
    </row>
    <row r="16" spans="1:10" ht="13.5" customHeight="1">
      <c r="A16" s="23" t="s">
        <v>220</v>
      </c>
      <c r="B16" s="24">
        <v>0</v>
      </c>
      <c r="C16" s="355">
        <f>B16/'- 3 -'!D16*100</f>
        <v>0</v>
      </c>
      <c r="D16" s="24">
        <f>B16/'- 7 -'!C16</f>
        <v>0</v>
      </c>
      <c r="E16" s="24">
        <v>0</v>
      </c>
      <c r="F16" s="355">
        <f>E16/'- 3 -'!D16*100</f>
        <v>0</v>
      </c>
      <c r="G16" s="24">
        <f>E16/'- 7 -'!F16</f>
        <v>0</v>
      </c>
      <c r="H16" s="24">
        <v>135749</v>
      </c>
      <c r="I16" s="355">
        <f>H16/'- 3 -'!D16*100</f>
        <v>1.1905408182228545</v>
      </c>
      <c r="J16" s="24">
        <f>H16/'- 7 -'!F16</f>
        <v>126.10218300046446</v>
      </c>
    </row>
    <row r="17" spans="1:10" ht="13.5" customHeight="1">
      <c r="A17" s="362" t="s">
        <v>221</v>
      </c>
      <c r="B17" s="363">
        <v>0</v>
      </c>
      <c r="C17" s="364">
        <f>B17/'- 3 -'!D17*100</f>
        <v>0</v>
      </c>
      <c r="D17" s="363">
        <f>B17/'- 7 -'!C17</f>
        <v>0</v>
      </c>
      <c r="E17" s="363">
        <v>67740</v>
      </c>
      <c r="F17" s="364">
        <f>E17/'- 3 -'!D17*100</f>
        <v>0.4613192272528386</v>
      </c>
      <c r="G17" s="363">
        <f>E17/'- 7 -'!F17</f>
        <v>49.12255257432923</v>
      </c>
      <c r="H17" s="363">
        <v>192670</v>
      </c>
      <c r="I17" s="364">
        <f>H17/'- 3 -'!D17*100</f>
        <v>1.3121106512371479</v>
      </c>
      <c r="J17" s="363">
        <f>H17/'- 7 -'!F17</f>
        <v>139.71718636693257</v>
      </c>
    </row>
    <row r="18" spans="1:10" ht="13.5" customHeight="1">
      <c r="A18" s="23" t="s">
        <v>222</v>
      </c>
      <c r="B18" s="24">
        <v>0</v>
      </c>
      <c r="C18" s="355">
        <f>B18/'- 3 -'!D18*100</f>
        <v>0</v>
      </c>
      <c r="D18" s="24">
        <f>B18/'- 7 -'!C18</f>
        <v>0</v>
      </c>
      <c r="E18" s="24">
        <v>1727600</v>
      </c>
      <c r="F18" s="355">
        <f>E18/'- 3 -'!D18*100</f>
        <v>1.726684270264108</v>
      </c>
      <c r="G18" s="24">
        <f>E18/'- 7 -'!F18</f>
        <v>297.165267648273</v>
      </c>
      <c r="H18" s="24">
        <v>1673481</v>
      </c>
      <c r="I18" s="355">
        <f>H18/'- 3 -'!D18*100</f>
        <v>1.6725939565210983</v>
      </c>
      <c r="J18" s="24">
        <f>H18/'- 7 -'!F18</f>
        <v>287.8562336590065</v>
      </c>
    </row>
    <row r="19" spans="1:10" ht="13.5" customHeight="1">
      <c r="A19" s="362" t="s">
        <v>223</v>
      </c>
      <c r="B19" s="363">
        <v>0</v>
      </c>
      <c r="C19" s="364">
        <f>B19/'- 3 -'!D19*100</f>
        <v>0</v>
      </c>
      <c r="D19" s="363">
        <f>B19/'- 7 -'!C19</f>
        <v>0</v>
      </c>
      <c r="E19" s="363">
        <v>80000</v>
      </c>
      <c r="F19" s="364">
        <f>E19/'- 3 -'!D19*100</f>
        <v>0.27586173602893926</v>
      </c>
      <c r="G19" s="363">
        <f>E19/'- 7 -'!F19</f>
        <v>20.964360587002098</v>
      </c>
      <c r="H19" s="363">
        <v>364150</v>
      </c>
      <c r="I19" s="364">
        <f>H19/'- 3 -'!D19*100</f>
        <v>1.2556881396867279</v>
      </c>
      <c r="J19" s="363">
        <f>H19/'- 7 -'!F19</f>
        <v>95.42714884696016</v>
      </c>
    </row>
    <row r="20" spans="1:10" ht="13.5" customHeight="1">
      <c r="A20" s="23" t="s">
        <v>224</v>
      </c>
      <c r="B20" s="24">
        <v>15804</v>
      </c>
      <c r="C20" s="355">
        <f>B20/'- 3 -'!D20*100</f>
        <v>0.02860051434104299</v>
      </c>
      <c r="D20" s="24">
        <f>B20/'- 7 -'!C20</f>
        <v>2.211277459073737</v>
      </c>
      <c r="E20" s="24">
        <v>218569</v>
      </c>
      <c r="F20" s="355">
        <f>E20/'- 3 -'!D20*100</f>
        <v>0.3955445342323099</v>
      </c>
      <c r="G20" s="24">
        <f>E20/'- 7 -'!F20</f>
        <v>30.441364902506965</v>
      </c>
      <c r="H20" s="24">
        <v>691697</v>
      </c>
      <c r="I20" s="355">
        <f>H20/'- 3 -'!D20*100</f>
        <v>1.2517647410881052</v>
      </c>
      <c r="J20" s="24">
        <f>H20/'- 7 -'!F20</f>
        <v>96.33662952646239</v>
      </c>
    </row>
    <row r="21" spans="1:10" ht="13.5" customHeight="1">
      <c r="A21" s="362" t="s">
        <v>225</v>
      </c>
      <c r="B21" s="363">
        <v>0</v>
      </c>
      <c r="C21" s="364">
        <f>B21/'- 3 -'!D21*100</f>
        <v>0</v>
      </c>
      <c r="D21" s="363">
        <f>B21/'- 7 -'!C21</f>
        <v>0</v>
      </c>
      <c r="E21" s="363">
        <v>81660</v>
      </c>
      <c r="F21" s="364">
        <f>E21/'- 3 -'!D21*100</f>
        <v>0.2871934106591451</v>
      </c>
      <c r="G21" s="363">
        <f>E21/'- 7 -'!F21</f>
        <v>27.444127037472693</v>
      </c>
      <c r="H21" s="363">
        <v>494528</v>
      </c>
      <c r="I21" s="364">
        <f>H21/'- 3 -'!D21*100</f>
        <v>1.7392258509239005</v>
      </c>
      <c r="J21" s="363">
        <f>H21/'- 7 -'!F21</f>
        <v>166.19996639220298</v>
      </c>
    </row>
    <row r="22" spans="1:10" ht="13.5" customHeight="1">
      <c r="A22" s="23" t="s">
        <v>226</v>
      </c>
      <c r="B22" s="24">
        <v>6000</v>
      </c>
      <c r="C22" s="355">
        <f>B22/'- 3 -'!D22*100</f>
        <v>0.03742550920212183</v>
      </c>
      <c r="D22" s="24">
        <f>B22/'- 7 -'!C22</f>
        <v>3.7546933667083855</v>
      </c>
      <c r="E22" s="24">
        <v>58700</v>
      </c>
      <c r="F22" s="355">
        <f>E22/'- 3 -'!D22*100</f>
        <v>0.3661462316940919</v>
      </c>
      <c r="G22" s="24">
        <f>E22/'- 7 -'!F22</f>
        <v>34.63126843657817</v>
      </c>
      <c r="H22" s="24">
        <v>189560</v>
      </c>
      <c r="I22" s="355">
        <f>H22/'- 3 -'!D22*100</f>
        <v>1.182396587392369</v>
      </c>
      <c r="J22" s="24">
        <f>H22/'- 7 -'!F22</f>
        <v>111.83480825958702</v>
      </c>
    </row>
    <row r="23" spans="1:10" ht="13.5" customHeight="1">
      <c r="A23" s="362" t="s">
        <v>227</v>
      </c>
      <c r="B23" s="363">
        <v>0</v>
      </c>
      <c r="C23" s="364">
        <f>B23/'- 3 -'!D23*100</f>
        <v>0</v>
      </c>
      <c r="D23" s="363">
        <f>B23/'- 7 -'!C23</f>
        <v>0</v>
      </c>
      <c r="E23" s="363">
        <v>0</v>
      </c>
      <c r="F23" s="364">
        <f>E23/'- 3 -'!D23*100</f>
        <v>0</v>
      </c>
      <c r="G23" s="363">
        <f>E23/'- 7 -'!F23</f>
        <v>0</v>
      </c>
      <c r="H23" s="363">
        <v>154700</v>
      </c>
      <c r="I23" s="364">
        <f>H23/'- 3 -'!D23*100</f>
        <v>1.1665632067623566</v>
      </c>
      <c r="J23" s="363">
        <f>H23/'- 7 -'!F23</f>
        <v>118.72601688411359</v>
      </c>
    </row>
    <row r="24" spans="1:10" ht="13.5" customHeight="1">
      <c r="A24" s="23" t="s">
        <v>228</v>
      </c>
      <c r="B24" s="24">
        <v>0</v>
      </c>
      <c r="C24" s="355">
        <f>B24/'- 3 -'!D24*100</f>
        <v>0</v>
      </c>
      <c r="D24" s="24">
        <f>B24/'- 7 -'!C24</f>
        <v>0</v>
      </c>
      <c r="E24" s="24">
        <v>138755</v>
      </c>
      <c r="F24" s="355">
        <f>E24/'- 3 -'!D24*100</f>
        <v>0.3123920457021987</v>
      </c>
      <c r="G24" s="24">
        <f>E24/'- 7 -'!F24</f>
        <v>31.34997740623588</v>
      </c>
      <c r="H24" s="24">
        <v>603075</v>
      </c>
      <c r="I24" s="355">
        <f>H24/'- 3 -'!D24*100</f>
        <v>1.3577588768826598</v>
      </c>
      <c r="J24" s="24">
        <f>H24/'- 7 -'!F24</f>
        <v>136.25734297333935</v>
      </c>
    </row>
    <row r="25" spans="1:10" ht="13.5" customHeight="1">
      <c r="A25" s="362" t="s">
        <v>229</v>
      </c>
      <c r="B25" s="363">
        <v>116391</v>
      </c>
      <c r="C25" s="364">
        <f>B25/'- 3 -'!D25*100</f>
        <v>0.0867904400007087</v>
      </c>
      <c r="D25" s="363">
        <f>B25/'- 7 -'!C25</f>
        <v>8.326132055225695</v>
      </c>
      <c r="E25" s="363">
        <v>1244088</v>
      </c>
      <c r="F25" s="364">
        <f>E25/'- 3 -'!D25*100</f>
        <v>0.9276915304413715</v>
      </c>
      <c r="G25" s="363">
        <f>E25/'- 7 -'!F25</f>
        <v>87.71065989847716</v>
      </c>
      <c r="H25" s="363">
        <v>3471092</v>
      </c>
      <c r="I25" s="364">
        <f>H25/'- 3 -'!D25*100</f>
        <v>2.5883238563371735</v>
      </c>
      <c r="J25" s="363">
        <f>H25/'- 7 -'!F25</f>
        <v>244.71883812746756</v>
      </c>
    </row>
    <row r="26" spans="1:10" ht="13.5" customHeight="1">
      <c r="A26" s="23" t="s">
        <v>230</v>
      </c>
      <c r="B26" s="24">
        <v>12374</v>
      </c>
      <c r="C26" s="355">
        <f>B26/'- 3 -'!D26*100</f>
        <v>0.03814897733672044</v>
      </c>
      <c r="D26" s="24">
        <f>B26/'- 7 -'!C26</f>
        <v>3.9711168164313224</v>
      </c>
      <c r="E26" s="24">
        <v>178808</v>
      </c>
      <c r="F26" s="355">
        <f>E26/'- 3 -'!D26*100</f>
        <v>0.551264129596275</v>
      </c>
      <c r="G26" s="24">
        <f>E26/'- 7 -'!F26</f>
        <v>57.10891089108911</v>
      </c>
      <c r="H26" s="24">
        <v>441406</v>
      </c>
      <c r="I26" s="355">
        <f>H26/'- 3 -'!D26*100</f>
        <v>1.3608523913279797</v>
      </c>
      <c r="J26" s="24">
        <f>H26/'- 7 -'!F26</f>
        <v>140.97923985946983</v>
      </c>
    </row>
    <row r="27" spans="1:10" ht="13.5" customHeight="1">
      <c r="A27" s="362" t="s">
        <v>231</v>
      </c>
      <c r="B27" s="363">
        <v>148750</v>
      </c>
      <c r="C27" s="364">
        <f>B27/'- 3 -'!D27*100</f>
        <v>0.4215057653771112</v>
      </c>
      <c r="D27" s="363">
        <f>B27/'- 7 -'!C27</f>
        <v>47.508176197046346</v>
      </c>
      <c r="E27" s="363">
        <v>338048</v>
      </c>
      <c r="F27" s="364">
        <f>E27/'- 3 -'!D27*100</f>
        <v>0.9579104603307677</v>
      </c>
      <c r="G27" s="363">
        <f>E27/'- 7 -'!F27</f>
        <v>104.9499540521074</v>
      </c>
      <c r="H27" s="363">
        <v>1266049</v>
      </c>
      <c r="I27" s="364">
        <f>H27/'- 3 -'!D27*100</f>
        <v>3.587542539495302</v>
      </c>
      <c r="J27" s="363">
        <f>H27/'- 7 -'!F27</f>
        <v>393.055969500534</v>
      </c>
    </row>
    <row r="28" spans="1:10" ht="13.5" customHeight="1">
      <c r="A28" s="23" t="s">
        <v>232</v>
      </c>
      <c r="B28" s="24">
        <v>0</v>
      </c>
      <c r="C28" s="355">
        <f>B28/'- 3 -'!D28*100</f>
        <v>0</v>
      </c>
      <c r="D28" s="24">
        <f>B28/'- 7 -'!C28</f>
        <v>0</v>
      </c>
      <c r="E28" s="24">
        <v>54873</v>
      </c>
      <c r="F28" s="355">
        <f>E28/'- 3 -'!D28*100</f>
        <v>0.29530061783715184</v>
      </c>
      <c r="G28" s="24">
        <f>E28/'- 7 -'!F28</f>
        <v>31.160136286201023</v>
      </c>
      <c r="H28" s="24">
        <v>227575</v>
      </c>
      <c r="I28" s="355">
        <f>H28/'- 3 -'!D28*100</f>
        <v>1.2247013668705888</v>
      </c>
      <c r="J28" s="24">
        <f>H28/'- 7 -'!F28</f>
        <v>129.2305508233958</v>
      </c>
    </row>
    <row r="29" spans="1:10" ht="13.5" customHeight="1">
      <c r="A29" s="362" t="s">
        <v>233</v>
      </c>
      <c r="B29" s="363">
        <v>315653</v>
      </c>
      <c r="C29" s="364">
        <f>B29/'- 3 -'!D29*100</f>
        <v>0.25656793445487586</v>
      </c>
      <c r="D29" s="363">
        <f>B29/'- 7 -'!C29</f>
        <v>26.081636025614543</v>
      </c>
      <c r="E29" s="363">
        <v>496900</v>
      </c>
      <c r="F29" s="364">
        <f>E29/'- 3 -'!D29*100</f>
        <v>0.4038884681299648</v>
      </c>
      <c r="G29" s="363">
        <f>E29/'- 7 -'!F29</f>
        <v>40.86180666913367</v>
      </c>
      <c r="H29" s="363">
        <v>2789626</v>
      </c>
      <c r="I29" s="364">
        <f>H29/'- 3 -'!D29*100</f>
        <v>2.2674537568837216</v>
      </c>
      <c r="J29" s="363">
        <f>H29/'- 7 -'!F29</f>
        <v>229.4006003042638</v>
      </c>
    </row>
    <row r="30" spans="1:10" ht="13.5" customHeight="1">
      <c r="A30" s="23" t="s">
        <v>234</v>
      </c>
      <c r="B30" s="24">
        <v>0</v>
      </c>
      <c r="C30" s="355">
        <f>B30/'- 3 -'!D30*100</f>
        <v>0</v>
      </c>
      <c r="D30" s="24">
        <f>B30/'- 7 -'!C30</f>
        <v>0</v>
      </c>
      <c r="E30" s="24">
        <v>0</v>
      </c>
      <c r="F30" s="355">
        <f>E30/'- 3 -'!D30*100</f>
        <v>0</v>
      </c>
      <c r="G30" s="24">
        <f>E30/'- 7 -'!F30</f>
        <v>0</v>
      </c>
      <c r="H30" s="24">
        <v>285688</v>
      </c>
      <c r="I30" s="355">
        <f>H30/'- 3 -'!D30*100</f>
        <v>2.503807577504294</v>
      </c>
      <c r="J30" s="24">
        <f>H30/'- 7 -'!F30</f>
        <v>242.72557349192863</v>
      </c>
    </row>
    <row r="31" spans="1:10" ht="13.5" customHeight="1">
      <c r="A31" s="362" t="s">
        <v>235</v>
      </c>
      <c r="B31" s="363">
        <v>0</v>
      </c>
      <c r="C31" s="364">
        <f>B31/'- 3 -'!D31*100</f>
        <v>0</v>
      </c>
      <c r="D31" s="363">
        <f>B31/'- 7 -'!C31</f>
        <v>0</v>
      </c>
      <c r="E31" s="363">
        <v>138107</v>
      </c>
      <c r="F31" s="364">
        <f>E31/'- 3 -'!D31*100</f>
        <v>0.4705321919525493</v>
      </c>
      <c r="G31" s="363">
        <f>E31/'- 7 -'!F31</f>
        <v>42.17265176499328</v>
      </c>
      <c r="H31" s="363">
        <v>480571</v>
      </c>
      <c r="I31" s="364">
        <f>H31/'- 3 -'!D31*100</f>
        <v>1.6373111139828436</v>
      </c>
      <c r="J31" s="363">
        <f>H31/'- 7 -'!F31</f>
        <v>146.7481983632588</v>
      </c>
    </row>
    <row r="32" spans="1:10" ht="13.5" customHeight="1">
      <c r="A32" s="23" t="s">
        <v>236</v>
      </c>
      <c r="B32" s="24">
        <v>0</v>
      </c>
      <c r="C32" s="355">
        <f>B32/'- 3 -'!D32*100</f>
        <v>0</v>
      </c>
      <c r="D32" s="24">
        <f>B32/'- 7 -'!C32</f>
        <v>0</v>
      </c>
      <c r="E32" s="24">
        <v>0</v>
      </c>
      <c r="F32" s="355">
        <f>E32/'- 3 -'!D32*100</f>
        <v>0</v>
      </c>
      <c r="G32" s="24">
        <f>E32/'- 7 -'!F32</f>
        <v>0</v>
      </c>
      <c r="H32" s="24">
        <v>261905</v>
      </c>
      <c r="I32" s="355">
        <f>H32/'- 3 -'!D32*100</f>
        <v>1.1952080147047481</v>
      </c>
      <c r="J32" s="24">
        <f>H32/'- 7 -'!F32</f>
        <v>119.37329079307202</v>
      </c>
    </row>
    <row r="33" spans="1:10" ht="13.5" customHeight="1">
      <c r="A33" s="362" t="s">
        <v>237</v>
      </c>
      <c r="B33" s="363">
        <v>32400</v>
      </c>
      <c r="C33" s="364">
        <f>B33/'- 3 -'!D33*100</f>
        <v>0.14092164495574452</v>
      </c>
      <c r="D33" s="363">
        <f>B33/'- 7 -'!C33</f>
        <v>14.889705882352942</v>
      </c>
      <c r="E33" s="363">
        <v>37600</v>
      </c>
      <c r="F33" s="364">
        <f>E33/'- 3 -'!D33*100</f>
        <v>0.16353869908444424</v>
      </c>
      <c r="G33" s="363">
        <f>E33/'- 7 -'!F33</f>
        <v>17.279411764705884</v>
      </c>
      <c r="H33" s="363">
        <v>317700</v>
      </c>
      <c r="I33" s="364">
        <f>H33/'- 3 -'!D33*100</f>
        <v>1.3818150185938283</v>
      </c>
      <c r="J33" s="363">
        <f>H33/'- 7 -'!F33</f>
        <v>146.00183823529412</v>
      </c>
    </row>
    <row r="34" spans="1:10" ht="13.5" customHeight="1">
      <c r="A34" s="23" t="s">
        <v>238</v>
      </c>
      <c r="B34" s="24">
        <v>5857</v>
      </c>
      <c r="C34" s="355">
        <f>B34/'- 3 -'!D34*100</f>
        <v>0.02832291312549657</v>
      </c>
      <c r="D34" s="24">
        <f>B34/'- 7 -'!C34</f>
        <v>2.905978665343587</v>
      </c>
      <c r="E34" s="24">
        <v>88819</v>
      </c>
      <c r="F34" s="355">
        <f>E34/'- 3 -'!D34*100</f>
        <v>0.42950534760004777</v>
      </c>
      <c r="G34" s="24">
        <f>E34/'- 7 -'!F34</f>
        <v>43.861234567901235</v>
      </c>
      <c r="H34" s="24">
        <v>219565</v>
      </c>
      <c r="I34" s="355">
        <f>H34/'- 3 -'!D34*100</f>
        <v>1.0617586512548496</v>
      </c>
      <c r="J34" s="24">
        <f>H34/'- 7 -'!F34</f>
        <v>108.42716049382716</v>
      </c>
    </row>
    <row r="35" spans="1:10" ht="13.5" customHeight="1">
      <c r="A35" s="362" t="s">
        <v>239</v>
      </c>
      <c r="B35" s="363">
        <v>319000</v>
      </c>
      <c r="C35" s="364">
        <f>B35/'- 3 -'!D35*100</f>
        <v>0.21156519338988627</v>
      </c>
      <c r="D35" s="363">
        <f>B35/'- 7 -'!C35</f>
        <v>19.753545111152395</v>
      </c>
      <c r="E35" s="363">
        <v>643390</v>
      </c>
      <c r="F35" s="364">
        <f>E35/'- 3 -'!D35*100</f>
        <v>0.42670510901291203</v>
      </c>
      <c r="G35" s="363">
        <f>E35/'- 7 -'!F35</f>
        <v>39.42099136082348</v>
      </c>
      <c r="H35" s="363">
        <v>3551560</v>
      </c>
      <c r="I35" s="364">
        <f>H35/'- 3 -'!D35*100</f>
        <v>2.3554435054413307</v>
      </c>
      <c r="J35" s="363">
        <f>H35/'- 7 -'!F35</f>
        <v>217.60676429140372</v>
      </c>
    </row>
    <row r="36" spans="1:10" ht="13.5" customHeight="1">
      <c r="A36" s="23" t="s">
        <v>240</v>
      </c>
      <c r="B36" s="24">
        <v>36555</v>
      </c>
      <c r="C36" s="355">
        <f>B36/'- 3 -'!D36*100</f>
        <v>0.19023823624617364</v>
      </c>
      <c r="D36" s="24">
        <f>B36/'- 7 -'!C36</f>
        <v>19.995077125041025</v>
      </c>
      <c r="E36" s="24">
        <v>117695</v>
      </c>
      <c r="F36" s="355">
        <f>E36/'- 3 -'!D36*100</f>
        <v>0.612504150321253</v>
      </c>
      <c r="G36" s="24">
        <f>E36/'- 7 -'!F36</f>
        <v>64.03427638737759</v>
      </c>
      <c r="H36" s="24">
        <v>221275</v>
      </c>
      <c r="I36" s="355">
        <f>H36/'- 3 -'!D36*100</f>
        <v>1.1515515175864335</v>
      </c>
      <c r="J36" s="24">
        <f>H36/'- 7 -'!F36</f>
        <v>120.38900979325354</v>
      </c>
    </row>
    <row r="37" spans="1:10" ht="13.5" customHeight="1">
      <c r="A37" s="362" t="s">
        <v>241</v>
      </c>
      <c r="B37" s="363">
        <v>42405</v>
      </c>
      <c r="C37" s="364">
        <f>B37/'- 3 -'!D37*100</f>
        <v>0.12870480835154438</v>
      </c>
      <c r="D37" s="363">
        <f>B37/'- 7 -'!C37</f>
        <v>12.239861451868956</v>
      </c>
      <c r="E37" s="363">
        <v>150710</v>
      </c>
      <c r="F37" s="364">
        <f>E37/'- 3 -'!D37*100</f>
        <v>0.4574248712807748</v>
      </c>
      <c r="G37" s="363">
        <f>E37/'- 7 -'!F37</f>
        <v>43.501226728243616</v>
      </c>
      <c r="H37" s="363">
        <v>368771</v>
      </c>
      <c r="I37" s="364">
        <f>H37/'- 3 -'!D37*100</f>
        <v>1.1192689748993603</v>
      </c>
      <c r="J37" s="363">
        <f>H37/'- 7 -'!F37</f>
        <v>106.44277673545966</v>
      </c>
    </row>
    <row r="38" spans="1:10" ht="13.5" customHeight="1">
      <c r="A38" s="23" t="s">
        <v>242</v>
      </c>
      <c r="B38" s="24">
        <v>66273</v>
      </c>
      <c r="C38" s="355">
        <f>B38/'- 3 -'!D38*100</f>
        <v>0.0794660392487148</v>
      </c>
      <c r="D38" s="24">
        <f>B38/'- 7 -'!C38</f>
        <v>7.548177676537585</v>
      </c>
      <c r="E38" s="24">
        <v>133962</v>
      </c>
      <c r="F38" s="355">
        <f>E38/'- 3 -'!D38*100</f>
        <v>0.16062996318012362</v>
      </c>
      <c r="G38" s="24">
        <f>E38/'- 7 -'!F38</f>
        <v>15.228145958849607</v>
      </c>
      <c r="H38" s="24">
        <v>1508083</v>
      </c>
      <c r="I38" s="355">
        <f>H38/'- 3 -'!D38*100</f>
        <v>1.8082987471265761</v>
      </c>
      <c r="J38" s="24">
        <f>H38/'- 7 -'!F38</f>
        <v>171.4315107422985</v>
      </c>
    </row>
    <row r="39" spans="1:10" ht="13.5" customHeight="1">
      <c r="A39" s="362" t="s">
        <v>243</v>
      </c>
      <c r="B39" s="363">
        <v>0</v>
      </c>
      <c r="C39" s="364">
        <f>B39/'- 3 -'!D39*100</f>
        <v>0</v>
      </c>
      <c r="D39" s="363">
        <f>B39/'- 7 -'!C39</f>
        <v>0</v>
      </c>
      <c r="E39" s="363">
        <v>0</v>
      </c>
      <c r="F39" s="364">
        <f>E39/'- 3 -'!D39*100</f>
        <v>0</v>
      </c>
      <c r="G39" s="363">
        <f>E39/'- 7 -'!F39</f>
        <v>0</v>
      </c>
      <c r="H39" s="363">
        <v>222992</v>
      </c>
      <c r="I39" s="364">
        <f>H39/'- 3 -'!D39*100</f>
        <v>1.2955759895941181</v>
      </c>
      <c r="J39" s="363">
        <f>H39/'- 7 -'!F39</f>
        <v>136.5535823637477</v>
      </c>
    </row>
    <row r="40" spans="1:10" ht="13.5" customHeight="1">
      <c r="A40" s="23" t="s">
        <v>244</v>
      </c>
      <c r="B40" s="24">
        <v>0</v>
      </c>
      <c r="C40" s="355">
        <f>B40/'- 3 -'!D40*100</f>
        <v>0</v>
      </c>
      <c r="D40" s="24">
        <f>B40/'- 7 -'!C40</f>
        <v>0</v>
      </c>
      <c r="E40" s="24">
        <v>1318333</v>
      </c>
      <c r="F40" s="355">
        <f>E40/'- 3 -'!D40*100</f>
        <v>1.5666517147449026</v>
      </c>
      <c r="G40" s="24">
        <f>E40/'- 7 -'!F40</f>
        <v>157.75949548859583</v>
      </c>
      <c r="H40" s="24">
        <v>1154128</v>
      </c>
      <c r="I40" s="355">
        <f>H40/'- 3 -'!D40*100</f>
        <v>1.3715173709791872</v>
      </c>
      <c r="J40" s="24">
        <f>H40/'- 7 -'!F40</f>
        <v>138.10975755690112</v>
      </c>
    </row>
    <row r="41" spans="1:10" ht="13.5" customHeight="1">
      <c r="A41" s="362" t="s">
        <v>245</v>
      </c>
      <c r="B41" s="363">
        <v>23584</v>
      </c>
      <c r="C41" s="364">
        <f>B41/'- 3 -'!D41*100</f>
        <v>0.04601678071058658</v>
      </c>
      <c r="D41" s="363">
        <f>B41/'- 7 -'!C41</f>
        <v>5.1527201223508845</v>
      </c>
      <c r="E41" s="363">
        <v>424741</v>
      </c>
      <c r="F41" s="364">
        <f>E41/'- 3 -'!D41*100</f>
        <v>0.8287488744824991</v>
      </c>
      <c r="G41" s="363">
        <f>E41/'- 7 -'!F41</f>
        <v>91.75653488874487</v>
      </c>
      <c r="H41" s="363">
        <v>565747</v>
      </c>
      <c r="I41" s="364">
        <f>H41/'- 3 -'!D41*100</f>
        <v>1.10387786790503</v>
      </c>
      <c r="J41" s="363">
        <f>H41/'- 7 -'!F41</f>
        <v>122.21797364441564</v>
      </c>
    </row>
    <row r="42" spans="1:10" ht="13.5" customHeight="1">
      <c r="A42" s="23" t="s">
        <v>246</v>
      </c>
      <c r="B42" s="24">
        <v>0</v>
      </c>
      <c r="C42" s="355">
        <f>B42/'- 3 -'!D42*100</f>
        <v>0</v>
      </c>
      <c r="D42" s="24">
        <f>B42/'- 7 -'!C42</f>
        <v>0</v>
      </c>
      <c r="E42" s="24">
        <v>0</v>
      </c>
      <c r="F42" s="355">
        <f>E42/'- 3 -'!D42*100</f>
        <v>0</v>
      </c>
      <c r="G42" s="24">
        <f>E42/'- 7 -'!F42</f>
        <v>0</v>
      </c>
      <c r="H42" s="24">
        <v>247012</v>
      </c>
      <c r="I42" s="355">
        <f>H42/'- 3 -'!D42*100</f>
        <v>1.393689140495547</v>
      </c>
      <c r="J42" s="24">
        <f>H42/'- 7 -'!F42</f>
        <v>151.72727272727272</v>
      </c>
    </row>
    <row r="43" spans="1:10" ht="13.5" customHeight="1">
      <c r="A43" s="362" t="s">
        <v>247</v>
      </c>
      <c r="B43" s="363">
        <v>0</v>
      </c>
      <c r="C43" s="364">
        <f>B43/'- 3 -'!D43*100</f>
        <v>0</v>
      </c>
      <c r="D43" s="363">
        <f>B43/'- 7 -'!C43</f>
        <v>0</v>
      </c>
      <c r="E43" s="363">
        <v>8000</v>
      </c>
      <c r="F43" s="364">
        <f>E43/'- 3 -'!D43*100</f>
        <v>0.07759661554601634</v>
      </c>
      <c r="G43" s="363">
        <f>E43/'- 7 -'!F43</f>
        <v>7.964161274265804</v>
      </c>
      <c r="H43" s="363">
        <v>135085</v>
      </c>
      <c r="I43" s="364">
        <f>H43/'- 3 -'!D43*100</f>
        <v>1.3102673513792022</v>
      </c>
      <c r="J43" s="363">
        <f>H43/'- 7 -'!F43</f>
        <v>134.4798407167745</v>
      </c>
    </row>
    <row r="44" spans="1:10" ht="13.5" customHeight="1">
      <c r="A44" s="23" t="s">
        <v>248</v>
      </c>
      <c r="B44" s="24">
        <v>0</v>
      </c>
      <c r="C44" s="355">
        <f>B44/'- 3 -'!D44*100</f>
        <v>0</v>
      </c>
      <c r="D44" s="24">
        <f>B44/'- 7 -'!C44</f>
        <v>0</v>
      </c>
      <c r="E44" s="24">
        <v>0</v>
      </c>
      <c r="F44" s="355">
        <f>E44/'- 3 -'!D44*100</f>
        <v>0</v>
      </c>
      <c r="G44" s="24">
        <f>E44/'- 7 -'!F44</f>
        <v>0</v>
      </c>
      <c r="H44" s="24">
        <v>123258</v>
      </c>
      <c r="I44" s="355">
        <f>H44/'- 3 -'!D44*100</f>
        <v>1.4557057777906903</v>
      </c>
      <c r="J44" s="24">
        <f>H44/'- 7 -'!F44</f>
        <v>158.02307692307693</v>
      </c>
    </row>
    <row r="45" spans="1:10" ht="13.5" customHeight="1">
      <c r="A45" s="362" t="s">
        <v>249</v>
      </c>
      <c r="B45" s="363">
        <v>24428</v>
      </c>
      <c r="C45" s="364">
        <f>B45/'- 3 -'!D45*100</f>
        <v>0.1875792410566022</v>
      </c>
      <c r="D45" s="363">
        <f>B45/'- 7 -'!C45</f>
        <v>16.156084656084655</v>
      </c>
      <c r="E45" s="363">
        <v>5000</v>
      </c>
      <c r="F45" s="364">
        <f>E45/'- 3 -'!D45*100</f>
        <v>0.038394310024685234</v>
      </c>
      <c r="G45" s="363">
        <f>E45/'- 7 -'!F45</f>
        <v>3.289473684210526</v>
      </c>
      <c r="H45" s="363">
        <v>192749</v>
      </c>
      <c r="I45" s="364">
        <f>H45/'- 3 -'!D45*100</f>
        <v>1.480092972589611</v>
      </c>
      <c r="J45" s="363">
        <f>H45/'- 7 -'!F45</f>
        <v>126.80855263157895</v>
      </c>
    </row>
    <row r="46" spans="1:10" ht="13.5" customHeight="1">
      <c r="A46" s="23" t="s">
        <v>250</v>
      </c>
      <c r="B46" s="24">
        <v>175400</v>
      </c>
      <c r="C46" s="355">
        <f>B46/'- 3 -'!D46*100</f>
        <v>0.057250587846685935</v>
      </c>
      <c r="D46" s="24">
        <f>B46/'- 7 -'!C46</f>
        <v>6.0165334613933386</v>
      </c>
      <c r="E46" s="24">
        <v>809800</v>
      </c>
      <c r="F46" s="355">
        <f>E46/'- 3 -'!D46*100</f>
        <v>0.26431884856468796</v>
      </c>
      <c r="G46" s="24">
        <f>E46/'- 7 -'!F46</f>
        <v>26.646046526932317</v>
      </c>
      <c r="H46" s="24">
        <v>2912100</v>
      </c>
      <c r="I46" s="355">
        <f>H46/'- 3 -'!D46*100</f>
        <v>0.9505099023280166</v>
      </c>
      <c r="J46" s="24">
        <f>H46/'- 7 -'!F46</f>
        <v>95.82113125596393</v>
      </c>
    </row>
    <row r="47" spans="1:10" ht="4.5" customHeight="1">
      <c r="A47"/>
      <c r="B47"/>
      <c r="C47"/>
      <c r="D47"/>
      <c r="E47"/>
      <c r="F47"/>
      <c r="G47"/>
      <c r="H47"/>
      <c r="I47"/>
      <c r="J47"/>
    </row>
    <row r="48" spans="1:10" ht="13.5" customHeight="1">
      <c r="A48" s="365" t="s">
        <v>251</v>
      </c>
      <c r="B48" s="366">
        <f>SUM(B11:B46)</f>
        <v>1460366</v>
      </c>
      <c r="C48" s="367">
        <f>B48/'- 3 -'!D48*100</f>
        <v>0.08452580629835155</v>
      </c>
      <c r="D48" s="366">
        <f>B48/'- 7 -'!C48</f>
        <v>8.608820660788265</v>
      </c>
      <c r="E48" s="366">
        <f>SUM(E11:E46)</f>
        <v>9384574</v>
      </c>
      <c r="F48" s="367">
        <f>E48/'- 3 -'!D48*100</f>
        <v>0.5431780006632215</v>
      </c>
      <c r="G48" s="366">
        <f>E48/'- 7 -'!F48</f>
        <v>54.47738158482896</v>
      </c>
      <c r="H48" s="366">
        <f>SUM(H11:H46)</f>
        <v>27899837</v>
      </c>
      <c r="I48" s="367">
        <f>H48/'- 3 -'!D48*100</f>
        <v>1.6148391690970494</v>
      </c>
      <c r="J48" s="366">
        <f>H48/'- 7 -'!F48</f>
        <v>161.95834423635316</v>
      </c>
    </row>
    <row r="49" spans="1:10" ht="4.5" customHeight="1">
      <c r="A49" s="25" t="s">
        <v>3</v>
      </c>
      <c r="B49" s="26"/>
      <c r="C49" s="353"/>
      <c r="D49" s="26"/>
      <c r="E49" s="26"/>
      <c r="F49" s="353"/>
      <c r="H49" s="26"/>
      <c r="I49" s="353"/>
      <c r="J49" s="26"/>
    </row>
    <row r="50" spans="1:10" ht="13.5" customHeight="1">
      <c r="A50" s="23" t="s">
        <v>252</v>
      </c>
      <c r="B50" s="24">
        <v>0</v>
      </c>
      <c r="C50" s="355">
        <f>B50/'- 3 -'!D50*100</f>
        <v>0</v>
      </c>
      <c r="D50" s="24">
        <f>B50/'- 7 -'!C50</f>
        <v>0</v>
      </c>
      <c r="E50" s="24">
        <v>14252</v>
      </c>
      <c r="F50" s="355">
        <f>E50/'- 3 -'!D50*100</f>
        <v>0.5015020076618754</v>
      </c>
      <c r="G50" s="24">
        <f>E50/'- 7 -'!F50</f>
        <v>66.75409836065573</v>
      </c>
      <c r="H50" s="24">
        <v>15836</v>
      </c>
      <c r="I50" s="355">
        <f>H50/'- 3 -'!D50*100</f>
        <v>0.5572400921508179</v>
      </c>
      <c r="J50" s="24">
        <f>H50/'- 7 -'!F50</f>
        <v>74.17330210772833</v>
      </c>
    </row>
    <row r="51" spans="1:10" ht="13.5" customHeight="1">
      <c r="A51" s="362" t="s">
        <v>253</v>
      </c>
      <c r="B51" s="363">
        <v>192438</v>
      </c>
      <c r="C51" s="364">
        <f>B51/'- 3 -'!D51*100</f>
        <v>1.5859255637391871</v>
      </c>
      <c r="D51" s="363">
        <f>B51/'- 7 -'!C51</f>
        <v>308.3942307692308</v>
      </c>
      <c r="E51" s="363">
        <v>98000</v>
      </c>
      <c r="F51" s="364">
        <f>E51/'- 3 -'!D51*100</f>
        <v>0.8076404101395792</v>
      </c>
      <c r="G51" s="363">
        <f>E51/'- 7 -'!F51</f>
        <v>157.05128205128204</v>
      </c>
      <c r="H51" s="363">
        <v>63552</v>
      </c>
      <c r="I51" s="364">
        <f>H51/'- 3 -'!D51*100</f>
        <v>0.5237465647468422</v>
      </c>
      <c r="J51" s="363">
        <f>H51/'- 7 -'!F51</f>
        <v>101.84615384615384</v>
      </c>
    </row>
    <row r="52" spans="1:10" ht="49.5" customHeight="1">
      <c r="A52" s="213"/>
      <c r="B52" s="213"/>
      <c r="C52" s="213"/>
      <c r="D52" s="213"/>
      <c r="E52" s="213"/>
      <c r="F52" s="213"/>
      <c r="G52" s="213"/>
      <c r="H52" s="213"/>
      <c r="I52" s="213"/>
      <c r="J52" s="213"/>
    </row>
    <row r="53" spans="1:10" ht="15" customHeight="1">
      <c r="A53" s="165"/>
      <c r="B53" s="213"/>
      <c r="C53" s="213"/>
      <c r="D53" s="213"/>
      <c r="E53" s="213"/>
      <c r="F53" s="213"/>
      <c r="G53" s="213"/>
      <c r="H53" s="213"/>
      <c r="I53" s="213"/>
      <c r="J53" s="213"/>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G53"/>
  <sheetViews>
    <sheetView showGridLines="0" showZeros="0" workbookViewId="0" topLeftCell="A1">
      <selection activeCell="A6" sqref="A6"/>
    </sheetView>
  </sheetViews>
  <sheetFormatPr defaultColWidth="15.83203125" defaultRowHeight="12"/>
  <cols>
    <col min="1" max="1" width="35.83203125" style="1" customWidth="1"/>
    <col min="2" max="2" width="20.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3"/>
      <c r="B1" s="42"/>
      <c r="C1" s="42"/>
      <c r="D1" s="42"/>
      <c r="E1" s="42"/>
      <c r="F1" s="42"/>
      <c r="G1" s="42"/>
    </row>
    <row r="2" spans="1:7" ht="15.75" customHeight="1">
      <c r="A2" s="167"/>
      <c r="B2" s="5" t="s">
        <v>491</v>
      </c>
      <c r="C2" s="203"/>
      <c r="D2" s="45"/>
      <c r="E2" s="45"/>
      <c r="F2" s="45"/>
      <c r="G2" s="190" t="s">
        <v>415</v>
      </c>
    </row>
    <row r="3" spans="1:7" ht="15.75" customHeight="1">
      <c r="A3" s="170"/>
      <c r="B3" s="240" t="str">
        <f>OPYEAR</f>
        <v>OPERATING FUND 2008/2009 BUDGET</v>
      </c>
      <c r="C3" s="49"/>
      <c r="D3" s="204"/>
      <c r="E3" s="49"/>
      <c r="F3" s="49"/>
      <c r="G3" s="51"/>
    </row>
    <row r="4" spans="2:7" ht="15.75" customHeight="1">
      <c r="B4" s="42"/>
      <c r="C4" s="42"/>
      <c r="D4" s="42"/>
      <c r="E4" s="42"/>
      <c r="F4" s="42"/>
      <c r="G4" s="42"/>
    </row>
    <row r="5" spans="2:7" ht="15.75" customHeight="1">
      <c r="B5" s="519" t="s">
        <v>472</v>
      </c>
      <c r="C5" s="205"/>
      <c r="D5" s="206"/>
      <c r="E5" s="206"/>
      <c r="F5" s="206"/>
      <c r="G5" s="207"/>
    </row>
    <row r="6" spans="2:7" ht="15.75" customHeight="1">
      <c r="B6" s="412" t="s">
        <v>16</v>
      </c>
      <c r="C6" s="489"/>
      <c r="D6" s="490"/>
      <c r="E6" s="491"/>
      <c r="F6" s="492"/>
      <c r="G6" s="493"/>
    </row>
    <row r="7" spans="2:7" ht="15.75" customHeight="1">
      <c r="B7" s="406" t="s">
        <v>42</v>
      </c>
      <c r="C7" s="407"/>
      <c r="D7" s="408"/>
      <c r="E7" s="406" t="s">
        <v>540</v>
      </c>
      <c r="F7" s="407"/>
      <c r="G7" s="408"/>
    </row>
    <row r="8" spans="1:7" ht="15.75" customHeight="1">
      <c r="A8" s="104"/>
      <c r="B8" s="208"/>
      <c r="C8" s="209"/>
      <c r="D8" s="210" t="s">
        <v>59</v>
      </c>
      <c r="E8" s="211"/>
      <c r="F8" s="209"/>
      <c r="G8" s="210" t="s">
        <v>59</v>
      </c>
    </row>
    <row r="9" spans="1:7" ht="15.75" customHeight="1">
      <c r="A9" s="35" t="s">
        <v>79</v>
      </c>
      <c r="B9" s="56" t="s">
        <v>80</v>
      </c>
      <c r="C9" s="56" t="s">
        <v>81</v>
      </c>
      <c r="D9" s="56" t="s">
        <v>82</v>
      </c>
      <c r="E9" s="212" t="s">
        <v>80</v>
      </c>
      <c r="F9" s="56" t="s">
        <v>81</v>
      </c>
      <c r="G9" s="56" t="s">
        <v>82</v>
      </c>
    </row>
    <row r="10" spans="1:7" ht="4.5" customHeight="1">
      <c r="A10" s="37"/>
      <c r="B10" s="68"/>
      <c r="C10" s="68"/>
      <c r="D10" s="68"/>
      <c r="E10" s="68"/>
      <c r="F10" s="68"/>
      <c r="G10" s="68"/>
    </row>
    <row r="11" spans="1:7" ht="13.5" customHeight="1">
      <c r="A11" s="362" t="s">
        <v>216</v>
      </c>
      <c r="B11" s="363">
        <v>109682</v>
      </c>
      <c r="C11" s="364">
        <f>B11/'- 3 -'!D11*100</f>
        <v>0.8195137550723673</v>
      </c>
      <c r="D11" s="363">
        <f>B11/'- 7 -'!F11</f>
        <v>77.62349610757254</v>
      </c>
      <c r="E11" s="363">
        <v>7776</v>
      </c>
      <c r="F11" s="364">
        <f>E11/'- 3 -'!D11*100</f>
        <v>0.05810013456576949</v>
      </c>
      <c r="G11" s="363">
        <f>E11/'- 7 -'!F11</f>
        <v>5.503184713375796</v>
      </c>
    </row>
    <row r="12" spans="1:7" ht="13.5" customHeight="1">
      <c r="A12" s="23" t="s">
        <v>217</v>
      </c>
      <c r="B12" s="24">
        <v>274029</v>
      </c>
      <c r="C12" s="355">
        <f>B12/'- 3 -'!D12*100</f>
        <v>1.0907447800349868</v>
      </c>
      <c r="D12" s="24">
        <f>B12/'- 7 -'!F12</f>
        <v>118.473411154345</v>
      </c>
      <c r="E12" s="24">
        <v>156036</v>
      </c>
      <c r="F12" s="355">
        <f>E12/'- 3 -'!D12*100</f>
        <v>0.6210855511553128</v>
      </c>
      <c r="G12" s="24">
        <f>E12/'- 7 -'!F12</f>
        <v>67.46044098573282</v>
      </c>
    </row>
    <row r="13" spans="1:7" ht="13.5" customHeight="1">
      <c r="A13" s="362" t="s">
        <v>218</v>
      </c>
      <c r="B13" s="363">
        <v>726600</v>
      </c>
      <c r="C13" s="364">
        <f>B13/'- 3 -'!D13*100</f>
        <v>1.2351618238780953</v>
      </c>
      <c r="D13" s="363">
        <f>B13/'- 7 -'!F13</f>
        <v>107.2556003314966</v>
      </c>
      <c r="E13" s="363">
        <v>51000</v>
      </c>
      <c r="F13" s="364">
        <f>E13/'- 3 -'!D13*100</f>
        <v>0.08669591662232709</v>
      </c>
      <c r="G13" s="363">
        <f>E13/'- 7 -'!F13</f>
        <v>7.5282626161661526</v>
      </c>
    </row>
    <row r="14" spans="1:7" ht="13.5" customHeight="1">
      <c r="A14" s="23" t="s">
        <v>254</v>
      </c>
      <c r="B14" s="24">
        <v>333440</v>
      </c>
      <c r="C14" s="355">
        <f>B14/'- 3 -'!D14*100</f>
        <v>0.586267307228403</v>
      </c>
      <c r="D14" s="24">
        <f>B14/'- 7 -'!F14</f>
        <v>68.96380558428129</v>
      </c>
      <c r="E14" s="24">
        <v>12927</v>
      </c>
      <c r="F14" s="355">
        <f>E14/'- 3 -'!D14*100</f>
        <v>0.022728759238668322</v>
      </c>
      <c r="G14" s="24">
        <f>E14/'- 7 -'!F14</f>
        <v>2.6736297828335056</v>
      </c>
    </row>
    <row r="15" spans="1:7" ht="13.5" customHeight="1">
      <c r="A15" s="362" t="s">
        <v>219</v>
      </c>
      <c r="B15" s="363">
        <v>164437</v>
      </c>
      <c r="C15" s="364">
        <f>B15/'- 3 -'!D15*100</f>
        <v>1.0070244975854916</v>
      </c>
      <c r="D15" s="363">
        <f>B15/'- 7 -'!F15</f>
        <v>102.8695652173913</v>
      </c>
      <c r="E15" s="363">
        <v>3500</v>
      </c>
      <c r="F15" s="364">
        <f>E15/'- 3 -'!D15*100</f>
        <v>0.021434262006417175</v>
      </c>
      <c r="G15" s="363">
        <f>E15/'- 7 -'!F15</f>
        <v>2.1895527056615576</v>
      </c>
    </row>
    <row r="16" spans="1:7" ht="13.5" customHeight="1">
      <c r="A16" s="23" t="s">
        <v>220</v>
      </c>
      <c r="B16" s="24">
        <v>68956</v>
      </c>
      <c r="C16" s="355">
        <f>B16/'- 3 -'!D16*100</f>
        <v>0.6047553400863002</v>
      </c>
      <c r="D16" s="24">
        <f>B16/'- 7 -'!F16</f>
        <v>64.05573618207153</v>
      </c>
      <c r="E16" s="24">
        <v>70181</v>
      </c>
      <c r="F16" s="355">
        <f>E16/'- 3 -'!D16*100</f>
        <v>0.6154987894105899</v>
      </c>
      <c r="G16" s="24">
        <f>E16/'- 7 -'!F16</f>
        <v>65.19368323269856</v>
      </c>
    </row>
    <row r="17" spans="1:7" ht="13.5" customHeight="1">
      <c r="A17" s="362" t="s">
        <v>221</v>
      </c>
      <c r="B17" s="363">
        <v>125396</v>
      </c>
      <c r="C17" s="364">
        <f>B17/'- 3 -'!D17*100</f>
        <v>0.8539649515883813</v>
      </c>
      <c r="D17" s="363">
        <f>B17/'- 7 -'!F17</f>
        <v>90.93255982596084</v>
      </c>
      <c r="E17" s="363">
        <v>11500</v>
      </c>
      <c r="F17" s="364">
        <f>E17/'- 3 -'!D17*100</f>
        <v>0.07831666834082733</v>
      </c>
      <c r="G17" s="363">
        <f>E17/'- 7 -'!F17</f>
        <v>8.339376359680928</v>
      </c>
    </row>
    <row r="18" spans="1:7" ht="13.5" customHeight="1">
      <c r="A18" s="23" t="s">
        <v>222</v>
      </c>
      <c r="B18" s="24">
        <v>691698</v>
      </c>
      <c r="C18" s="355">
        <f>B18/'- 3 -'!D18*100</f>
        <v>0.6913313593268946</v>
      </c>
      <c r="D18" s="24">
        <f>B18/'- 7 -'!F18</f>
        <v>118.9792899408284</v>
      </c>
      <c r="E18" s="24">
        <v>1407628</v>
      </c>
      <c r="F18" s="355">
        <f>E18/'- 3 -'!D18*100</f>
        <v>1.4068818742668014</v>
      </c>
      <c r="G18" s="24">
        <f>E18/'- 7 -'!F18</f>
        <v>242.12673730562815</v>
      </c>
    </row>
    <row r="19" spans="1:7" ht="13.5" customHeight="1">
      <c r="A19" s="362" t="s">
        <v>223</v>
      </c>
      <c r="B19" s="363">
        <v>192300</v>
      </c>
      <c r="C19" s="364">
        <f>B19/'- 3 -'!D19*100</f>
        <v>0.6631026479795628</v>
      </c>
      <c r="D19" s="363">
        <f>B19/'- 7 -'!F19</f>
        <v>50.393081761006286</v>
      </c>
      <c r="E19" s="363">
        <v>30800</v>
      </c>
      <c r="F19" s="364">
        <f>E19/'- 3 -'!D19*100</f>
        <v>0.10620676837114161</v>
      </c>
      <c r="G19" s="363">
        <f>E19/'- 7 -'!F19</f>
        <v>8.071278825995806</v>
      </c>
    </row>
    <row r="20" spans="1:7" ht="13.5" customHeight="1">
      <c r="A20" s="23" t="s">
        <v>224</v>
      </c>
      <c r="B20" s="24">
        <v>406598</v>
      </c>
      <c r="C20" s="355">
        <f>B20/'- 3 -'!D20*100</f>
        <v>0.7358208004327637</v>
      </c>
      <c r="D20" s="24">
        <f>B20/'- 7 -'!F20</f>
        <v>56.62924791086351</v>
      </c>
      <c r="E20" s="24">
        <v>390290</v>
      </c>
      <c r="F20" s="355">
        <f>E20/'- 3 -'!D20*100</f>
        <v>0.7063081967961066</v>
      </c>
      <c r="G20" s="24">
        <f>E20/'- 7 -'!F20</f>
        <v>54.35793871866295</v>
      </c>
    </row>
    <row r="21" spans="1:7" ht="13.5" customHeight="1">
      <c r="A21" s="362" t="s">
        <v>225</v>
      </c>
      <c r="B21" s="363">
        <v>485772</v>
      </c>
      <c r="C21" s="364">
        <f>B21/'- 3 -'!D21*100</f>
        <v>1.7084315146058564</v>
      </c>
      <c r="D21" s="363">
        <f>B21/'- 7 -'!F21</f>
        <v>163.25726768610318</v>
      </c>
      <c r="E21" s="363">
        <v>64340</v>
      </c>
      <c r="F21" s="364">
        <f>E21/'- 3 -'!D21*100</f>
        <v>0.22627999071527546</v>
      </c>
      <c r="G21" s="363">
        <f>E21/'- 7 -'!F21</f>
        <v>21.62325659553016</v>
      </c>
    </row>
    <row r="22" spans="1:7" ht="13.5" customHeight="1">
      <c r="A22" s="23" t="s">
        <v>226</v>
      </c>
      <c r="B22" s="24">
        <v>102000</v>
      </c>
      <c r="C22" s="355">
        <f>B22/'- 3 -'!D22*100</f>
        <v>0.6362336564360711</v>
      </c>
      <c r="D22" s="24">
        <f>B22/'- 7 -'!F22</f>
        <v>60.176991150442475</v>
      </c>
      <c r="E22" s="24">
        <v>48305</v>
      </c>
      <c r="F22" s="355">
        <f>E22/'- 3 -'!D22*100</f>
        <v>0.3013065370014158</v>
      </c>
      <c r="G22" s="24">
        <f>E22/'- 7 -'!F22</f>
        <v>28.49852507374631</v>
      </c>
    </row>
    <row r="23" spans="1:7" ht="13.5" customHeight="1">
      <c r="A23" s="362" t="s">
        <v>227</v>
      </c>
      <c r="B23" s="363">
        <v>228000</v>
      </c>
      <c r="C23" s="364">
        <f>B23/'- 3 -'!D23*100</f>
        <v>1.7193045322677265</v>
      </c>
      <c r="D23" s="363">
        <f>B23/'- 7 -'!F23</f>
        <v>174.98081350729086</v>
      </c>
      <c r="E23" s="363">
        <v>7000</v>
      </c>
      <c r="F23" s="364">
        <f>E23/'- 3 -'!D23*100</f>
        <v>0.052785665464360025</v>
      </c>
      <c r="G23" s="363">
        <f>E23/'- 7 -'!F23</f>
        <v>5.372217958557176</v>
      </c>
    </row>
    <row r="24" spans="1:7" ht="13.5" customHeight="1">
      <c r="A24" s="23" t="s">
        <v>228</v>
      </c>
      <c r="B24" s="24">
        <v>463740</v>
      </c>
      <c r="C24" s="355">
        <f>B24/'- 3 -'!D24*100</f>
        <v>1.0440610231987144</v>
      </c>
      <c r="D24" s="24">
        <f>B24/'- 7 -'!F24</f>
        <v>104.77632173520108</v>
      </c>
      <c r="E24" s="24">
        <v>38680</v>
      </c>
      <c r="F24" s="355">
        <f>E24/'- 3 -'!D24*100</f>
        <v>0.08708388402407874</v>
      </c>
      <c r="G24" s="24">
        <f>E24/'- 7 -'!F24</f>
        <v>8.739267962042476</v>
      </c>
    </row>
    <row r="25" spans="1:7" ht="13.5" customHeight="1">
      <c r="A25" s="362" t="s">
        <v>229</v>
      </c>
      <c r="B25" s="363">
        <v>2333048</v>
      </c>
      <c r="C25" s="364">
        <f>B25/'- 3 -'!D25*100</f>
        <v>1.7397072150146784</v>
      </c>
      <c r="D25" s="363">
        <f>B25/'- 7 -'!F25</f>
        <v>164.48448956570783</v>
      </c>
      <c r="E25" s="363">
        <v>137207</v>
      </c>
      <c r="F25" s="364">
        <f>E25/'- 3 -'!D25*100</f>
        <v>0.10231251472345144</v>
      </c>
      <c r="G25" s="363">
        <f>E25/'- 7 -'!F25</f>
        <v>9.673364354201917</v>
      </c>
    </row>
    <row r="26" spans="1:7" ht="13.5" customHeight="1">
      <c r="A26" s="23" t="s">
        <v>230</v>
      </c>
      <c r="B26" s="24">
        <v>248000</v>
      </c>
      <c r="C26" s="355">
        <f>B26/'- 3 -'!D26*100</f>
        <v>0.764582704017025</v>
      </c>
      <c r="D26" s="24">
        <f>B26/'- 7 -'!F26</f>
        <v>79.20792079207921</v>
      </c>
      <c r="E26" s="24">
        <v>240972</v>
      </c>
      <c r="F26" s="355">
        <f>E26/'- 3 -'!D26*100</f>
        <v>0.7429154167435104</v>
      </c>
      <c r="G26" s="24">
        <f>E26/'- 7 -'!F26</f>
        <v>76.96327052060045</v>
      </c>
    </row>
    <row r="27" spans="1:7" ht="13.5" customHeight="1">
      <c r="A27" s="362" t="s">
        <v>231</v>
      </c>
      <c r="B27" s="363">
        <v>315898</v>
      </c>
      <c r="C27" s="364">
        <f>B27/'- 3 -'!D27*100</f>
        <v>0.8951450640073861</v>
      </c>
      <c r="D27" s="363">
        <f>B27/'- 7 -'!F27</f>
        <v>98.07329309788143</v>
      </c>
      <c r="E27" s="363">
        <v>57360</v>
      </c>
      <c r="F27" s="364">
        <f>E27/'- 3 -'!D27*100</f>
        <v>0.16253829043382254</v>
      </c>
      <c r="G27" s="363">
        <f>E27/'- 7 -'!F27</f>
        <v>17.807912972207735</v>
      </c>
    </row>
    <row r="28" spans="1:7" ht="13.5" customHeight="1">
      <c r="A28" s="23" t="s">
        <v>232</v>
      </c>
      <c r="B28" s="24">
        <v>128252</v>
      </c>
      <c r="C28" s="355">
        <f>B28/'- 3 -'!D28*100</f>
        <v>0.690191803598316</v>
      </c>
      <c r="D28" s="24">
        <f>B28/'- 7 -'!F28</f>
        <v>72.8290743895514</v>
      </c>
      <c r="E28" s="24">
        <v>500</v>
      </c>
      <c r="F28" s="355">
        <f>E28/'- 3 -'!D28*100</f>
        <v>0.0026907642906087857</v>
      </c>
      <c r="G28" s="24">
        <f>E28/'- 7 -'!F28</f>
        <v>0.2839295854628052</v>
      </c>
    </row>
    <row r="29" spans="1:7" ht="13.5" customHeight="1">
      <c r="A29" s="362" t="s">
        <v>233</v>
      </c>
      <c r="B29" s="363">
        <v>1365066</v>
      </c>
      <c r="C29" s="364">
        <f>B29/'- 3 -'!D29*100</f>
        <v>1.109548029052724</v>
      </c>
      <c r="D29" s="363">
        <f>B29/'- 7 -'!F29</f>
        <v>112.25410139385716</v>
      </c>
      <c r="E29" s="363">
        <v>330443</v>
      </c>
      <c r="F29" s="364">
        <f>E29/'- 3 -'!D29*100</f>
        <v>0.26858948898021734</v>
      </c>
      <c r="G29" s="363">
        <f>E29/'- 7 -'!F29</f>
        <v>27.17347148554747</v>
      </c>
    </row>
    <row r="30" spans="1:7" ht="13.5" customHeight="1">
      <c r="A30" s="23" t="s">
        <v>234</v>
      </c>
      <c r="B30" s="24">
        <v>77560</v>
      </c>
      <c r="C30" s="355">
        <f>B30/'- 3 -'!D30*100</f>
        <v>0.679746141634346</v>
      </c>
      <c r="D30" s="24">
        <f>B30/'- 7 -'!F30</f>
        <v>65.8963466440102</v>
      </c>
      <c r="E30" s="24">
        <v>2200</v>
      </c>
      <c r="F30" s="355">
        <f>E30/'- 3 -'!D30*100</f>
        <v>0.01928109220726613</v>
      </c>
      <c r="G30" s="24">
        <f>E30/'- 7 -'!F30</f>
        <v>1.8691588785046729</v>
      </c>
    </row>
    <row r="31" spans="1:7" ht="13.5" customHeight="1">
      <c r="A31" s="362" t="s">
        <v>235</v>
      </c>
      <c r="B31" s="363">
        <v>145339</v>
      </c>
      <c r="C31" s="364">
        <f>B31/'- 3 -'!D31*100</f>
        <v>0.49517170198608007</v>
      </c>
      <c r="D31" s="363">
        <f>B31/'- 7 -'!F31</f>
        <v>44.381030902650544</v>
      </c>
      <c r="E31" s="363">
        <v>119608</v>
      </c>
      <c r="F31" s="364">
        <f>E31/'- 3 -'!D31*100</f>
        <v>0.40750587888420226</v>
      </c>
      <c r="G31" s="363">
        <f>E31/'- 7 -'!F31</f>
        <v>36.52375717601075</v>
      </c>
    </row>
    <row r="32" spans="1:7" ht="13.5" customHeight="1">
      <c r="A32" s="23" t="s">
        <v>236</v>
      </c>
      <c r="B32" s="24">
        <v>130000</v>
      </c>
      <c r="C32" s="355">
        <f>B32/'- 3 -'!D32*100</f>
        <v>0.5932572570650322</v>
      </c>
      <c r="D32" s="24">
        <f>B32/'- 7 -'!F32</f>
        <v>59.25250683682771</v>
      </c>
      <c r="E32" s="24">
        <v>6000</v>
      </c>
      <c r="F32" s="355">
        <f>E32/'- 3 -'!D32*100</f>
        <v>0.02738110417223226</v>
      </c>
      <c r="G32" s="24">
        <f>E32/'- 7 -'!F32</f>
        <v>2.7347310847766635</v>
      </c>
    </row>
    <row r="33" spans="1:7" ht="13.5" customHeight="1">
      <c r="A33" s="362" t="s">
        <v>237</v>
      </c>
      <c r="B33" s="363">
        <v>140000</v>
      </c>
      <c r="C33" s="364">
        <f>B33/'- 3 -'!D33*100</f>
        <v>0.6089206880803775</v>
      </c>
      <c r="D33" s="363">
        <f>B33/'- 7 -'!F33</f>
        <v>64.33823529411765</v>
      </c>
      <c r="E33" s="363">
        <v>0</v>
      </c>
      <c r="F33" s="364">
        <f>E33/'- 3 -'!D33*100</f>
        <v>0</v>
      </c>
      <c r="G33" s="363">
        <f>E33/'- 7 -'!F33</f>
        <v>0</v>
      </c>
    </row>
    <row r="34" spans="1:7" ht="13.5" customHeight="1">
      <c r="A34" s="23" t="s">
        <v>238</v>
      </c>
      <c r="B34" s="24">
        <v>152196</v>
      </c>
      <c r="C34" s="355">
        <f>B34/'- 3 -'!D34*100</f>
        <v>0.7359798678586437</v>
      </c>
      <c r="D34" s="24">
        <f>B34/'- 7 -'!F34</f>
        <v>75.15851851851852</v>
      </c>
      <c r="E34" s="24">
        <v>0</v>
      </c>
      <c r="F34" s="355">
        <f>E34/'- 3 -'!D34*100</f>
        <v>0</v>
      </c>
      <c r="G34" s="24">
        <f>E34/'- 7 -'!F34</f>
        <v>0</v>
      </c>
    </row>
    <row r="35" spans="1:7" ht="13.5" customHeight="1">
      <c r="A35" s="362" t="s">
        <v>239</v>
      </c>
      <c r="B35" s="363">
        <v>2014194</v>
      </c>
      <c r="C35" s="364">
        <f>B35/'- 3 -'!D35*100</f>
        <v>1.3358412010493685</v>
      </c>
      <c r="D35" s="363">
        <f>B35/'- 7 -'!F35</f>
        <v>123.41118803994853</v>
      </c>
      <c r="E35" s="363">
        <v>384000</v>
      </c>
      <c r="F35" s="364">
        <f>E35/'- 3 -'!D35*100</f>
        <v>0.25467408859472207</v>
      </c>
      <c r="G35" s="363">
        <f>E35/'- 7 -'!F35</f>
        <v>23.527970099871332</v>
      </c>
    </row>
    <row r="36" spans="1:7" ht="13.5" customHeight="1">
      <c r="A36" s="23" t="s">
        <v>240</v>
      </c>
      <c r="B36" s="24">
        <v>180700</v>
      </c>
      <c r="C36" s="355">
        <f>B36/'- 3 -'!D36*100</f>
        <v>0.9403925397259902</v>
      </c>
      <c r="D36" s="24">
        <f>B36/'- 7 -'!F36</f>
        <v>98.31338411316649</v>
      </c>
      <c r="E36" s="24">
        <v>15600</v>
      </c>
      <c r="F36" s="355">
        <f>E36/'- 3 -'!D36*100</f>
        <v>0.08118496745835888</v>
      </c>
      <c r="G36" s="24">
        <f>E36/'- 7 -'!F36</f>
        <v>8.487486398258977</v>
      </c>
    </row>
    <row r="37" spans="1:7" ht="13.5" customHeight="1">
      <c r="A37" s="362" t="s">
        <v>241</v>
      </c>
      <c r="B37" s="363">
        <v>381586</v>
      </c>
      <c r="C37" s="364">
        <f>B37/'- 3 -'!D37*100</f>
        <v>1.158164202325962</v>
      </c>
      <c r="D37" s="363">
        <f>B37/'- 7 -'!F37</f>
        <v>110.14172319237986</v>
      </c>
      <c r="E37" s="363">
        <v>7279</v>
      </c>
      <c r="F37" s="364">
        <f>E37/'- 3 -'!D37*100</f>
        <v>0.022092731988937426</v>
      </c>
      <c r="G37" s="363">
        <f>E37/'- 7 -'!F37</f>
        <v>2.101024678885842</v>
      </c>
    </row>
    <row r="38" spans="1:7" ht="13.5" customHeight="1">
      <c r="A38" s="23" t="s">
        <v>242</v>
      </c>
      <c r="B38" s="24">
        <v>739085</v>
      </c>
      <c r="C38" s="355">
        <f>B38/'- 3 -'!D38*100</f>
        <v>0.8862154666023325</v>
      </c>
      <c r="D38" s="24">
        <f>B38/'- 7 -'!F38</f>
        <v>84.01557349096282</v>
      </c>
      <c r="E38" s="24">
        <v>142486</v>
      </c>
      <c r="F38" s="355">
        <f>E38/'- 3 -'!D38*100</f>
        <v>0.1708508452671884</v>
      </c>
      <c r="G38" s="24">
        <f>E38/'- 7 -'!F38</f>
        <v>16.197112652040467</v>
      </c>
    </row>
    <row r="39" spans="1:7" ht="13.5" customHeight="1">
      <c r="A39" s="362" t="s">
        <v>243</v>
      </c>
      <c r="B39" s="363">
        <v>143907</v>
      </c>
      <c r="C39" s="364">
        <f>B39/'- 3 -'!D39*100</f>
        <v>0.8360948102825246</v>
      </c>
      <c r="D39" s="363">
        <f>B39/'- 7 -'!F39</f>
        <v>88.12431108389467</v>
      </c>
      <c r="E39" s="363">
        <v>16420</v>
      </c>
      <c r="F39" s="364">
        <f>E39/'- 3 -'!D39*100</f>
        <v>0.0953996454991005</v>
      </c>
      <c r="G39" s="363">
        <f>E39/'- 7 -'!F39</f>
        <v>10.05511328842621</v>
      </c>
    </row>
    <row r="40" spans="1:7" ht="13.5" customHeight="1">
      <c r="A40" s="23" t="s">
        <v>244</v>
      </c>
      <c r="B40" s="24">
        <v>678190</v>
      </c>
      <c r="C40" s="355">
        <f>B40/'- 3 -'!D40*100</f>
        <v>0.8059325879143172</v>
      </c>
      <c r="D40" s="24">
        <f>B40/'- 7 -'!F40</f>
        <v>81.15621185649665</v>
      </c>
      <c r="E40" s="24">
        <v>115440</v>
      </c>
      <c r="F40" s="355">
        <f>E40/'- 3 -'!D40*100</f>
        <v>0.1371840604385626</v>
      </c>
      <c r="G40" s="24">
        <f>E40/'- 7 -'!F40</f>
        <v>13.814230667975012</v>
      </c>
    </row>
    <row r="41" spans="1:7" ht="13.5" customHeight="1">
      <c r="A41" s="362" t="s">
        <v>245</v>
      </c>
      <c r="B41" s="363">
        <v>274988</v>
      </c>
      <c r="C41" s="364">
        <f>B41/'- 3 -'!D41*100</f>
        <v>0.5365528533769837</v>
      </c>
      <c r="D41" s="363">
        <f>B41/'- 7 -'!F41</f>
        <v>59.40548714625189</v>
      </c>
      <c r="E41" s="363">
        <v>60957</v>
      </c>
      <c r="F41" s="364">
        <f>E41/'- 3 -'!D41*100</f>
        <v>0.1189384710725588</v>
      </c>
      <c r="G41" s="363">
        <f>E41/'- 7 -'!F41</f>
        <v>13.16850291639663</v>
      </c>
    </row>
    <row r="42" spans="1:7" ht="13.5" customHeight="1">
      <c r="A42" s="23" t="s">
        <v>246</v>
      </c>
      <c r="B42" s="24">
        <v>102464</v>
      </c>
      <c r="C42" s="355">
        <f>B42/'- 3 -'!D42*100</f>
        <v>0.5781215653155949</v>
      </c>
      <c r="D42" s="24">
        <f>B42/'- 7 -'!F42</f>
        <v>62.93857493857494</v>
      </c>
      <c r="E42" s="24">
        <v>0</v>
      </c>
      <c r="F42" s="355">
        <f>E42/'- 3 -'!D42*100</f>
        <v>0</v>
      </c>
      <c r="G42" s="24">
        <f>E42/'- 7 -'!F42</f>
        <v>0</v>
      </c>
    </row>
    <row r="43" spans="1:7" ht="13.5" customHeight="1">
      <c r="A43" s="362" t="s">
        <v>247</v>
      </c>
      <c r="B43" s="363">
        <v>71220</v>
      </c>
      <c r="C43" s="364">
        <f>B43/'- 3 -'!D43*100</f>
        <v>0.6908038698984105</v>
      </c>
      <c r="D43" s="363">
        <f>B43/'- 7 -'!F43</f>
        <v>70.90094574415131</v>
      </c>
      <c r="E43" s="363">
        <v>108800</v>
      </c>
      <c r="F43" s="364">
        <f>E43/'- 3 -'!D43*100</f>
        <v>1.0553139714258224</v>
      </c>
      <c r="G43" s="363">
        <f>E43/'- 7 -'!F43</f>
        <v>108.31259333001493</v>
      </c>
    </row>
    <row r="44" spans="1:7" ht="13.5" customHeight="1">
      <c r="A44" s="23" t="s">
        <v>248</v>
      </c>
      <c r="B44" s="24">
        <v>50889</v>
      </c>
      <c r="C44" s="355">
        <f>B44/'- 3 -'!D44*100</f>
        <v>0.6010109796199066</v>
      </c>
      <c r="D44" s="24">
        <f>B44/'- 7 -'!F44</f>
        <v>65.24230769230769</v>
      </c>
      <c r="E44" s="24">
        <v>2500</v>
      </c>
      <c r="F44" s="355">
        <f>E44/'- 3 -'!D44*100</f>
        <v>0.02952558409577249</v>
      </c>
      <c r="G44" s="24">
        <f>E44/'- 7 -'!F44</f>
        <v>3.2051282051282053</v>
      </c>
    </row>
    <row r="45" spans="1:7" ht="13.5" customHeight="1">
      <c r="A45" s="362" t="s">
        <v>249</v>
      </c>
      <c r="B45" s="363">
        <v>91700</v>
      </c>
      <c r="C45" s="364">
        <f>B45/'- 3 -'!D45*100</f>
        <v>0.7041516458527273</v>
      </c>
      <c r="D45" s="363">
        <f>B45/'- 7 -'!F45</f>
        <v>60.328947368421055</v>
      </c>
      <c r="E45" s="363">
        <v>140887</v>
      </c>
      <c r="F45" s="364">
        <f>E45/'- 3 -'!D45*100</f>
        <v>1.0818518312895657</v>
      </c>
      <c r="G45" s="363">
        <f>E45/'- 7 -'!F45</f>
        <v>92.68881578947368</v>
      </c>
    </row>
    <row r="46" spans="1:7" ht="13.5" customHeight="1">
      <c r="A46" s="23" t="s">
        <v>250</v>
      </c>
      <c r="B46" s="24">
        <v>2546700</v>
      </c>
      <c r="C46" s="355">
        <f>B46/'- 3 -'!D46*100</f>
        <v>0.8312432843167334</v>
      </c>
      <c r="D46" s="24">
        <f>B46/'- 7 -'!F46</f>
        <v>83.79783488532789</v>
      </c>
      <c r="E46" s="24">
        <v>2673700</v>
      </c>
      <c r="F46" s="355">
        <f>E46/'- 3 -'!D46*100</f>
        <v>0.8726961044793853</v>
      </c>
      <c r="G46" s="24">
        <f>E46/'- 7 -'!F46</f>
        <v>87.97670362936395</v>
      </c>
    </row>
    <row r="47" spans="1:7" ht="4.5" customHeight="1">
      <c r="A47"/>
      <c r="B47"/>
      <c r="C47"/>
      <c r="D47"/>
      <c r="E47"/>
      <c r="F47"/>
      <c r="G47"/>
    </row>
    <row r="48" spans="1:7" ht="13.5" customHeight="1">
      <c r="A48" s="365" t="s">
        <v>251</v>
      </c>
      <c r="B48" s="366">
        <f>SUM(B11:B46)</f>
        <v>16683630</v>
      </c>
      <c r="C48" s="367">
        <f>B48/'- 3 -'!D48*100</f>
        <v>0.9656464733726798</v>
      </c>
      <c r="D48" s="366">
        <f>B48/'- 7 -'!F48</f>
        <v>96.84834684345822</v>
      </c>
      <c r="E48" s="366">
        <f>SUM(E11:E46)</f>
        <v>6862322</v>
      </c>
      <c r="F48" s="367">
        <f>E48/'- 3 -'!D48*100</f>
        <v>0.39719036195646595</v>
      </c>
      <c r="G48" s="366">
        <f>E48/'- 7 -'!F48</f>
        <v>39.8357276688283</v>
      </c>
    </row>
    <row r="49" spans="1:6" ht="4.5" customHeight="1">
      <c r="A49" s="25" t="s">
        <v>3</v>
      </c>
      <c r="B49" s="26"/>
      <c r="C49" s="353"/>
      <c r="D49" s="26"/>
      <c r="E49" s="26"/>
      <c r="F49" s="353"/>
    </row>
    <row r="50" spans="1:7" ht="13.5" customHeight="1">
      <c r="A50" s="23" t="s">
        <v>252</v>
      </c>
      <c r="B50" s="24">
        <v>15200</v>
      </c>
      <c r="C50" s="355">
        <f>B50/'- 3 -'!D50*100</f>
        <v>0.5348604067120758</v>
      </c>
      <c r="D50" s="24">
        <f>B50/'- 7 -'!F50</f>
        <v>71.1943793911007</v>
      </c>
      <c r="E50" s="24">
        <v>0</v>
      </c>
      <c r="F50" s="355">
        <f>E50/'- 3 -'!D50*100</f>
        <v>0</v>
      </c>
      <c r="G50" s="24">
        <f>E50/'- 7 -'!F50</f>
        <v>0</v>
      </c>
    </row>
    <row r="51" spans="1:7" ht="13.5" customHeight="1">
      <c r="A51" s="362" t="s">
        <v>253</v>
      </c>
      <c r="B51" s="363">
        <v>37900</v>
      </c>
      <c r="C51" s="364">
        <f>B51/'- 3 -'!D51*100</f>
        <v>0.3123425667784699</v>
      </c>
      <c r="D51" s="363">
        <f>B51/'- 7 -'!F51</f>
        <v>60.73717948717949</v>
      </c>
      <c r="E51" s="363">
        <v>29970</v>
      </c>
      <c r="F51" s="364">
        <f>E51/'- 3 -'!D51*100</f>
        <v>0.24698962338656313</v>
      </c>
      <c r="G51" s="363">
        <f>E51/'- 7 -'!F51</f>
        <v>48.02884615384615</v>
      </c>
    </row>
    <row r="52" spans="1:7" ht="49.5" customHeight="1">
      <c r="A52" s="68" t="s">
        <v>539</v>
      </c>
      <c r="C52" s="68"/>
      <c r="D52" s="68"/>
      <c r="E52" s="68"/>
      <c r="F52" s="68"/>
      <c r="G52" s="68"/>
    </row>
    <row r="53" spans="1:7" ht="15" customHeight="1">
      <c r="A53" s="126" t="s">
        <v>538</v>
      </c>
      <c r="C53" s="68"/>
      <c r="D53" s="68"/>
      <c r="E53" s="68"/>
      <c r="F53" s="68"/>
      <c r="G53" s="68"/>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6"/>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15.83203125" style="1" customWidth="1"/>
    <col min="4" max="4" width="16.83203125" style="1" customWidth="1"/>
    <col min="5" max="5" width="15.83203125" style="1" customWidth="1"/>
    <col min="6" max="6" width="17.83203125" style="1" customWidth="1"/>
    <col min="7" max="16384" width="15.83203125" style="1" customWidth="1"/>
  </cols>
  <sheetData>
    <row r="1" spans="1:7" ht="6.75" customHeight="1">
      <c r="A1" s="3"/>
      <c r="B1" s="4"/>
      <c r="C1" s="4"/>
      <c r="D1" s="4"/>
      <c r="E1" s="4"/>
      <c r="F1" s="4"/>
      <c r="G1" s="4"/>
    </row>
    <row r="2" spans="1:7" ht="15.75" customHeight="1">
      <c r="A2" s="167"/>
      <c r="B2" s="5" t="s">
        <v>491</v>
      </c>
      <c r="C2" s="6"/>
      <c r="D2" s="6"/>
      <c r="E2" s="6"/>
      <c r="F2" s="108"/>
      <c r="G2" s="190" t="s">
        <v>414</v>
      </c>
    </row>
    <row r="3" spans="1:7" ht="15.75" customHeight="1">
      <c r="A3" s="170"/>
      <c r="B3" s="7" t="str">
        <f>OPYEAR</f>
        <v>OPERATING FUND 2008/2009 BUDGET</v>
      </c>
      <c r="C3" s="8"/>
      <c r="D3" s="8"/>
      <c r="E3" s="8"/>
      <c r="F3" s="110"/>
      <c r="G3" s="103"/>
    </row>
    <row r="4" spans="2:7" ht="15.75" customHeight="1">
      <c r="B4" s="4"/>
      <c r="C4" s="4"/>
      <c r="D4" s="4"/>
      <c r="E4" s="4"/>
      <c r="F4" s="4"/>
      <c r="G4" s="4"/>
    </row>
    <row r="5" spans="2:7" ht="15.75" customHeight="1">
      <c r="B5" s="4"/>
      <c r="C5" s="4"/>
      <c r="D5" s="4"/>
      <c r="E5" s="4"/>
      <c r="F5" s="4"/>
      <c r="G5" s="4"/>
    </row>
    <row r="6" spans="2:7" ht="15.75" customHeight="1">
      <c r="B6" s="191" t="s">
        <v>19</v>
      </c>
      <c r="C6" s="192"/>
      <c r="D6" s="193"/>
      <c r="E6" s="193"/>
      <c r="F6" s="193"/>
      <c r="G6" s="194"/>
    </row>
    <row r="7" spans="2:7" ht="15.75" customHeight="1">
      <c r="B7" s="368"/>
      <c r="C7" s="358"/>
      <c r="D7" s="356"/>
      <c r="E7" s="358"/>
      <c r="F7" s="356" t="s">
        <v>45</v>
      </c>
      <c r="G7" s="358"/>
    </row>
    <row r="8" spans="1:7" ht="15.75" customHeight="1">
      <c r="A8" s="104"/>
      <c r="B8" s="360" t="s">
        <v>30</v>
      </c>
      <c r="C8" s="361"/>
      <c r="D8" s="359" t="s">
        <v>61</v>
      </c>
      <c r="E8" s="361"/>
      <c r="F8" s="359" t="s">
        <v>62</v>
      </c>
      <c r="G8" s="361"/>
    </row>
    <row r="9" spans="1:7" ht="15.75" customHeight="1">
      <c r="A9" s="35" t="s">
        <v>79</v>
      </c>
      <c r="B9" s="195" t="s">
        <v>80</v>
      </c>
      <c r="C9" s="195" t="s">
        <v>81</v>
      </c>
      <c r="D9" s="195" t="s">
        <v>80</v>
      </c>
      <c r="E9" s="195" t="s">
        <v>81</v>
      </c>
      <c r="F9" s="195" t="s">
        <v>80</v>
      </c>
      <c r="G9" s="195" t="s">
        <v>81</v>
      </c>
    </row>
    <row r="10" ht="4.5" customHeight="1">
      <c r="A10" s="37"/>
    </row>
    <row r="11" spans="1:7" ht="13.5" customHeight="1">
      <c r="A11" s="362" t="s">
        <v>216</v>
      </c>
      <c r="B11" s="363">
        <v>51061</v>
      </c>
      <c r="C11" s="364">
        <f>B11/'- 3 -'!D11*100</f>
        <v>0.38151375656671244</v>
      </c>
      <c r="D11" s="363">
        <v>868996</v>
      </c>
      <c r="E11" s="364">
        <f>D11/'- 3 -'!D11*100</f>
        <v>6.492899246028218</v>
      </c>
      <c r="F11" s="363">
        <v>4000</v>
      </c>
      <c r="G11" s="364">
        <f>F11/'- 3 -'!D11*100</f>
        <v>0.029886900496795005</v>
      </c>
    </row>
    <row r="12" spans="1:7" ht="13.5" customHeight="1">
      <c r="A12" s="23" t="s">
        <v>217</v>
      </c>
      <c r="B12" s="24">
        <v>65933</v>
      </c>
      <c r="C12" s="355">
        <f>B12/'- 3 -'!D12*100</f>
        <v>0.2624396526719683</v>
      </c>
      <c r="D12" s="24">
        <v>1685512</v>
      </c>
      <c r="E12" s="355">
        <f>D12/'- 3 -'!D12*100</f>
        <v>6.709010417460673</v>
      </c>
      <c r="F12" s="24">
        <v>0</v>
      </c>
      <c r="G12" s="355">
        <f>F12/'- 3 -'!D12*100</f>
        <v>0</v>
      </c>
    </row>
    <row r="13" spans="1:7" ht="13.5" customHeight="1">
      <c r="A13" s="362" t="s">
        <v>218</v>
      </c>
      <c r="B13" s="363">
        <v>157700</v>
      </c>
      <c r="C13" s="364">
        <f>B13/'- 3 -'!D13*100</f>
        <v>0.26807737355570554</v>
      </c>
      <c r="D13" s="363">
        <v>1528200</v>
      </c>
      <c r="E13" s="364">
        <f>D13/'- 3 -'!D13*100</f>
        <v>2.5978176427890247</v>
      </c>
      <c r="F13" s="363">
        <v>0</v>
      </c>
      <c r="G13" s="364">
        <f>F13/'- 3 -'!D13*100</f>
        <v>0</v>
      </c>
    </row>
    <row r="14" spans="1:7" ht="13.5" customHeight="1">
      <c r="A14" s="23" t="s">
        <v>254</v>
      </c>
      <c r="B14" s="24">
        <v>163194</v>
      </c>
      <c r="C14" s="355">
        <f>B14/'- 3 -'!D14*100</f>
        <v>0.28693410189488966</v>
      </c>
      <c r="D14" s="24">
        <v>5178318</v>
      </c>
      <c r="E14" s="355">
        <f>D14/'- 3 -'!D14*100</f>
        <v>9.104722138412816</v>
      </c>
      <c r="F14" s="24">
        <v>263557</v>
      </c>
      <c r="G14" s="355">
        <f>F14/'- 3 -'!D14*100</f>
        <v>0.4633962712667833</v>
      </c>
    </row>
    <row r="15" spans="1:7" ht="13.5" customHeight="1">
      <c r="A15" s="362" t="s">
        <v>219</v>
      </c>
      <c r="B15" s="363">
        <v>61455</v>
      </c>
      <c r="C15" s="364">
        <f>B15/'- 3 -'!D15*100</f>
        <v>0.3763550204583907</v>
      </c>
      <c r="D15" s="363">
        <v>1004620</v>
      </c>
      <c r="E15" s="364">
        <f>D15/'- 3 -'!D15*100</f>
        <v>6.152368084824806</v>
      </c>
      <c r="F15" s="363">
        <v>5000</v>
      </c>
      <c r="G15" s="364">
        <f>F15/'- 3 -'!D15*100</f>
        <v>0.030620374294881673</v>
      </c>
    </row>
    <row r="16" spans="1:7" ht="13.5" customHeight="1">
      <c r="A16" s="23" t="s">
        <v>220</v>
      </c>
      <c r="B16" s="24">
        <v>0</v>
      </c>
      <c r="C16" s="355">
        <f>B16/'- 3 -'!D16*100</f>
        <v>0</v>
      </c>
      <c r="D16" s="24">
        <v>224418</v>
      </c>
      <c r="E16" s="355">
        <f>D16/'- 3 -'!D16*100</f>
        <v>1.9681823758844381</v>
      </c>
      <c r="F16" s="24">
        <v>255</v>
      </c>
      <c r="G16" s="355">
        <f>F16/'- 3 -'!D16*100</f>
        <v>0.00223639149199499</v>
      </c>
    </row>
    <row r="17" spans="1:7" ht="13.5" customHeight="1">
      <c r="A17" s="362" t="s">
        <v>221</v>
      </c>
      <c r="B17" s="363">
        <v>49270</v>
      </c>
      <c r="C17" s="364">
        <f>B17/'- 3 -'!D17*100</f>
        <v>0.33553584775239675</v>
      </c>
      <c r="D17" s="363">
        <v>1125908</v>
      </c>
      <c r="E17" s="364">
        <f>D17/'- 3 -'!D17*100</f>
        <v>7.667596818981235</v>
      </c>
      <c r="F17" s="363">
        <v>1500</v>
      </c>
      <c r="G17" s="364">
        <f>F17/'- 3 -'!D17*100</f>
        <v>0.01021521760967313</v>
      </c>
    </row>
    <row r="18" spans="1:7" ht="13.5" customHeight="1">
      <c r="A18" s="23" t="s">
        <v>222</v>
      </c>
      <c r="B18" s="24">
        <v>174840</v>
      </c>
      <c r="C18" s="355">
        <f>B18/'- 3 -'!D18*100</f>
        <v>0.17474732450392258</v>
      </c>
      <c r="D18" s="24">
        <v>4667426</v>
      </c>
      <c r="E18" s="355">
        <f>D18/'- 3 -'!D18*100</f>
        <v>4.6649519893619615</v>
      </c>
      <c r="F18" s="24">
        <v>77076</v>
      </c>
      <c r="G18" s="355">
        <f>F18/'- 3 -'!D18*100</f>
        <v>0.07703514518110466</v>
      </c>
    </row>
    <row r="19" spans="1:7" ht="13.5" customHeight="1">
      <c r="A19" s="362" t="s">
        <v>223</v>
      </c>
      <c r="B19" s="363">
        <v>34500</v>
      </c>
      <c r="C19" s="364">
        <f>B19/'- 3 -'!D19*100</f>
        <v>0.11896537366248006</v>
      </c>
      <c r="D19" s="363">
        <v>1123700</v>
      </c>
      <c r="E19" s="364">
        <f>D19/'- 3 -'!D19*100</f>
        <v>3.8748229096964883</v>
      </c>
      <c r="F19" s="363">
        <v>22450</v>
      </c>
      <c r="G19" s="364">
        <f>F19/'- 3 -'!D19*100</f>
        <v>0.07741369967312109</v>
      </c>
    </row>
    <row r="20" spans="1:7" ht="13.5" customHeight="1">
      <c r="A20" s="23" t="s">
        <v>224</v>
      </c>
      <c r="B20" s="24">
        <v>164152</v>
      </c>
      <c r="C20" s="355">
        <f>B20/'- 3 -'!D20*100</f>
        <v>0.29706603582073454</v>
      </c>
      <c r="D20" s="24">
        <v>2559083</v>
      </c>
      <c r="E20" s="355">
        <f>D20/'- 3 -'!D20*100</f>
        <v>4.631175021603348</v>
      </c>
      <c r="F20" s="24">
        <v>15000</v>
      </c>
      <c r="G20" s="355">
        <f>F20/'- 3 -'!D20*100</f>
        <v>0.027145514750420454</v>
      </c>
    </row>
    <row r="21" spans="1:7" ht="13.5" customHeight="1">
      <c r="A21" s="362" t="s">
        <v>225</v>
      </c>
      <c r="B21" s="363">
        <v>125000</v>
      </c>
      <c r="C21" s="364">
        <f>B21/'- 3 -'!D21*100</f>
        <v>0.43961763816303134</v>
      </c>
      <c r="D21" s="363">
        <v>1709000</v>
      </c>
      <c r="E21" s="364">
        <f>D21/'- 3 -'!D21*100</f>
        <v>6.010452348964964</v>
      </c>
      <c r="F21" s="363">
        <v>9000</v>
      </c>
      <c r="G21" s="364">
        <f>F21/'- 3 -'!D21*100</f>
        <v>0.03165246994773825</v>
      </c>
    </row>
    <row r="22" spans="1:7" ht="13.5" customHeight="1">
      <c r="A22" s="23" t="s">
        <v>226</v>
      </c>
      <c r="B22" s="24">
        <v>71410</v>
      </c>
      <c r="C22" s="355">
        <f>B22/'- 3 -'!D22*100</f>
        <v>0.4454259353539199</v>
      </c>
      <c r="D22" s="24">
        <v>449000</v>
      </c>
      <c r="E22" s="355">
        <f>D22/'- 3 -'!D22*100</f>
        <v>2.800675605292117</v>
      </c>
      <c r="F22" s="24">
        <v>0</v>
      </c>
      <c r="G22" s="355">
        <f>F22/'- 3 -'!D22*100</f>
        <v>0</v>
      </c>
    </row>
    <row r="23" spans="1:7" ht="13.5" customHeight="1">
      <c r="A23" s="362" t="s">
        <v>227</v>
      </c>
      <c r="B23" s="363">
        <v>53700</v>
      </c>
      <c r="C23" s="364">
        <f>B23/'- 3 -'!D23*100</f>
        <v>0.40494146220516186</v>
      </c>
      <c r="D23" s="363">
        <v>1275900</v>
      </c>
      <c r="E23" s="364">
        <f>D23/'- 3 -'!D23*100</f>
        <v>9.621318652282422</v>
      </c>
      <c r="F23" s="363">
        <v>0</v>
      </c>
      <c r="G23" s="364">
        <f>F23/'- 3 -'!D23*100</f>
        <v>0</v>
      </c>
    </row>
    <row r="24" spans="1:7" ht="13.5" customHeight="1">
      <c r="A24" s="23" t="s">
        <v>228</v>
      </c>
      <c r="B24" s="24">
        <v>141560</v>
      </c>
      <c r="C24" s="355">
        <f>B24/'- 3 -'!D24*100</f>
        <v>0.3187072032690948</v>
      </c>
      <c r="D24" s="24">
        <v>1998720</v>
      </c>
      <c r="E24" s="355">
        <f>D24/'- 3 -'!D24*100</f>
        <v>4.499904360822303</v>
      </c>
      <c r="F24" s="24">
        <v>13000</v>
      </c>
      <c r="G24" s="355">
        <f>F24/'- 3 -'!D24*100</f>
        <v>0.029268109935703814</v>
      </c>
    </row>
    <row r="25" spans="1:7" ht="13.5" customHeight="1">
      <c r="A25" s="362" t="s">
        <v>229</v>
      </c>
      <c r="B25" s="363">
        <v>264835</v>
      </c>
      <c r="C25" s="364">
        <f>B25/'- 3 -'!D25*100</f>
        <v>0.19748216079926872</v>
      </c>
      <c r="D25" s="363">
        <v>2361279</v>
      </c>
      <c r="E25" s="364">
        <f>D25/'- 3 -'!D25*100</f>
        <v>1.7607585068814033</v>
      </c>
      <c r="F25" s="363">
        <v>10000</v>
      </c>
      <c r="G25" s="364">
        <f>F25/'- 3 -'!D25*100</f>
        <v>0.007456799924453669</v>
      </c>
    </row>
    <row r="26" spans="1:7" ht="13.5" customHeight="1">
      <c r="A26" s="23" t="s">
        <v>230</v>
      </c>
      <c r="B26" s="24">
        <v>147941</v>
      </c>
      <c r="C26" s="355">
        <f>B26/'- 3 -'!D26*100</f>
        <v>0.45610132989912383</v>
      </c>
      <c r="D26" s="24">
        <v>2115494</v>
      </c>
      <c r="E26" s="355">
        <f>D26/'- 3 -'!D26*100</f>
        <v>6.522056946983033</v>
      </c>
      <c r="F26" s="24">
        <v>7500</v>
      </c>
      <c r="G26" s="355">
        <f>F26/'- 3 -'!D26*100</f>
        <v>0.023122460806966484</v>
      </c>
    </row>
    <row r="27" spans="1:7" ht="13.5" customHeight="1">
      <c r="A27" s="362" t="s">
        <v>231</v>
      </c>
      <c r="B27" s="363">
        <v>0</v>
      </c>
      <c r="C27" s="364">
        <f>B27/'- 3 -'!D27*100</f>
        <v>0</v>
      </c>
      <c r="D27" s="363">
        <v>4504</v>
      </c>
      <c r="E27" s="364">
        <f>D27/'- 3 -'!D27*100</f>
        <v>0.012762769527788296</v>
      </c>
      <c r="F27" s="363">
        <v>120000</v>
      </c>
      <c r="G27" s="364">
        <f>F27/'- 3 -'!D27*100</f>
        <v>0.34003826450590485</v>
      </c>
    </row>
    <row r="28" spans="1:7" ht="13.5" customHeight="1">
      <c r="A28" s="23" t="s">
        <v>232</v>
      </c>
      <c r="B28" s="24">
        <v>50944</v>
      </c>
      <c r="C28" s="355">
        <f>B28/'- 3 -'!D28*100</f>
        <v>0.274156592041548</v>
      </c>
      <c r="D28" s="24">
        <v>1770654</v>
      </c>
      <c r="E28" s="355">
        <f>D28/'- 3 -'!D28*100</f>
        <v>9.528825108447219</v>
      </c>
      <c r="F28" s="24">
        <v>10000</v>
      </c>
      <c r="G28" s="355">
        <f>F28/'- 3 -'!D28*100</f>
        <v>0.05381528581217572</v>
      </c>
    </row>
    <row r="29" spans="1:7" ht="13.5" customHeight="1">
      <c r="A29" s="362" t="s">
        <v>233</v>
      </c>
      <c r="B29" s="363">
        <v>211846</v>
      </c>
      <c r="C29" s="364">
        <f>B29/'- 3 -'!D29*100</f>
        <v>0.17219190263525969</v>
      </c>
      <c r="D29" s="363">
        <v>1489274</v>
      </c>
      <c r="E29" s="364">
        <f>D29/'- 3 -'!D29*100</f>
        <v>1.2105063282064505</v>
      </c>
      <c r="F29" s="363">
        <v>55000</v>
      </c>
      <c r="G29" s="364">
        <f>F29/'- 3 -'!D29*100</f>
        <v>0.044704901885989266</v>
      </c>
    </row>
    <row r="30" spans="1:7" ht="13.5" customHeight="1">
      <c r="A30" s="23" t="s">
        <v>234</v>
      </c>
      <c r="B30" s="24">
        <v>48783</v>
      </c>
      <c r="C30" s="355">
        <f>B30/'- 3 -'!D30*100</f>
        <v>0.42754069143048345</v>
      </c>
      <c r="D30" s="24">
        <v>984100</v>
      </c>
      <c r="E30" s="355">
        <f>D30/'- 3 -'!D30*100</f>
        <v>8.624783109623001</v>
      </c>
      <c r="F30" s="24">
        <v>0</v>
      </c>
      <c r="G30" s="355">
        <f>F30/'- 3 -'!D30*100</f>
        <v>0</v>
      </c>
    </row>
    <row r="31" spans="1:7" ht="13.5" customHeight="1">
      <c r="A31" s="362" t="s">
        <v>235</v>
      </c>
      <c r="B31" s="363">
        <v>64592</v>
      </c>
      <c r="C31" s="364">
        <f>B31/'- 3 -'!D31*100</f>
        <v>0.22006571240124734</v>
      </c>
      <c r="D31" s="363">
        <v>845929</v>
      </c>
      <c r="E31" s="364">
        <f>D31/'- 3 -'!D31*100</f>
        <v>2.8820901663654133</v>
      </c>
      <c r="F31" s="363">
        <v>0</v>
      </c>
      <c r="G31" s="364">
        <f>F31/'- 3 -'!D31*100</f>
        <v>0</v>
      </c>
    </row>
    <row r="32" spans="1:7" ht="13.5" customHeight="1">
      <c r="A32" s="23" t="s">
        <v>236</v>
      </c>
      <c r="B32" s="24">
        <v>52650</v>
      </c>
      <c r="C32" s="355">
        <f>B32/'- 3 -'!D32*100</f>
        <v>0.24026918911133804</v>
      </c>
      <c r="D32" s="24">
        <v>1722775</v>
      </c>
      <c r="E32" s="355">
        <f>D32/'- 3 -'!D32*100</f>
        <v>7.861913623386238</v>
      </c>
      <c r="F32" s="24">
        <v>3500</v>
      </c>
      <c r="G32" s="355">
        <f>F32/'- 3 -'!D32*100</f>
        <v>0.015972310767135484</v>
      </c>
    </row>
    <row r="33" spans="1:7" ht="13.5" customHeight="1">
      <c r="A33" s="362" t="s">
        <v>237</v>
      </c>
      <c r="B33" s="363">
        <v>47300</v>
      </c>
      <c r="C33" s="364">
        <f>B33/'- 3 -'!D33*100</f>
        <v>0.20572820390144186</v>
      </c>
      <c r="D33" s="363">
        <v>1913900</v>
      </c>
      <c r="E33" s="364">
        <f>D33/'- 3 -'!D33*100</f>
        <v>8.32438074940739</v>
      </c>
      <c r="F33" s="363">
        <v>0</v>
      </c>
      <c r="G33" s="364">
        <f>F33/'- 3 -'!D33*100</f>
        <v>0</v>
      </c>
    </row>
    <row r="34" spans="1:7" ht="13.5" customHeight="1">
      <c r="A34" s="23" t="s">
        <v>238</v>
      </c>
      <c r="B34" s="24">
        <v>48377</v>
      </c>
      <c r="C34" s="355">
        <f>B34/'- 3 -'!D34*100</f>
        <v>0.23393846137479044</v>
      </c>
      <c r="D34" s="24">
        <v>1989909</v>
      </c>
      <c r="E34" s="355">
        <f>D34/'- 3 -'!D34*100</f>
        <v>9.622677093160961</v>
      </c>
      <c r="F34" s="24">
        <v>0</v>
      </c>
      <c r="G34" s="355">
        <f>F34/'- 3 -'!D34*100</f>
        <v>0</v>
      </c>
    </row>
    <row r="35" spans="1:7" ht="13.5" customHeight="1">
      <c r="A35" s="362" t="s">
        <v>239</v>
      </c>
      <c r="B35" s="363">
        <v>307600</v>
      </c>
      <c r="C35" s="364">
        <f>B35/'- 3 -'!D35*100</f>
        <v>0.20400455638473047</v>
      </c>
      <c r="D35" s="363">
        <v>2478800</v>
      </c>
      <c r="E35" s="364">
        <f>D35/'- 3 -'!D35*100</f>
        <v>1.6439742989807211</v>
      </c>
      <c r="F35" s="363">
        <v>48700</v>
      </c>
      <c r="G35" s="364">
        <f>F35/'- 3 -'!D35*100</f>
        <v>0.03229851071500772</v>
      </c>
    </row>
    <row r="36" spans="1:7" ht="13.5" customHeight="1">
      <c r="A36" s="23" t="s">
        <v>240</v>
      </c>
      <c r="B36" s="24">
        <v>49815</v>
      </c>
      <c r="C36" s="355">
        <f>B36/'- 3 -'!D36*100</f>
        <v>0.2592454585857787</v>
      </c>
      <c r="D36" s="24">
        <v>1329100</v>
      </c>
      <c r="E36" s="355">
        <f>D36/'- 3 -'!D36*100</f>
        <v>6.9168551441605635</v>
      </c>
      <c r="F36" s="24">
        <v>9250</v>
      </c>
      <c r="G36" s="355">
        <f>F36/'- 3 -'!D36*100</f>
        <v>0.04813852237114229</v>
      </c>
    </row>
    <row r="37" spans="1:7" ht="13.5" customHeight="1">
      <c r="A37" s="362" t="s">
        <v>241</v>
      </c>
      <c r="B37" s="363">
        <v>136546</v>
      </c>
      <c r="C37" s="364">
        <f>B37/'- 3 -'!D37*100</f>
        <v>0.4144352496443811</v>
      </c>
      <c r="D37" s="363">
        <v>1764825</v>
      </c>
      <c r="E37" s="364">
        <f>D37/'- 3 -'!D37*100</f>
        <v>5.356478325645899</v>
      </c>
      <c r="F37" s="363">
        <v>8000</v>
      </c>
      <c r="G37" s="364">
        <f>F37/'- 3 -'!D37*100</f>
        <v>0.024281062771191016</v>
      </c>
    </row>
    <row r="38" spans="1:7" ht="13.5" customHeight="1">
      <c r="A38" s="23" t="s">
        <v>242</v>
      </c>
      <c r="B38" s="24">
        <v>222378</v>
      </c>
      <c r="C38" s="355">
        <f>B38/'- 3 -'!D38*100</f>
        <v>0.26664703387579713</v>
      </c>
      <c r="D38" s="24">
        <v>2171635</v>
      </c>
      <c r="E38" s="355">
        <f>D38/'- 3 -'!D38*100</f>
        <v>2.603944776060881</v>
      </c>
      <c r="F38" s="24">
        <v>28000</v>
      </c>
      <c r="G38" s="355">
        <f>F38/'- 3 -'!D38*100</f>
        <v>0.033573990900729024</v>
      </c>
    </row>
    <row r="39" spans="1:7" ht="13.5" customHeight="1">
      <c r="A39" s="362" t="s">
        <v>243</v>
      </c>
      <c r="B39" s="363">
        <v>63590</v>
      </c>
      <c r="C39" s="364">
        <f>B39/'- 3 -'!D39*100</f>
        <v>0.36945575257538377</v>
      </c>
      <c r="D39" s="363">
        <v>1480700</v>
      </c>
      <c r="E39" s="364">
        <f>D39/'- 3 -'!D39*100</f>
        <v>8.602816996986487</v>
      </c>
      <c r="F39" s="363">
        <v>5000</v>
      </c>
      <c r="G39" s="364">
        <f>F39/'- 3 -'!D39*100</f>
        <v>0.02904983115076142</v>
      </c>
    </row>
    <row r="40" spans="1:7" ht="13.5" customHeight="1">
      <c r="A40" s="23" t="s">
        <v>244</v>
      </c>
      <c r="B40" s="24">
        <v>106276</v>
      </c>
      <c r="C40" s="355">
        <f>B40/'- 3 -'!D40*100</f>
        <v>0.1262939467010454</v>
      </c>
      <c r="D40" s="24">
        <v>1338443</v>
      </c>
      <c r="E40" s="355">
        <f>D40/'- 3 -'!D40*100</f>
        <v>1.5905495963753555</v>
      </c>
      <c r="F40" s="24">
        <v>31553</v>
      </c>
      <c r="G40" s="355">
        <f>F40/'- 3 -'!D40*100</f>
        <v>0.037496263505006636</v>
      </c>
    </row>
    <row r="41" spans="1:7" ht="13.5" customHeight="1">
      <c r="A41" s="362" t="s">
        <v>245</v>
      </c>
      <c r="B41" s="363">
        <v>314223</v>
      </c>
      <c r="C41" s="364">
        <f>B41/'- 3 -'!D41*100</f>
        <v>0.6131076528673105</v>
      </c>
      <c r="D41" s="363">
        <v>3422228</v>
      </c>
      <c r="E41" s="364">
        <f>D41/'- 3 -'!D41*100</f>
        <v>6.677404826052803</v>
      </c>
      <c r="F41" s="363">
        <v>10000</v>
      </c>
      <c r="G41" s="364">
        <f>F41/'- 3 -'!D41*100</f>
        <v>0.019511864276876945</v>
      </c>
    </row>
    <row r="42" spans="1:7" ht="13.5" customHeight="1">
      <c r="A42" s="23" t="s">
        <v>246</v>
      </c>
      <c r="B42" s="24">
        <v>72936</v>
      </c>
      <c r="C42" s="355">
        <f>B42/'- 3 -'!D42*100</f>
        <v>0.4115189187212897</v>
      </c>
      <c r="D42" s="24">
        <v>1409032</v>
      </c>
      <c r="E42" s="355">
        <f>D42/'- 3 -'!D42*100</f>
        <v>7.950029136279701</v>
      </c>
      <c r="F42" s="24">
        <v>0</v>
      </c>
      <c r="G42" s="355">
        <f>F42/'- 3 -'!D42*100</f>
        <v>0</v>
      </c>
    </row>
    <row r="43" spans="1:7" ht="13.5" customHeight="1">
      <c r="A43" s="362" t="s">
        <v>247</v>
      </c>
      <c r="B43" s="363">
        <v>12645</v>
      </c>
      <c r="C43" s="364">
        <f>B43/'- 3 -'!D43*100</f>
        <v>0.12265115044742209</v>
      </c>
      <c r="D43" s="363">
        <v>763164</v>
      </c>
      <c r="E43" s="364">
        <f>D43/'- 3 -'!D43*100</f>
        <v>7.402367938320002</v>
      </c>
      <c r="F43" s="363">
        <v>0</v>
      </c>
      <c r="G43" s="364">
        <f>F43/'- 3 -'!D43*100</f>
        <v>0</v>
      </c>
    </row>
    <row r="44" spans="1:7" ht="13.5" customHeight="1">
      <c r="A44" s="23" t="s">
        <v>248</v>
      </c>
      <c r="B44" s="24">
        <v>23212</v>
      </c>
      <c r="C44" s="355">
        <f>B44/'- 3 -'!D44*100</f>
        <v>0.27413914321242844</v>
      </c>
      <c r="D44" s="24">
        <v>787435</v>
      </c>
      <c r="E44" s="355">
        <f>D44/'- 3 -'!D44*100</f>
        <v>9.299791324981845</v>
      </c>
      <c r="F44" s="24">
        <v>4000</v>
      </c>
      <c r="G44" s="355">
        <f>F44/'- 3 -'!D44*100</f>
        <v>0.04724093455323598</v>
      </c>
    </row>
    <row r="45" spans="1:7" ht="13.5" customHeight="1">
      <c r="A45" s="362" t="s">
        <v>249</v>
      </c>
      <c r="B45" s="363">
        <v>20392</v>
      </c>
      <c r="C45" s="364">
        <f>B45/'- 3 -'!D45*100</f>
        <v>0.15658735400467627</v>
      </c>
      <c r="D45" s="363">
        <v>527471</v>
      </c>
      <c r="E45" s="364">
        <f>D45/'- 3 -'!D45*100</f>
        <v>4.05037702060615</v>
      </c>
      <c r="F45" s="363">
        <v>9650</v>
      </c>
      <c r="G45" s="364">
        <f>F45/'- 3 -'!D45*100</f>
        <v>0.0741010183476425</v>
      </c>
    </row>
    <row r="46" spans="1:7" ht="13.5" customHeight="1">
      <c r="A46" s="23" t="s">
        <v>250</v>
      </c>
      <c r="B46" s="24">
        <v>218200</v>
      </c>
      <c r="C46" s="355">
        <f>B46/'- 3 -'!D46*100</f>
        <v>0.07122051464165832</v>
      </c>
      <c r="D46" s="24">
        <v>3898200</v>
      </c>
      <c r="E46" s="355">
        <f>D46/'- 3 -'!D46*100</f>
        <v>1.2723730988822755</v>
      </c>
      <c r="F46" s="24">
        <v>0</v>
      </c>
      <c r="G46" s="355">
        <f>F46/'- 3 -'!D46*100</f>
        <v>0</v>
      </c>
    </row>
    <row r="47" spans="1:7" ht="4.5" customHeight="1">
      <c r="A47"/>
      <c r="B47"/>
      <c r="C47"/>
      <c r="D47"/>
      <c r="E47"/>
      <c r="F47"/>
      <c r="G47"/>
    </row>
    <row r="48" spans="1:7" ht="13.5" customHeight="1">
      <c r="A48" s="365" t="s">
        <v>251</v>
      </c>
      <c r="B48" s="366">
        <f>SUM(B11:B46)</f>
        <v>3798856</v>
      </c>
      <c r="C48" s="367">
        <f>B48/'- 3 -'!D48*100</f>
        <v>0.21987732281587669</v>
      </c>
      <c r="D48" s="366">
        <f>SUM(D11:D46)</f>
        <v>61967652</v>
      </c>
      <c r="E48" s="367">
        <f>D48/'- 3 -'!D48*100</f>
        <v>3.5866801539584303</v>
      </c>
      <c r="F48" s="366">
        <f>SUM(F11:F46)</f>
        <v>770991</v>
      </c>
      <c r="G48" s="367">
        <f>F48/'- 3 -'!D48*100</f>
        <v>0.0446248652213023</v>
      </c>
    </row>
    <row r="49" spans="1:7" ht="4.5" customHeight="1">
      <c r="A49" s="25" t="s">
        <v>3</v>
      </c>
      <c r="B49" s="26"/>
      <c r="C49" s="353"/>
      <c r="D49" s="26"/>
      <c r="E49" s="353"/>
      <c r="F49" s="26"/>
      <c r="G49" s="353"/>
    </row>
    <row r="50" spans="1:7" ht="13.5" customHeight="1">
      <c r="A50" s="23" t="s">
        <v>252</v>
      </c>
      <c r="B50" s="24">
        <v>0</v>
      </c>
      <c r="C50" s="355">
        <f>B50/'- 3 -'!D50*100</f>
        <v>0</v>
      </c>
      <c r="D50" s="24">
        <v>9200</v>
      </c>
      <c r="E50" s="355">
        <f>D50/'- 3 -'!D50*100</f>
        <v>0.3237312987994143</v>
      </c>
      <c r="F50" s="24">
        <v>0</v>
      </c>
      <c r="G50" s="355">
        <f>F50/'- 3 -'!D50*100</f>
        <v>0</v>
      </c>
    </row>
    <row r="51" spans="1:7" ht="13.5" customHeight="1">
      <c r="A51" s="362" t="s">
        <v>253</v>
      </c>
      <c r="B51" s="363">
        <v>0</v>
      </c>
      <c r="C51" s="364">
        <f>B51/'- 3 -'!D51*100</f>
        <v>0</v>
      </c>
      <c r="D51" s="363">
        <v>0</v>
      </c>
      <c r="E51" s="364">
        <f>D51/'- 3 -'!D51*100</f>
        <v>0</v>
      </c>
      <c r="F51" s="363">
        <v>0</v>
      </c>
      <c r="G51" s="364">
        <f>F51/'- 3 -'!D51*100</f>
        <v>0</v>
      </c>
    </row>
    <row r="52" ht="49.5" customHeight="1"/>
    <row r="53" spans="4:5" ht="15" customHeight="1">
      <c r="D53" s="94"/>
      <c r="E53" s="94"/>
    </row>
    <row r="54" spans="4:5" ht="14.25" customHeight="1">
      <c r="D54" s="94"/>
      <c r="E54" s="94"/>
    </row>
    <row r="55" spans="4:5" ht="14.25" customHeight="1">
      <c r="D55" s="94"/>
      <c r="E55" s="94"/>
    </row>
    <row r="56" spans="4:5" ht="14.25" customHeight="1">
      <c r="D56" s="94"/>
      <c r="E56" s="94"/>
    </row>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F51"/>
  <sheetViews>
    <sheetView showGridLines="0" showZeros="0" workbookViewId="0" topLeftCell="A1">
      <selection activeCell="A1" sqref="A1"/>
    </sheetView>
  </sheetViews>
  <sheetFormatPr defaultColWidth="15.83203125" defaultRowHeight="12"/>
  <cols>
    <col min="1" max="1" width="35.83203125" style="1" customWidth="1"/>
    <col min="2" max="2" width="19.83203125" style="1" customWidth="1"/>
    <col min="3" max="3" width="15.83203125" style="1" customWidth="1"/>
    <col min="4" max="4" width="19.83203125" style="1" customWidth="1"/>
    <col min="5" max="5" width="15.83203125" style="1" customWidth="1"/>
    <col min="6" max="6" width="25.83203125" style="1" customWidth="1"/>
    <col min="7" max="16384" width="15.83203125" style="1" customWidth="1"/>
  </cols>
  <sheetData>
    <row r="1" spans="1:6" ht="6.75" customHeight="1">
      <c r="A1" s="3"/>
      <c r="B1" s="4"/>
      <c r="C1" s="4"/>
      <c r="D1" s="4"/>
      <c r="E1" s="4"/>
      <c r="F1" s="4"/>
    </row>
    <row r="2" spans="1:6" ht="15.75" customHeight="1">
      <c r="A2" s="167"/>
      <c r="B2" s="5" t="s">
        <v>491</v>
      </c>
      <c r="C2" s="6"/>
      <c r="D2" s="6"/>
      <c r="E2" s="6"/>
      <c r="F2" s="190" t="s">
        <v>413</v>
      </c>
    </row>
    <row r="3" spans="1:6" ht="15.75" customHeight="1">
      <c r="A3" s="170"/>
      <c r="B3" s="7" t="str">
        <f>OPYEAR</f>
        <v>OPERATING FUND 2008/2009 BUDGET</v>
      </c>
      <c r="C3" s="8"/>
      <c r="D3" s="8"/>
      <c r="E3" s="8"/>
      <c r="F3" s="103"/>
    </row>
    <row r="4" spans="2:6" ht="15.75" customHeight="1">
      <c r="B4" s="4"/>
      <c r="C4" s="4"/>
      <c r="D4" s="4"/>
      <c r="E4" s="4"/>
      <c r="F4" s="4"/>
    </row>
    <row r="5" spans="2:6" ht="15.75" customHeight="1">
      <c r="B5" s="4"/>
      <c r="C5" s="4"/>
      <c r="D5" s="4"/>
      <c r="E5" s="4"/>
      <c r="F5" s="4"/>
    </row>
    <row r="6" spans="2:6" ht="15.75" customHeight="1">
      <c r="B6" s="191" t="s">
        <v>353</v>
      </c>
      <c r="C6" s="200"/>
      <c r="D6" s="201"/>
      <c r="E6" s="202"/>
      <c r="F6" s="77"/>
    </row>
    <row r="7" spans="2:6" ht="15.75" customHeight="1">
      <c r="B7" s="356" t="s">
        <v>46</v>
      </c>
      <c r="C7" s="358"/>
      <c r="D7" s="356" t="s">
        <v>259</v>
      </c>
      <c r="E7" s="358"/>
      <c r="F7" s="4"/>
    </row>
    <row r="8" spans="1:6" ht="15.75" customHeight="1">
      <c r="A8" s="104"/>
      <c r="B8" s="359" t="s">
        <v>63</v>
      </c>
      <c r="C8" s="361"/>
      <c r="D8" s="359" t="s">
        <v>200</v>
      </c>
      <c r="E8" s="361"/>
      <c r="F8" s="4"/>
    </row>
    <row r="9" spans="1:5" ht="15.75" customHeight="1">
      <c r="A9" s="35" t="s">
        <v>79</v>
      </c>
      <c r="B9" s="195" t="s">
        <v>80</v>
      </c>
      <c r="C9" s="195" t="s">
        <v>81</v>
      </c>
      <c r="D9" s="195" t="s">
        <v>80</v>
      </c>
      <c r="E9" s="195" t="s">
        <v>81</v>
      </c>
    </row>
    <row r="10" ht="4.5" customHeight="1">
      <c r="A10" s="37"/>
    </row>
    <row r="11" spans="1:5" ht="13.5" customHeight="1">
      <c r="A11" s="362" t="s">
        <v>216</v>
      </c>
      <c r="B11" s="363">
        <v>0</v>
      </c>
      <c r="C11" s="364">
        <f>B11/'- 3 -'!D11*100</f>
        <v>0</v>
      </c>
      <c r="D11" s="363">
        <v>100000</v>
      </c>
      <c r="E11" s="364">
        <f>D11/'- 3 -'!D11*100</f>
        <v>0.747172512419875</v>
      </c>
    </row>
    <row r="12" spans="1:5" ht="13.5" customHeight="1">
      <c r="A12" s="23" t="s">
        <v>217</v>
      </c>
      <c r="B12" s="24">
        <v>0</v>
      </c>
      <c r="C12" s="355">
        <f>B12/'- 3 -'!D12*100</f>
        <v>0</v>
      </c>
      <c r="D12" s="24">
        <v>172000</v>
      </c>
      <c r="E12" s="355">
        <f>D12/'- 3 -'!D12*100</f>
        <v>0.6846286420999885</v>
      </c>
    </row>
    <row r="13" spans="1:5" ht="13.5" customHeight="1">
      <c r="A13" s="362" t="s">
        <v>218</v>
      </c>
      <c r="B13" s="363">
        <v>0</v>
      </c>
      <c r="C13" s="364">
        <f>B13/'- 3 -'!D13*100</f>
        <v>0</v>
      </c>
      <c r="D13" s="363">
        <v>31200</v>
      </c>
      <c r="E13" s="364">
        <f>D13/'- 3 -'!D13*100</f>
        <v>0.05303750193365892</v>
      </c>
    </row>
    <row r="14" spans="1:5" ht="13.5" customHeight="1">
      <c r="A14" s="23" t="s">
        <v>254</v>
      </c>
      <c r="B14" s="24">
        <v>9600</v>
      </c>
      <c r="C14" s="355">
        <f>B14/'- 3 -'!D14*100</f>
        <v>0.016879097137094137</v>
      </c>
      <c r="D14" s="24">
        <v>155174</v>
      </c>
      <c r="E14" s="355">
        <f>D14/'- 3 -'!D14*100</f>
        <v>0.2728330228282756</v>
      </c>
    </row>
    <row r="15" spans="1:5" ht="13.5" customHeight="1">
      <c r="A15" s="362" t="s">
        <v>219</v>
      </c>
      <c r="B15" s="363">
        <v>0</v>
      </c>
      <c r="C15" s="364">
        <f>B15/'- 3 -'!D15*100</f>
        <v>0</v>
      </c>
      <c r="D15" s="363">
        <v>24000</v>
      </c>
      <c r="E15" s="364">
        <f>D15/'- 3 -'!D15*100</f>
        <v>0.14697779661543203</v>
      </c>
    </row>
    <row r="16" spans="1:5" ht="13.5" customHeight="1">
      <c r="A16" s="23" t="s">
        <v>220</v>
      </c>
      <c r="B16" s="24">
        <v>0</v>
      </c>
      <c r="C16" s="355">
        <f>B16/'- 3 -'!D16*100</f>
        <v>0</v>
      </c>
      <c r="D16" s="24">
        <v>58498</v>
      </c>
      <c r="E16" s="355">
        <f>D16/'- 3 -'!D16*100</f>
        <v>0.5130369784263644</v>
      </c>
    </row>
    <row r="17" spans="1:5" ht="13.5" customHeight="1">
      <c r="A17" s="362" t="s">
        <v>221</v>
      </c>
      <c r="B17" s="363">
        <v>0</v>
      </c>
      <c r="C17" s="364">
        <f>B17/'- 3 -'!D17*100</f>
        <v>0</v>
      </c>
      <c r="D17" s="363">
        <v>31000</v>
      </c>
      <c r="E17" s="364">
        <f>D17/'- 3 -'!D17*100</f>
        <v>0.211114497266578</v>
      </c>
    </row>
    <row r="18" spans="1:5" ht="13.5" customHeight="1">
      <c r="A18" s="23" t="s">
        <v>222</v>
      </c>
      <c r="B18" s="24">
        <v>2017833</v>
      </c>
      <c r="C18" s="355">
        <f>B18/'- 3 -'!D18*100</f>
        <v>2.016763429682702</v>
      </c>
      <c r="D18" s="24">
        <v>610217</v>
      </c>
      <c r="E18" s="355">
        <f>D18/'- 3 -'!D18*100</f>
        <v>0.6098935490551941</v>
      </c>
    </row>
    <row r="19" spans="1:5" ht="13.5" customHeight="1">
      <c r="A19" s="362" t="s">
        <v>223</v>
      </c>
      <c r="B19" s="363">
        <v>0</v>
      </c>
      <c r="C19" s="364">
        <f>B19/'- 3 -'!D19*100</f>
        <v>0</v>
      </c>
      <c r="D19" s="363">
        <v>50000</v>
      </c>
      <c r="E19" s="364">
        <f>D19/'- 3 -'!D19*100</f>
        <v>0.17241358501808704</v>
      </c>
    </row>
    <row r="20" spans="1:5" ht="13.5" customHeight="1">
      <c r="A20" s="23" t="s">
        <v>224</v>
      </c>
      <c r="B20" s="24">
        <v>0</v>
      </c>
      <c r="C20" s="355">
        <f>B20/'- 3 -'!D20*100</f>
        <v>0</v>
      </c>
      <c r="D20" s="24">
        <v>198067</v>
      </c>
      <c r="E20" s="355">
        <f>D20/'- 3 -'!D20*100</f>
        <v>0.3584420446714352</v>
      </c>
    </row>
    <row r="21" spans="1:5" ht="13.5" customHeight="1">
      <c r="A21" s="362" t="s">
        <v>225</v>
      </c>
      <c r="B21" s="363">
        <v>0</v>
      </c>
      <c r="C21" s="364">
        <f>B21/'- 3 -'!D21*100</f>
        <v>0</v>
      </c>
      <c r="D21" s="363">
        <v>90000</v>
      </c>
      <c r="E21" s="364">
        <f>D21/'- 3 -'!D21*100</f>
        <v>0.31652469947738254</v>
      </c>
    </row>
    <row r="22" spans="1:5" ht="13.5" customHeight="1">
      <c r="A22" s="23" t="s">
        <v>226</v>
      </c>
      <c r="B22" s="24">
        <v>0</v>
      </c>
      <c r="C22" s="355">
        <f>B22/'- 3 -'!D22*100</f>
        <v>0</v>
      </c>
      <c r="D22" s="24">
        <v>50330</v>
      </c>
      <c r="E22" s="355">
        <f>D22/'- 3 -'!D22*100</f>
        <v>0.3139376463571319</v>
      </c>
    </row>
    <row r="23" spans="1:5" ht="13.5" customHeight="1">
      <c r="A23" s="362" t="s">
        <v>227</v>
      </c>
      <c r="B23" s="363">
        <v>0</v>
      </c>
      <c r="C23" s="364">
        <f>B23/'- 3 -'!D23*100</f>
        <v>0</v>
      </c>
      <c r="D23" s="363">
        <v>0</v>
      </c>
      <c r="E23" s="364">
        <f>D23/'- 3 -'!D23*100</f>
        <v>0</v>
      </c>
    </row>
    <row r="24" spans="1:5" ht="13.5" customHeight="1">
      <c r="A24" s="23" t="s">
        <v>228</v>
      </c>
      <c r="B24" s="24">
        <v>0</v>
      </c>
      <c r="C24" s="355">
        <f>B24/'- 3 -'!D24*100</f>
        <v>0</v>
      </c>
      <c r="D24" s="24">
        <v>65800</v>
      </c>
      <c r="E24" s="355">
        <f>D24/'- 3 -'!D24*100</f>
        <v>0.14814166413610086</v>
      </c>
    </row>
    <row r="25" spans="1:5" ht="13.5" customHeight="1">
      <c r="A25" s="362" t="s">
        <v>229</v>
      </c>
      <c r="B25" s="363">
        <v>0</v>
      </c>
      <c r="C25" s="364">
        <f>B25/'- 3 -'!D25*100</f>
        <v>0</v>
      </c>
      <c r="D25" s="363">
        <v>35500</v>
      </c>
      <c r="E25" s="364">
        <f>D25/'- 3 -'!D25*100</f>
        <v>0.026471639731810524</v>
      </c>
    </row>
    <row r="26" spans="1:5" ht="13.5" customHeight="1">
      <c r="A26" s="23" t="s">
        <v>230</v>
      </c>
      <c r="B26" s="24">
        <v>0</v>
      </c>
      <c r="C26" s="355">
        <f>B26/'- 3 -'!D26*100</f>
        <v>0</v>
      </c>
      <c r="D26" s="24">
        <v>116114</v>
      </c>
      <c r="E26" s="355">
        <f>D26/'- 3 -'!D26*100</f>
        <v>0.35797885521868084</v>
      </c>
    </row>
    <row r="27" spans="1:5" ht="13.5" customHeight="1">
      <c r="A27" s="362" t="s">
        <v>231</v>
      </c>
      <c r="B27" s="363">
        <v>0</v>
      </c>
      <c r="C27" s="364">
        <f>B27/'- 3 -'!D27*100</f>
        <v>0</v>
      </c>
      <c r="D27" s="363">
        <v>55450</v>
      </c>
      <c r="E27" s="364">
        <f>D27/'- 3 -'!D27*100</f>
        <v>0.1571260147237702</v>
      </c>
    </row>
    <row r="28" spans="1:5" ht="13.5" customHeight="1">
      <c r="A28" s="23" t="s">
        <v>232</v>
      </c>
      <c r="B28" s="24">
        <v>4800</v>
      </c>
      <c r="C28" s="355">
        <f>B28/'- 3 -'!D28*100</f>
        <v>0.025831337189844344</v>
      </c>
      <c r="D28" s="24">
        <v>63965</v>
      </c>
      <c r="E28" s="355">
        <f>D28/'- 3 -'!D28*100</f>
        <v>0.344229475697582</v>
      </c>
    </row>
    <row r="29" spans="1:5" ht="13.5" customHeight="1">
      <c r="A29" s="362" t="s">
        <v>233</v>
      </c>
      <c r="B29" s="363">
        <v>0</v>
      </c>
      <c r="C29" s="364">
        <f>B29/'- 3 -'!D29*100</f>
        <v>0</v>
      </c>
      <c r="D29" s="363">
        <v>45000</v>
      </c>
      <c r="E29" s="364">
        <f>D29/'- 3 -'!D29*100</f>
        <v>0.03657673790671849</v>
      </c>
    </row>
    <row r="30" spans="1:5" ht="13.5" customHeight="1">
      <c r="A30" s="23" t="s">
        <v>234</v>
      </c>
      <c r="B30" s="24">
        <v>0</v>
      </c>
      <c r="C30" s="355">
        <f>B30/'- 3 -'!D30*100</f>
        <v>0</v>
      </c>
      <c r="D30" s="24">
        <v>23635</v>
      </c>
      <c r="E30" s="355">
        <f>D30/'- 3 -'!D30*100</f>
        <v>0.20714027923578868</v>
      </c>
    </row>
    <row r="31" spans="1:5" ht="13.5" customHeight="1">
      <c r="A31" s="362" t="s">
        <v>235</v>
      </c>
      <c r="B31" s="363">
        <v>0</v>
      </c>
      <c r="C31" s="364">
        <f>B31/'- 3 -'!D31*100</f>
        <v>0</v>
      </c>
      <c r="D31" s="363">
        <v>41000</v>
      </c>
      <c r="E31" s="364">
        <f>D31/'- 3 -'!D31*100</f>
        <v>0.13968748774540407</v>
      </c>
    </row>
    <row r="32" spans="1:5" ht="13.5" customHeight="1">
      <c r="A32" s="23" t="s">
        <v>236</v>
      </c>
      <c r="B32" s="24">
        <v>0</v>
      </c>
      <c r="C32" s="355">
        <f>B32/'- 3 -'!D32*100</f>
        <v>0</v>
      </c>
      <c r="D32" s="24">
        <v>8000</v>
      </c>
      <c r="E32" s="355">
        <f>D32/'- 3 -'!D32*100</f>
        <v>0.036508138896309675</v>
      </c>
    </row>
    <row r="33" spans="1:5" ht="13.5" customHeight="1">
      <c r="A33" s="362" t="s">
        <v>237</v>
      </c>
      <c r="B33" s="363">
        <v>0</v>
      </c>
      <c r="C33" s="364">
        <f>B33/'- 3 -'!D33*100</f>
        <v>0</v>
      </c>
      <c r="D33" s="363">
        <v>50000</v>
      </c>
      <c r="E33" s="364">
        <f>D33/'- 3 -'!D33*100</f>
        <v>0.21747167431442055</v>
      </c>
    </row>
    <row r="34" spans="1:5" ht="13.5" customHeight="1">
      <c r="A34" s="23" t="s">
        <v>238</v>
      </c>
      <c r="B34" s="24">
        <v>0</v>
      </c>
      <c r="C34" s="355">
        <f>B34/'- 3 -'!D34*100</f>
        <v>0</v>
      </c>
      <c r="D34" s="24">
        <v>59984</v>
      </c>
      <c r="E34" s="355">
        <f>D34/'- 3 -'!D34*100</f>
        <v>0.2900668637390791</v>
      </c>
    </row>
    <row r="35" spans="1:5" ht="13.5" customHeight="1">
      <c r="A35" s="362" t="s">
        <v>239</v>
      </c>
      <c r="B35" s="363">
        <v>0</v>
      </c>
      <c r="C35" s="364">
        <f>B35/'- 3 -'!D35*100</f>
        <v>0</v>
      </c>
      <c r="D35" s="363">
        <v>20000</v>
      </c>
      <c r="E35" s="364">
        <f>D35/'- 3 -'!D35*100</f>
        <v>0.013264275447641773</v>
      </c>
    </row>
    <row r="36" spans="1:5" ht="13.5" customHeight="1">
      <c r="A36" s="23" t="s">
        <v>240</v>
      </c>
      <c r="B36" s="24">
        <v>0</v>
      </c>
      <c r="C36" s="355">
        <f>B36/'- 3 -'!D36*100</f>
        <v>0</v>
      </c>
      <c r="D36" s="24">
        <v>40500</v>
      </c>
      <c r="E36" s="355">
        <f>D36/'- 3 -'!D36*100</f>
        <v>0.21076866551689322</v>
      </c>
    </row>
    <row r="37" spans="1:5" ht="13.5" customHeight="1">
      <c r="A37" s="362" t="s">
        <v>241</v>
      </c>
      <c r="B37" s="363">
        <v>0</v>
      </c>
      <c r="C37" s="364">
        <f>B37/'- 3 -'!D37*100</f>
        <v>0</v>
      </c>
      <c r="D37" s="363">
        <v>56896</v>
      </c>
      <c r="E37" s="364">
        <f>D37/'- 3 -'!D37*100</f>
        <v>0.1726869184287105</v>
      </c>
    </row>
    <row r="38" spans="1:5" ht="13.5" customHeight="1">
      <c r="A38" s="23" t="s">
        <v>242</v>
      </c>
      <c r="B38" s="24">
        <v>0</v>
      </c>
      <c r="C38" s="355">
        <f>B38/'- 3 -'!D38*100</f>
        <v>0</v>
      </c>
      <c r="D38" s="24">
        <v>198000</v>
      </c>
      <c r="E38" s="355">
        <f>D38/'- 3 -'!D38*100</f>
        <v>0.23741607851229812</v>
      </c>
    </row>
    <row r="39" spans="1:5" ht="13.5" customHeight="1">
      <c r="A39" s="362" t="s">
        <v>243</v>
      </c>
      <c r="B39" s="363">
        <v>0</v>
      </c>
      <c r="C39" s="364">
        <f>B39/'- 3 -'!D39*100</f>
        <v>0</v>
      </c>
      <c r="D39" s="363">
        <v>9500</v>
      </c>
      <c r="E39" s="364">
        <f>D39/'- 3 -'!D39*100</f>
        <v>0.0551946791864467</v>
      </c>
    </row>
    <row r="40" spans="1:5" ht="13.5" customHeight="1">
      <c r="A40" s="23" t="s">
        <v>244</v>
      </c>
      <c r="B40" s="24">
        <v>0</v>
      </c>
      <c r="C40" s="355">
        <f>B40/'- 3 -'!D40*100</f>
        <v>0</v>
      </c>
      <c r="D40" s="24">
        <v>50286</v>
      </c>
      <c r="E40" s="355">
        <f>D40/'- 3 -'!D40*100</f>
        <v>0.05975777601536348</v>
      </c>
    </row>
    <row r="41" spans="1:5" ht="13.5" customHeight="1">
      <c r="A41" s="362" t="s">
        <v>245</v>
      </c>
      <c r="B41" s="363">
        <v>0</v>
      </c>
      <c r="C41" s="364">
        <f>B41/'- 3 -'!D41*100</f>
        <v>0</v>
      </c>
      <c r="D41" s="363">
        <v>89204</v>
      </c>
      <c r="E41" s="364">
        <f>D41/'- 3 -'!D41*100</f>
        <v>0.17405363409545307</v>
      </c>
    </row>
    <row r="42" spans="1:5" ht="13.5" customHeight="1">
      <c r="A42" s="23" t="s">
        <v>246</v>
      </c>
      <c r="B42" s="24">
        <v>0</v>
      </c>
      <c r="C42" s="355">
        <f>B42/'- 3 -'!D42*100</f>
        <v>0</v>
      </c>
      <c r="D42" s="24">
        <v>64000</v>
      </c>
      <c r="E42" s="355">
        <f>D42/'- 3 -'!D42*100</f>
        <v>0.36110029064059646</v>
      </c>
    </row>
    <row r="43" spans="1:5" ht="13.5" customHeight="1">
      <c r="A43" s="362" t="s">
        <v>247</v>
      </c>
      <c r="B43" s="363">
        <v>0</v>
      </c>
      <c r="C43" s="364">
        <f>B43/'- 3 -'!D43*100</f>
        <v>0</v>
      </c>
      <c r="D43" s="363">
        <v>9000</v>
      </c>
      <c r="E43" s="364">
        <f>D43/'- 3 -'!D43*100</f>
        <v>0.0872961924892684</v>
      </c>
    </row>
    <row r="44" spans="1:5" ht="13.5" customHeight="1">
      <c r="A44" s="23" t="s">
        <v>248</v>
      </c>
      <c r="B44" s="24">
        <v>0</v>
      </c>
      <c r="C44" s="355">
        <f>B44/'- 3 -'!D44*100</f>
        <v>0</v>
      </c>
      <c r="D44" s="24">
        <v>42077</v>
      </c>
      <c r="E44" s="355">
        <f>D44/'- 3 -'!D44*100</f>
        <v>0.4969392007991276</v>
      </c>
    </row>
    <row r="45" spans="1:5" ht="13.5" customHeight="1">
      <c r="A45" s="362" t="s">
        <v>249</v>
      </c>
      <c r="B45" s="363">
        <v>0</v>
      </c>
      <c r="C45" s="364">
        <f>B45/'- 3 -'!D45*100</f>
        <v>0</v>
      </c>
      <c r="D45" s="363">
        <v>21046</v>
      </c>
      <c r="E45" s="364">
        <f>D45/'- 3 -'!D45*100</f>
        <v>0.1616093297559051</v>
      </c>
    </row>
    <row r="46" spans="1:5" ht="13.5" customHeight="1">
      <c r="A46" s="23" t="s">
        <v>250</v>
      </c>
      <c r="B46" s="24">
        <v>0</v>
      </c>
      <c r="C46" s="355">
        <f>B46/'- 3 -'!D46*100</f>
        <v>0</v>
      </c>
      <c r="D46" s="24">
        <v>317700</v>
      </c>
      <c r="E46" s="355">
        <f>D46/'- 3 -'!D46*100</f>
        <v>0.10369733043838153</v>
      </c>
    </row>
    <row r="47" spans="1:5" ht="4.5" customHeight="1">
      <c r="A47"/>
      <c r="B47"/>
      <c r="C47"/>
      <c r="D47"/>
      <c r="E47"/>
    </row>
    <row r="48" spans="1:5" ht="13.5" customHeight="1">
      <c r="A48" s="365" t="s">
        <v>251</v>
      </c>
      <c r="B48" s="366">
        <f>SUM(B11:B46)</f>
        <v>2032233</v>
      </c>
      <c r="C48" s="367">
        <f>B48/'- 3 -'!D48*100</f>
        <v>0.1176253986405585</v>
      </c>
      <c r="D48" s="366">
        <f>SUM(D11:D46)</f>
        <v>3053143</v>
      </c>
      <c r="E48" s="367">
        <f>D48/'- 3 -'!D48*100</f>
        <v>0.17671554515728793</v>
      </c>
    </row>
    <row r="49" spans="1:5" ht="4.5" customHeight="1">
      <c r="A49" s="25" t="s">
        <v>3</v>
      </c>
      <c r="B49" s="26"/>
      <c r="C49" s="353"/>
      <c r="D49" s="26"/>
      <c r="E49" s="353"/>
    </row>
    <row r="50" spans="1:5" ht="13.5" customHeight="1">
      <c r="A50" s="23" t="s">
        <v>252</v>
      </c>
      <c r="B50" s="24">
        <v>0</v>
      </c>
      <c r="C50" s="355">
        <f>B50/'- 3 -'!D50*100</f>
        <v>0</v>
      </c>
      <c r="D50" s="24">
        <v>24000</v>
      </c>
      <c r="E50" s="355">
        <f>D50/'- 3 -'!D50*100</f>
        <v>0.8445164316506462</v>
      </c>
    </row>
    <row r="51" spans="1:5" ht="13.5" customHeight="1">
      <c r="A51" s="362" t="s">
        <v>253</v>
      </c>
      <c r="B51" s="363">
        <v>0</v>
      </c>
      <c r="C51" s="364">
        <f>B51/'- 3 -'!D51*100</f>
        <v>0</v>
      </c>
      <c r="D51" s="363">
        <v>0</v>
      </c>
      <c r="E51" s="364">
        <f>D51/'- 3 -'!D51*100</f>
        <v>0</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1"/>
  <sheetViews>
    <sheetView showGridLines="0" showZeros="0" workbookViewId="0" topLeftCell="A1">
      <selection activeCell="A1" sqref="A1"/>
    </sheetView>
  </sheetViews>
  <sheetFormatPr defaultColWidth="15.83203125" defaultRowHeight="12"/>
  <cols>
    <col min="1" max="1" width="31.83203125" style="1" customWidth="1"/>
    <col min="2" max="2" width="17.83203125" style="1" customWidth="1"/>
    <col min="3" max="3" width="15.83203125" style="1" customWidth="1"/>
    <col min="4" max="4" width="17.83203125" style="1" customWidth="1"/>
    <col min="5" max="5" width="15.83203125" style="1" customWidth="1"/>
    <col min="6" max="6" width="17.83203125" style="1" customWidth="1"/>
    <col min="7" max="16384" width="15.83203125" style="1" customWidth="1"/>
  </cols>
  <sheetData>
    <row r="1" spans="1:7" ht="6.75" customHeight="1">
      <c r="A1" s="3"/>
      <c r="B1" s="4"/>
      <c r="C1" s="4"/>
      <c r="D1" s="4"/>
      <c r="E1" s="4"/>
      <c r="F1" s="4"/>
      <c r="G1" s="4"/>
    </row>
    <row r="2" spans="1:7" ht="15.75" customHeight="1">
      <c r="A2" s="167"/>
      <c r="B2" s="5" t="s">
        <v>491</v>
      </c>
      <c r="C2" s="6"/>
      <c r="D2" s="168"/>
      <c r="E2" s="6"/>
      <c r="F2" s="108"/>
      <c r="G2" s="190" t="s">
        <v>412</v>
      </c>
    </row>
    <row r="3" spans="1:7" ht="15.75" customHeight="1">
      <c r="A3" s="170"/>
      <c r="B3" s="7" t="str">
        <f>OPYEAR</f>
        <v>OPERATING FUND 2008/2009 BUDGET</v>
      </c>
      <c r="C3" s="8"/>
      <c r="D3" s="183"/>
      <c r="E3" s="8"/>
      <c r="F3" s="110"/>
      <c r="G3" s="110"/>
    </row>
    <row r="4" spans="2:7" ht="15.75" customHeight="1">
      <c r="B4" s="4"/>
      <c r="C4" s="4"/>
      <c r="D4" s="4"/>
      <c r="E4" s="4"/>
      <c r="F4" s="4"/>
      <c r="G4" s="4"/>
    </row>
    <row r="5" spans="2:7" ht="15.75" customHeight="1">
      <c r="B5" s="4"/>
      <c r="C5" s="4"/>
      <c r="D5" s="4"/>
      <c r="E5" s="4"/>
      <c r="F5" s="4"/>
      <c r="G5" s="4"/>
    </row>
    <row r="6" spans="2:7" ht="15.75" customHeight="1">
      <c r="B6" s="172" t="s">
        <v>20</v>
      </c>
      <c r="C6" s="192"/>
      <c r="D6" s="193"/>
      <c r="E6" s="193"/>
      <c r="F6" s="193"/>
      <c r="G6" s="194"/>
    </row>
    <row r="7" spans="2:7" ht="15.75" customHeight="1">
      <c r="B7" s="368"/>
      <c r="C7" s="358"/>
      <c r="D7" s="357" t="s">
        <v>47</v>
      </c>
      <c r="E7" s="357"/>
      <c r="F7" s="357"/>
      <c r="G7" s="358"/>
    </row>
    <row r="8" spans="1:7" ht="15.75" customHeight="1">
      <c r="A8" s="104"/>
      <c r="B8" s="360" t="s">
        <v>30</v>
      </c>
      <c r="C8" s="361"/>
      <c r="D8" s="359" t="s">
        <v>52</v>
      </c>
      <c r="E8" s="361"/>
      <c r="F8" s="359" t="s">
        <v>213</v>
      </c>
      <c r="G8" s="361"/>
    </row>
    <row r="9" spans="1:7" ht="15.75" customHeight="1">
      <c r="A9" s="35" t="s">
        <v>79</v>
      </c>
      <c r="B9" s="195" t="s">
        <v>80</v>
      </c>
      <c r="C9" s="195" t="s">
        <v>81</v>
      </c>
      <c r="D9" s="195" t="s">
        <v>80</v>
      </c>
      <c r="E9" s="195" t="s">
        <v>81</v>
      </c>
      <c r="F9" s="195" t="s">
        <v>80</v>
      </c>
      <c r="G9" s="195" t="s">
        <v>81</v>
      </c>
    </row>
    <row r="10" ht="4.5" customHeight="1">
      <c r="A10" s="37"/>
    </row>
    <row r="11" spans="1:7" ht="13.5" customHeight="1">
      <c r="A11" s="362" t="s">
        <v>216</v>
      </c>
      <c r="B11" s="363">
        <v>49588</v>
      </c>
      <c r="C11" s="364">
        <f>B11/'- 3 -'!D11*100</f>
        <v>0.37050790545876766</v>
      </c>
      <c r="D11" s="363">
        <v>1160140</v>
      </c>
      <c r="E11" s="364">
        <f>D11/'- 3 -'!D11*100</f>
        <v>8.668247185587939</v>
      </c>
      <c r="F11" s="363">
        <v>197000</v>
      </c>
      <c r="G11" s="364">
        <f>F11/'- 3 -'!D11*100</f>
        <v>1.4719298494671538</v>
      </c>
    </row>
    <row r="12" spans="1:7" ht="13.5" customHeight="1">
      <c r="A12" s="23" t="s">
        <v>217</v>
      </c>
      <c r="B12" s="24">
        <v>65705</v>
      </c>
      <c r="C12" s="355">
        <f>B12/'- 3 -'!D12*100</f>
        <v>0.2615321216812776</v>
      </c>
      <c r="D12" s="24">
        <v>2038615</v>
      </c>
      <c r="E12" s="355">
        <f>D12/'- 3 -'!D12*100</f>
        <v>8.114501274503883</v>
      </c>
      <c r="F12" s="24">
        <v>478430</v>
      </c>
      <c r="G12" s="355">
        <f>F12/'- 3 -'!D12*100</f>
        <v>1.9043423327901015</v>
      </c>
    </row>
    <row r="13" spans="1:7" ht="13.5" customHeight="1">
      <c r="A13" s="362" t="s">
        <v>218</v>
      </c>
      <c r="B13" s="363">
        <v>200900</v>
      </c>
      <c r="C13" s="364">
        <f>B13/'- 3 -'!D13*100</f>
        <v>0.3415139146946179</v>
      </c>
      <c r="D13" s="363">
        <v>5059500</v>
      </c>
      <c r="E13" s="364">
        <f>D13/'- 3 -'!D13*100</f>
        <v>8.600744904914977</v>
      </c>
      <c r="F13" s="363">
        <v>310600</v>
      </c>
      <c r="G13" s="364">
        <f>F13/'- 3 -'!D13*100</f>
        <v>0.5279951314293096</v>
      </c>
    </row>
    <row r="14" spans="1:7" ht="13.5" customHeight="1">
      <c r="A14" s="23" t="s">
        <v>254</v>
      </c>
      <c r="B14" s="24">
        <v>261138</v>
      </c>
      <c r="C14" s="355">
        <f>B14/'- 3 -'!D14*100</f>
        <v>0.4591430904360926</v>
      </c>
      <c r="D14" s="24">
        <v>5670305</v>
      </c>
      <c r="E14" s="355">
        <f>D14/'- 3 -'!D14*100</f>
        <v>9.969753009578184</v>
      </c>
      <c r="F14" s="24">
        <v>480000</v>
      </c>
      <c r="G14" s="355">
        <f>F14/'- 3 -'!D14*100</f>
        <v>0.8439548568547068</v>
      </c>
    </row>
    <row r="15" spans="1:7" ht="13.5" customHeight="1">
      <c r="A15" s="362" t="s">
        <v>219</v>
      </c>
      <c r="B15" s="363">
        <v>61655</v>
      </c>
      <c r="C15" s="364">
        <f>B15/'- 3 -'!D15*100</f>
        <v>0.377579835430186</v>
      </c>
      <c r="D15" s="363">
        <v>1593075</v>
      </c>
      <c r="E15" s="364">
        <f>D15/'- 3 -'!D15*100</f>
        <v>9.756110555963724</v>
      </c>
      <c r="F15" s="363">
        <v>224000</v>
      </c>
      <c r="G15" s="364">
        <f>F15/'- 3 -'!D15*100</f>
        <v>1.3717927684106992</v>
      </c>
    </row>
    <row r="16" spans="1:7" ht="13.5" customHeight="1">
      <c r="A16" s="23" t="s">
        <v>220</v>
      </c>
      <c r="B16" s="24">
        <v>53020</v>
      </c>
      <c r="C16" s="355">
        <f>B16/'- 3 -'!D16*100</f>
        <v>0.4649940270806839</v>
      </c>
      <c r="D16" s="24">
        <v>1551330</v>
      </c>
      <c r="E16" s="355">
        <f>D16/'- 3 -'!D16*100</f>
        <v>13.605416522653286</v>
      </c>
      <c r="F16" s="24">
        <v>100000</v>
      </c>
      <c r="G16" s="355">
        <f>F16/'- 3 -'!D16*100</f>
        <v>0.8770162713705845</v>
      </c>
    </row>
    <row r="17" spans="1:7" ht="13.5" customHeight="1">
      <c r="A17" s="362" t="s">
        <v>221</v>
      </c>
      <c r="B17" s="363">
        <v>82820</v>
      </c>
      <c r="C17" s="364">
        <f>B17/'- 3 -'!D17*100</f>
        <v>0.5640162149554191</v>
      </c>
      <c r="D17" s="363">
        <v>1375380</v>
      </c>
      <c r="E17" s="364">
        <f>D17/'- 3 -'!D17*100</f>
        <v>9.366537330661487</v>
      </c>
      <c r="F17" s="363">
        <v>313580</v>
      </c>
      <c r="G17" s="364">
        <f>F17/'- 3 -'!D17*100</f>
        <v>2.135525292027533</v>
      </c>
    </row>
    <row r="18" spans="1:7" ht="13.5" customHeight="1">
      <c r="A18" s="23" t="s">
        <v>222</v>
      </c>
      <c r="B18" s="24">
        <v>246375</v>
      </c>
      <c r="C18" s="355">
        <f>B18/'- 3 -'!D18*100</f>
        <v>0.2462444067413288</v>
      </c>
      <c r="D18" s="24">
        <v>13275472</v>
      </c>
      <c r="E18" s="355">
        <f>D18/'- 3 -'!D18*100</f>
        <v>13.268435218066452</v>
      </c>
      <c r="F18" s="24">
        <v>782900</v>
      </c>
      <c r="G18" s="355">
        <f>F18/'- 3 -'!D18*100</f>
        <v>0.7824850168961393</v>
      </c>
    </row>
    <row r="19" spans="1:7" ht="13.5" customHeight="1">
      <c r="A19" s="362" t="s">
        <v>223</v>
      </c>
      <c r="B19" s="363">
        <v>83125</v>
      </c>
      <c r="C19" s="364">
        <f>B19/'- 3 -'!D19*100</f>
        <v>0.2866375850925697</v>
      </c>
      <c r="D19" s="363">
        <v>2356100</v>
      </c>
      <c r="E19" s="364">
        <f>D19/'- 3 -'!D19*100</f>
        <v>8.124472953222298</v>
      </c>
      <c r="F19" s="363">
        <v>85000</v>
      </c>
      <c r="G19" s="364">
        <f>F19/'- 3 -'!D19*100</f>
        <v>0.29310309453074795</v>
      </c>
    </row>
    <row r="20" spans="1:7" ht="13.5" customHeight="1">
      <c r="A20" s="23" t="s">
        <v>224</v>
      </c>
      <c r="B20" s="24">
        <v>108762</v>
      </c>
      <c r="C20" s="355">
        <f>B20/'- 3 -'!D20*100</f>
        <v>0.19682669835234864</v>
      </c>
      <c r="D20" s="24">
        <v>5092460</v>
      </c>
      <c r="E20" s="355">
        <f>D20/'- 3 -'!D20*100</f>
        <v>9.21582986972841</v>
      </c>
      <c r="F20" s="24">
        <v>447514</v>
      </c>
      <c r="G20" s="355">
        <f>F20/'- 3 -'!D20*100</f>
        <v>0.8098665258679771</v>
      </c>
    </row>
    <row r="21" spans="1:7" ht="13.5" customHeight="1">
      <c r="A21" s="362" t="s">
        <v>225</v>
      </c>
      <c r="B21" s="363">
        <v>150000</v>
      </c>
      <c r="C21" s="364">
        <f>B21/'- 3 -'!D21*100</f>
        <v>0.5275411657956376</v>
      </c>
      <c r="D21" s="363">
        <v>2277000</v>
      </c>
      <c r="E21" s="364">
        <f>D21/'- 3 -'!D21*100</f>
        <v>8.008074896777778</v>
      </c>
      <c r="F21" s="363">
        <v>435000</v>
      </c>
      <c r="G21" s="364">
        <f>F21/'- 3 -'!D21*100</f>
        <v>1.5298693808073491</v>
      </c>
    </row>
    <row r="22" spans="1:7" ht="13.5" customHeight="1">
      <c r="A22" s="23" t="s">
        <v>226</v>
      </c>
      <c r="B22" s="24">
        <v>73260</v>
      </c>
      <c r="C22" s="355">
        <f>B22/'- 3 -'!D22*100</f>
        <v>0.4569654673579075</v>
      </c>
      <c r="D22" s="24">
        <v>1770093</v>
      </c>
      <c r="E22" s="355">
        <f>D22/'- 3 -'!D22*100</f>
        <v>11.04110531001857</v>
      </c>
      <c r="F22" s="24">
        <v>111612</v>
      </c>
      <c r="G22" s="355">
        <f>F22/'- 3 -'!D22*100</f>
        <v>0.6961893221778702</v>
      </c>
    </row>
    <row r="23" spans="1:7" ht="13.5" customHeight="1">
      <c r="A23" s="362" t="s">
        <v>227</v>
      </c>
      <c r="B23" s="363">
        <v>50100</v>
      </c>
      <c r="C23" s="364">
        <f>B23/'- 3 -'!D23*100</f>
        <v>0.3777945485377768</v>
      </c>
      <c r="D23" s="363">
        <v>976950</v>
      </c>
      <c r="E23" s="364">
        <f>D23/'- 3 -'!D23*100</f>
        <v>7.366993696486647</v>
      </c>
      <c r="F23" s="363">
        <v>95000</v>
      </c>
      <c r="G23" s="364">
        <f>F23/'- 3 -'!D23*100</f>
        <v>0.716376888444886</v>
      </c>
    </row>
    <row r="24" spans="1:7" ht="13.5" customHeight="1">
      <c r="A24" s="23" t="s">
        <v>228</v>
      </c>
      <c r="B24" s="24">
        <v>178390</v>
      </c>
      <c r="C24" s="355">
        <f>B24/'- 3 -'!D24*100</f>
        <v>0.40162601011001564</v>
      </c>
      <c r="D24" s="24">
        <v>4404855</v>
      </c>
      <c r="E24" s="355">
        <f>D24/'- 3 -'!D24*100</f>
        <v>9.917060030064203</v>
      </c>
      <c r="F24" s="24">
        <v>263960</v>
      </c>
      <c r="G24" s="355">
        <f>F24/'- 3 -'!D24*100</f>
        <v>0.5942777152791061</v>
      </c>
    </row>
    <row r="25" spans="1:7" ht="13.5" customHeight="1">
      <c r="A25" s="362" t="s">
        <v>229</v>
      </c>
      <c r="B25" s="363">
        <v>584231</v>
      </c>
      <c r="C25" s="364">
        <f>B25/'- 3 -'!D25*100</f>
        <v>0.4356493676663491</v>
      </c>
      <c r="D25" s="363">
        <v>13382467</v>
      </c>
      <c r="E25" s="364">
        <f>D25/'- 3 -'!D25*100</f>
        <v>9.97903789146037</v>
      </c>
      <c r="F25" s="363">
        <v>506720</v>
      </c>
      <c r="G25" s="364">
        <f>F25/'- 3 -'!D25*100</f>
        <v>0.3778509657719163</v>
      </c>
    </row>
    <row r="26" spans="1:7" ht="13.5" customHeight="1">
      <c r="A26" s="23" t="s">
        <v>230</v>
      </c>
      <c r="B26" s="24">
        <v>132182</v>
      </c>
      <c r="C26" s="355">
        <f>B26/'- 3 -'!D26*100</f>
        <v>0.4075164152515258</v>
      </c>
      <c r="D26" s="24">
        <v>3217002</v>
      </c>
      <c r="E26" s="355">
        <f>D26/'- 3 -'!D26*100</f>
        <v>9.918000354791038</v>
      </c>
      <c r="F26" s="24">
        <v>177120</v>
      </c>
      <c r="G26" s="355">
        <f>F26/'- 3 -'!D26*100</f>
        <v>0.5460600344173205</v>
      </c>
    </row>
    <row r="27" spans="1:7" ht="13.5" customHeight="1">
      <c r="A27" s="362" t="s">
        <v>231</v>
      </c>
      <c r="B27" s="363">
        <v>173128</v>
      </c>
      <c r="C27" s="364">
        <f>B27/'- 3 -'!D27*100</f>
        <v>0.4905845388114858</v>
      </c>
      <c r="D27" s="363">
        <v>3732119</v>
      </c>
      <c r="E27" s="364">
        <f>D27/'- 3 -'!D27*100</f>
        <v>10.575527230745942</v>
      </c>
      <c r="F27" s="363">
        <v>490043</v>
      </c>
      <c r="G27" s="364">
        <f>F27/'- 3 -'!D27*100</f>
        <v>1.3886114271105594</v>
      </c>
    </row>
    <row r="28" spans="1:7" ht="13.5" customHeight="1">
      <c r="A28" s="23" t="s">
        <v>232</v>
      </c>
      <c r="B28" s="24">
        <v>48504</v>
      </c>
      <c r="C28" s="355">
        <f>B28/'- 3 -'!D28*100</f>
        <v>0.2610256623033771</v>
      </c>
      <c r="D28" s="24">
        <v>1822870</v>
      </c>
      <c r="E28" s="355">
        <f>D28/'- 3 -'!D28*100</f>
        <v>9.809827004844076</v>
      </c>
      <c r="F28" s="24">
        <v>112440</v>
      </c>
      <c r="G28" s="355">
        <f>F28/'- 3 -'!D28*100</f>
        <v>0.6050990736721038</v>
      </c>
    </row>
    <row r="29" spans="1:7" ht="13.5" customHeight="1">
      <c r="A29" s="362" t="s">
        <v>233</v>
      </c>
      <c r="B29" s="363">
        <v>725563</v>
      </c>
      <c r="C29" s="364">
        <f>B29/'- 3 -'!D29*100</f>
        <v>0.5897495041291642</v>
      </c>
      <c r="D29" s="363">
        <v>10127530</v>
      </c>
      <c r="E29" s="364">
        <f>D29/'- 3 -'!D29*100</f>
        <v>8.231822454498417</v>
      </c>
      <c r="F29" s="363">
        <v>1024000</v>
      </c>
      <c r="G29" s="364">
        <f>F29/'- 3 -'!D29*100</f>
        <v>0.8323239914773274</v>
      </c>
    </row>
    <row r="30" spans="1:7" ht="13.5" customHeight="1">
      <c r="A30" s="23" t="s">
        <v>234</v>
      </c>
      <c r="B30" s="24">
        <v>48783</v>
      </c>
      <c r="C30" s="355">
        <f>B30/'- 3 -'!D30*100</f>
        <v>0.42754069143048345</v>
      </c>
      <c r="D30" s="24">
        <v>934050</v>
      </c>
      <c r="E30" s="355">
        <f>D30/'- 3 -'!D30*100</f>
        <v>8.186138261907695</v>
      </c>
      <c r="F30" s="24">
        <v>213000</v>
      </c>
      <c r="G30" s="355">
        <f>F30/'- 3 -'!D30*100</f>
        <v>1.8667602909762209</v>
      </c>
    </row>
    <row r="31" spans="1:7" ht="13.5" customHeight="1">
      <c r="A31" s="362" t="s">
        <v>235</v>
      </c>
      <c r="B31" s="363">
        <v>195133</v>
      </c>
      <c r="C31" s="364">
        <f>B31/'- 3 -'!D31*100</f>
        <v>0.6648204523469253</v>
      </c>
      <c r="D31" s="363">
        <v>3039204</v>
      </c>
      <c r="E31" s="364">
        <f>D31/'- 3 -'!D31*100</f>
        <v>10.35460418306788</v>
      </c>
      <c r="F31" s="363">
        <v>157436</v>
      </c>
      <c r="G31" s="364">
        <f>F31/'- 3 -'!D31*100</f>
        <v>0.5363863248947668</v>
      </c>
    </row>
    <row r="32" spans="1:7" ht="13.5" customHeight="1">
      <c r="A32" s="23" t="s">
        <v>236</v>
      </c>
      <c r="B32" s="24">
        <v>52900</v>
      </c>
      <c r="C32" s="355">
        <f>B32/'- 3 -'!D32*100</f>
        <v>0.24141006845184773</v>
      </c>
      <c r="D32" s="24">
        <v>1822055</v>
      </c>
      <c r="E32" s="355">
        <f>D32/'- 3 -'!D32*100</f>
        <v>8.314979627089441</v>
      </c>
      <c r="F32" s="24">
        <v>229000</v>
      </c>
      <c r="G32" s="355">
        <f>F32/'- 3 -'!D32*100</f>
        <v>1.0450454759068644</v>
      </c>
    </row>
    <row r="33" spans="1:7" ht="13.5" customHeight="1">
      <c r="A33" s="362" t="s">
        <v>237</v>
      </c>
      <c r="B33" s="363">
        <v>66100</v>
      </c>
      <c r="C33" s="364">
        <f>B33/'- 3 -'!D33*100</f>
        <v>0.28749755344366396</v>
      </c>
      <c r="D33" s="363">
        <v>2348400</v>
      </c>
      <c r="E33" s="364">
        <f>D33/'- 3 -'!D33*100</f>
        <v>10.214209599199704</v>
      </c>
      <c r="F33" s="363">
        <v>228200</v>
      </c>
      <c r="G33" s="364">
        <f>F33/'- 3 -'!D33*100</f>
        <v>0.9925407215710154</v>
      </c>
    </row>
    <row r="34" spans="1:7" ht="13.5" customHeight="1">
      <c r="A34" s="23" t="s">
        <v>238</v>
      </c>
      <c r="B34" s="24">
        <v>55554</v>
      </c>
      <c r="C34" s="355">
        <f>B34/'- 3 -'!D34*100</f>
        <v>0.2686445476820619</v>
      </c>
      <c r="D34" s="24">
        <v>1828619</v>
      </c>
      <c r="E34" s="355">
        <f>D34/'- 3 -'!D34*100</f>
        <v>8.842721030669697</v>
      </c>
      <c r="F34" s="24">
        <v>211976</v>
      </c>
      <c r="G34" s="355">
        <f>F34/'- 3 -'!D34*100</f>
        <v>1.025060241196903</v>
      </c>
    </row>
    <row r="35" spans="1:7" ht="13.5" customHeight="1">
      <c r="A35" s="362" t="s">
        <v>239</v>
      </c>
      <c r="B35" s="363">
        <v>672350</v>
      </c>
      <c r="C35" s="364">
        <f>B35/'- 3 -'!D35*100</f>
        <v>0.44591177986109726</v>
      </c>
      <c r="D35" s="363">
        <v>16877840</v>
      </c>
      <c r="E35" s="364">
        <f>D35/'- 3 -'!D35*100</f>
        <v>11.193615936061311</v>
      </c>
      <c r="F35" s="363">
        <v>647500</v>
      </c>
      <c r="G35" s="364">
        <f>F35/'- 3 -'!D35*100</f>
        <v>0.4294309176174024</v>
      </c>
    </row>
    <row r="36" spans="1:7" ht="13.5" customHeight="1">
      <c r="A36" s="23" t="s">
        <v>240</v>
      </c>
      <c r="B36" s="24">
        <v>50485</v>
      </c>
      <c r="C36" s="355">
        <f>B36/'- 3 -'!D36*100</f>
        <v>0.2627322488548236</v>
      </c>
      <c r="D36" s="24">
        <v>1925800</v>
      </c>
      <c r="E36" s="355">
        <f>D36/'- 3 -'!D36*100</f>
        <v>10.02218014944279</v>
      </c>
      <c r="F36" s="24">
        <v>120000</v>
      </c>
      <c r="G36" s="355">
        <f>F36/'- 3 -'!D36*100</f>
        <v>0.6244997496796837</v>
      </c>
    </row>
    <row r="37" spans="1:7" ht="13.5" customHeight="1">
      <c r="A37" s="362" t="s">
        <v>241</v>
      </c>
      <c r="B37" s="363">
        <v>100988</v>
      </c>
      <c r="C37" s="364">
        <f>B37/'- 3 -'!D37*100</f>
        <v>0.3065119958921298</v>
      </c>
      <c r="D37" s="363">
        <v>2966350</v>
      </c>
      <c r="E37" s="364">
        <f>D37/'- 3 -'!D37*100</f>
        <v>9.00326631891531</v>
      </c>
      <c r="F37" s="363">
        <v>216486</v>
      </c>
      <c r="G37" s="364">
        <f>F37/'- 3 -'!D37*100</f>
        <v>0.6570637693855073</v>
      </c>
    </row>
    <row r="38" spans="1:7" ht="13.5" customHeight="1">
      <c r="A38" s="23" t="s">
        <v>242</v>
      </c>
      <c r="B38" s="24">
        <v>362706</v>
      </c>
      <c r="C38" s="355">
        <f>B38/'- 3 -'!D38*100</f>
        <v>0.43491028370142215</v>
      </c>
      <c r="D38" s="24">
        <v>8015367</v>
      </c>
      <c r="E38" s="355">
        <f>D38/'- 3 -'!D38*100</f>
        <v>9.610994954428703</v>
      </c>
      <c r="F38" s="24">
        <v>1034450</v>
      </c>
      <c r="G38" s="355">
        <f>F38/'- 3 -'!D38*100</f>
        <v>1.2403791031163978</v>
      </c>
    </row>
    <row r="39" spans="1:7" ht="13.5" customHeight="1">
      <c r="A39" s="362" t="s">
        <v>243</v>
      </c>
      <c r="B39" s="363">
        <v>61500</v>
      </c>
      <c r="C39" s="364">
        <f>B39/'- 3 -'!D39*100</f>
        <v>0.35731292315436547</v>
      </c>
      <c r="D39" s="363">
        <v>1540800</v>
      </c>
      <c r="E39" s="364">
        <f>D39/'- 3 -'!D39*100</f>
        <v>8.951995967418638</v>
      </c>
      <c r="F39" s="363">
        <v>180200</v>
      </c>
      <c r="G39" s="364">
        <f>F39/'- 3 -'!D39*100</f>
        <v>1.0469559146734415</v>
      </c>
    </row>
    <row r="40" spans="1:7" ht="13.5" customHeight="1">
      <c r="A40" s="23" t="s">
        <v>244</v>
      </c>
      <c r="B40" s="24">
        <v>264840</v>
      </c>
      <c r="C40" s="355">
        <f>B40/'- 3 -'!D40*100</f>
        <v>0.3147247623574924</v>
      </c>
      <c r="D40" s="24">
        <v>7578162</v>
      </c>
      <c r="E40" s="355">
        <f>D40/'- 3 -'!D40*100</f>
        <v>9.005570286046591</v>
      </c>
      <c r="F40" s="24">
        <v>991516</v>
      </c>
      <c r="G40" s="355">
        <f>F40/'- 3 -'!D40*100</f>
        <v>1.17827608168574</v>
      </c>
    </row>
    <row r="41" spans="1:7" ht="13.5" customHeight="1">
      <c r="A41" s="362" t="s">
        <v>245</v>
      </c>
      <c r="B41" s="363">
        <v>146655</v>
      </c>
      <c r="C41" s="364">
        <f>B41/'- 3 -'!D41*100</f>
        <v>0.28615124555253885</v>
      </c>
      <c r="D41" s="363">
        <v>3820471</v>
      </c>
      <c r="E41" s="364">
        <f>D41/'- 3 -'!D41*100</f>
        <v>7.454451162574434</v>
      </c>
      <c r="F41" s="363">
        <v>150480</v>
      </c>
      <c r="G41" s="364">
        <f>F41/'- 3 -'!D41*100</f>
        <v>0.29361453363844425</v>
      </c>
    </row>
    <row r="42" spans="1:7" ht="13.5" customHeight="1">
      <c r="A42" s="23" t="s">
        <v>246</v>
      </c>
      <c r="B42" s="24">
        <v>57470</v>
      </c>
      <c r="C42" s="355">
        <f>B42/'- 3 -'!D42*100</f>
        <v>0.3242567766111731</v>
      </c>
      <c r="D42" s="24">
        <v>1604609</v>
      </c>
      <c r="E42" s="355">
        <f>D42/'- 3 -'!D42*100</f>
        <v>9.053512129133075</v>
      </c>
      <c r="F42" s="24">
        <v>83799</v>
      </c>
      <c r="G42" s="355">
        <f>F42/'- 3 -'!D42*100</f>
        <v>0.47281005086548966</v>
      </c>
    </row>
    <row r="43" spans="1:7" ht="13.5" customHeight="1">
      <c r="A43" s="362" t="s">
        <v>247</v>
      </c>
      <c r="B43" s="363">
        <v>43043</v>
      </c>
      <c r="C43" s="364">
        <f>B43/'- 3 -'!D43*100</f>
        <v>0.41749889036839766</v>
      </c>
      <c r="D43" s="363">
        <v>716821</v>
      </c>
      <c r="E43" s="364">
        <f>D43/'- 3 -'!D43*100</f>
        <v>6.9528604440388735</v>
      </c>
      <c r="F43" s="363">
        <v>102300</v>
      </c>
      <c r="G43" s="364">
        <f>F43/'- 3 -'!D43*100</f>
        <v>0.9922667212946841</v>
      </c>
    </row>
    <row r="44" spans="1:7" ht="13.5" customHeight="1">
      <c r="A44" s="23" t="s">
        <v>248</v>
      </c>
      <c r="B44" s="24">
        <v>21412</v>
      </c>
      <c r="C44" s="355">
        <f>B44/'- 3 -'!D44*100</f>
        <v>0.2528807226634722</v>
      </c>
      <c r="D44" s="24">
        <v>729970</v>
      </c>
      <c r="E44" s="355">
        <f>D44/'- 3 -'!D44*100</f>
        <v>8.621116248956419</v>
      </c>
      <c r="F44" s="24">
        <v>53640</v>
      </c>
      <c r="G44" s="355">
        <f>F44/'- 3 -'!D44*100</f>
        <v>0.6335009323588946</v>
      </c>
    </row>
    <row r="45" spans="1:7" ht="13.5" customHeight="1">
      <c r="A45" s="362" t="s">
        <v>249</v>
      </c>
      <c r="B45" s="363">
        <v>44415</v>
      </c>
      <c r="C45" s="364">
        <f>B45/'- 3 -'!D45*100</f>
        <v>0.341056655949279</v>
      </c>
      <c r="D45" s="363">
        <v>1089137</v>
      </c>
      <c r="E45" s="364">
        <f>D45/'- 3 -'!D45*100</f>
        <v>8.363332727471121</v>
      </c>
      <c r="F45" s="363">
        <v>138040</v>
      </c>
      <c r="G45" s="364">
        <f>F45/'- 3 -'!D45*100</f>
        <v>1.0599901111615102</v>
      </c>
    </row>
    <row r="46" spans="1:7" ht="13.5" customHeight="1">
      <c r="A46" s="23" t="s">
        <v>250</v>
      </c>
      <c r="B46" s="24">
        <v>1004200</v>
      </c>
      <c r="C46" s="355">
        <f>B46/'- 3 -'!D46*100</f>
        <v>0.3277710394278336</v>
      </c>
      <c r="D46" s="24">
        <v>33402400</v>
      </c>
      <c r="E46" s="355">
        <f>D46/'- 3 -'!D46*100</f>
        <v>10.90254866299967</v>
      </c>
      <c r="F46" s="24">
        <v>2881900</v>
      </c>
      <c r="G46" s="355">
        <f>F46/'- 3 -'!D46*100</f>
        <v>0.9406526175334332</v>
      </c>
    </row>
    <row r="47" spans="1:7" ht="4.5" customHeight="1">
      <c r="A47"/>
      <c r="B47"/>
      <c r="C47"/>
      <c r="D47"/>
      <c r="E47"/>
      <c r="F47"/>
      <c r="G47"/>
    </row>
    <row r="48" spans="1:7" ht="13.5" customHeight="1">
      <c r="A48" s="365" t="s">
        <v>251</v>
      </c>
      <c r="B48" s="366">
        <f>SUM(B11:B46)</f>
        <v>6576980</v>
      </c>
      <c r="C48" s="367">
        <f>B48/'- 3 -'!D48*100</f>
        <v>0.38067480173335466</v>
      </c>
      <c r="D48" s="366">
        <f>SUM(D11:D46)</f>
        <v>171123318</v>
      </c>
      <c r="E48" s="367">
        <f>D48/'- 3 -'!D48*100</f>
        <v>9.904596813674939</v>
      </c>
      <c r="F48" s="366">
        <f>SUM(F11:F46)</f>
        <v>14274842</v>
      </c>
      <c r="G48" s="367">
        <f>F48/'- 3 -'!D48*100</f>
        <v>0.8262261171730739</v>
      </c>
    </row>
    <row r="49" spans="1:7" ht="4.5" customHeight="1">
      <c r="A49" s="25" t="s">
        <v>3</v>
      </c>
      <c r="B49" s="26"/>
      <c r="C49" s="353"/>
      <c r="D49" s="26"/>
      <c r="E49" s="353"/>
      <c r="F49" s="26"/>
      <c r="G49" s="353"/>
    </row>
    <row r="50" spans="1:7" ht="13.5" customHeight="1">
      <c r="A50" s="23" t="s">
        <v>252</v>
      </c>
      <c r="B50" s="24">
        <v>4871</v>
      </c>
      <c r="C50" s="355">
        <f>B50/'- 3 -'!D50*100</f>
        <v>0.17140164744042904</v>
      </c>
      <c r="D50" s="24">
        <v>371003</v>
      </c>
      <c r="E50" s="355">
        <f>D50/'- 3 -'!D50*100</f>
        <v>13.05492207048686</v>
      </c>
      <c r="F50" s="24">
        <v>0</v>
      </c>
      <c r="G50" s="355">
        <f>F50/'- 3 -'!D50*100</f>
        <v>0</v>
      </c>
    </row>
    <row r="51" spans="1:7" ht="13.5" customHeight="1">
      <c r="A51" s="362" t="s">
        <v>253</v>
      </c>
      <c r="B51" s="363">
        <v>11300</v>
      </c>
      <c r="C51" s="364">
        <f>B51/'- 3 -'!D51*100</f>
        <v>0.09312588402629843</v>
      </c>
      <c r="D51" s="363">
        <v>898783</v>
      </c>
      <c r="E51" s="364">
        <f>D51/'- 3 -'!D51*100</f>
        <v>7.407076232106953</v>
      </c>
      <c r="F51" s="363">
        <v>40000</v>
      </c>
      <c r="G51" s="364">
        <f>F51/'- 3 -'!D51*100</f>
        <v>0.3296491469957466</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1"/>
  <sheetViews>
    <sheetView showGridLines="0" showZeros="0" workbookViewId="0" topLeftCell="A1">
      <selection activeCell="A1" sqref="A1"/>
    </sheetView>
  </sheetViews>
  <sheetFormatPr defaultColWidth="15.83203125" defaultRowHeight="12"/>
  <cols>
    <col min="1" max="1" width="35.83203125" style="1" customWidth="1"/>
    <col min="2" max="2" width="19.83203125" style="1" customWidth="1"/>
    <col min="3" max="3" width="15.83203125" style="1" customWidth="1"/>
    <col min="4" max="4" width="19.83203125" style="1" customWidth="1"/>
    <col min="5" max="5" width="15.83203125" style="1" customWidth="1"/>
    <col min="6" max="6" width="25.83203125" style="1" customWidth="1"/>
    <col min="7" max="16384" width="15.83203125" style="1" customWidth="1"/>
  </cols>
  <sheetData>
    <row r="1" spans="1:6" ht="6.75" customHeight="1">
      <c r="A1" s="3"/>
      <c r="B1" s="3"/>
      <c r="C1" s="3"/>
      <c r="D1" s="4"/>
      <c r="E1" s="4"/>
      <c r="F1" s="4"/>
    </row>
    <row r="2" spans="1:6" ht="15.75" customHeight="1">
      <c r="A2" s="167"/>
      <c r="B2" s="5" t="s">
        <v>491</v>
      </c>
      <c r="C2" s="196"/>
      <c r="D2" s="168"/>
      <c r="E2" s="6"/>
      <c r="F2" s="190" t="s">
        <v>426</v>
      </c>
    </row>
    <row r="3" spans="1:6" ht="15.75" customHeight="1">
      <c r="A3" s="170"/>
      <c r="B3" s="7" t="str">
        <f>OPYEAR</f>
        <v>OPERATING FUND 2008/2009 BUDGET</v>
      </c>
      <c r="C3" s="197"/>
      <c r="D3" s="183"/>
      <c r="E3" s="8"/>
      <c r="F3" s="103"/>
    </row>
    <row r="4" spans="4:6" ht="15.75" customHeight="1">
      <c r="D4" s="4"/>
      <c r="E4" s="4"/>
      <c r="F4" s="4"/>
    </row>
    <row r="5" spans="4:6" ht="15.75" customHeight="1">
      <c r="D5" s="4"/>
      <c r="E5" s="4"/>
      <c r="F5" s="4"/>
    </row>
    <row r="6" spans="2:6" ht="15.75" customHeight="1">
      <c r="B6" s="191" t="s">
        <v>352</v>
      </c>
      <c r="C6" s="193"/>
      <c r="D6" s="74"/>
      <c r="E6" s="198"/>
      <c r="F6" s="77"/>
    </row>
    <row r="7" spans="2:6" ht="15.75" customHeight="1">
      <c r="B7" s="444"/>
      <c r="C7" s="358"/>
      <c r="D7" s="444"/>
      <c r="E7" s="358"/>
      <c r="F7" s="4"/>
    </row>
    <row r="8" spans="1:6" ht="15.75" customHeight="1">
      <c r="A8" s="104"/>
      <c r="B8" s="360" t="s">
        <v>64</v>
      </c>
      <c r="C8" s="361"/>
      <c r="D8" s="359" t="s">
        <v>65</v>
      </c>
      <c r="E8" s="361"/>
      <c r="F8" s="4"/>
    </row>
    <row r="9" spans="1:5" ht="15.75" customHeight="1">
      <c r="A9" s="35" t="s">
        <v>79</v>
      </c>
      <c r="B9" s="195" t="s">
        <v>80</v>
      </c>
      <c r="C9" s="195" t="s">
        <v>81</v>
      </c>
      <c r="D9" s="199" t="s">
        <v>80</v>
      </c>
      <c r="E9" s="195" t="s">
        <v>81</v>
      </c>
    </row>
    <row r="10" ht="4.5" customHeight="1">
      <c r="A10" s="37"/>
    </row>
    <row r="11" spans="1:5" ht="13.5" customHeight="1">
      <c r="A11" s="362" t="s">
        <v>216</v>
      </c>
      <c r="B11" s="363">
        <v>49259</v>
      </c>
      <c r="C11" s="364">
        <f>B11/'- 3 -'!D11*100</f>
        <v>0.36804970789290625</v>
      </c>
      <c r="D11" s="363">
        <v>16950</v>
      </c>
      <c r="E11" s="364">
        <f>D11/'- 3 -'!D11*100</f>
        <v>0.12664574085516883</v>
      </c>
    </row>
    <row r="12" spans="1:5" ht="13.5" customHeight="1">
      <c r="A12" s="23" t="s">
        <v>217</v>
      </c>
      <c r="B12" s="24">
        <v>190455</v>
      </c>
      <c r="C12" s="355">
        <f>B12/'- 3 -'!D12*100</f>
        <v>0.7580869071578681</v>
      </c>
      <c r="D12" s="24">
        <v>75000</v>
      </c>
      <c r="E12" s="355">
        <f>D12/'- 3 -'!D12*100</f>
        <v>0.2985299311482508</v>
      </c>
    </row>
    <row r="13" spans="1:5" ht="13.5" customHeight="1">
      <c r="A13" s="362" t="s">
        <v>218</v>
      </c>
      <c r="B13" s="363">
        <v>229000</v>
      </c>
      <c r="C13" s="364">
        <f>B13/'- 3 -'!D13*100</f>
        <v>0.38928166483358634</v>
      </c>
      <c r="D13" s="363">
        <v>116800</v>
      </c>
      <c r="E13" s="364">
        <f>D13/'- 3 -'!D13*100</f>
        <v>0.19855064826446675</v>
      </c>
    </row>
    <row r="14" spans="1:5" ht="13.5" customHeight="1">
      <c r="A14" s="23" t="s">
        <v>254</v>
      </c>
      <c r="B14" s="24">
        <v>156259</v>
      </c>
      <c r="C14" s="355">
        <f>B14/'- 3 -'!D14*100</f>
        <v>0.27474071245262427</v>
      </c>
      <c r="D14" s="24">
        <v>170000</v>
      </c>
      <c r="E14" s="355">
        <f>D14/'- 3 -'!D14*100</f>
        <v>0.29890067846937535</v>
      </c>
    </row>
    <row r="15" spans="1:5" ht="13.5" customHeight="1">
      <c r="A15" s="362" t="s">
        <v>219</v>
      </c>
      <c r="B15" s="363">
        <v>107820</v>
      </c>
      <c r="C15" s="364">
        <f>B15/'- 3 -'!D15*100</f>
        <v>0.6602977512948285</v>
      </c>
      <c r="D15" s="363">
        <v>45000</v>
      </c>
      <c r="E15" s="364">
        <f>D15/'- 3 -'!D15*100</f>
        <v>0.27558336865393507</v>
      </c>
    </row>
    <row r="16" spans="1:5" ht="13.5" customHeight="1">
      <c r="A16" s="23" t="s">
        <v>220</v>
      </c>
      <c r="B16" s="24">
        <v>3375</v>
      </c>
      <c r="C16" s="355">
        <f>B16/'- 3 -'!D16*100</f>
        <v>0.02959929915875722</v>
      </c>
      <c r="D16" s="24">
        <v>25500</v>
      </c>
      <c r="E16" s="355">
        <f>D16/'- 3 -'!D16*100</f>
        <v>0.223639149199499</v>
      </c>
    </row>
    <row r="17" spans="1:5" ht="13.5" customHeight="1">
      <c r="A17" s="362" t="s">
        <v>221</v>
      </c>
      <c r="B17" s="363">
        <v>123750</v>
      </c>
      <c r="C17" s="364">
        <f>B17/'- 3 -'!D17*100</f>
        <v>0.8427554527980332</v>
      </c>
      <c r="D17" s="363">
        <v>48000</v>
      </c>
      <c r="E17" s="364">
        <f>D17/'- 3 -'!D17*100</f>
        <v>0.32688696350954016</v>
      </c>
    </row>
    <row r="18" spans="1:5" ht="13.5" customHeight="1">
      <c r="A18" s="23" t="s">
        <v>222</v>
      </c>
      <c r="B18" s="24">
        <v>2348694</v>
      </c>
      <c r="C18" s="355">
        <f>B18/'- 3 -'!D18*100</f>
        <v>2.3474490538687713</v>
      </c>
      <c r="D18" s="24">
        <v>67700</v>
      </c>
      <c r="E18" s="355">
        <f>D18/'- 3 -'!D18*100</f>
        <v>0.06766411501324388</v>
      </c>
    </row>
    <row r="19" spans="1:5" ht="13.5" customHeight="1">
      <c r="A19" s="362" t="s">
        <v>223</v>
      </c>
      <c r="B19" s="363">
        <v>19400</v>
      </c>
      <c r="C19" s="364">
        <f>B19/'- 3 -'!D19*100</f>
        <v>0.06689647098701777</v>
      </c>
      <c r="D19" s="363">
        <v>22000</v>
      </c>
      <c r="E19" s="364">
        <f>D19/'- 3 -'!D19*100</f>
        <v>0.0758619774079583</v>
      </c>
    </row>
    <row r="20" spans="1:5" ht="13.5" customHeight="1">
      <c r="A20" s="23" t="s">
        <v>224</v>
      </c>
      <c r="B20" s="24">
        <v>254848</v>
      </c>
      <c r="C20" s="355">
        <f>B20/'- 3 -'!D20*100</f>
        <v>0.46119867620767685</v>
      </c>
      <c r="D20" s="24">
        <v>212884</v>
      </c>
      <c r="E20" s="355">
        <f>D20/'- 3 -'!D20*100</f>
        <v>0.3852563841419005</v>
      </c>
    </row>
    <row r="21" spans="1:5" ht="13.5" customHeight="1">
      <c r="A21" s="362" t="s">
        <v>225</v>
      </c>
      <c r="B21" s="363">
        <v>135000</v>
      </c>
      <c r="C21" s="364">
        <f>B21/'- 3 -'!D21*100</f>
        <v>0.4747870492160738</v>
      </c>
      <c r="D21" s="363">
        <v>118000</v>
      </c>
      <c r="E21" s="364">
        <f>D21/'- 3 -'!D21*100</f>
        <v>0.41499905042590157</v>
      </c>
    </row>
    <row r="22" spans="1:5" ht="13.5" customHeight="1">
      <c r="A22" s="23" t="s">
        <v>226</v>
      </c>
      <c r="B22" s="24">
        <v>46430</v>
      </c>
      <c r="C22" s="355">
        <f>B22/'- 3 -'!D22*100</f>
        <v>0.2896110653757527</v>
      </c>
      <c r="D22" s="24">
        <v>2500</v>
      </c>
      <c r="E22" s="355">
        <f>D22/'- 3 -'!D22*100</f>
        <v>0.01559396216755076</v>
      </c>
    </row>
    <row r="23" spans="1:5" ht="13.5" customHeight="1">
      <c r="A23" s="362" t="s">
        <v>227</v>
      </c>
      <c r="B23" s="363">
        <v>38900</v>
      </c>
      <c r="C23" s="364">
        <f>B23/'- 3 -'!D23*100</f>
        <v>0.2933374837948007</v>
      </c>
      <c r="D23" s="363">
        <v>9000</v>
      </c>
      <c r="E23" s="364">
        <f>D23/'- 3 -'!D23*100</f>
        <v>0.06786728416846288</v>
      </c>
    </row>
    <row r="24" spans="1:5" ht="13.5" customHeight="1">
      <c r="A24" s="23" t="s">
        <v>228</v>
      </c>
      <c r="B24" s="24">
        <v>151865</v>
      </c>
      <c r="C24" s="355">
        <f>B24/'- 3 -'!D24*100</f>
        <v>0.34190780887582</v>
      </c>
      <c r="D24" s="24">
        <v>214500</v>
      </c>
      <c r="E24" s="355">
        <f>D24/'- 3 -'!D24*100</f>
        <v>0.48292381393911293</v>
      </c>
    </row>
    <row r="25" spans="1:5" ht="13.5" customHeight="1">
      <c r="A25" s="362" t="s">
        <v>229</v>
      </c>
      <c r="B25" s="363">
        <v>325000</v>
      </c>
      <c r="C25" s="364">
        <f>B25/'- 3 -'!D25*100</f>
        <v>0.24234599754474423</v>
      </c>
      <c r="D25" s="363">
        <v>315000</v>
      </c>
      <c r="E25" s="364">
        <f>D25/'- 3 -'!D25*100</f>
        <v>0.23488919762029054</v>
      </c>
    </row>
    <row r="26" spans="1:5" ht="13.5" customHeight="1">
      <c r="A26" s="23" t="s">
        <v>230</v>
      </c>
      <c r="B26" s="24">
        <v>213268</v>
      </c>
      <c r="C26" s="355">
        <f>B26/'- 3 -'!D26*100</f>
        <v>0.6575041295173504</v>
      </c>
      <c r="D26" s="24">
        <v>46700</v>
      </c>
      <c r="E26" s="355">
        <f>D26/'- 3 -'!D26*100</f>
        <v>0.14397585595804463</v>
      </c>
    </row>
    <row r="27" spans="1:5" ht="13.5" customHeight="1">
      <c r="A27" s="362" t="s">
        <v>231</v>
      </c>
      <c r="B27" s="363">
        <v>153760</v>
      </c>
      <c r="C27" s="364">
        <f>B27/'- 3 -'!D27*100</f>
        <v>0.43570236292023273</v>
      </c>
      <c r="D27" s="363">
        <v>157632</v>
      </c>
      <c r="E27" s="364">
        <f>D27/'- 3 -'!D27*100</f>
        <v>0.4466742642549566</v>
      </c>
    </row>
    <row r="28" spans="1:5" ht="13.5" customHeight="1">
      <c r="A28" s="23" t="s">
        <v>232</v>
      </c>
      <c r="B28" s="24">
        <v>62600</v>
      </c>
      <c r="C28" s="355">
        <f>B28/'- 3 -'!D28*100</f>
        <v>0.33688368918422</v>
      </c>
      <c r="D28" s="24">
        <v>42500</v>
      </c>
      <c r="E28" s="355">
        <f>D28/'- 3 -'!D28*100</f>
        <v>0.2287149647017468</v>
      </c>
    </row>
    <row r="29" spans="1:5" ht="13.5" customHeight="1">
      <c r="A29" s="362" t="s">
        <v>233</v>
      </c>
      <c r="B29" s="363">
        <v>414984</v>
      </c>
      <c r="C29" s="364">
        <f>B29/'- 3 -'!D29*100</f>
        <v>0.3373058000773704</v>
      </c>
      <c r="D29" s="363">
        <v>293646</v>
      </c>
      <c r="E29" s="364">
        <f>D29/'- 3 -'!D29*100</f>
        <v>0.2386802839856946</v>
      </c>
    </row>
    <row r="30" spans="1:5" ht="13.5" customHeight="1">
      <c r="A30" s="23" t="s">
        <v>234</v>
      </c>
      <c r="B30" s="24">
        <v>41642</v>
      </c>
      <c r="C30" s="355">
        <f>B30/'- 3 -'!D30*100</f>
        <v>0.36495601895226193</v>
      </c>
      <c r="D30" s="24">
        <v>17835</v>
      </c>
      <c r="E30" s="355">
        <f>D30/'- 3 -'!D30*100</f>
        <v>0.15630830887117794</v>
      </c>
    </row>
    <row r="31" spans="1:5" ht="13.5" customHeight="1">
      <c r="A31" s="362" t="s">
        <v>235</v>
      </c>
      <c r="B31" s="363">
        <v>37517</v>
      </c>
      <c r="C31" s="364">
        <f>B31/'- 3 -'!D31*100</f>
        <v>0.1278208653108372</v>
      </c>
      <c r="D31" s="363">
        <v>46500</v>
      </c>
      <c r="E31" s="364">
        <f>D31/'- 3 -'!D31*100</f>
        <v>0.15842605317466563</v>
      </c>
    </row>
    <row r="32" spans="1:5" ht="13.5" customHeight="1">
      <c r="A32" s="23" t="s">
        <v>236</v>
      </c>
      <c r="B32" s="24">
        <v>127575</v>
      </c>
      <c r="C32" s="355">
        <f>B32/'- 3 -'!D32*100</f>
        <v>0.5821907274620883</v>
      </c>
      <c r="D32" s="24">
        <v>47900</v>
      </c>
      <c r="E32" s="355">
        <f>D32/'- 3 -'!D32*100</f>
        <v>0.21859248164165418</v>
      </c>
    </row>
    <row r="33" spans="1:5" ht="13.5" customHeight="1">
      <c r="A33" s="362" t="s">
        <v>237</v>
      </c>
      <c r="B33" s="363">
        <v>95500</v>
      </c>
      <c r="C33" s="364">
        <f>B33/'- 3 -'!D33*100</f>
        <v>0.41537089794054327</v>
      </c>
      <c r="D33" s="363">
        <v>80000</v>
      </c>
      <c r="E33" s="364">
        <f>D33/'- 3 -'!D33*100</f>
        <v>0.34795467890307286</v>
      </c>
    </row>
    <row r="34" spans="1:5" ht="13.5" customHeight="1">
      <c r="A34" s="23" t="s">
        <v>238</v>
      </c>
      <c r="B34" s="24">
        <v>88960</v>
      </c>
      <c r="C34" s="355">
        <f>B34/'- 3 -'!D34*100</f>
        <v>0.43018718655355553</v>
      </c>
      <c r="D34" s="24">
        <v>89400</v>
      </c>
      <c r="E34" s="355">
        <f>D34/'- 3 -'!D34*100</f>
        <v>0.43231491094748054</v>
      </c>
    </row>
    <row r="35" spans="1:5" ht="13.5" customHeight="1">
      <c r="A35" s="362" t="s">
        <v>239</v>
      </c>
      <c r="B35" s="363">
        <v>313000</v>
      </c>
      <c r="C35" s="364">
        <f>B35/'- 3 -'!D35*100</f>
        <v>0.20758591075559374</v>
      </c>
      <c r="D35" s="363">
        <v>73000</v>
      </c>
      <c r="E35" s="364">
        <f>D35/'- 3 -'!D35*100</f>
        <v>0.04841460538389247</v>
      </c>
    </row>
    <row r="36" spans="1:5" ht="13.5" customHeight="1">
      <c r="A36" s="23" t="s">
        <v>240</v>
      </c>
      <c r="B36" s="24">
        <v>55550</v>
      </c>
      <c r="C36" s="355">
        <f>B36/'- 3 -'!D36*100</f>
        <v>0.2890913424558869</v>
      </c>
      <c r="D36" s="24">
        <v>65600</v>
      </c>
      <c r="E36" s="355">
        <f>D36/'- 3 -'!D36*100</f>
        <v>0.3413931964915604</v>
      </c>
    </row>
    <row r="37" spans="1:5" ht="13.5" customHeight="1">
      <c r="A37" s="362" t="s">
        <v>241</v>
      </c>
      <c r="B37" s="363">
        <v>128318</v>
      </c>
      <c r="C37" s="364">
        <f>B37/'- 3 -'!D37*100</f>
        <v>0.3894621765842111</v>
      </c>
      <c r="D37" s="363">
        <v>146500</v>
      </c>
      <c r="E37" s="364">
        <f>D37/'- 3 -'!D37*100</f>
        <v>0.4446469619974355</v>
      </c>
    </row>
    <row r="38" spans="1:5" ht="13.5" customHeight="1">
      <c r="A38" s="23" t="s">
        <v>242</v>
      </c>
      <c r="B38" s="24">
        <v>420358</v>
      </c>
      <c r="C38" s="355">
        <f>B38/'- 3 -'!D38*100</f>
        <v>0.5040391309660233</v>
      </c>
      <c r="D38" s="24">
        <v>222129</v>
      </c>
      <c r="E38" s="355">
        <f>D38/'- 3 -'!D38*100</f>
        <v>0.26634846517100136</v>
      </c>
    </row>
    <row r="39" spans="1:5" ht="13.5" customHeight="1">
      <c r="A39" s="362" t="s">
        <v>243</v>
      </c>
      <c r="B39" s="363">
        <v>20000</v>
      </c>
      <c r="C39" s="364">
        <f>B39/'- 3 -'!D39*100</f>
        <v>0.11619932460304568</v>
      </c>
      <c r="D39" s="363">
        <v>30000</v>
      </c>
      <c r="E39" s="364">
        <f>D39/'- 3 -'!D39*100</f>
        <v>0.17429898690456852</v>
      </c>
    </row>
    <row r="40" spans="1:5" ht="13.5" customHeight="1">
      <c r="A40" s="23" t="s">
        <v>244</v>
      </c>
      <c r="B40" s="24">
        <v>480300</v>
      </c>
      <c r="C40" s="355">
        <f>B40/'- 3 -'!D40*100</f>
        <v>0.5707684011490092</v>
      </c>
      <c r="D40" s="24">
        <v>328045</v>
      </c>
      <c r="E40" s="355">
        <f>D40/'- 3 -'!D40*100</f>
        <v>0.3898349368205845</v>
      </c>
    </row>
    <row r="41" spans="1:5" ht="13.5" customHeight="1">
      <c r="A41" s="362" t="s">
        <v>245</v>
      </c>
      <c r="B41" s="363">
        <v>173394</v>
      </c>
      <c r="C41" s="364">
        <f>B41/'- 3 -'!D41*100</f>
        <v>0.3383240194424801</v>
      </c>
      <c r="D41" s="363">
        <v>123000</v>
      </c>
      <c r="E41" s="364">
        <f>D41/'- 3 -'!D41*100</f>
        <v>0.23999593060558638</v>
      </c>
    </row>
    <row r="42" spans="1:5" ht="13.5" customHeight="1">
      <c r="A42" s="23" t="s">
        <v>246</v>
      </c>
      <c r="B42" s="24">
        <v>98540</v>
      </c>
      <c r="C42" s="355">
        <f>B42/'- 3 -'!D42*100</f>
        <v>0.5559816037456933</v>
      </c>
      <c r="D42" s="24">
        <v>89221</v>
      </c>
      <c r="E42" s="355">
        <f>D42/'- 3 -'!D42*100</f>
        <v>0.5034020161131977</v>
      </c>
    </row>
    <row r="43" spans="1:5" ht="13.5" customHeight="1">
      <c r="A43" s="362" t="s">
        <v>247</v>
      </c>
      <c r="B43" s="363">
        <v>50900</v>
      </c>
      <c r="C43" s="364">
        <f>B43/'- 3 -'!D43*100</f>
        <v>0.493708466411529</v>
      </c>
      <c r="D43" s="363">
        <v>5000</v>
      </c>
      <c r="E43" s="364">
        <f>D43/'- 3 -'!D43*100</f>
        <v>0.048497884716260216</v>
      </c>
    </row>
    <row r="44" spans="1:5" ht="13.5" customHeight="1">
      <c r="A44" s="23" t="s">
        <v>248</v>
      </c>
      <c r="B44" s="24">
        <v>44150</v>
      </c>
      <c r="C44" s="355">
        <f>B44/'- 3 -'!D44*100</f>
        <v>0.5214218151313422</v>
      </c>
      <c r="D44" s="24">
        <v>18500</v>
      </c>
      <c r="E44" s="355">
        <f>D44/'- 3 -'!D44*100</f>
        <v>0.21848932230871645</v>
      </c>
    </row>
    <row r="45" spans="1:5" ht="13.5" customHeight="1">
      <c r="A45" s="362" t="s">
        <v>249</v>
      </c>
      <c r="B45" s="363">
        <v>14180</v>
      </c>
      <c r="C45" s="364">
        <f>B45/'- 3 -'!D45*100</f>
        <v>0.10888626323000733</v>
      </c>
      <c r="D45" s="363">
        <v>14000</v>
      </c>
      <c r="E45" s="364">
        <f>D45/'- 3 -'!D45*100</f>
        <v>0.10750406806911865</v>
      </c>
    </row>
    <row r="46" spans="1:5" ht="13.5" customHeight="1">
      <c r="A46" s="23" t="s">
        <v>250</v>
      </c>
      <c r="B46" s="24">
        <v>1870500</v>
      </c>
      <c r="C46" s="355">
        <f>B46/'- 3 -'!D46*100</f>
        <v>0.6105314969625201</v>
      </c>
      <c r="D46" s="24">
        <v>760500</v>
      </c>
      <c r="E46" s="355">
        <f>D46/'- 3 -'!D46*100</f>
        <v>0.24822732073776882</v>
      </c>
    </row>
    <row r="47" spans="1:5" ht="4.5" customHeight="1">
      <c r="A47"/>
      <c r="B47"/>
      <c r="C47"/>
      <c r="D47"/>
      <c r="E47"/>
    </row>
    <row r="48" spans="1:5" ht="13.5" customHeight="1">
      <c r="A48" s="365" t="s">
        <v>251</v>
      </c>
      <c r="B48" s="366">
        <f>SUM(B11:B46)</f>
        <v>9085051</v>
      </c>
      <c r="C48" s="367">
        <f>B48/'- 3 -'!D48*100</f>
        <v>0.525841645886473</v>
      </c>
      <c r="D48" s="366">
        <f>SUM(D11:D46)</f>
        <v>4156442</v>
      </c>
      <c r="E48" s="367">
        <f>D48/'- 3 -'!D48*100</f>
        <v>0.24057435696416712</v>
      </c>
    </row>
    <row r="49" spans="1:5" ht="4.5" customHeight="1">
      <c r="A49" s="25" t="s">
        <v>3</v>
      </c>
      <c r="B49" s="26"/>
      <c r="C49" s="353"/>
      <c r="D49" s="26"/>
      <c r="E49" s="353"/>
    </row>
    <row r="50" spans="1:5" ht="13.5" customHeight="1">
      <c r="A50" s="23" t="s">
        <v>252</v>
      </c>
      <c r="B50" s="24">
        <v>0</v>
      </c>
      <c r="C50" s="355">
        <f>B50/'- 3 -'!D50*100</f>
        <v>0</v>
      </c>
      <c r="D50" s="24">
        <v>4400</v>
      </c>
      <c r="E50" s="355">
        <f>D50/'- 3 -'!D50*100</f>
        <v>0.1548280124692851</v>
      </c>
    </row>
    <row r="51" spans="1:5" ht="13.5" customHeight="1">
      <c r="A51" s="362" t="s">
        <v>253</v>
      </c>
      <c r="B51" s="363">
        <v>0</v>
      </c>
      <c r="C51" s="364">
        <f>B51/'- 3 -'!D51*100</f>
        <v>0</v>
      </c>
      <c r="D51" s="363">
        <v>49000</v>
      </c>
      <c r="E51" s="364">
        <f>D51/'- 3 -'!D51*100</f>
        <v>0.4038202050697896</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59"/>
  <sheetViews>
    <sheetView showGridLines="0" showZeros="0" workbookViewId="0" topLeftCell="A1">
      <selection activeCell="A1" sqref="A1"/>
    </sheetView>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ustomWidth="1"/>
  </cols>
  <sheetData>
    <row r="1" spans="1:5" ht="6.75" customHeight="1">
      <c r="A1" s="3"/>
      <c r="B1" s="4"/>
      <c r="C1" s="4"/>
      <c r="D1" s="4"/>
      <c r="E1" s="4"/>
    </row>
    <row r="2" spans="1:5" ht="15.75" customHeight="1">
      <c r="A2" s="549" t="s">
        <v>474</v>
      </c>
      <c r="B2" s="549"/>
      <c r="C2" s="549"/>
      <c r="D2" s="549"/>
      <c r="E2" s="549"/>
    </row>
    <row r="3" spans="1:5" ht="15.75" customHeight="1">
      <c r="A3" s="550"/>
      <c r="B3" s="550"/>
      <c r="C3" s="550"/>
      <c r="D3" s="550"/>
      <c r="E3" s="550"/>
    </row>
    <row r="4" spans="2:5" ht="15.75" customHeight="1">
      <c r="B4" s="4"/>
      <c r="C4" s="30"/>
      <c r="D4" s="31"/>
      <c r="E4" s="30"/>
    </row>
    <row r="5" spans="2:5" ht="15.75" customHeight="1">
      <c r="B5" s="4"/>
      <c r="C5" s="4"/>
      <c r="D5" s="4"/>
      <c r="E5" s="4"/>
    </row>
    <row r="6" spans="2:5" ht="15.75" customHeight="1">
      <c r="B6" s="4"/>
      <c r="C6" s="4"/>
      <c r="D6" s="4"/>
      <c r="E6" s="4"/>
    </row>
    <row r="7" spans="2:5" ht="15.75" customHeight="1">
      <c r="B7" s="375" t="s">
        <v>456</v>
      </c>
      <c r="C7" s="392"/>
      <c r="D7" s="375" t="s">
        <v>473</v>
      </c>
      <c r="E7" s="399"/>
    </row>
    <row r="8" spans="1:5" ht="15.75" customHeight="1">
      <c r="A8" s="32"/>
      <c r="B8" s="33"/>
      <c r="C8" s="34"/>
      <c r="D8" s="33"/>
      <c r="E8" s="34"/>
    </row>
    <row r="9" spans="1:5" ht="15.75" customHeight="1">
      <c r="A9" s="35" t="s">
        <v>79</v>
      </c>
      <c r="B9" s="36" t="s">
        <v>475</v>
      </c>
      <c r="C9" s="36" t="s">
        <v>91</v>
      </c>
      <c r="D9" s="36" t="s">
        <v>475</v>
      </c>
      <c r="E9" s="36" t="s">
        <v>91</v>
      </c>
    </row>
    <row r="10" ht="4.5" customHeight="1">
      <c r="A10" s="37"/>
    </row>
    <row r="11" spans="1:5" ht="13.5" customHeight="1">
      <c r="A11" s="362" t="s">
        <v>216</v>
      </c>
      <c r="B11" s="363">
        <v>12575567</v>
      </c>
      <c r="C11" s="363">
        <v>8788</v>
      </c>
      <c r="D11" s="363">
        <f>'- 3 -'!F11</f>
        <v>13369161</v>
      </c>
      <c r="E11" s="363">
        <f>ROUND(D11/'- 7 -'!F11,0)</f>
        <v>9462</v>
      </c>
    </row>
    <row r="12" spans="1:5" ht="13.5" customHeight="1">
      <c r="A12" s="23" t="s">
        <v>217</v>
      </c>
      <c r="B12" s="38">
        <v>23147653</v>
      </c>
      <c r="C12" s="38">
        <v>9689</v>
      </c>
      <c r="D12" s="24">
        <f>'- 3 -'!F12</f>
        <v>24585413</v>
      </c>
      <c r="E12" s="24">
        <f>ROUND(D12/'- 7 -'!F12,0)</f>
        <v>10629</v>
      </c>
    </row>
    <row r="13" spans="1:5" ht="13.5" customHeight="1">
      <c r="A13" s="362" t="s">
        <v>218</v>
      </c>
      <c r="B13" s="363">
        <v>55447400</v>
      </c>
      <c r="C13" s="363">
        <v>8222</v>
      </c>
      <c r="D13" s="363">
        <f>'- 3 -'!F13</f>
        <v>58705000</v>
      </c>
      <c r="E13" s="363">
        <f>ROUND(D13/'- 7 -'!F13,0)</f>
        <v>8666</v>
      </c>
    </row>
    <row r="14" spans="1:5" ht="13.5" customHeight="1">
      <c r="A14" s="23" t="s">
        <v>254</v>
      </c>
      <c r="B14" s="24">
        <v>52760438</v>
      </c>
      <c r="C14" s="24">
        <v>11122</v>
      </c>
      <c r="D14" s="24">
        <f>'- 3 -'!F14</f>
        <v>56280061</v>
      </c>
      <c r="E14" s="24">
        <f>ROUND(D14/'- 7 -'!F14,0)</f>
        <v>11640</v>
      </c>
    </row>
    <row r="15" spans="1:5" ht="13.5" customHeight="1">
      <c r="A15" s="362" t="s">
        <v>219</v>
      </c>
      <c r="B15" s="363">
        <v>15014778</v>
      </c>
      <c r="C15" s="363">
        <v>9437</v>
      </c>
      <c r="D15" s="363">
        <f>'- 3 -'!F15</f>
        <v>16094482</v>
      </c>
      <c r="E15" s="363">
        <f>ROUND(D15/'- 7 -'!F15,0)</f>
        <v>10068</v>
      </c>
    </row>
    <row r="16" spans="1:5" ht="13.5" customHeight="1">
      <c r="A16" s="23" t="s">
        <v>220</v>
      </c>
      <c r="B16" s="38">
        <v>10790101</v>
      </c>
      <c r="C16" s="38">
        <v>9407</v>
      </c>
      <c r="D16" s="24">
        <f>'- 3 -'!F16</f>
        <v>11308384</v>
      </c>
      <c r="E16" s="24">
        <f>ROUND(D16/'- 7 -'!F16,0)</f>
        <v>10505</v>
      </c>
    </row>
    <row r="17" spans="1:5" ht="13.5" customHeight="1">
      <c r="A17" s="362" t="s">
        <v>221</v>
      </c>
      <c r="B17" s="363">
        <v>13823196</v>
      </c>
      <c r="C17" s="363">
        <v>9895</v>
      </c>
      <c r="D17" s="363">
        <f>'- 3 -'!F17</f>
        <v>14628775</v>
      </c>
      <c r="E17" s="363">
        <f>ROUND(D17/'- 7 -'!F17,0)</f>
        <v>10608</v>
      </c>
    </row>
    <row r="18" spans="1:5" ht="13.5" customHeight="1">
      <c r="A18" s="23" t="s">
        <v>222</v>
      </c>
      <c r="B18" s="24">
        <v>89826053</v>
      </c>
      <c r="C18" s="24">
        <v>15200</v>
      </c>
      <c r="D18" s="24">
        <f>'- 3 -'!F18</f>
        <v>96444403</v>
      </c>
      <c r="E18" s="24">
        <f>ROUND(D18/'- 7 -'!F18,0)</f>
        <v>16589</v>
      </c>
    </row>
    <row r="19" spans="1:5" ht="13.5" customHeight="1">
      <c r="A19" s="362" t="s">
        <v>223</v>
      </c>
      <c r="B19" s="363">
        <v>25599585</v>
      </c>
      <c r="C19" s="363">
        <v>7241</v>
      </c>
      <c r="D19" s="363">
        <f>'- 3 -'!F19</f>
        <v>28959735</v>
      </c>
      <c r="E19" s="363">
        <f>ROUND(D19/'- 7 -'!F19,0)</f>
        <v>7589</v>
      </c>
    </row>
    <row r="20" spans="1:5" ht="13.5" customHeight="1">
      <c r="A20" s="23" t="s">
        <v>224</v>
      </c>
      <c r="B20" s="38">
        <v>49723638</v>
      </c>
      <c r="C20" s="38">
        <v>7201</v>
      </c>
      <c r="D20" s="24">
        <f>'- 3 -'!F20</f>
        <v>55168097.506031975</v>
      </c>
      <c r="E20" s="24">
        <f>ROUND(D20/'- 7 -'!F20,0)</f>
        <v>7684</v>
      </c>
    </row>
    <row r="21" spans="1:5" ht="13.5" customHeight="1">
      <c r="A21" s="362" t="s">
        <v>225</v>
      </c>
      <c r="B21" s="363">
        <v>27516900</v>
      </c>
      <c r="C21" s="363">
        <v>9134</v>
      </c>
      <c r="D21" s="363">
        <f>'- 3 -'!F21</f>
        <v>28323800</v>
      </c>
      <c r="E21" s="363">
        <f>ROUND(D21/'- 7 -'!F21,0)</f>
        <v>9519</v>
      </c>
    </row>
    <row r="22" spans="1:5" ht="13.5" customHeight="1">
      <c r="A22" s="23" t="s">
        <v>226</v>
      </c>
      <c r="B22" s="24">
        <v>14832038</v>
      </c>
      <c r="C22" s="24">
        <v>8750</v>
      </c>
      <c r="D22" s="24">
        <f>'- 3 -'!F22</f>
        <v>15500906</v>
      </c>
      <c r="E22" s="24">
        <f>ROUND(D22/'- 7 -'!F22,0)</f>
        <v>9145</v>
      </c>
    </row>
    <row r="23" spans="1:5" ht="13.5" customHeight="1">
      <c r="A23" s="362" t="s">
        <v>227</v>
      </c>
      <c r="B23" s="363">
        <v>12379575</v>
      </c>
      <c r="C23" s="363">
        <v>9545</v>
      </c>
      <c r="D23" s="363">
        <f>'- 3 -'!F23</f>
        <v>12800176</v>
      </c>
      <c r="E23" s="363">
        <f>ROUND(D23/'- 7 -'!F23,0)</f>
        <v>9824</v>
      </c>
    </row>
    <row r="24" spans="1:5" ht="13.5" customHeight="1">
      <c r="A24" s="23" t="s">
        <v>228</v>
      </c>
      <c r="B24" s="38">
        <v>41667585</v>
      </c>
      <c r="C24" s="38">
        <v>9302</v>
      </c>
      <c r="D24" s="24">
        <f>'- 3 -'!F24</f>
        <v>43635324</v>
      </c>
      <c r="E24" s="24">
        <f>ROUND(D24/'- 7 -'!F24,0)</f>
        <v>9859</v>
      </c>
    </row>
    <row r="25" spans="1:5" ht="13.5" customHeight="1">
      <c r="A25" s="362" t="s">
        <v>229</v>
      </c>
      <c r="B25" s="363">
        <v>127731340</v>
      </c>
      <c r="C25" s="363">
        <v>9028</v>
      </c>
      <c r="D25" s="363">
        <f>'- 3 -'!F25</f>
        <v>133241622</v>
      </c>
      <c r="E25" s="363">
        <f>ROUND(D25/'- 7 -'!F25,0)</f>
        <v>9394</v>
      </c>
    </row>
    <row r="26" spans="1:5" ht="13.5" customHeight="1">
      <c r="A26" s="23" t="s">
        <v>230</v>
      </c>
      <c r="B26" s="24">
        <v>30763894</v>
      </c>
      <c r="C26" s="24">
        <v>9547</v>
      </c>
      <c r="D26" s="24">
        <f>'- 3 -'!F26</f>
        <v>32221800</v>
      </c>
      <c r="E26" s="24">
        <f>ROUND(D26/'- 7 -'!F26,0)</f>
        <v>10291</v>
      </c>
    </row>
    <row r="27" spans="1:5" ht="13.5" customHeight="1">
      <c r="A27" s="362" t="s">
        <v>231</v>
      </c>
      <c r="B27" s="363">
        <v>32793251</v>
      </c>
      <c r="C27" s="363">
        <v>9936</v>
      </c>
      <c r="D27" s="363">
        <f>'- 3 -'!F27</f>
        <v>35253844</v>
      </c>
      <c r="E27" s="363">
        <f>ROUND(D27/'- 7 -'!F27,0)</f>
        <v>10945</v>
      </c>
    </row>
    <row r="28" spans="1:5" ht="13.5" customHeight="1">
      <c r="A28" s="23" t="s">
        <v>232</v>
      </c>
      <c r="B28" s="38">
        <v>17791758</v>
      </c>
      <c r="C28" s="38">
        <v>9942</v>
      </c>
      <c r="D28" s="24">
        <f>'- 3 -'!F28</f>
        <v>18569431</v>
      </c>
      <c r="E28" s="24">
        <f>ROUND(D28/'- 7 -'!F28,0)</f>
        <v>10545</v>
      </c>
    </row>
    <row r="29" spans="1:5" ht="13.5" customHeight="1">
      <c r="A29" s="362" t="s">
        <v>233</v>
      </c>
      <c r="B29" s="363">
        <v>118601175</v>
      </c>
      <c r="C29" s="363">
        <v>9655</v>
      </c>
      <c r="D29" s="363">
        <f>'- 3 -'!F29</f>
        <v>122928921</v>
      </c>
      <c r="E29" s="363">
        <f>ROUND(D29/'- 7 -'!F29,0)</f>
        <v>10109</v>
      </c>
    </row>
    <row r="30" spans="1:5" ht="13.5" customHeight="1">
      <c r="A30" s="23" t="s">
        <v>234</v>
      </c>
      <c r="B30" s="24">
        <v>10954526</v>
      </c>
      <c r="C30" s="24">
        <v>9359</v>
      </c>
      <c r="D30" s="24">
        <f>'- 3 -'!F30</f>
        <v>11397354</v>
      </c>
      <c r="E30" s="24">
        <f>ROUND(D30/'- 7 -'!F30,0)</f>
        <v>9683</v>
      </c>
    </row>
    <row r="31" spans="1:5" ht="13.5" customHeight="1">
      <c r="A31" s="362" t="s">
        <v>235</v>
      </c>
      <c r="B31" s="363">
        <v>28202259</v>
      </c>
      <c r="C31" s="363">
        <v>8609</v>
      </c>
      <c r="D31" s="363">
        <f>'- 3 -'!F31</f>
        <v>29169195</v>
      </c>
      <c r="E31" s="363">
        <f>ROUND(D31/'- 7 -'!F31,0)</f>
        <v>8907</v>
      </c>
    </row>
    <row r="32" spans="1:5" ht="13.5" customHeight="1">
      <c r="A32" s="23" t="s">
        <v>236</v>
      </c>
      <c r="B32" s="38">
        <v>20769408</v>
      </c>
      <c r="C32" s="38">
        <v>9696</v>
      </c>
      <c r="D32" s="24">
        <f>'- 3 -'!F32</f>
        <v>21659872</v>
      </c>
      <c r="E32" s="24">
        <f>ROUND(D32/'- 7 -'!F32,0)</f>
        <v>9872</v>
      </c>
    </row>
    <row r="33" spans="1:5" ht="13.5" customHeight="1">
      <c r="A33" s="362" t="s">
        <v>237</v>
      </c>
      <c r="B33" s="363">
        <v>22536300</v>
      </c>
      <c r="C33" s="363">
        <v>10070</v>
      </c>
      <c r="D33" s="363">
        <f>'- 3 -'!F33</f>
        <v>22970500</v>
      </c>
      <c r="E33" s="363">
        <f>ROUND(D33/'- 7 -'!F33,0)</f>
        <v>10556</v>
      </c>
    </row>
    <row r="34" spans="1:5" ht="13.5" customHeight="1">
      <c r="A34" s="23" t="s">
        <v>238</v>
      </c>
      <c r="B34" s="24">
        <v>19787566</v>
      </c>
      <c r="C34" s="24">
        <v>9757</v>
      </c>
      <c r="D34" s="24">
        <f>'- 3 -'!F34</f>
        <v>20662320</v>
      </c>
      <c r="E34" s="24">
        <f>ROUND(D34/'- 7 -'!F34,0)</f>
        <v>10204</v>
      </c>
    </row>
    <row r="35" spans="1:5" ht="13.5" customHeight="1">
      <c r="A35" s="362" t="s">
        <v>239</v>
      </c>
      <c r="B35" s="363">
        <v>144655407</v>
      </c>
      <c r="C35" s="363">
        <v>8790</v>
      </c>
      <c r="D35" s="363">
        <f>'- 3 -'!F35</f>
        <v>150208946</v>
      </c>
      <c r="E35" s="363">
        <f>ROUND(D35/'- 7 -'!F35,0)</f>
        <v>9203</v>
      </c>
    </row>
    <row r="36" spans="1:5" ht="13.5" customHeight="1">
      <c r="A36" s="23" t="s">
        <v>240</v>
      </c>
      <c r="B36" s="38">
        <v>18562420</v>
      </c>
      <c r="C36" s="38">
        <v>9762</v>
      </c>
      <c r="D36" s="24">
        <f>'- 3 -'!F36</f>
        <v>19195225</v>
      </c>
      <c r="E36" s="24">
        <f>ROUND(D36/'- 7 -'!F36,0)</f>
        <v>10444</v>
      </c>
    </row>
    <row r="37" spans="1:5" ht="13.5" customHeight="1">
      <c r="A37" s="362" t="s">
        <v>241</v>
      </c>
      <c r="B37" s="363">
        <v>30701866</v>
      </c>
      <c r="C37" s="363">
        <v>9139</v>
      </c>
      <c r="D37" s="363">
        <f>'- 3 -'!F37</f>
        <v>32937487</v>
      </c>
      <c r="E37" s="363">
        <f>ROUND(D37/'- 7 -'!F37,0)</f>
        <v>9507</v>
      </c>
    </row>
    <row r="38" spans="1:5" ht="13.5" customHeight="1">
      <c r="A38" s="23" t="s">
        <v>242</v>
      </c>
      <c r="B38" s="24">
        <v>76514182</v>
      </c>
      <c r="C38" s="24">
        <v>8648</v>
      </c>
      <c r="D38" s="24">
        <f>'- 3 -'!F38</f>
        <v>82269552</v>
      </c>
      <c r="E38" s="24">
        <f>ROUND(D38/'- 7 -'!F38,0)</f>
        <v>9352</v>
      </c>
    </row>
    <row r="39" spans="1:5" ht="13.5" customHeight="1">
      <c r="A39" s="362" t="s">
        <v>243</v>
      </c>
      <c r="B39" s="363">
        <v>16744527</v>
      </c>
      <c r="C39" s="363">
        <v>10442</v>
      </c>
      <c r="D39" s="363">
        <f>'- 3 -'!F39</f>
        <v>17139654</v>
      </c>
      <c r="E39" s="363">
        <f>ROUND(D39/'- 7 -'!F39,0)</f>
        <v>10496</v>
      </c>
    </row>
    <row r="40" spans="1:5" ht="13.5" customHeight="1">
      <c r="A40" s="23" t="s">
        <v>244</v>
      </c>
      <c r="B40" s="38">
        <v>78403958</v>
      </c>
      <c r="C40" s="38">
        <v>9210</v>
      </c>
      <c r="D40" s="24">
        <f>'- 3 -'!F40</f>
        <v>83458236</v>
      </c>
      <c r="E40" s="24">
        <f>ROUND(D40/'- 7 -'!F40,0)</f>
        <v>9987</v>
      </c>
    </row>
    <row r="41" spans="1:5" ht="13.5" customHeight="1">
      <c r="A41" s="362" t="s">
        <v>245</v>
      </c>
      <c r="B41" s="363">
        <v>47780852</v>
      </c>
      <c r="C41" s="363">
        <v>10226</v>
      </c>
      <c r="D41" s="363">
        <f>'- 3 -'!F41</f>
        <v>50125805</v>
      </c>
      <c r="E41" s="363">
        <f>ROUND(D41/'- 7 -'!F41,0)</f>
        <v>10829</v>
      </c>
    </row>
    <row r="42" spans="1:5" ht="13.5" customHeight="1">
      <c r="A42" s="23" t="s">
        <v>246</v>
      </c>
      <c r="B42" s="24">
        <v>17108865</v>
      </c>
      <c r="C42" s="24">
        <v>10239</v>
      </c>
      <c r="D42" s="24">
        <f>'- 3 -'!F42</f>
        <v>17662567</v>
      </c>
      <c r="E42" s="24">
        <f>ROUND(D42/'- 7 -'!F42,0)</f>
        <v>10849</v>
      </c>
    </row>
    <row r="43" spans="1:5" ht="13.5" customHeight="1">
      <c r="A43" s="362" t="s">
        <v>247</v>
      </c>
      <c r="B43" s="363">
        <v>10039321</v>
      </c>
      <c r="C43" s="363">
        <v>9387</v>
      </c>
      <c r="D43" s="363">
        <f>'- 3 -'!F43</f>
        <v>10161728</v>
      </c>
      <c r="E43" s="363">
        <f>ROUND(D43/'- 7 -'!F43,0)</f>
        <v>10116</v>
      </c>
    </row>
    <row r="44" spans="1:5" ht="13.5" customHeight="1">
      <c r="A44" s="23" t="s">
        <v>248</v>
      </c>
      <c r="B44" s="38">
        <v>7934906</v>
      </c>
      <c r="C44" s="38">
        <v>9724</v>
      </c>
      <c r="D44" s="24">
        <f>'- 3 -'!F44</f>
        <v>8461183</v>
      </c>
      <c r="E44" s="24">
        <f>ROUND(D44/'- 7 -'!F44,0)</f>
        <v>10848</v>
      </c>
    </row>
    <row r="45" spans="1:5" ht="13.5" customHeight="1">
      <c r="A45" s="362" t="s">
        <v>249</v>
      </c>
      <c r="B45" s="363">
        <v>11789397</v>
      </c>
      <c r="C45" s="363">
        <v>7922</v>
      </c>
      <c r="D45" s="363">
        <f>'- 3 -'!F45</f>
        <v>12622158</v>
      </c>
      <c r="E45" s="363">
        <f>ROUND(D45/'- 7 -'!F45,0)</f>
        <v>8304</v>
      </c>
    </row>
    <row r="46" spans="1:5" ht="13.5" customHeight="1">
      <c r="A46" s="23" t="s">
        <v>250</v>
      </c>
      <c r="B46" s="24">
        <v>288530400</v>
      </c>
      <c r="C46" s="24">
        <v>9474</v>
      </c>
      <c r="D46" s="24">
        <f>'- 3 -'!F46</f>
        <v>298963800</v>
      </c>
      <c r="E46" s="24">
        <f>ROUND(D46/'- 7 -'!F46,0)</f>
        <v>9837</v>
      </c>
    </row>
    <row r="47" spans="1:6" ht="4.5" customHeight="1">
      <c r="A47"/>
      <c r="B47"/>
      <c r="C47"/>
      <c r="D47"/>
      <c r="E47"/>
      <c r="F47"/>
    </row>
    <row r="48" spans="1:5" ht="13.5" customHeight="1">
      <c r="A48" s="365" t="s">
        <v>251</v>
      </c>
      <c r="B48" s="366">
        <f>SUM(B11:B46)</f>
        <v>1623802085</v>
      </c>
      <c r="C48" s="366">
        <v>9401</v>
      </c>
      <c r="D48" s="366">
        <f>SUM(D11:D46)</f>
        <v>1707084917.506032</v>
      </c>
      <c r="E48" s="366">
        <f>ROUND(D48/'- 7 -'!F48,0)</f>
        <v>9910</v>
      </c>
    </row>
    <row r="49" spans="1:5" ht="4.5" customHeight="1">
      <c r="A49" s="25" t="s">
        <v>3</v>
      </c>
      <c r="B49" s="26"/>
      <c r="C49" s="26"/>
      <c r="D49" s="26"/>
      <c r="E49" s="26"/>
    </row>
    <row r="50" spans="1:5" ht="13.5" customHeight="1">
      <c r="A50" s="23" t="s">
        <v>252</v>
      </c>
      <c r="B50" s="24">
        <v>2737391</v>
      </c>
      <c r="C50" s="24">
        <v>11980</v>
      </c>
      <c r="D50" s="24">
        <f>'- 3 -'!F50</f>
        <v>2832863</v>
      </c>
      <c r="E50" s="24">
        <f>ROUND(D50/'- 7 -'!F50,0)</f>
        <v>13269</v>
      </c>
    </row>
    <row r="51" spans="1:5" ht="13.5" customHeight="1">
      <c r="A51" s="362" t="s">
        <v>253</v>
      </c>
      <c r="B51" s="499">
        <v>7599174</v>
      </c>
      <c r="C51" s="499">
        <v>10974</v>
      </c>
      <c r="D51" s="363">
        <f>'- 3 -'!F51</f>
        <v>7910740</v>
      </c>
      <c r="E51" s="363">
        <f>ROUND(D51/'- 7 -'!F51,0)</f>
        <v>12677</v>
      </c>
    </row>
    <row r="52" spans="1:5" ht="49.5" customHeight="1">
      <c r="A52" s="27"/>
      <c r="B52" s="27"/>
      <c r="C52" s="27"/>
      <c r="D52" s="27"/>
      <c r="E52" s="27"/>
    </row>
    <row r="53" spans="1:5" ht="15" customHeight="1">
      <c r="A53" s="40" t="s">
        <v>370</v>
      </c>
      <c r="B53" s="39"/>
      <c r="C53" s="39"/>
      <c r="D53" s="39"/>
      <c r="E53" s="39"/>
    </row>
    <row r="54" spans="1:5" ht="12" customHeight="1">
      <c r="A54" s="2" t="s">
        <v>546</v>
      </c>
      <c r="B54" s="39"/>
      <c r="C54" s="39"/>
      <c r="D54" s="39"/>
      <c r="E54" s="39"/>
    </row>
    <row r="55" spans="1:5" ht="12" customHeight="1">
      <c r="A55" s="2" t="s">
        <v>369</v>
      </c>
      <c r="B55" s="39"/>
      <c r="C55" s="39"/>
      <c r="D55" s="39"/>
      <c r="E55" s="39"/>
    </row>
    <row r="56" spans="1:5" ht="12" customHeight="1">
      <c r="A56" s="40"/>
      <c r="B56" s="39"/>
      <c r="C56" s="39"/>
      <c r="D56" s="39"/>
      <c r="E56" s="39"/>
    </row>
    <row r="57" ht="12" customHeight="1"/>
    <row r="58" ht="14.25" customHeight="1">
      <c r="A58" s="2"/>
    </row>
    <row r="59" ht="14.25" customHeight="1">
      <c r="A59" s="2"/>
    </row>
  </sheetData>
  <mergeCells count="1">
    <mergeCell ref="A2:E3"/>
  </mergeCells>
  <printOptions horizontalCentered="1"/>
  <pageMargins left="0.5" right="0.5" top="0.6" bottom="0" header="0.3" footer="0"/>
  <pageSetup fitToHeight="1" fitToWidth="1" horizontalDpi="600" verticalDpi="600" orientation="portrait"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54"/>
  <sheetViews>
    <sheetView showGridLines="0" showZeros="0" workbookViewId="0" topLeftCell="A1">
      <selection activeCell="A1" sqref="A1"/>
    </sheetView>
  </sheetViews>
  <sheetFormatPr defaultColWidth="15.83203125" defaultRowHeight="12"/>
  <cols>
    <col min="1" max="1" width="36.83203125" style="1" customWidth="1"/>
    <col min="2" max="2" width="18.83203125" style="1" customWidth="1"/>
    <col min="3" max="3" width="15.83203125" style="1" customWidth="1"/>
    <col min="4" max="4" width="18.83203125" style="1" customWidth="1"/>
    <col min="5" max="5" width="15.83203125" style="1" customWidth="1"/>
    <col min="6" max="6" width="26.83203125" style="1" customWidth="1"/>
    <col min="7" max="16384" width="15.83203125" style="1" customWidth="1"/>
  </cols>
  <sheetData>
    <row r="1" spans="1:6" ht="6.75" customHeight="1">
      <c r="A1" s="3"/>
      <c r="B1" s="4"/>
      <c r="C1" s="4"/>
      <c r="D1" s="4"/>
      <c r="E1" s="4"/>
      <c r="F1" s="4"/>
    </row>
    <row r="2" spans="1:6" ht="15.75" customHeight="1">
      <c r="A2" s="167"/>
      <c r="B2" s="5" t="s">
        <v>491</v>
      </c>
      <c r="C2" s="6"/>
      <c r="D2" s="6"/>
      <c r="E2" s="6"/>
      <c r="F2" s="190" t="s">
        <v>427</v>
      </c>
    </row>
    <row r="3" spans="1:6" ht="15.75" customHeight="1">
      <c r="A3" s="170"/>
      <c r="B3" s="7" t="str">
        <f>OPYEAR</f>
        <v>OPERATING FUND 2008/2009 BUDGET</v>
      </c>
      <c r="C3" s="8"/>
      <c r="D3" s="8"/>
      <c r="E3" s="8"/>
      <c r="F3" s="103"/>
    </row>
    <row r="4" spans="2:6" ht="15.75" customHeight="1">
      <c r="B4" s="4"/>
      <c r="C4" s="4"/>
      <c r="D4" s="4"/>
      <c r="E4" s="4"/>
      <c r="F4" s="4"/>
    </row>
    <row r="5" spans="2:6" ht="15.75" customHeight="1">
      <c r="B5" s="4"/>
      <c r="C5" s="4"/>
      <c r="D5" s="4"/>
      <c r="E5" s="4"/>
      <c r="F5" s="4"/>
    </row>
    <row r="6" spans="2:5" ht="15.75" customHeight="1">
      <c r="B6" s="191" t="s">
        <v>21</v>
      </c>
      <c r="C6" s="192"/>
      <c r="D6" s="193"/>
      <c r="E6" s="194"/>
    </row>
    <row r="7" spans="2:5" ht="15.75" customHeight="1">
      <c r="B7" s="444"/>
      <c r="C7" s="358"/>
      <c r="D7" s="356" t="s">
        <v>48</v>
      </c>
      <c r="E7" s="358"/>
    </row>
    <row r="8" spans="1:5" ht="15.75" customHeight="1">
      <c r="A8" s="104"/>
      <c r="B8" s="360" t="s">
        <v>66</v>
      </c>
      <c r="C8" s="361"/>
      <c r="D8" s="359" t="s">
        <v>67</v>
      </c>
      <c r="E8" s="361"/>
    </row>
    <row r="9" spans="1:5" ht="15.75" customHeight="1">
      <c r="A9" s="35" t="s">
        <v>79</v>
      </c>
      <c r="B9" s="195" t="s">
        <v>80</v>
      </c>
      <c r="C9" s="195" t="s">
        <v>81</v>
      </c>
      <c r="D9" s="199" t="s">
        <v>80</v>
      </c>
      <c r="E9" s="195" t="s">
        <v>81</v>
      </c>
    </row>
    <row r="10" ht="4.5" customHeight="1">
      <c r="A10" s="37"/>
    </row>
    <row r="11" spans="1:5" ht="13.5" customHeight="1">
      <c r="A11" s="362" t="s">
        <v>216</v>
      </c>
      <c r="B11" s="363">
        <v>29000</v>
      </c>
      <c r="C11" s="364">
        <f>B11/'- 3 -'!D11*100</f>
        <v>0.2166800286017638</v>
      </c>
      <c r="D11" s="363">
        <v>210000</v>
      </c>
      <c r="E11" s="364">
        <f>D11/'- 3 -'!D11*100</f>
        <v>1.5690622760817377</v>
      </c>
    </row>
    <row r="12" spans="1:5" ht="13.5" customHeight="1">
      <c r="A12" s="23" t="s">
        <v>217</v>
      </c>
      <c r="B12" s="24">
        <v>60000</v>
      </c>
      <c r="C12" s="355">
        <f>B12/'- 3 -'!D12*100</f>
        <v>0.23882394491860065</v>
      </c>
      <c r="D12" s="24">
        <v>390096</v>
      </c>
      <c r="E12" s="355">
        <f>D12/'- 3 -'!D12*100</f>
        <v>1.5527377602827739</v>
      </c>
    </row>
    <row r="13" spans="1:5" ht="13.5" customHeight="1">
      <c r="A13" s="362" t="s">
        <v>218</v>
      </c>
      <c r="B13" s="363">
        <v>7500</v>
      </c>
      <c r="C13" s="364">
        <f>B13/'- 3 -'!D13*100</f>
        <v>0.012749399503283394</v>
      </c>
      <c r="D13" s="363">
        <v>1001600</v>
      </c>
      <c r="E13" s="364">
        <f>D13/'- 3 -'!D13*100</f>
        <v>1.7026398056651533</v>
      </c>
    </row>
    <row r="14" spans="1:5" ht="13.5" customHeight="1">
      <c r="A14" s="23" t="s">
        <v>254</v>
      </c>
      <c r="B14" s="24">
        <v>135000</v>
      </c>
      <c r="C14" s="355">
        <f>B14/'- 3 -'!D14*100</f>
        <v>0.23736230349038628</v>
      </c>
      <c r="D14" s="24">
        <v>816517</v>
      </c>
      <c r="E14" s="355">
        <f>D14/'- 3 -'!D14*100</f>
        <v>1.4356322663634056</v>
      </c>
    </row>
    <row r="15" spans="1:5" ht="13.5" customHeight="1">
      <c r="A15" s="362" t="s">
        <v>219</v>
      </c>
      <c r="B15" s="363">
        <v>40000</v>
      </c>
      <c r="C15" s="364">
        <f>B15/'- 3 -'!D15*100</f>
        <v>0.2449629943590534</v>
      </c>
      <c r="D15" s="363">
        <v>230000</v>
      </c>
      <c r="E15" s="364">
        <f>D15/'- 3 -'!D15*100</f>
        <v>1.4085372175645572</v>
      </c>
    </row>
    <row r="16" spans="1:5" ht="13.5" customHeight="1">
      <c r="A16" s="23" t="s">
        <v>220</v>
      </c>
      <c r="B16" s="24">
        <v>45000</v>
      </c>
      <c r="C16" s="355">
        <f>B16/'- 3 -'!D16*100</f>
        <v>0.39465732211676297</v>
      </c>
      <c r="D16" s="24">
        <v>175000</v>
      </c>
      <c r="E16" s="355">
        <f>D16/'- 3 -'!D16*100</f>
        <v>1.5347784748985227</v>
      </c>
    </row>
    <row r="17" spans="1:5" ht="13.5" customHeight="1">
      <c r="A17" s="362" t="s">
        <v>221</v>
      </c>
      <c r="B17" s="363">
        <v>101000</v>
      </c>
      <c r="C17" s="364">
        <f>B17/'- 3 -'!D17*100</f>
        <v>0.6878246523846574</v>
      </c>
      <c r="D17" s="363">
        <v>232000</v>
      </c>
      <c r="E17" s="364">
        <f>D17/'- 3 -'!D17*100</f>
        <v>1.5799536569627775</v>
      </c>
    </row>
    <row r="18" spans="1:5" ht="13.5" customHeight="1">
      <c r="A18" s="23" t="s">
        <v>222</v>
      </c>
      <c r="B18" s="24">
        <v>300000</v>
      </c>
      <c r="C18" s="355">
        <f>B18/'- 3 -'!D18*100</f>
        <v>0.29984098233342926</v>
      </c>
      <c r="D18" s="24">
        <v>1340000</v>
      </c>
      <c r="E18" s="355">
        <f>D18/'- 3 -'!D18*100</f>
        <v>1.3392897210893175</v>
      </c>
    </row>
    <row r="19" spans="1:5" ht="13.5" customHeight="1">
      <c r="A19" s="362" t="s">
        <v>223</v>
      </c>
      <c r="B19" s="363">
        <v>75000</v>
      </c>
      <c r="C19" s="364">
        <f>B19/'- 3 -'!D19*100</f>
        <v>0.2586203775271306</v>
      </c>
      <c r="D19" s="363">
        <v>455000</v>
      </c>
      <c r="E19" s="364">
        <f>D19/'- 3 -'!D19*100</f>
        <v>1.568963623664592</v>
      </c>
    </row>
    <row r="20" spans="1:5" ht="13.5" customHeight="1">
      <c r="A20" s="23" t="s">
        <v>224</v>
      </c>
      <c r="B20" s="24">
        <v>250000</v>
      </c>
      <c r="C20" s="355">
        <f>B20/'- 3 -'!D20*100</f>
        <v>0.45242524584034094</v>
      </c>
      <c r="D20" s="24">
        <v>887000</v>
      </c>
      <c r="E20" s="355">
        <f>D20/'- 3 -'!D20*100</f>
        <v>1.6052047722415295</v>
      </c>
    </row>
    <row r="21" spans="1:5" ht="13.5" customHeight="1">
      <c r="A21" s="362" t="s">
        <v>225</v>
      </c>
      <c r="B21" s="363">
        <v>75000</v>
      </c>
      <c r="C21" s="364">
        <f>B21/'- 3 -'!D21*100</f>
        <v>0.2637705828978188</v>
      </c>
      <c r="D21" s="363">
        <v>475000</v>
      </c>
      <c r="E21" s="364">
        <f>D21/'- 3 -'!D21*100</f>
        <v>1.6705470250195191</v>
      </c>
    </row>
    <row r="22" spans="1:5" ht="13.5" customHeight="1">
      <c r="A22" s="23" t="s">
        <v>226</v>
      </c>
      <c r="B22" s="24">
        <v>50000</v>
      </c>
      <c r="C22" s="355">
        <f>B22/'- 3 -'!D22*100</f>
        <v>0.31187924335101525</v>
      </c>
      <c r="D22" s="24">
        <v>260000</v>
      </c>
      <c r="E22" s="355">
        <f>D22/'- 3 -'!D22*100</f>
        <v>1.6217720654252792</v>
      </c>
    </row>
    <row r="23" spans="1:5" ht="13.5" customHeight="1">
      <c r="A23" s="362" t="s">
        <v>227</v>
      </c>
      <c r="B23" s="363">
        <v>25000</v>
      </c>
      <c r="C23" s="364">
        <f>B23/'- 3 -'!D23*100</f>
        <v>0.1885202338012858</v>
      </c>
      <c r="D23" s="363">
        <v>200000</v>
      </c>
      <c r="E23" s="364">
        <f>D23/'- 3 -'!D23*100</f>
        <v>1.5081618704102864</v>
      </c>
    </row>
    <row r="24" spans="1:5" ht="13.5" customHeight="1">
      <c r="A24" s="23" t="s">
        <v>228</v>
      </c>
      <c r="B24" s="24">
        <v>75000</v>
      </c>
      <c r="C24" s="355">
        <f>B24/'- 3 -'!D24*100</f>
        <v>0.16885448039829126</v>
      </c>
      <c r="D24" s="24">
        <v>723345</v>
      </c>
      <c r="E24" s="355">
        <f>D24/'- 3 -'!D24*100</f>
        <v>1.6285339216493597</v>
      </c>
    </row>
    <row r="25" spans="1:5" ht="13.5" customHeight="1">
      <c r="A25" s="362" t="s">
        <v>229</v>
      </c>
      <c r="B25" s="363">
        <v>100000</v>
      </c>
      <c r="C25" s="364">
        <f>B25/'- 3 -'!D25*100</f>
        <v>0.07456799924453668</v>
      </c>
      <c r="D25" s="363">
        <v>2200000</v>
      </c>
      <c r="E25" s="364">
        <f>D25/'- 3 -'!D25*100</f>
        <v>1.6404959833798072</v>
      </c>
    </row>
    <row r="26" spans="1:5" ht="13.5" customHeight="1">
      <c r="A26" s="23" t="s">
        <v>230</v>
      </c>
      <c r="B26" s="24">
        <v>90000</v>
      </c>
      <c r="C26" s="355">
        <f>B26/'- 3 -'!D26*100</f>
        <v>0.2774695296835978</v>
      </c>
      <c r="D26" s="24">
        <v>479575</v>
      </c>
      <c r="E26" s="355">
        <f>D26/'- 3 -'!D26*100</f>
        <v>1.4785272188667935</v>
      </c>
    </row>
    <row r="27" spans="1:5" ht="13.5" customHeight="1">
      <c r="A27" s="362" t="s">
        <v>231</v>
      </c>
      <c r="B27" s="363">
        <v>68000</v>
      </c>
      <c r="C27" s="364">
        <f>B27/'- 3 -'!D27*100</f>
        <v>0.1926883498866794</v>
      </c>
      <c r="D27" s="363">
        <v>484000</v>
      </c>
      <c r="E27" s="364">
        <f>D27/'- 3 -'!D27*100</f>
        <v>1.371487666840483</v>
      </c>
    </row>
    <row r="28" spans="1:5" ht="13.5" customHeight="1">
      <c r="A28" s="23" t="s">
        <v>232</v>
      </c>
      <c r="B28" s="24">
        <v>55000</v>
      </c>
      <c r="C28" s="355">
        <f>B28/'- 3 -'!D28*100</f>
        <v>0.29598407196696647</v>
      </c>
      <c r="D28" s="24">
        <v>275000</v>
      </c>
      <c r="E28" s="355">
        <f>D28/'- 3 -'!D28*100</f>
        <v>1.4799203598348323</v>
      </c>
    </row>
    <row r="29" spans="1:5" ht="13.5" customHeight="1">
      <c r="A29" s="362" t="s">
        <v>233</v>
      </c>
      <c r="B29" s="363">
        <v>210000</v>
      </c>
      <c r="C29" s="364">
        <f>B29/'- 3 -'!D29*100</f>
        <v>0.1706914435646863</v>
      </c>
      <c r="D29" s="363">
        <v>2070000</v>
      </c>
      <c r="E29" s="364">
        <f>D29/'- 3 -'!D29*100</f>
        <v>1.6825299437090504</v>
      </c>
    </row>
    <row r="30" spans="1:5" ht="13.5" customHeight="1">
      <c r="A30" s="23" t="s">
        <v>234</v>
      </c>
      <c r="B30" s="24">
        <v>5000</v>
      </c>
      <c r="C30" s="355">
        <f>B30/'- 3 -'!D30*100</f>
        <v>0.04382066410742303</v>
      </c>
      <c r="D30" s="24">
        <v>181365</v>
      </c>
      <c r="E30" s="355">
        <f>D30/'- 3 -'!D30*100</f>
        <v>1.5895069491685554</v>
      </c>
    </row>
    <row r="31" spans="1:5" ht="13.5" customHeight="1">
      <c r="A31" s="362" t="s">
        <v>235</v>
      </c>
      <c r="B31" s="363">
        <v>25000</v>
      </c>
      <c r="C31" s="364">
        <f>B31/'- 3 -'!D31*100</f>
        <v>0.0851752974057342</v>
      </c>
      <c r="D31" s="363">
        <v>476242</v>
      </c>
      <c r="E31" s="364">
        <f>D31/'- 3 -'!D31*100</f>
        <v>1.6225621594840665</v>
      </c>
    </row>
    <row r="32" spans="1:5" ht="13.5" customHeight="1">
      <c r="A32" s="23" t="s">
        <v>236</v>
      </c>
      <c r="B32" s="24">
        <v>15000</v>
      </c>
      <c r="C32" s="355">
        <f>B32/'- 3 -'!D32*100</f>
        <v>0.06845276043058064</v>
      </c>
      <c r="D32" s="24">
        <v>350000</v>
      </c>
      <c r="E32" s="355">
        <f>D32/'- 3 -'!D32*100</f>
        <v>1.5972310767135482</v>
      </c>
    </row>
    <row r="33" spans="1:5" ht="13.5" customHeight="1">
      <c r="A33" s="362" t="s">
        <v>237</v>
      </c>
      <c r="B33" s="363">
        <v>55000</v>
      </c>
      <c r="C33" s="364">
        <f>B33/'- 3 -'!D33*100</f>
        <v>0.2392188417458626</v>
      </c>
      <c r="D33" s="363">
        <v>350000</v>
      </c>
      <c r="E33" s="364">
        <f>D33/'- 3 -'!D33*100</f>
        <v>1.522301720200944</v>
      </c>
    </row>
    <row r="34" spans="1:5" ht="13.5" customHeight="1">
      <c r="A34" s="23" t="s">
        <v>238</v>
      </c>
      <c r="B34" s="24">
        <v>48000</v>
      </c>
      <c r="C34" s="355">
        <f>B34/'- 3 -'!D34*100</f>
        <v>0.23211538842817744</v>
      </c>
      <c r="D34" s="24">
        <v>332441</v>
      </c>
      <c r="E34" s="355">
        <f>D34/'- 3 -'!D34*100</f>
        <v>1.6075973300927446</v>
      </c>
    </row>
    <row r="35" spans="1:5" ht="13.5" customHeight="1">
      <c r="A35" s="362" t="s">
        <v>239</v>
      </c>
      <c r="B35" s="363">
        <v>82000</v>
      </c>
      <c r="C35" s="364">
        <f>B35/'- 3 -'!D35*100</f>
        <v>0.05438352933533127</v>
      </c>
      <c r="D35" s="363">
        <v>2550000</v>
      </c>
      <c r="E35" s="364">
        <f>D35/'- 3 -'!D35*100</f>
        <v>1.691195119574326</v>
      </c>
    </row>
    <row r="36" spans="1:5" ht="13.5" customHeight="1">
      <c r="A36" s="23" t="s">
        <v>240</v>
      </c>
      <c r="B36" s="24">
        <v>70000</v>
      </c>
      <c r="C36" s="355">
        <f>B36/'- 3 -'!D36*100</f>
        <v>0.3642915206464821</v>
      </c>
      <c r="D36" s="24">
        <v>325000</v>
      </c>
      <c r="E36" s="355">
        <f>D36/'- 3 -'!D36*100</f>
        <v>1.6913534887158097</v>
      </c>
    </row>
    <row r="37" spans="1:5" ht="13.5" customHeight="1">
      <c r="A37" s="362" t="s">
        <v>241</v>
      </c>
      <c r="B37" s="363">
        <v>15000</v>
      </c>
      <c r="C37" s="364">
        <f>B37/'- 3 -'!D37*100</f>
        <v>0.045526992695983155</v>
      </c>
      <c r="D37" s="363">
        <v>519992</v>
      </c>
      <c r="E37" s="364">
        <f>D37/'- 3 -'!D37*100</f>
        <v>1.5782447990646449</v>
      </c>
    </row>
    <row r="38" spans="1:5" ht="13.5" customHeight="1">
      <c r="A38" s="23" t="s">
        <v>242</v>
      </c>
      <c r="B38" s="24">
        <v>150000</v>
      </c>
      <c r="C38" s="355">
        <f>B38/'- 3 -'!D38*100</f>
        <v>0.17986066553961977</v>
      </c>
      <c r="D38" s="24">
        <v>1381529</v>
      </c>
      <c r="E38" s="355">
        <f>D38/'- 3 -'!D38*100</f>
        <v>1.6565515026819022</v>
      </c>
    </row>
    <row r="39" spans="1:5" ht="13.5" customHeight="1">
      <c r="A39" s="362" t="s">
        <v>243</v>
      </c>
      <c r="B39" s="363">
        <v>55000</v>
      </c>
      <c r="C39" s="364">
        <f>B39/'- 3 -'!D39*100</f>
        <v>0.3195481426583756</v>
      </c>
      <c r="D39" s="363">
        <v>250000</v>
      </c>
      <c r="E39" s="364">
        <f>D39/'- 3 -'!D39*100</f>
        <v>1.452491557538071</v>
      </c>
    </row>
    <row r="40" spans="1:5" ht="13.5" customHeight="1">
      <c r="A40" s="23" t="s">
        <v>244</v>
      </c>
      <c r="B40" s="24">
        <v>70000</v>
      </c>
      <c r="C40" s="355">
        <f>B40/'- 3 -'!D40*100</f>
        <v>0.08318506783350124</v>
      </c>
      <c r="D40" s="24">
        <v>1359481</v>
      </c>
      <c r="E40" s="355">
        <f>D40/'- 3 -'!D40*100</f>
        <v>1.6155502743336585</v>
      </c>
    </row>
    <row r="41" spans="1:5" ht="13.5" customHeight="1">
      <c r="A41" s="362" t="s">
        <v>245</v>
      </c>
      <c r="B41" s="363">
        <v>140000</v>
      </c>
      <c r="C41" s="364">
        <f>B41/'- 3 -'!D41*100</f>
        <v>0.2731660998762772</v>
      </c>
      <c r="D41" s="363">
        <v>791000</v>
      </c>
      <c r="E41" s="364">
        <f>D41/'- 3 -'!D41*100</f>
        <v>1.5433884643009663</v>
      </c>
    </row>
    <row r="42" spans="1:5" ht="13.5" customHeight="1">
      <c r="A42" s="23" t="s">
        <v>246</v>
      </c>
      <c r="B42" s="24">
        <v>20000</v>
      </c>
      <c r="C42" s="355">
        <f>B42/'- 3 -'!D42*100</f>
        <v>0.11284384082518638</v>
      </c>
      <c r="D42" s="24">
        <v>281339</v>
      </c>
      <c r="E42" s="355">
        <f>D42/'- 3 -'!D42*100</f>
        <v>1.5873686666958555</v>
      </c>
    </row>
    <row r="43" spans="1:5" ht="13.5" customHeight="1">
      <c r="A43" s="362" t="s">
        <v>247</v>
      </c>
      <c r="B43" s="363">
        <v>26000</v>
      </c>
      <c r="C43" s="364">
        <f>B43/'- 3 -'!D43*100</f>
        <v>0.2521890005245531</v>
      </c>
      <c r="D43" s="363">
        <v>155000</v>
      </c>
      <c r="E43" s="364">
        <f>D43/'- 3 -'!D43*100</f>
        <v>1.5034344262040666</v>
      </c>
    </row>
    <row r="44" spans="1:5" ht="13.5" customHeight="1">
      <c r="A44" s="23" t="s">
        <v>248</v>
      </c>
      <c r="B44" s="24">
        <v>5000</v>
      </c>
      <c r="C44" s="355">
        <f>B44/'- 3 -'!D44*100</f>
        <v>0.05905116819154498</v>
      </c>
      <c r="D44" s="24">
        <v>127217</v>
      </c>
      <c r="E44" s="355">
        <f>D44/'- 3 -'!D44*100</f>
        <v>1.5024624927647556</v>
      </c>
    </row>
    <row r="45" spans="1:5" ht="13.5" customHeight="1">
      <c r="A45" s="362" t="s">
        <v>249</v>
      </c>
      <c r="B45" s="363">
        <v>23000</v>
      </c>
      <c r="C45" s="364">
        <f>B45/'- 3 -'!D45*100</f>
        <v>0.17661382611355209</v>
      </c>
      <c r="D45" s="363">
        <v>214591</v>
      </c>
      <c r="E45" s="364">
        <f>D45/'- 3 -'!D45*100</f>
        <v>1.647814676501446</v>
      </c>
    </row>
    <row r="46" spans="1:5" ht="13.5" customHeight="1">
      <c r="A46" s="23" t="s">
        <v>250</v>
      </c>
      <c r="B46" s="24">
        <v>200000</v>
      </c>
      <c r="C46" s="355">
        <f>B46/'- 3 -'!D46*100</f>
        <v>0.06528003175220744</v>
      </c>
      <c r="D46" s="24">
        <v>5257400</v>
      </c>
      <c r="E46" s="355">
        <f>D46/'- 3 -'!D46*100</f>
        <v>1.7160161946702772</v>
      </c>
    </row>
    <row r="47" spans="1:5" ht="4.5" customHeight="1">
      <c r="A47"/>
      <c r="B47"/>
      <c r="C47"/>
      <c r="D47"/>
      <c r="E47"/>
    </row>
    <row r="48" spans="1:5" ht="13.5" customHeight="1">
      <c r="A48" s="365" t="s">
        <v>251</v>
      </c>
      <c r="B48" s="366">
        <f>SUM(B11:B46)</f>
        <v>2794500</v>
      </c>
      <c r="C48" s="367">
        <f>B48/'- 3 -'!D48*100</f>
        <v>0.1617453198039008</v>
      </c>
      <c r="D48" s="366">
        <f>SUM(D11:D46)</f>
        <v>27806730</v>
      </c>
      <c r="E48" s="367">
        <f>D48/'- 3 -'!D48*100</f>
        <v>1.6094501472716845</v>
      </c>
    </row>
    <row r="49" spans="1:5" ht="4.5" customHeight="1">
      <c r="A49" s="25" t="s">
        <v>3</v>
      </c>
      <c r="B49" s="26"/>
      <c r="C49" s="353"/>
      <c r="D49" s="26"/>
      <c r="E49" s="353"/>
    </row>
    <row r="50" spans="1:5" ht="13.5" customHeight="1">
      <c r="A50" s="23" t="s">
        <v>252</v>
      </c>
      <c r="B50" s="24">
        <v>0</v>
      </c>
      <c r="C50" s="355">
        <f>B50/'- 3 -'!D50*100</f>
        <v>0</v>
      </c>
      <c r="D50" s="24">
        <v>17500</v>
      </c>
      <c r="E50" s="355">
        <f>D50/'- 3 -'!D50*100</f>
        <v>0.6157932314119294</v>
      </c>
    </row>
    <row r="51" spans="1:5" ht="13.5" customHeight="1">
      <c r="A51" s="362" t="s">
        <v>253</v>
      </c>
      <c r="B51" s="363">
        <v>31275</v>
      </c>
      <c r="C51" s="364">
        <f>B51/'- 3 -'!D51*100</f>
        <v>0.25774442680729936</v>
      </c>
      <c r="D51" s="363">
        <v>105224</v>
      </c>
      <c r="E51" s="364">
        <f>D51/'- 3 -'!D51*100</f>
        <v>0.867175046087011</v>
      </c>
    </row>
    <row r="52" ht="49.5" customHeight="1"/>
    <row r="53" ht="15" customHeight="1">
      <c r="C53" s="117"/>
    </row>
    <row r="54" ht="14.25" customHeight="1">
      <c r="C54" s="117"/>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1"/>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ustomWidth="1"/>
  </cols>
  <sheetData>
    <row r="1" spans="1:8" ht="6.75" customHeight="1">
      <c r="A1" s="3"/>
      <c r="B1" s="4"/>
      <c r="C1" s="4"/>
      <c r="D1" s="4"/>
      <c r="E1" s="4"/>
      <c r="F1" s="4"/>
      <c r="G1" s="4"/>
      <c r="H1" s="4"/>
    </row>
    <row r="2" spans="1:8" ht="15.75" customHeight="1">
      <c r="A2" s="167"/>
      <c r="B2" s="5" t="s">
        <v>492</v>
      </c>
      <c r="C2" s="6"/>
      <c r="D2" s="6"/>
      <c r="E2" s="6"/>
      <c r="F2" s="108"/>
      <c r="G2" s="108"/>
      <c r="H2" s="108"/>
    </row>
    <row r="3" spans="1:8" ht="15.75" customHeight="1">
      <c r="A3" s="170"/>
      <c r="B3" s="7" t="str">
        <f>OPYEAR</f>
        <v>OPERATING FUND 2008/2009 BUDGET</v>
      </c>
      <c r="C3" s="8"/>
      <c r="D3" s="8"/>
      <c r="E3" s="8"/>
      <c r="F3" s="110"/>
      <c r="G3" s="110"/>
      <c r="H3" s="110"/>
    </row>
    <row r="4" spans="2:8" ht="15.75" customHeight="1">
      <c r="B4" s="4"/>
      <c r="C4" s="4"/>
      <c r="D4" s="4"/>
      <c r="E4" s="4"/>
      <c r="F4" s="4"/>
      <c r="G4" s="4"/>
      <c r="H4" s="4"/>
    </row>
    <row r="5" spans="2:8" ht="15.75" customHeight="1">
      <c r="B5" s="4"/>
      <c r="C5" s="4"/>
      <c r="D5" s="4"/>
      <c r="E5" s="4"/>
      <c r="F5" s="4"/>
      <c r="G5" s="4"/>
      <c r="H5" s="4"/>
    </row>
    <row r="6" spans="2:8" ht="15.75" customHeight="1">
      <c r="B6" s="356" t="s">
        <v>25</v>
      </c>
      <c r="C6" s="357"/>
      <c r="D6" s="371"/>
      <c r="E6" s="371"/>
      <c r="F6" s="371"/>
      <c r="G6" s="371"/>
      <c r="H6" s="370"/>
    </row>
    <row r="7" spans="2:8" ht="15.75" customHeight="1">
      <c r="B7" s="359" t="s">
        <v>55</v>
      </c>
      <c r="C7" s="360"/>
      <c r="D7" s="382"/>
      <c r="E7" s="382"/>
      <c r="F7" s="382"/>
      <c r="G7" s="382"/>
      <c r="H7" s="372"/>
    </row>
    <row r="8" spans="1:8" ht="15.75" customHeight="1">
      <c r="A8" s="104"/>
      <c r="B8" s="30"/>
      <c r="C8" s="113" t="s">
        <v>182</v>
      </c>
      <c r="D8" s="114" t="s">
        <v>59</v>
      </c>
      <c r="E8" s="188" t="s">
        <v>72</v>
      </c>
      <c r="F8" s="188" t="s">
        <v>73</v>
      </c>
      <c r="G8" s="188" t="s">
        <v>74</v>
      </c>
      <c r="H8" s="188" t="s">
        <v>73</v>
      </c>
    </row>
    <row r="9" spans="1:8" ht="15.75" customHeight="1">
      <c r="A9" s="35" t="s">
        <v>79</v>
      </c>
      <c r="B9" s="115" t="s">
        <v>80</v>
      </c>
      <c r="C9" s="115" t="s">
        <v>86</v>
      </c>
      <c r="D9" s="115" t="s">
        <v>82</v>
      </c>
      <c r="E9" s="115" t="s">
        <v>87</v>
      </c>
      <c r="F9" s="115" t="s">
        <v>88</v>
      </c>
      <c r="G9" s="115" t="s">
        <v>89</v>
      </c>
      <c r="H9" s="115" t="s">
        <v>88</v>
      </c>
    </row>
    <row r="10" ht="4.5" customHeight="1">
      <c r="A10" s="37"/>
    </row>
    <row r="11" spans="1:8" ht="13.5" customHeight="1">
      <c r="A11" s="362" t="s">
        <v>216</v>
      </c>
      <c r="B11" s="420">
        <f>'- 30 -'!D11</f>
        <v>868996</v>
      </c>
      <c r="C11" s="420">
        <v>710</v>
      </c>
      <c r="D11" s="420">
        <f ca="1">IF(AND(CELL("type",C11)="v",C11&gt;0),B11/C11,"")</f>
        <v>1223.9380281690142</v>
      </c>
      <c r="E11" s="420">
        <v>650000</v>
      </c>
      <c r="F11" s="421">
        <f ca="1">IF(AND(CELL("type",E11)="v",E11&gt;0),B11/E11,"")</f>
        <v>1.3369169230769231</v>
      </c>
      <c r="G11" s="420">
        <v>440000</v>
      </c>
      <c r="H11" s="421">
        <f ca="1">IF(AND(CELL("type",G11)="v",G11&gt;0),B11/G11,"")</f>
        <v>1.974990909090909</v>
      </c>
    </row>
    <row r="12" spans="1:8" ht="13.5" customHeight="1">
      <c r="A12" s="23" t="s">
        <v>217</v>
      </c>
      <c r="B12" s="177">
        <f>'- 30 -'!D12</f>
        <v>1685512</v>
      </c>
      <c r="C12" s="177">
        <v>1575</v>
      </c>
      <c r="D12" s="177">
        <f aca="true" ca="1" t="shared" si="0" ref="D12:D46">IF(AND(CELL("type",C12)="v",C12&gt;0),B12/C12,"")</f>
        <v>1070.1663492063492</v>
      </c>
      <c r="E12" s="177">
        <v>1210570</v>
      </c>
      <c r="F12" s="184">
        <f aca="true" ca="1" t="shared" si="1" ref="F12:F46">IF(AND(CELL("type",E12)="v",E12&gt;0),B12/E12,"")</f>
        <v>1.3923292333363622</v>
      </c>
      <c r="G12" s="177">
        <v>727034</v>
      </c>
      <c r="H12" s="184">
        <f aca="true" ca="1" t="shared" si="2" ref="H12:H46">IF(AND(CELL("type",G12)="v",G12&gt;0),B12/G12,"")</f>
        <v>2.3183399951033925</v>
      </c>
    </row>
    <row r="13" spans="1:8" ht="13.5" customHeight="1">
      <c r="A13" s="362" t="s">
        <v>218</v>
      </c>
      <c r="B13" s="420">
        <f>'- 30 -'!D13</f>
        <v>1528200</v>
      </c>
      <c r="C13" s="420">
        <v>1980</v>
      </c>
      <c r="D13" s="420">
        <f ca="1" t="shared" si="0"/>
        <v>771.8181818181819</v>
      </c>
      <c r="E13" s="420">
        <v>760000</v>
      </c>
      <c r="F13" s="421">
        <f ca="1" t="shared" si="1"/>
        <v>2.0107894736842105</v>
      </c>
      <c r="G13" s="420">
        <v>455000</v>
      </c>
      <c r="H13" s="421">
        <f ca="1" t="shared" si="2"/>
        <v>3.3586813186813185</v>
      </c>
    </row>
    <row r="14" spans="1:8" ht="13.5" customHeight="1">
      <c r="A14" s="23" t="s">
        <v>254</v>
      </c>
      <c r="B14" s="177">
        <f>'- 30 -'!D14</f>
        <v>5178318</v>
      </c>
      <c r="C14" s="177">
        <v>3903</v>
      </c>
      <c r="D14" s="177">
        <f ca="1" t="shared" si="0"/>
        <v>1326.7532667179094</v>
      </c>
      <c r="E14" s="177">
        <v>2414250</v>
      </c>
      <c r="F14" s="184">
        <f ca="1" t="shared" si="1"/>
        <v>2.144897173035104</v>
      </c>
      <c r="G14" s="177">
        <v>1470010</v>
      </c>
      <c r="H14" s="184">
        <f ca="1" t="shared" si="2"/>
        <v>3.5226413425759007</v>
      </c>
    </row>
    <row r="15" spans="1:8" ht="13.5" customHeight="1">
      <c r="A15" s="362" t="s">
        <v>219</v>
      </c>
      <c r="B15" s="420">
        <f>'- 30 -'!D15</f>
        <v>1004620</v>
      </c>
      <c r="C15" s="420">
        <v>1079</v>
      </c>
      <c r="D15" s="420">
        <f ca="1" t="shared" si="0"/>
        <v>931.0658016682113</v>
      </c>
      <c r="E15" s="420">
        <v>695000</v>
      </c>
      <c r="F15" s="421">
        <f ca="1" t="shared" si="1"/>
        <v>1.4454964028776978</v>
      </c>
      <c r="G15" s="420">
        <v>495000</v>
      </c>
      <c r="H15" s="421">
        <f ca="1" t="shared" si="2"/>
        <v>2.0295353535353535</v>
      </c>
    </row>
    <row r="16" spans="1:8" ht="13.5" customHeight="1">
      <c r="A16" s="23" t="s">
        <v>220</v>
      </c>
      <c r="B16" s="177">
        <f>'- 30 -'!D16</f>
        <v>224418</v>
      </c>
      <c r="C16" s="177">
        <v>240</v>
      </c>
      <c r="D16" s="177">
        <f ca="1" t="shared" si="0"/>
        <v>935.075</v>
      </c>
      <c r="E16" s="177">
        <v>71424</v>
      </c>
      <c r="F16" s="184">
        <f ca="1" t="shared" si="1"/>
        <v>3.1420530913978495</v>
      </c>
      <c r="G16" s="177">
        <v>47988</v>
      </c>
      <c r="H16" s="184">
        <f ca="1" t="shared" si="2"/>
        <v>4.676544136034009</v>
      </c>
    </row>
    <row r="17" spans="1:8" ht="13.5" customHeight="1">
      <c r="A17" s="362" t="s">
        <v>221</v>
      </c>
      <c r="B17" s="420">
        <f>'- 30 -'!D17</f>
        <v>1125908</v>
      </c>
      <c r="C17" s="420">
        <v>680</v>
      </c>
      <c r="D17" s="420">
        <f ca="1" t="shared" si="0"/>
        <v>1655.7470588235294</v>
      </c>
      <c r="E17" s="420">
        <v>980500</v>
      </c>
      <c r="F17" s="421">
        <f ca="1" t="shared" si="1"/>
        <v>1.1482998470168282</v>
      </c>
      <c r="G17" s="420">
        <v>620770</v>
      </c>
      <c r="H17" s="421">
        <f ca="1" t="shared" si="2"/>
        <v>1.8137281118610757</v>
      </c>
    </row>
    <row r="18" spans="1:8" ht="13.5" customHeight="1">
      <c r="A18" s="23" t="s">
        <v>222</v>
      </c>
      <c r="B18" s="177">
        <f>'- 30 -'!D18</f>
        <v>4667426</v>
      </c>
      <c r="C18" s="177">
        <v>4652</v>
      </c>
      <c r="D18" s="177">
        <f ca="1" t="shared" si="0"/>
        <v>1003.3159931212382</v>
      </c>
      <c r="E18" s="177">
        <v>1159392</v>
      </c>
      <c r="F18" s="184">
        <f ca="1" t="shared" si="1"/>
        <v>4.025753153376942</v>
      </c>
      <c r="G18" s="177">
        <v>809880</v>
      </c>
      <c r="H18" s="184">
        <f ca="1" t="shared" si="2"/>
        <v>5.763108114782437</v>
      </c>
    </row>
    <row r="19" spans="1:8" ht="13.5" customHeight="1">
      <c r="A19" s="362" t="s">
        <v>223</v>
      </c>
      <c r="B19" s="420">
        <f>'- 30 -'!D19</f>
        <v>1123700</v>
      </c>
      <c r="C19" s="420">
        <v>2027</v>
      </c>
      <c r="D19" s="420">
        <f ca="1" t="shared" si="0"/>
        <v>554.3660582141096</v>
      </c>
      <c r="E19" s="420">
        <v>602000</v>
      </c>
      <c r="F19" s="421">
        <f ca="1" t="shared" si="1"/>
        <v>1.8666112956810632</v>
      </c>
      <c r="G19" s="420">
        <v>401000</v>
      </c>
      <c r="H19" s="421">
        <f ca="1" t="shared" si="2"/>
        <v>2.8022443890274316</v>
      </c>
    </row>
    <row r="20" spans="1:8" ht="13.5" customHeight="1">
      <c r="A20" s="23" t="s">
        <v>224</v>
      </c>
      <c r="B20" s="177">
        <f>'- 30 -'!D20</f>
        <v>2559083</v>
      </c>
      <c r="C20" s="177">
        <v>4658</v>
      </c>
      <c r="D20" s="177">
        <f ca="1" t="shared" si="0"/>
        <v>549.3952340060112</v>
      </c>
      <c r="E20" s="177">
        <v>1364082</v>
      </c>
      <c r="F20" s="184">
        <f ca="1" t="shared" si="1"/>
        <v>1.8760477742540405</v>
      </c>
      <c r="G20" s="177">
        <v>825075</v>
      </c>
      <c r="H20" s="184">
        <f ca="1" t="shared" si="2"/>
        <v>3.10163682089507</v>
      </c>
    </row>
    <row r="21" spans="1:8" ht="13.5" customHeight="1">
      <c r="A21" s="362" t="s">
        <v>225</v>
      </c>
      <c r="B21" s="420">
        <f>'- 30 -'!D21</f>
        <v>1709000</v>
      </c>
      <c r="C21" s="420">
        <v>1625</v>
      </c>
      <c r="D21" s="420">
        <f ca="1" t="shared" si="0"/>
        <v>1051.6923076923076</v>
      </c>
      <c r="E21" s="420">
        <v>1000000</v>
      </c>
      <c r="F21" s="421">
        <f ca="1" t="shared" si="1"/>
        <v>1.709</v>
      </c>
      <c r="G21" s="420">
        <v>622525</v>
      </c>
      <c r="H21" s="421">
        <f ca="1" t="shared" si="2"/>
        <v>2.745271274246014</v>
      </c>
    </row>
    <row r="22" spans="1:8" ht="13.5" customHeight="1">
      <c r="A22" s="23" t="s">
        <v>226</v>
      </c>
      <c r="B22" s="177">
        <f>'- 30 -'!D22</f>
        <v>449000</v>
      </c>
      <c r="C22" s="177">
        <v>796</v>
      </c>
      <c r="D22" s="177">
        <f ca="1" t="shared" si="0"/>
        <v>564.070351758794</v>
      </c>
      <c r="E22" s="177">
        <v>198320</v>
      </c>
      <c r="F22" s="184">
        <f ca="1" t="shared" si="1"/>
        <v>2.264017749092376</v>
      </c>
      <c r="G22" s="177">
        <v>119510</v>
      </c>
      <c r="H22" s="184">
        <f ca="1" t="shared" si="2"/>
        <v>3.7570077817755836</v>
      </c>
    </row>
    <row r="23" spans="1:8" ht="13.5" customHeight="1">
      <c r="A23" s="362" t="s">
        <v>227</v>
      </c>
      <c r="B23" s="420">
        <f>'- 30 -'!D23</f>
        <v>1275900</v>
      </c>
      <c r="C23" s="420">
        <v>819</v>
      </c>
      <c r="D23" s="420">
        <f ca="1" t="shared" si="0"/>
        <v>1557.8754578754579</v>
      </c>
      <c r="E23" s="420">
        <v>1100000</v>
      </c>
      <c r="F23" s="421">
        <f ca="1" t="shared" si="1"/>
        <v>1.159909090909091</v>
      </c>
      <c r="G23" s="420">
        <v>683000</v>
      </c>
      <c r="H23" s="421">
        <f ca="1" t="shared" si="2"/>
        <v>1.868081991215227</v>
      </c>
    </row>
    <row r="24" spans="1:8" ht="13.5" customHeight="1">
      <c r="A24" s="23" t="s">
        <v>228</v>
      </c>
      <c r="B24" s="177">
        <f>'- 30 -'!D24</f>
        <v>1998720</v>
      </c>
      <c r="C24" s="177">
        <v>3125</v>
      </c>
      <c r="D24" s="177">
        <f ca="1" t="shared" si="0"/>
        <v>639.5904</v>
      </c>
      <c r="E24" s="177">
        <v>655000</v>
      </c>
      <c r="F24" s="184">
        <f ca="1" t="shared" si="1"/>
        <v>3.0514809160305343</v>
      </c>
      <c r="G24" s="177">
        <v>652000</v>
      </c>
      <c r="H24" s="184">
        <f ca="1" t="shared" si="2"/>
        <v>3.065521472392638</v>
      </c>
    </row>
    <row r="25" spans="1:8" ht="13.5" customHeight="1">
      <c r="A25" s="362" t="s">
        <v>229</v>
      </c>
      <c r="B25" s="420">
        <f>'- 30 -'!D25</f>
        <v>2361279</v>
      </c>
      <c r="C25" s="420">
        <v>2000</v>
      </c>
      <c r="D25" s="420">
        <f ca="1" t="shared" si="0"/>
        <v>1180.6395</v>
      </c>
      <c r="E25" s="420">
        <v>806000</v>
      </c>
      <c r="F25" s="421">
        <f ca="1" t="shared" si="1"/>
        <v>2.9296265508684862</v>
      </c>
      <c r="G25" s="420">
        <v>366000</v>
      </c>
      <c r="H25" s="421">
        <f ca="1" t="shared" si="2"/>
        <v>6.451581967213115</v>
      </c>
    </row>
    <row r="26" spans="1:8" ht="13.5" customHeight="1">
      <c r="A26" s="23" t="s">
        <v>230</v>
      </c>
      <c r="B26" s="177">
        <f>'- 30 -'!D26</f>
        <v>2115494</v>
      </c>
      <c r="C26" s="177">
        <v>1431</v>
      </c>
      <c r="D26" s="177">
        <f ca="1" t="shared" si="0"/>
        <v>1478.3326345213138</v>
      </c>
      <c r="E26" s="177">
        <v>1195087</v>
      </c>
      <c r="F26" s="184">
        <f ca="1" t="shared" si="1"/>
        <v>1.7701589926089063</v>
      </c>
      <c r="G26" s="177">
        <v>1066412</v>
      </c>
      <c r="H26" s="184">
        <f ca="1" t="shared" si="2"/>
        <v>1.9837492451322754</v>
      </c>
    </row>
    <row r="27" spans="1:8" ht="13.5" customHeight="1">
      <c r="A27" s="362" t="s">
        <v>231</v>
      </c>
      <c r="B27" s="420">
        <f>'- 30 -'!D27</f>
        <v>4504</v>
      </c>
      <c r="C27" s="424" t="s">
        <v>173</v>
      </c>
      <c r="D27" s="424">
        <f ca="1">IF(AND(CELL("type",C27)="v",C27&gt;0),B27/C27,"")</f>
      </c>
      <c r="E27" s="424" t="s">
        <v>173</v>
      </c>
      <c r="F27" s="425">
        <f ca="1">IF(AND(CELL("type",E27)="v",E27&gt;0),B27/E27,"")</f>
      </c>
      <c r="G27" s="424" t="s">
        <v>173</v>
      </c>
      <c r="H27" s="421">
        <f ca="1" t="shared" si="2"/>
      </c>
    </row>
    <row r="28" spans="1:8" ht="13.5" customHeight="1">
      <c r="A28" s="23" t="s">
        <v>232</v>
      </c>
      <c r="B28" s="177">
        <f>'- 30 -'!D28</f>
        <v>1770654</v>
      </c>
      <c r="C28" s="177">
        <v>976</v>
      </c>
      <c r="D28" s="177">
        <f ca="1" t="shared" si="0"/>
        <v>1814.1946721311476</v>
      </c>
      <c r="E28" s="177">
        <v>1180000</v>
      </c>
      <c r="F28" s="184">
        <f ca="1" t="shared" si="1"/>
        <v>1.5005542372881355</v>
      </c>
      <c r="G28" s="177">
        <v>930000</v>
      </c>
      <c r="H28" s="184">
        <f ca="1" t="shared" si="2"/>
        <v>1.9039290322580644</v>
      </c>
    </row>
    <row r="29" spans="1:8" ht="13.5" customHeight="1">
      <c r="A29" s="362" t="s">
        <v>233</v>
      </c>
      <c r="B29" s="420">
        <f>'- 30 -'!D29</f>
        <v>1489274</v>
      </c>
      <c r="C29" s="420">
        <v>1750</v>
      </c>
      <c r="D29" s="420">
        <f ca="1" t="shared" si="0"/>
        <v>851.0137142857143</v>
      </c>
      <c r="E29" s="420">
        <v>420000</v>
      </c>
      <c r="F29" s="421">
        <f ca="1" t="shared" si="1"/>
        <v>3.5458904761904764</v>
      </c>
      <c r="G29" s="420">
        <v>280000</v>
      </c>
      <c r="H29" s="421">
        <f ca="1" t="shared" si="2"/>
        <v>5.318835714285714</v>
      </c>
    </row>
    <row r="30" spans="1:8" ht="13.5" customHeight="1">
      <c r="A30" s="23" t="s">
        <v>234</v>
      </c>
      <c r="B30" s="177">
        <f>'- 30 -'!D30</f>
        <v>984100</v>
      </c>
      <c r="C30" s="177">
        <v>800</v>
      </c>
      <c r="D30" s="177">
        <f ca="1" t="shared" si="0"/>
        <v>1230.125</v>
      </c>
      <c r="E30" s="177">
        <v>874125</v>
      </c>
      <c r="F30" s="184">
        <f ca="1" t="shared" si="1"/>
        <v>1.1258115258115258</v>
      </c>
      <c r="G30" s="177">
        <v>545984</v>
      </c>
      <c r="H30" s="184">
        <f ca="1" t="shared" si="2"/>
        <v>1.802433770952995</v>
      </c>
    </row>
    <row r="31" spans="1:8" ht="13.5" customHeight="1">
      <c r="A31" s="362" t="s">
        <v>235</v>
      </c>
      <c r="B31" s="420">
        <f>'- 30 -'!D31</f>
        <v>845929</v>
      </c>
      <c r="C31" s="420">
        <v>1134</v>
      </c>
      <c r="D31" s="420">
        <f ca="1" t="shared" si="0"/>
        <v>745.9691358024692</v>
      </c>
      <c r="E31" s="420">
        <v>655000</v>
      </c>
      <c r="F31" s="421">
        <f ca="1" t="shared" si="1"/>
        <v>1.2914946564885497</v>
      </c>
      <c r="G31" s="420">
        <v>430000</v>
      </c>
      <c r="H31" s="421">
        <f ca="1" t="shared" si="2"/>
        <v>1.9672767441860466</v>
      </c>
    </row>
    <row r="32" spans="1:8" ht="13.5" customHeight="1">
      <c r="A32" s="23" t="s">
        <v>236</v>
      </c>
      <c r="B32" s="177">
        <f>'- 30 -'!D32</f>
        <v>1722775</v>
      </c>
      <c r="C32" s="177">
        <v>1400</v>
      </c>
      <c r="D32" s="177">
        <f ca="1" t="shared" si="0"/>
        <v>1230.5535714285713</v>
      </c>
      <c r="E32" s="177">
        <v>1104000</v>
      </c>
      <c r="F32" s="184">
        <f ca="1" t="shared" si="1"/>
        <v>1.5604846014492753</v>
      </c>
      <c r="G32" s="177">
        <v>723000</v>
      </c>
      <c r="H32" s="184">
        <f ca="1" t="shared" si="2"/>
        <v>2.382814661134163</v>
      </c>
    </row>
    <row r="33" spans="1:8" ht="13.5" customHeight="1">
      <c r="A33" s="362" t="s">
        <v>237</v>
      </c>
      <c r="B33" s="420">
        <f>'- 30 -'!D33</f>
        <v>1913900</v>
      </c>
      <c r="C33" s="420">
        <v>1235</v>
      </c>
      <c r="D33" s="420">
        <f ca="1" t="shared" si="0"/>
        <v>1549.7165991902834</v>
      </c>
      <c r="E33" s="420">
        <v>1624879</v>
      </c>
      <c r="F33" s="421">
        <f ca="1" t="shared" si="1"/>
        <v>1.1778723215697908</v>
      </c>
      <c r="G33" s="420">
        <v>1043269</v>
      </c>
      <c r="H33" s="421">
        <f ca="1" t="shared" si="2"/>
        <v>1.8345220647790743</v>
      </c>
    </row>
    <row r="34" spans="1:8" ht="13.5" customHeight="1">
      <c r="A34" s="23" t="s">
        <v>238</v>
      </c>
      <c r="B34" s="177">
        <f>'- 30 -'!D34</f>
        <v>1989909</v>
      </c>
      <c r="C34" s="177">
        <v>1357</v>
      </c>
      <c r="D34" s="177">
        <f ca="1" t="shared" si="0"/>
        <v>1466.4030950626382</v>
      </c>
      <c r="E34" s="177">
        <v>1293500</v>
      </c>
      <c r="F34" s="184">
        <f ca="1" t="shared" si="1"/>
        <v>1.5383911867027444</v>
      </c>
      <c r="G34" s="177">
        <v>891145</v>
      </c>
      <c r="H34" s="184">
        <f ca="1" t="shared" si="2"/>
        <v>2.2329800425295545</v>
      </c>
    </row>
    <row r="35" spans="1:8" ht="13.5" customHeight="1">
      <c r="A35" s="362" t="s">
        <v>239</v>
      </c>
      <c r="B35" s="420">
        <f>'- 30 -'!D35</f>
        <v>2478800</v>
      </c>
      <c r="C35" s="420">
        <v>3300</v>
      </c>
      <c r="D35" s="420">
        <f ca="1" t="shared" si="0"/>
        <v>751.1515151515151</v>
      </c>
      <c r="E35" s="420">
        <v>960000</v>
      </c>
      <c r="F35" s="421">
        <f ca="1" t="shared" si="1"/>
        <v>2.5820833333333333</v>
      </c>
      <c r="G35" s="420">
        <v>495000</v>
      </c>
      <c r="H35" s="421">
        <f ca="1" t="shared" si="2"/>
        <v>5.0076767676767675</v>
      </c>
    </row>
    <row r="36" spans="1:8" ht="13.5" customHeight="1">
      <c r="A36" s="23" t="s">
        <v>240</v>
      </c>
      <c r="B36" s="177">
        <f>'- 30 -'!D36</f>
        <v>1329100</v>
      </c>
      <c r="C36" s="177">
        <v>966</v>
      </c>
      <c r="D36" s="177">
        <f ca="1" t="shared" si="0"/>
        <v>1375.879917184265</v>
      </c>
      <c r="E36" s="177">
        <v>967200</v>
      </c>
      <c r="F36" s="184">
        <f ca="1" t="shared" si="1"/>
        <v>1.3741728701406122</v>
      </c>
      <c r="G36" s="177">
        <v>623100</v>
      </c>
      <c r="H36" s="184">
        <f ca="1" t="shared" si="2"/>
        <v>2.1330444551436365</v>
      </c>
    </row>
    <row r="37" spans="1:8" ht="13.5" customHeight="1">
      <c r="A37" s="362" t="s">
        <v>241</v>
      </c>
      <c r="B37" s="420">
        <f>'- 30 -'!D37</f>
        <v>1764825</v>
      </c>
      <c r="C37" s="420">
        <v>2150</v>
      </c>
      <c r="D37" s="420">
        <f ca="1" t="shared" si="0"/>
        <v>820.8488372093024</v>
      </c>
      <c r="E37" s="420">
        <v>1065000</v>
      </c>
      <c r="F37" s="421">
        <f ca="1" t="shared" si="1"/>
        <v>1.657112676056338</v>
      </c>
      <c r="G37" s="420">
        <v>710000</v>
      </c>
      <c r="H37" s="421">
        <f ca="1" t="shared" si="2"/>
        <v>2.485669014084507</v>
      </c>
    </row>
    <row r="38" spans="1:8" ht="13.5" customHeight="1">
      <c r="A38" s="23" t="s">
        <v>242</v>
      </c>
      <c r="B38" s="177">
        <f>'- 30 -'!D38</f>
        <v>2171635</v>
      </c>
      <c r="C38" s="177">
        <v>2716</v>
      </c>
      <c r="D38" s="177">
        <f ca="1" t="shared" si="0"/>
        <v>799.571060382916</v>
      </c>
      <c r="E38" s="177">
        <v>524496</v>
      </c>
      <c r="F38" s="184">
        <f ca="1" t="shared" si="1"/>
        <v>4.1404224245752115</v>
      </c>
      <c r="G38" s="177">
        <v>383180</v>
      </c>
      <c r="H38" s="184">
        <f ca="1" t="shared" si="2"/>
        <v>5.667401743306018</v>
      </c>
    </row>
    <row r="39" spans="1:8" ht="13.5" customHeight="1">
      <c r="A39" s="362" t="s">
        <v>243</v>
      </c>
      <c r="B39" s="420">
        <f>'- 30 -'!D39</f>
        <v>1480700</v>
      </c>
      <c r="C39" s="420">
        <v>860</v>
      </c>
      <c r="D39" s="420">
        <f ca="1" t="shared" si="0"/>
        <v>1721.7441860465117</v>
      </c>
      <c r="E39" s="420">
        <v>1250000</v>
      </c>
      <c r="F39" s="421">
        <f ca="1" t="shared" si="1"/>
        <v>1.18456</v>
      </c>
      <c r="G39" s="420">
        <v>800000</v>
      </c>
      <c r="H39" s="421">
        <f ca="1" t="shared" si="2"/>
        <v>1.850875</v>
      </c>
    </row>
    <row r="40" spans="1:8" ht="13.5" customHeight="1">
      <c r="A40" s="23" t="s">
        <v>244</v>
      </c>
      <c r="B40" s="177">
        <f>'- 30 -'!D40</f>
        <v>1338443</v>
      </c>
      <c r="C40" s="177">
        <v>1880</v>
      </c>
      <c r="D40" s="177">
        <f ca="1" t="shared" si="0"/>
        <v>711.9377659574468</v>
      </c>
      <c r="E40" s="177">
        <v>344402</v>
      </c>
      <c r="F40" s="184">
        <f ca="1" t="shared" si="1"/>
        <v>3.8862811481931</v>
      </c>
      <c r="G40" s="177">
        <v>298938</v>
      </c>
      <c r="H40" s="184">
        <f ca="1" t="shared" si="2"/>
        <v>4.477326402130208</v>
      </c>
    </row>
    <row r="41" spans="1:8" ht="13.5" customHeight="1">
      <c r="A41" s="362" t="s">
        <v>245</v>
      </c>
      <c r="B41" s="420">
        <f>'- 30 -'!D41</f>
        <v>3422228</v>
      </c>
      <c r="C41" s="420">
        <v>3600</v>
      </c>
      <c r="D41" s="420">
        <f ca="1" t="shared" si="0"/>
        <v>950.6188888888889</v>
      </c>
      <c r="E41" s="420">
        <v>2300000</v>
      </c>
      <c r="F41" s="421">
        <f ca="1" t="shared" si="1"/>
        <v>1.4879252173913045</v>
      </c>
      <c r="G41" s="420">
        <v>1470000</v>
      </c>
      <c r="H41" s="421">
        <f ca="1" t="shared" si="2"/>
        <v>2.3280462585034014</v>
      </c>
    </row>
    <row r="42" spans="1:8" ht="13.5" customHeight="1">
      <c r="A42" s="23" t="s">
        <v>246</v>
      </c>
      <c r="B42" s="177">
        <f>'- 30 -'!D42</f>
        <v>1409032</v>
      </c>
      <c r="C42" s="177">
        <v>1375</v>
      </c>
      <c r="D42" s="177">
        <f ca="1" t="shared" si="0"/>
        <v>1024.7505454545455</v>
      </c>
      <c r="E42" s="177">
        <v>843106</v>
      </c>
      <c r="F42" s="184">
        <f ca="1" t="shared" si="1"/>
        <v>1.6712394408295042</v>
      </c>
      <c r="G42" s="177">
        <v>708320</v>
      </c>
      <c r="H42" s="184">
        <f ca="1" t="shared" si="2"/>
        <v>1.9892590919358482</v>
      </c>
    </row>
    <row r="43" spans="1:8" ht="13.5" customHeight="1">
      <c r="A43" s="362" t="s">
        <v>247</v>
      </c>
      <c r="B43" s="420">
        <f>'- 30 -'!D43</f>
        <v>763164</v>
      </c>
      <c r="C43" s="420">
        <v>504</v>
      </c>
      <c r="D43" s="420">
        <f ca="1" t="shared" si="0"/>
        <v>1514.2142857142858</v>
      </c>
      <c r="E43" s="420">
        <v>711127</v>
      </c>
      <c r="F43" s="421">
        <f ca="1" t="shared" si="1"/>
        <v>1.0731753962372403</v>
      </c>
      <c r="G43" s="420">
        <v>442568</v>
      </c>
      <c r="H43" s="421">
        <f ca="1" t="shared" si="2"/>
        <v>1.7243994143272898</v>
      </c>
    </row>
    <row r="44" spans="1:8" ht="13.5" customHeight="1">
      <c r="A44" s="23" t="s">
        <v>248</v>
      </c>
      <c r="B44" s="177">
        <f>'- 30 -'!D44</f>
        <v>787435</v>
      </c>
      <c r="C44" s="177">
        <v>520</v>
      </c>
      <c r="D44" s="177">
        <f ca="1" t="shared" si="0"/>
        <v>1514.298076923077</v>
      </c>
      <c r="E44" s="177">
        <v>750678</v>
      </c>
      <c r="F44" s="184">
        <f ca="1" t="shared" si="1"/>
        <v>1.0489650689110377</v>
      </c>
      <c r="G44" s="177">
        <v>504972</v>
      </c>
      <c r="H44" s="184">
        <f ca="1" t="shared" si="2"/>
        <v>1.5593636874915837</v>
      </c>
    </row>
    <row r="45" spans="1:8" ht="13.5" customHeight="1">
      <c r="A45" s="362" t="s">
        <v>249</v>
      </c>
      <c r="B45" s="420">
        <f>'- 30 -'!D45</f>
        <v>527471</v>
      </c>
      <c r="C45" s="420">
        <v>726</v>
      </c>
      <c r="D45" s="420">
        <f ca="1" t="shared" si="0"/>
        <v>726.5440771349862</v>
      </c>
      <c r="E45" s="420">
        <v>281775</v>
      </c>
      <c r="F45" s="421">
        <f ca="1" t="shared" si="1"/>
        <v>1.8719581226155622</v>
      </c>
      <c r="G45" s="420">
        <v>170625</v>
      </c>
      <c r="H45" s="421">
        <f ca="1" t="shared" si="2"/>
        <v>3.0914051282051282</v>
      </c>
    </row>
    <row r="46" spans="1:8" ht="13.5" customHeight="1">
      <c r="A46" s="23" t="s">
        <v>250</v>
      </c>
      <c r="B46" s="177">
        <f>'- 30 -'!D46</f>
        <v>3898200</v>
      </c>
      <c r="C46" s="177">
        <v>2111</v>
      </c>
      <c r="D46" s="177">
        <f ca="1" t="shared" si="0"/>
        <v>1846.612979630507</v>
      </c>
      <c r="E46" s="177">
        <v>1147188</v>
      </c>
      <c r="F46" s="184">
        <f ca="1" t="shared" si="1"/>
        <v>3.3980480967374134</v>
      </c>
      <c r="G46" s="177">
        <v>755580</v>
      </c>
      <c r="H46" s="184">
        <f ca="1" t="shared" si="2"/>
        <v>5.159215437147622</v>
      </c>
    </row>
    <row r="47" spans="1:8" ht="4.5" customHeight="1">
      <c r="A47"/>
      <c r="B47"/>
      <c r="C47"/>
      <c r="D47"/>
      <c r="E47"/>
      <c r="F47"/>
      <c r="G47"/>
      <c r="H47"/>
    </row>
    <row r="48" spans="1:8" ht="13.5" customHeight="1">
      <c r="A48" s="365" t="s">
        <v>251</v>
      </c>
      <c r="B48" s="422">
        <f>SUM(B11:B46)</f>
        <v>61967652</v>
      </c>
      <c r="C48" s="422">
        <f>SUM(C11:C46)</f>
        <v>60660</v>
      </c>
      <c r="D48" s="422">
        <f>B48/C48</f>
        <v>1021.5570722057369</v>
      </c>
      <c r="E48" s="422">
        <f>SUM(E11:E46)</f>
        <v>33158101</v>
      </c>
      <c r="F48" s="423">
        <f>B48/E48</f>
        <v>1.868854069779207</v>
      </c>
      <c r="G48" s="422">
        <f>SUM(G11:G46)</f>
        <v>22006885</v>
      </c>
      <c r="H48" s="423">
        <f>B48/G48</f>
        <v>2.815830227676475</v>
      </c>
    </row>
    <row r="49" spans="1:8" ht="4.5" customHeight="1">
      <c r="A49" s="25" t="s">
        <v>3</v>
      </c>
      <c r="B49" s="178"/>
      <c r="C49" s="178"/>
      <c r="D49" s="178"/>
      <c r="E49" s="178"/>
      <c r="F49" s="101"/>
      <c r="G49" s="178"/>
      <c r="H49" s="101"/>
    </row>
    <row r="50" spans="1:8" ht="13.5" customHeight="1">
      <c r="A50" s="23" t="s">
        <v>252</v>
      </c>
      <c r="B50" s="177">
        <f>'- 30 -'!D50</f>
        <v>9200</v>
      </c>
      <c r="C50" s="512" t="s">
        <v>173</v>
      </c>
      <c r="D50" s="177">
        <f ca="1">IF(AND(CELL("type",C50)="v",C50&gt;0),B50/C50,"")</f>
      </c>
      <c r="E50" s="512" t="s">
        <v>173</v>
      </c>
      <c r="F50" s="184">
        <f ca="1">IF(AND(CELL("type",E50)="v",E50&gt;0),B50/E50,"")</f>
      </c>
      <c r="G50" s="512" t="s">
        <v>173</v>
      </c>
      <c r="H50" s="184">
        <f ca="1">IF(AND(CELL("type",G50)="v",G50&gt;0),B50/G50,"")</f>
      </c>
    </row>
    <row r="51" spans="1:8" ht="13.5" customHeight="1">
      <c r="A51" s="362" t="s">
        <v>253</v>
      </c>
      <c r="B51" s="420">
        <f>'- 30 -'!D51</f>
        <v>0</v>
      </c>
      <c r="C51" s="420">
        <v>0</v>
      </c>
      <c r="D51" s="420">
        <f ca="1">IF(AND(CELL("type",C51)="v",C51&gt;0),B51/C51,"")</f>
      </c>
      <c r="E51" s="420">
        <v>0</v>
      </c>
      <c r="F51" s="421">
        <f ca="1">IF(AND(CELL("type",E51)="v",E51&gt;0),B51/E51,"")</f>
      </c>
      <c r="G51" s="420">
        <v>0</v>
      </c>
      <c r="H51" s="421">
        <f ca="1">IF(AND(CELL("type",G51)="v",G51&gt;0),B51/G51,"")</f>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1"/>
  <sheetViews>
    <sheetView showGridLines="0" showZeros="0" workbookViewId="0" topLeftCell="A1">
      <selection activeCell="A2" sqref="A2"/>
    </sheetView>
  </sheetViews>
  <sheetFormatPr defaultColWidth="15.83203125" defaultRowHeight="12"/>
  <cols>
    <col min="1" max="1" width="35.83203125" style="1" customWidth="1"/>
    <col min="2" max="2" width="22.83203125" style="1" customWidth="1"/>
    <col min="3" max="3" width="19.83203125" style="1" customWidth="1"/>
    <col min="4" max="4" width="15.83203125" style="1" customWidth="1"/>
    <col min="5" max="5" width="38.83203125" style="1" customWidth="1"/>
    <col min="6" max="16384" width="15.83203125" style="1" customWidth="1"/>
  </cols>
  <sheetData>
    <row r="1" spans="1:5" ht="6.75" customHeight="1">
      <c r="A1" s="3"/>
      <c r="B1" s="4"/>
      <c r="C1" s="4"/>
      <c r="D1" s="4"/>
      <c r="E1" s="4"/>
    </row>
    <row r="2" spans="1:5" ht="15.75" customHeight="1">
      <c r="A2" s="167"/>
      <c r="B2" s="5" t="s">
        <v>493</v>
      </c>
      <c r="C2" s="6"/>
      <c r="D2" s="6"/>
      <c r="E2" s="185"/>
    </row>
    <row r="3" spans="1:5" ht="15.75" customHeight="1">
      <c r="A3" s="170"/>
      <c r="B3" s="7" t="str">
        <f>OPYEAR</f>
        <v>OPERATING FUND 2008/2009 BUDGET</v>
      </c>
      <c r="C3" s="8"/>
      <c r="D3" s="8"/>
      <c r="E3" s="186"/>
    </row>
    <row r="4" spans="2:5" ht="15.75" customHeight="1">
      <c r="B4" s="4"/>
      <c r="C4" s="4"/>
      <c r="D4" s="4"/>
      <c r="E4" s="4"/>
    </row>
    <row r="5" spans="2:5" ht="15.75" customHeight="1">
      <c r="B5" s="4"/>
      <c r="C5" s="4"/>
      <c r="D5" s="4"/>
      <c r="E5" s="4"/>
    </row>
    <row r="6" spans="2:4" ht="15.75" customHeight="1">
      <c r="B6" s="356" t="s">
        <v>26</v>
      </c>
      <c r="C6" s="371"/>
      <c r="D6" s="370"/>
    </row>
    <row r="7" spans="2:4" ht="15.75" customHeight="1">
      <c r="B7" s="359" t="s">
        <v>56</v>
      </c>
      <c r="C7" s="360"/>
      <c r="D7" s="372"/>
    </row>
    <row r="8" spans="1:4" ht="15.75" customHeight="1">
      <c r="A8" s="104"/>
      <c r="B8" s="187"/>
      <c r="C8" s="188" t="s">
        <v>72</v>
      </c>
      <c r="D8" s="114" t="s">
        <v>73</v>
      </c>
    </row>
    <row r="9" spans="1:4" ht="15.75" customHeight="1">
      <c r="A9" s="35" t="s">
        <v>79</v>
      </c>
      <c r="B9" s="115" t="s">
        <v>80</v>
      </c>
      <c r="C9" s="115" t="s">
        <v>90</v>
      </c>
      <c r="D9" s="115" t="s">
        <v>88</v>
      </c>
    </row>
    <row r="10" ht="4.5" customHeight="1">
      <c r="A10" s="37"/>
    </row>
    <row r="11" spans="1:5" ht="13.5" customHeight="1">
      <c r="A11" s="362" t="s">
        <v>216</v>
      </c>
      <c r="B11" s="420">
        <f>SUM('- 30 -'!B11,'- 30 -'!D11,'- 31 -'!D11)</f>
        <v>1020057</v>
      </c>
      <c r="C11" s="420">
        <v>640000</v>
      </c>
      <c r="D11" s="421">
        <f ca="1">IF(AND(CELL("type",C11)="v",C11&gt;0),B11/C11,"")</f>
        <v>1.5938390625</v>
      </c>
      <c r="E11" s="189"/>
    </row>
    <row r="12" spans="1:5" ht="13.5" customHeight="1">
      <c r="A12" s="23" t="s">
        <v>217</v>
      </c>
      <c r="B12" s="177">
        <f>SUM('- 30 -'!B12,'- 30 -'!D12,'- 31 -'!D12)</f>
        <v>1923445</v>
      </c>
      <c r="C12" s="177">
        <v>1210570</v>
      </c>
      <c r="D12" s="184">
        <f aca="true" ca="1" t="shared" si="0" ref="D12:D46">IF(AND(CELL("type",C12)="v",C12&gt;0),B12/C12,"")</f>
        <v>1.588875488406288</v>
      </c>
      <c r="E12" s="189"/>
    </row>
    <row r="13" spans="1:5" ht="13.5" customHeight="1">
      <c r="A13" s="362" t="s">
        <v>218</v>
      </c>
      <c r="B13" s="420">
        <f>SUM('- 30 -'!B13,'- 30 -'!D13,'- 31 -'!D13)</f>
        <v>1717100</v>
      </c>
      <c r="C13" s="420">
        <v>773000</v>
      </c>
      <c r="D13" s="421">
        <f ca="1" t="shared" si="0"/>
        <v>2.221345407503234</v>
      </c>
      <c r="E13" s="189"/>
    </row>
    <row r="14" spans="1:5" ht="13.5" customHeight="1">
      <c r="A14" s="23" t="s">
        <v>254</v>
      </c>
      <c r="B14" s="177">
        <f>SUM('- 30 -'!B14,'- 30 -'!D14,'- 31 -'!D14)</f>
        <v>5496686</v>
      </c>
      <c r="C14" s="512" t="s">
        <v>173</v>
      </c>
      <c r="D14" s="184">
        <f ca="1" t="shared" si="0"/>
      </c>
      <c r="E14" s="189"/>
    </row>
    <row r="15" spans="1:5" ht="13.5" customHeight="1">
      <c r="A15" s="362" t="s">
        <v>219</v>
      </c>
      <c r="B15" s="420">
        <f>SUM('- 30 -'!B15,'- 30 -'!D15,'- 31 -'!D15)</f>
        <v>1090075</v>
      </c>
      <c r="C15" s="420">
        <v>750000</v>
      </c>
      <c r="D15" s="421">
        <f ca="1" t="shared" si="0"/>
        <v>1.4534333333333334</v>
      </c>
      <c r="E15" s="189"/>
    </row>
    <row r="16" spans="1:5" ht="13.5" customHeight="1">
      <c r="A16" s="23" t="s">
        <v>220</v>
      </c>
      <c r="B16" s="177">
        <f>SUM('- 30 -'!B16,'- 30 -'!D16,'- 31 -'!D16)</f>
        <v>282916</v>
      </c>
      <c r="C16" s="177">
        <v>71424</v>
      </c>
      <c r="D16" s="184">
        <f ca="1" t="shared" si="0"/>
        <v>3.9610775089605736</v>
      </c>
      <c r="E16" s="189"/>
    </row>
    <row r="17" spans="1:5" ht="13.5" customHeight="1">
      <c r="A17" s="362" t="s">
        <v>221</v>
      </c>
      <c r="B17" s="420">
        <f>SUM('- 30 -'!B17,'- 30 -'!D17,'- 31 -'!D17)</f>
        <v>1206178</v>
      </c>
      <c r="C17" s="420">
        <v>938890</v>
      </c>
      <c r="D17" s="421">
        <f ca="1" t="shared" si="0"/>
        <v>1.2846851068815304</v>
      </c>
      <c r="E17" s="189"/>
    </row>
    <row r="18" spans="1:5" ht="13.5" customHeight="1">
      <c r="A18" s="23" t="s">
        <v>222</v>
      </c>
      <c r="B18" s="177">
        <f>SUM('- 30 -'!B18,'- 30 -'!D18,'- 31 -'!D18)</f>
        <v>5452483</v>
      </c>
      <c r="C18" s="177">
        <v>1481500</v>
      </c>
      <c r="D18" s="184">
        <f ca="1" t="shared" si="0"/>
        <v>3.6803800202497468</v>
      </c>
      <c r="E18" s="189"/>
    </row>
    <row r="19" spans="1:5" ht="13.5" customHeight="1">
      <c r="A19" s="362" t="s">
        <v>223</v>
      </c>
      <c r="B19" s="420">
        <f>SUM('- 30 -'!B19,'- 30 -'!D19,'- 31 -'!D19)</f>
        <v>1208200</v>
      </c>
      <c r="C19" s="420">
        <v>671000</v>
      </c>
      <c r="D19" s="421">
        <f ca="1" t="shared" si="0"/>
        <v>1.8005961251862892</v>
      </c>
      <c r="E19" s="189"/>
    </row>
    <row r="20" spans="1:5" ht="13.5" customHeight="1">
      <c r="A20" s="23" t="s">
        <v>224</v>
      </c>
      <c r="B20" s="177">
        <f>SUM('- 30 -'!B20,'- 30 -'!D20,'- 31 -'!D20)</f>
        <v>2921302</v>
      </c>
      <c r="C20" s="177">
        <v>1652196</v>
      </c>
      <c r="D20" s="184">
        <f ca="1" t="shared" si="0"/>
        <v>1.7681328365399747</v>
      </c>
      <c r="E20" s="189"/>
    </row>
    <row r="21" spans="1:5" ht="13.5" customHeight="1">
      <c r="A21" s="362" t="s">
        <v>225</v>
      </c>
      <c r="B21" s="420">
        <f>SUM('- 30 -'!B21,'- 30 -'!D21,'- 31 -'!D21)</f>
        <v>1924000</v>
      </c>
      <c r="C21" s="420">
        <v>940000</v>
      </c>
      <c r="D21" s="421">
        <f ca="1" t="shared" si="0"/>
        <v>2.046808510638298</v>
      </c>
      <c r="E21" s="189"/>
    </row>
    <row r="22" spans="1:5" ht="13.5" customHeight="1">
      <c r="A22" s="23" t="s">
        <v>226</v>
      </c>
      <c r="B22" s="177">
        <f>SUM('- 30 -'!B22,'- 30 -'!D22,'- 31 -'!D22)</f>
        <v>570740</v>
      </c>
      <c r="C22" s="177">
        <v>210046</v>
      </c>
      <c r="D22" s="184">
        <f ca="1" t="shared" si="0"/>
        <v>2.7172143244813043</v>
      </c>
      <c r="E22" s="189"/>
    </row>
    <row r="23" spans="1:5" ht="13.5" customHeight="1">
      <c r="A23" s="362" t="s">
        <v>227</v>
      </c>
      <c r="B23" s="420">
        <f>SUM('- 30 -'!B23,'- 30 -'!D23,'- 31 -'!D23)</f>
        <v>1329600</v>
      </c>
      <c r="C23" s="420">
        <v>1000000</v>
      </c>
      <c r="D23" s="421">
        <f ca="1" t="shared" si="0"/>
        <v>1.3296</v>
      </c>
      <c r="E23" s="189"/>
    </row>
    <row r="24" spans="1:5" ht="13.5" customHeight="1">
      <c r="A24" s="23" t="s">
        <v>228</v>
      </c>
      <c r="B24" s="177">
        <f>SUM('- 30 -'!B24,'- 30 -'!D24,'- 31 -'!D24)</f>
        <v>2206080</v>
      </c>
      <c r="C24" s="177">
        <v>1082560</v>
      </c>
      <c r="D24" s="184">
        <f ca="1" t="shared" si="0"/>
        <v>2.0378362400236476</v>
      </c>
      <c r="E24" s="189"/>
    </row>
    <row r="25" spans="1:5" ht="13.5" customHeight="1">
      <c r="A25" s="362" t="s">
        <v>229</v>
      </c>
      <c r="B25" s="420">
        <f>SUM('- 30 -'!B25,'- 30 -'!D25,'- 31 -'!D25)</f>
        <v>2661614</v>
      </c>
      <c r="C25" s="420">
        <v>905000</v>
      </c>
      <c r="D25" s="421">
        <f ca="1" t="shared" si="0"/>
        <v>2.9410099447513813</v>
      </c>
      <c r="E25" s="189"/>
    </row>
    <row r="26" spans="1:5" ht="13.5" customHeight="1">
      <c r="A26" s="23" t="s">
        <v>230</v>
      </c>
      <c r="B26" s="177">
        <f>SUM('- 30 -'!B26,'- 30 -'!D26,'- 31 -'!D26)</f>
        <v>2379549</v>
      </c>
      <c r="C26" s="177">
        <v>1231087</v>
      </c>
      <c r="D26" s="184">
        <f ca="1" t="shared" si="0"/>
        <v>1.9328845158790564</v>
      </c>
      <c r="E26" s="189"/>
    </row>
    <row r="27" spans="1:5" ht="13.5" customHeight="1">
      <c r="A27" s="362" t="s">
        <v>231</v>
      </c>
      <c r="B27" s="420">
        <f>SUM('- 30 -'!B27,'- 30 -'!D27,'- 31 -'!D27)</f>
        <v>59954</v>
      </c>
      <c r="C27" s="424" t="s">
        <v>173</v>
      </c>
      <c r="D27" s="421">
        <f ca="1" t="shared" si="0"/>
      </c>
      <c r="E27" s="189"/>
    </row>
    <row r="28" spans="1:5" ht="13.5" customHeight="1">
      <c r="A28" s="23" t="s">
        <v>232</v>
      </c>
      <c r="B28" s="177">
        <f>SUM('- 30 -'!B28,'- 30 -'!D28,'- 31 -'!D28)</f>
        <v>1885563</v>
      </c>
      <c r="C28" s="177">
        <v>1380000</v>
      </c>
      <c r="D28" s="184">
        <f ca="1" t="shared" si="0"/>
        <v>1.36635</v>
      </c>
      <c r="E28" s="189"/>
    </row>
    <row r="29" spans="1:5" ht="13.5" customHeight="1">
      <c r="A29" s="362" t="s">
        <v>233</v>
      </c>
      <c r="B29" s="420">
        <f>SUM('- 30 -'!B29,'- 30 -'!D29,'- 31 -'!D29)</f>
        <v>1746120</v>
      </c>
      <c r="C29" s="420">
        <v>555000</v>
      </c>
      <c r="D29" s="421">
        <f ca="1" t="shared" si="0"/>
        <v>3.1461621621621623</v>
      </c>
      <c r="E29" s="189"/>
    </row>
    <row r="30" spans="1:5" ht="13.5" customHeight="1">
      <c r="A30" s="23" t="s">
        <v>234</v>
      </c>
      <c r="B30" s="177">
        <f>SUM('- 30 -'!B30,'- 30 -'!D30,'- 31 -'!D30)</f>
        <v>1056518</v>
      </c>
      <c r="C30" s="177">
        <v>914125</v>
      </c>
      <c r="D30" s="184">
        <f ca="1" t="shared" si="0"/>
        <v>1.1557697251469985</v>
      </c>
      <c r="E30" s="189"/>
    </row>
    <row r="31" spans="1:5" ht="13.5" customHeight="1">
      <c r="A31" s="362" t="s">
        <v>235</v>
      </c>
      <c r="B31" s="420">
        <f>SUM('- 30 -'!B31,'- 30 -'!D31,'- 31 -'!D31)</f>
        <v>951521</v>
      </c>
      <c r="C31" s="420">
        <v>665000</v>
      </c>
      <c r="D31" s="421">
        <f ca="1" t="shared" si="0"/>
        <v>1.4308586466165414</v>
      </c>
      <c r="E31" s="189"/>
    </row>
    <row r="32" spans="1:5" ht="13.5" customHeight="1">
      <c r="A32" s="23" t="s">
        <v>236</v>
      </c>
      <c r="B32" s="177">
        <f>SUM('- 30 -'!B32,'- 30 -'!D32,'- 31 -'!D32)</f>
        <v>1783425</v>
      </c>
      <c r="C32" s="177">
        <v>1126000</v>
      </c>
      <c r="D32" s="184">
        <f ca="1" t="shared" si="0"/>
        <v>1.5838587921847247</v>
      </c>
      <c r="E32" s="189"/>
    </row>
    <row r="33" spans="1:5" ht="13.5" customHeight="1">
      <c r="A33" s="362" t="s">
        <v>237</v>
      </c>
      <c r="B33" s="420">
        <f>SUM('- 30 -'!B33,'- 30 -'!D33,'- 31 -'!D33)</f>
        <v>2011200</v>
      </c>
      <c r="C33" s="420">
        <v>1655000</v>
      </c>
      <c r="D33" s="421">
        <f ca="1" t="shared" si="0"/>
        <v>1.215226586102719</v>
      </c>
      <c r="E33" s="189"/>
    </row>
    <row r="34" spans="1:5" ht="13.5" customHeight="1">
      <c r="A34" s="23" t="s">
        <v>238</v>
      </c>
      <c r="B34" s="177">
        <f>SUM('- 30 -'!B34,'- 30 -'!D34,'- 31 -'!D34)</f>
        <v>2098270</v>
      </c>
      <c r="C34" s="177">
        <v>1144096</v>
      </c>
      <c r="D34" s="184">
        <f ca="1" t="shared" si="0"/>
        <v>1.8339981959555842</v>
      </c>
      <c r="E34" s="189"/>
    </row>
    <row r="35" spans="1:5" ht="13.5" customHeight="1">
      <c r="A35" s="362" t="s">
        <v>239</v>
      </c>
      <c r="B35" s="420">
        <f>SUM('- 30 -'!B35,'- 30 -'!D35,'- 31 -'!D35)</f>
        <v>2806400</v>
      </c>
      <c r="C35" s="420">
        <v>1100000</v>
      </c>
      <c r="D35" s="421">
        <f ca="1" t="shared" si="0"/>
        <v>2.5512727272727274</v>
      </c>
      <c r="E35" s="189"/>
    </row>
    <row r="36" spans="1:5" ht="13.5" customHeight="1">
      <c r="A36" s="23" t="s">
        <v>240</v>
      </c>
      <c r="B36" s="177">
        <f>SUM('- 30 -'!B36,'- 30 -'!D36,'- 31 -'!D36)</f>
        <v>1419415</v>
      </c>
      <c r="C36" s="177">
        <v>986600</v>
      </c>
      <c r="D36" s="184">
        <f ca="1" t="shared" si="0"/>
        <v>1.4386934928035677</v>
      </c>
      <c r="E36" s="189"/>
    </row>
    <row r="37" spans="1:5" ht="13.5" customHeight="1">
      <c r="A37" s="362" t="s">
        <v>241</v>
      </c>
      <c r="B37" s="420">
        <f>SUM('- 30 -'!B37,'- 30 -'!D37,'- 31 -'!D37)</f>
        <v>1958267</v>
      </c>
      <c r="C37" s="420">
        <v>1100000</v>
      </c>
      <c r="D37" s="421">
        <f ca="1" t="shared" si="0"/>
        <v>1.7802427272727273</v>
      </c>
      <c r="E37" s="189"/>
    </row>
    <row r="38" spans="1:5" ht="13.5" customHeight="1">
      <c r="A38" s="23" t="s">
        <v>242</v>
      </c>
      <c r="B38" s="177">
        <f>SUM('- 30 -'!B38,'- 30 -'!D38,'- 31 -'!D38)</f>
        <v>2592013</v>
      </c>
      <c r="C38" s="177">
        <v>787630</v>
      </c>
      <c r="D38" s="184">
        <f ca="1" t="shared" si="0"/>
        <v>3.290901819382197</v>
      </c>
      <c r="E38" s="189"/>
    </row>
    <row r="39" spans="1:5" ht="13.5" customHeight="1">
      <c r="A39" s="362" t="s">
        <v>243</v>
      </c>
      <c r="B39" s="420">
        <f>SUM('- 30 -'!B39,'- 30 -'!D39,'- 31 -'!D39)</f>
        <v>1553790</v>
      </c>
      <c r="C39" s="420">
        <v>1250000</v>
      </c>
      <c r="D39" s="421">
        <f ca="1" t="shared" si="0"/>
        <v>1.243032</v>
      </c>
      <c r="E39" s="189"/>
    </row>
    <row r="40" spans="1:5" ht="13.5" customHeight="1">
      <c r="A40" s="23" t="s">
        <v>244</v>
      </c>
      <c r="B40" s="177">
        <f>SUM('- 30 -'!B40,'- 30 -'!D40,'- 31 -'!D40)</f>
        <v>1495005</v>
      </c>
      <c r="C40" s="177">
        <v>463274</v>
      </c>
      <c r="D40" s="184">
        <f ca="1" t="shared" si="0"/>
        <v>3.2270427436031377</v>
      </c>
      <c r="E40" s="189"/>
    </row>
    <row r="41" spans="1:5" ht="13.5" customHeight="1">
      <c r="A41" s="362" t="s">
        <v>245</v>
      </c>
      <c r="B41" s="420">
        <f>SUM('- 30 -'!B41,'- 30 -'!D41,'- 31 -'!D41)</f>
        <v>3825655</v>
      </c>
      <c r="C41" s="420">
        <v>3080000</v>
      </c>
      <c r="D41" s="421">
        <f ca="1" t="shared" si="0"/>
        <v>1.2420957792207792</v>
      </c>
      <c r="E41" s="189"/>
    </row>
    <row r="42" spans="1:5" ht="13.5" customHeight="1">
      <c r="A42" s="23" t="s">
        <v>246</v>
      </c>
      <c r="B42" s="177">
        <f>SUM('- 30 -'!B42,'- 30 -'!D42,'- 31 -'!D42)</f>
        <v>1545968</v>
      </c>
      <c r="C42" s="177">
        <v>801000</v>
      </c>
      <c r="D42" s="184">
        <f ca="1" t="shared" si="0"/>
        <v>1.9300474406991261</v>
      </c>
      <c r="E42" s="189"/>
    </row>
    <row r="43" spans="1:5" ht="13.5" customHeight="1">
      <c r="A43" s="362" t="s">
        <v>247</v>
      </c>
      <c r="B43" s="420">
        <f>SUM('- 30 -'!B43,'- 30 -'!D43,'- 31 -'!D43)</f>
        <v>784809</v>
      </c>
      <c r="C43" s="420">
        <v>722200</v>
      </c>
      <c r="D43" s="421">
        <f ca="1" t="shared" si="0"/>
        <v>1.0866920520631405</v>
      </c>
      <c r="E43" s="189"/>
    </row>
    <row r="44" spans="1:5" ht="13.5" customHeight="1">
      <c r="A44" s="23" t="s">
        <v>248</v>
      </c>
      <c r="B44" s="177">
        <f>SUM('- 30 -'!B44,'- 30 -'!D44,'- 31 -'!D44)</f>
        <v>852724</v>
      </c>
      <c r="C44" s="177">
        <v>690463</v>
      </c>
      <c r="D44" s="184">
        <f ca="1" t="shared" si="0"/>
        <v>1.2350031790262477</v>
      </c>
      <c r="E44" s="189"/>
    </row>
    <row r="45" spans="1:5" ht="13.5" customHeight="1">
      <c r="A45" s="362" t="s">
        <v>249</v>
      </c>
      <c r="B45" s="420">
        <f>SUM('- 30 -'!B45,'- 30 -'!D45,'- 31 -'!D45)</f>
        <v>568909</v>
      </c>
      <c r="C45" s="420">
        <v>295000</v>
      </c>
      <c r="D45" s="421">
        <f ca="1" t="shared" si="0"/>
        <v>1.9285050847457628</v>
      </c>
      <c r="E45" s="189"/>
    </row>
    <row r="46" spans="1:5" ht="13.5" customHeight="1">
      <c r="A46" s="23" t="s">
        <v>250</v>
      </c>
      <c r="B46" s="177">
        <f>SUM('- 30 -'!B46,'- 30 -'!D46,'- 31 -'!D46)</f>
        <v>4434100</v>
      </c>
      <c r="C46" s="177">
        <v>1147188</v>
      </c>
      <c r="D46" s="184">
        <f ca="1" t="shared" si="0"/>
        <v>3.865190361126511</v>
      </c>
      <c r="E46" s="189"/>
    </row>
    <row r="47" spans="1:5" ht="4.5" customHeight="1">
      <c r="A47"/>
      <c r="B47"/>
      <c r="C47"/>
      <c r="D47"/>
      <c r="E47"/>
    </row>
    <row r="48" spans="1:5" ht="13.5" customHeight="1">
      <c r="A48" s="365" t="s">
        <v>251</v>
      </c>
      <c r="B48" s="422">
        <f>SUM(B11:B46)</f>
        <v>68819651</v>
      </c>
      <c r="C48" s="422">
        <f>SUM(C11:C46)</f>
        <v>33419849</v>
      </c>
      <c r="D48" s="423">
        <f>B48/C48</f>
        <v>2.059244821842253</v>
      </c>
      <c r="E48" s="189"/>
    </row>
    <row r="49" spans="1:4" ht="4.5" customHeight="1">
      <c r="A49" s="25" t="s">
        <v>3</v>
      </c>
      <c r="B49" s="178"/>
      <c r="C49" s="178"/>
      <c r="D49" s="101"/>
    </row>
    <row r="50" spans="1:5" ht="13.5" customHeight="1">
      <c r="A50" s="23" t="s">
        <v>252</v>
      </c>
      <c r="B50" s="177">
        <f>SUM('- 30 -'!B50,'- 30 -'!D50,'- 31 -'!D50)</f>
        <v>33200</v>
      </c>
      <c r="C50" s="512" t="s">
        <v>173</v>
      </c>
      <c r="D50" s="184">
        <f ca="1">IF(AND(CELL("type",C50)="v",C50&gt;0),B50/C50,"")</f>
      </c>
      <c r="E50" s="189"/>
    </row>
    <row r="51" spans="1:5" ht="13.5" customHeight="1">
      <c r="A51" s="362" t="s">
        <v>253</v>
      </c>
      <c r="B51" s="420">
        <f>SUM('- 30 -'!B51,'- 30 -'!D51,'- 31 -'!D51)</f>
        <v>0</v>
      </c>
      <c r="C51" s="420">
        <v>0</v>
      </c>
      <c r="D51" s="421">
        <f ca="1">IF(AND(CELL("type",C51)="v",C51&gt;0),B51/C51,"")</f>
      </c>
      <c r="E51" s="189"/>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topLeftCell="A1">
      <selection activeCell="A2" sqref="A2"/>
    </sheetView>
  </sheetViews>
  <sheetFormatPr defaultColWidth="15.83203125" defaultRowHeight="12"/>
  <cols>
    <col min="1" max="1" width="33.83203125" style="1" customWidth="1"/>
    <col min="2" max="2" width="17.83203125" style="1" customWidth="1"/>
    <col min="3" max="5" width="15.83203125" style="1" customWidth="1"/>
    <col min="6" max="6" width="17.83203125" style="1" customWidth="1"/>
    <col min="7" max="16384" width="15.83203125" style="1" customWidth="1"/>
  </cols>
  <sheetData>
    <row r="1" spans="1:6" ht="6.75" customHeight="1">
      <c r="A1" s="3"/>
      <c r="B1" s="4"/>
      <c r="C1" s="4"/>
      <c r="D1" s="4"/>
      <c r="E1" s="4"/>
      <c r="F1" s="4"/>
    </row>
    <row r="2" spans="1:7" ht="15.75" customHeight="1">
      <c r="A2" s="5" t="s">
        <v>494</v>
      </c>
      <c r="B2" s="181"/>
      <c r="C2" s="168"/>
      <c r="D2" s="6"/>
      <c r="E2" s="6"/>
      <c r="F2" s="6"/>
      <c r="G2" s="6"/>
    </row>
    <row r="3" spans="1:7" ht="15.75" customHeight="1">
      <c r="A3" s="7" t="str">
        <f>OPYEAR</f>
        <v>OPERATING FUND 2008/2009 BUDGET</v>
      </c>
      <c r="B3" s="182"/>
      <c r="C3" s="183"/>
      <c r="D3" s="8"/>
      <c r="E3" s="8"/>
      <c r="F3" s="8"/>
      <c r="G3" s="8"/>
    </row>
    <row r="4" spans="2:6" ht="15.75" customHeight="1">
      <c r="B4" s="4"/>
      <c r="C4" s="4"/>
      <c r="D4" s="107"/>
      <c r="E4" s="4"/>
      <c r="F4" s="4"/>
    </row>
    <row r="5" spans="2:9" ht="15.75" customHeight="1">
      <c r="B5" s="4"/>
      <c r="C5" s="4"/>
      <c r="D5" s="4"/>
      <c r="E5" s="4"/>
      <c r="F5" s="4"/>
      <c r="I5"/>
    </row>
    <row r="6" spans="2:9" ht="15.75" customHeight="1">
      <c r="B6" s="368"/>
      <c r="C6" s="426"/>
      <c r="D6" s="371"/>
      <c r="E6" s="370"/>
      <c r="F6" s="357" t="s">
        <v>27</v>
      </c>
      <c r="G6" s="358"/>
      <c r="I6"/>
    </row>
    <row r="7" spans="2:9" ht="15.75" customHeight="1">
      <c r="B7" s="359" t="s">
        <v>52</v>
      </c>
      <c r="C7" s="360"/>
      <c r="D7" s="360"/>
      <c r="E7" s="361"/>
      <c r="F7" s="360" t="s">
        <v>57</v>
      </c>
      <c r="G7" s="361"/>
      <c r="I7" s="163" t="s">
        <v>54</v>
      </c>
    </row>
    <row r="8" spans="1:9" ht="15.75" customHeight="1">
      <c r="A8" s="104"/>
      <c r="B8" s="114" t="s">
        <v>3</v>
      </c>
      <c r="C8" s="16" t="s">
        <v>75</v>
      </c>
      <c r="D8" s="113" t="s">
        <v>75</v>
      </c>
      <c r="E8" s="113" t="s">
        <v>203</v>
      </c>
      <c r="F8" s="114" t="s">
        <v>3</v>
      </c>
      <c r="G8" s="114" t="s">
        <v>75</v>
      </c>
      <c r="I8" s="163" t="s">
        <v>78</v>
      </c>
    </row>
    <row r="9" spans="1:9" ht="15.75" customHeight="1">
      <c r="A9" s="35" t="s">
        <v>79</v>
      </c>
      <c r="B9" s="115" t="s">
        <v>80</v>
      </c>
      <c r="C9" s="115" t="s">
        <v>82</v>
      </c>
      <c r="D9" s="115" t="s">
        <v>350</v>
      </c>
      <c r="E9" s="115" t="s">
        <v>351</v>
      </c>
      <c r="F9" s="115" t="s">
        <v>80</v>
      </c>
      <c r="G9" s="115" t="s">
        <v>350</v>
      </c>
      <c r="I9" s="510" t="s">
        <v>511</v>
      </c>
    </row>
    <row r="10" ht="4.5" customHeight="1">
      <c r="A10" s="37"/>
    </row>
    <row r="11" spans="1:9" ht="13.5" customHeight="1">
      <c r="A11" s="362" t="s">
        <v>216</v>
      </c>
      <c r="B11" s="420">
        <f>'- 32 -'!D11</f>
        <v>1160140</v>
      </c>
      <c r="C11" s="420">
        <f>B11/'- 7 -'!F11</f>
        <v>821.0474168435952</v>
      </c>
      <c r="D11" s="421">
        <f aca="true" t="shared" si="0" ref="D11:D42">B11/I11</f>
        <v>4.637536326315242</v>
      </c>
      <c r="E11" s="420">
        <f>I11/'- 7 -'!F11</f>
        <v>177.04387827317763</v>
      </c>
      <c r="F11" s="420">
        <f>'- 32 -'!F11</f>
        <v>197000</v>
      </c>
      <c r="G11" s="421">
        <f aca="true" t="shared" si="1" ref="G11:G42">F11/I11</f>
        <v>0.7874865587636861</v>
      </c>
      <c r="I11" s="1">
        <v>250163</v>
      </c>
    </row>
    <row r="12" spans="1:9" ht="13.5" customHeight="1">
      <c r="A12" s="23" t="s">
        <v>217</v>
      </c>
      <c r="B12" s="177">
        <f>'- 32 -'!D12</f>
        <v>2038615</v>
      </c>
      <c r="C12" s="177">
        <f>B12/'- 7 -'!F12</f>
        <v>881.3726761781237</v>
      </c>
      <c r="D12" s="184">
        <f t="shared" si="0"/>
        <v>5.424113260058056</v>
      </c>
      <c r="E12" s="177">
        <f>I12/'- 7 -'!F12</f>
        <v>162.49156939040208</v>
      </c>
      <c r="F12" s="177">
        <f>'- 32 -'!F12</f>
        <v>478430</v>
      </c>
      <c r="G12" s="184">
        <f t="shared" si="1"/>
        <v>1.272951737826699</v>
      </c>
      <c r="I12" s="1">
        <v>375843</v>
      </c>
    </row>
    <row r="13" spans="1:9" ht="13.5" customHeight="1">
      <c r="A13" s="362" t="s">
        <v>218</v>
      </c>
      <c r="B13" s="420">
        <f>'- 32 -'!D13</f>
        <v>5059500</v>
      </c>
      <c r="C13" s="420">
        <f>B13/'- 7 -'!F13</f>
        <v>746.8479354214245</v>
      </c>
      <c r="D13" s="421">
        <f t="shared" si="0"/>
        <v>4.995655522423428</v>
      </c>
      <c r="E13" s="420">
        <f>I13/'- 7 -'!F13</f>
        <v>149.4994865176619</v>
      </c>
      <c r="F13" s="420">
        <f>'- 32 -'!F13</f>
        <v>310600</v>
      </c>
      <c r="G13" s="421">
        <f t="shared" si="1"/>
        <v>0.30668062165524596</v>
      </c>
      <c r="I13" s="1">
        <v>1012780</v>
      </c>
    </row>
    <row r="14" spans="1:9" ht="13.5" customHeight="1">
      <c r="A14" s="23" t="s">
        <v>254</v>
      </c>
      <c r="B14" s="177">
        <f>'- 32 -'!D14</f>
        <v>5670305</v>
      </c>
      <c r="C14" s="177">
        <f>B14/'- 7 -'!F14</f>
        <v>1172.7621509824198</v>
      </c>
      <c r="D14" s="184">
        <f t="shared" si="0"/>
        <v>6.592810618621188</v>
      </c>
      <c r="E14" s="177">
        <f>I14/'- 7 -'!F14</f>
        <v>177.88500517063082</v>
      </c>
      <c r="F14" s="177">
        <f>'- 32 -'!F14</f>
        <v>480000</v>
      </c>
      <c r="G14" s="184">
        <f t="shared" si="1"/>
        <v>0.5580915130558534</v>
      </c>
      <c r="I14" s="1">
        <v>860074</v>
      </c>
    </row>
    <row r="15" spans="1:9" ht="13.5" customHeight="1">
      <c r="A15" s="362" t="s">
        <v>219</v>
      </c>
      <c r="B15" s="420">
        <f>'- 32 -'!D15</f>
        <v>1593075</v>
      </c>
      <c r="C15" s="420">
        <f>B15/'- 7 -'!F15</f>
        <v>996.6061933062246</v>
      </c>
      <c r="D15" s="421">
        <f t="shared" si="0"/>
        <v>5.567642094005892</v>
      </c>
      <c r="E15" s="420">
        <f>I15/'- 7 -'!F15</f>
        <v>178.99968720675633</v>
      </c>
      <c r="F15" s="420">
        <f>'- 32 -'!F15</f>
        <v>224000</v>
      </c>
      <c r="G15" s="421">
        <f t="shared" si="1"/>
        <v>0.7828582013133845</v>
      </c>
      <c r="I15" s="1">
        <v>286131</v>
      </c>
    </row>
    <row r="16" spans="1:9" ht="13.5" customHeight="1">
      <c r="A16" s="23" t="s">
        <v>220</v>
      </c>
      <c r="B16" s="177">
        <f>'- 32 -'!D16</f>
        <v>1551330</v>
      </c>
      <c r="C16" s="177">
        <f>B16/'- 7 -'!F16</f>
        <v>1441.0868555503948</v>
      </c>
      <c r="D16" s="184">
        <f t="shared" si="0"/>
        <v>7.4923860515749015</v>
      </c>
      <c r="E16" s="177">
        <f>I16/'- 7 -'!F16</f>
        <v>192.3401764979099</v>
      </c>
      <c r="F16" s="177">
        <f>'- 32 -'!F16</f>
        <v>100000</v>
      </c>
      <c r="G16" s="184">
        <f t="shared" si="1"/>
        <v>0.4829653298508313</v>
      </c>
      <c r="I16" s="1">
        <v>207054.2</v>
      </c>
    </row>
    <row r="17" spans="1:9" ht="13.5" customHeight="1">
      <c r="A17" s="362" t="s">
        <v>221</v>
      </c>
      <c r="B17" s="420">
        <f>'- 32 -'!D17</f>
        <v>1375380</v>
      </c>
      <c r="C17" s="420">
        <f>B17/'- 7 -'!F17</f>
        <v>997.3749093546048</v>
      </c>
      <c r="D17" s="421">
        <f t="shared" si="0"/>
        <v>5.052457571082213</v>
      </c>
      <c r="E17" s="420">
        <f>I17/'- 7 -'!F17</f>
        <v>197.40391588107323</v>
      </c>
      <c r="F17" s="420">
        <f>'- 32 -'!F17</f>
        <v>313580</v>
      </c>
      <c r="G17" s="421">
        <f t="shared" si="1"/>
        <v>1.1519359341708912</v>
      </c>
      <c r="I17" s="1">
        <v>272220</v>
      </c>
    </row>
    <row r="18" spans="1:9" ht="13.5" customHeight="1">
      <c r="A18" s="23" t="s">
        <v>222</v>
      </c>
      <c r="B18" s="177">
        <f>'- 32 -'!D18</f>
        <v>13275472</v>
      </c>
      <c r="C18" s="177">
        <f>B18/'- 7 -'!F18</f>
        <v>2283.5200220173383</v>
      </c>
      <c r="D18" s="184">
        <f t="shared" si="0"/>
        <v>9.553145985590554</v>
      </c>
      <c r="E18" s="177">
        <f>I18/'- 7 -'!F18</f>
        <v>239.03330122471445</v>
      </c>
      <c r="F18" s="177">
        <f>'- 32 -'!F18</f>
        <v>782900</v>
      </c>
      <c r="G18" s="184">
        <f t="shared" si="1"/>
        <v>0.5633817006369977</v>
      </c>
      <c r="I18" s="1">
        <v>1389644</v>
      </c>
    </row>
    <row r="19" spans="1:9" ht="13.5" customHeight="1">
      <c r="A19" s="362" t="s">
        <v>223</v>
      </c>
      <c r="B19" s="420">
        <f>'- 32 -'!D19</f>
        <v>2356100</v>
      </c>
      <c r="C19" s="420">
        <f>B19/'- 7 -'!F19</f>
        <v>617.4266247379455</v>
      </c>
      <c r="D19" s="421">
        <f t="shared" si="0"/>
        <v>5.350395131256245</v>
      </c>
      <c r="E19" s="420">
        <f>I19/'- 7 -'!F19</f>
        <v>115.39832285115304</v>
      </c>
      <c r="F19" s="420">
        <f>'- 32 -'!F19</f>
        <v>85000</v>
      </c>
      <c r="G19" s="421">
        <f t="shared" si="1"/>
        <v>0.19302388954491778</v>
      </c>
      <c r="I19" s="1">
        <v>440360</v>
      </c>
    </row>
    <row r="20" spans="1:9" ht="13.5" customHeight="1">
      <c r="A20" s="23" t="s">
        <v>224</v>
      </c>
      <c r="B20" s="177">
        <f>'- 32 -'!D20</f>
        <v>5092460</v>
      </c>
      <c r="C20" s="177">
        <f>B20/'- 7 -'!F20</f>
        <v>709.2562674094708</v>
      </c>
      <c r="D20" s="184">
        <f t="shared" si="0"/>
        <v>6.259807723747629</v>
      </c>
      <c r="E20" s="177">
        <f>I20/'- 7 -'!F20</f>
        <v>113.30320334261839</v>
      </c>
      <c r="F20" s="177">
        <f>'- 32 -'!F20</f>
        <v>447514</v>
      </c>
      <c r="G20" s="184">
        <f t="shared" si="1"/>
        <v>0.5500979082182671</v>
      </c>
      <c r="I20" s="1">
        <v>813517</v>
      </c>
    </row>
    <row r="21" spans="1:9" ht="13.5" customHeight="1">
      <c r="A21" s="362" t="s">
        <v>225</v>
      </c>
      <c r="B21" s="420">
        <f>'- 32 -'!D21</f>
        <v>2277000</v>
      </c>
      <c r="C21" s="420">
        <f>B21/'- 7 -'!F21</f>
        <v>765.2495378927912</v>
      </c>
      <c r="D21" s="421">
        <f t="shared" si="0"/>
        <v>5.06675567423231</v>
      </c>
      <c r="E21" s="420">
        <f>I21/'- 7 -'!F21</f>
        <v>151.03343975802386</v>
      </c>
      <c r="F21" s="420">
        <f>'- 32 -'!F21</f>
        <v>435000</v>
      </c>
      <c r="G21" s="421">
        <f t="shared" si="1"/>
        <v>0.9679572763684913</v>
      </c>
      <c r="I21" s="1">
        <v>449400</v>
      </c>
    </row>
    <row r="22" spans="1:9" ht="13.5" customHeight="1">
      <c r="A22" s="23" t="s">
        <v>226</v>
      </c>
      <c r="B22" s="177">
        <f>'- 32 -'!D22</f>
        <v>1770093</v>
      </c>
      <c r="C22" s="177">
        <f>B22/'- 7 -'!F22</f>
        <v>1044.3026548672567</v>
      </c>
      <c r="D22" s="184">
        <f t="shared" si="0"/>
        <v>5.230879480367502</v>
      </c>
      <c r="E22" s="177">
        <f>I22/'- 7 -'!F22</f>
        <v>199.64188790560473</v>
      </c>
      <c r="F22" s="177">
        <f>'- 32 -'!F22</f>
        <v>111612</v>
      </c>
      <c r="G22" s="184">
        <f t="shared" si="1"/>
        <v>0.3298295177500717</v>
      </c>
      <c r="I22" s="1">
        <v>338393</v>
      </c>
    </row>
    <row r="23" spans="1:9" ht="13.5" customHeight="1">
      <c r="A23" s="362" t="s">
        <v>227</v>
      </c>
      <c r="B23" s="420">
        <f>'- 32 -'!D23</f>
        <v>976950</v>
      </c>
      <c r="C23" s="420">
        <f>B23/'- 7 -'!F23</f>
        <v>749.7697620874904</v>
      </c>
      <c r="D23" s="421">
        <f t="shared" si="0"/>
        <v>4.231858821083272</v>
      </c>
      <c r="E23" s="420">
        <f>I23/'- 7 -'!F23</f>
        <v>177.1726784343822</v>
      </c>
      <c r="F23" s="420">
        <f>'- 32 -'!F23</f>
        <v>95000</v>
      </c>
      <c r="G23" s="421">
        <f t="shared" si="1"/>
        <v>0.41151193817791176</v>
      </c>
      <c r="I23" s="1">
        <v>230856</v>
      </c>
    </row>
    <row r="24" spans="1:9" ht="13.5" customHeight="1">
      <c r="A24" s="23" t="s">
        <v>228</v>
      </c>
      <c r="B24" s="177">
        <f>'- 32 -'!D24</f>
        <v>4404855</v>
      </c>
      <c r="C24" s="177">
        <f>B24/'- 7 -'!F24</f>
        <v>995.2225485765929</v>
      </c>
      <c r="D24" s="184">
        <f t="shared" si="0"/>
        <v>6.180925359186028</v>
      </c>
      <c r="E24" s="177">
        <f>I24/'- 7 -'!F24</f>
        <v>161.01513782196113</v>
      </c>
      <c r="F24" s="177">
        <f>'- 32 -'!F24</f>
        <v>263960</v>
      </c>
      <c r="G24" s="184">
        <f t="shared" si="1"/>
        <v>0.37039063892244894</v>
      </c>
      <c r="I24" s="1">
        <v>712653</v>
      </c>
    </row>
    <row r="25" spans="1:9" ht="13.5" customHeight="1">
      <c r="A25" s="362" t="s">
        <v>229</v>
      </c>
      <c r="B25" s="420">
        <f>'- 32 -'!D25</f>
        <v>13382467</v>
      </c>
      <c r="C25" s="420">
        <f>B25/'- 7 -'!F25</f>
        <v>943.4903412295545</v>
      </c>
      <c r="D25" s="421">
        <f t="shared" si="0"/>
        <v>6.01403510506443</v>
      </c>
      <c r="E25" s="420">
        <f>I25/'- 7 -'!F25</f>
        <v>156.88141567963902</v>
      </c>
      <c r="F25" s="420">
        <f>'- 32 -'!F25</f>
        <v>506720</v>
      </c>
      <c r="G25" s="421">
        <f t="shared" si="1"/>
        <v>0.2277182427155059</v>
      </c>
      <c r="I25" s="1">
        <v>2225206</v>
      </c>
    </row>
    <row r="26" spans="1:9" ht="13.5" customHeight="1">
      <c r="A26" s="23" t="s">
        <v>230</v>
      </c>
      <c r="B26" s="177">
        <f>'- 32 -'!D26</f>
        <v>3217002</v>
      </c>
      <c r="C26" s="177">
        <f>B26/'- 7 -'!F26</f>
        <v>1027.4679016288726</v>
      </c>
      <c r="D26" s="184">
        <f t="shared" si="0"/>
        <v>3.646790894024345</v>
      </c>
      <c r="E26" s="177">
        <f>I26/'- 7 -'!F26</f>
        <v>281.7457681251996</v>
      </c>
      <c r="F26" s="177">
        <f>'- 32 -'!F26</f>
        <v>177120</v>
      </c>
      <c r="G26" s="184">
        <f t="shared" si="1"/>
        <v>0.20078309032745145</v>
      </c>
      <c r="I26" s="1">
        <v>882146</v>
      </c>
    </row>
    <row r="27" spans="1:9" ht="13.5" customHeight="1">
      <c r="A27" s="362" t="s">
        <v>231</v>
      </c>
      <c r="B27" s="420">
        <f>'- 32 -'!D27</f>
        <v>3732119</v>
      </c>
      <c r="C27" s="494">
        <f>B27/'- 7 -'!F27</f>
        <v>1158.6689392245983</v>
      </c>
      <c r="D27" s="421">
        <f t="shared" si="0"/>
        <v>8.101150448240682</v>
      </c>
      <c r="E27" s="494">
        <f>I27/'- 7 -'!F27</f>
        <v>143.0252340858853</v>
      </c>
      <c r="F27" s="424">
        <f>'- 32 -'!F27</f>
        <v>490043</v>
      </c>
      <c r="G27" s="421">
        <f t="shared" si="1"/>
        <v>1.063715296620287</v>
      </c>
      <c r="I27" s="1">
        <v>460690</v>
      </c>
    </row>
    <row r="28" spans="1:9" ht="13.5" customHeight="1">
      <c r="A28" s="23" t="s">
        <v>232</v>
      </c>
      <c r="B28" s="177">
        <f>'- 32 -'!D28</f>
        <v>1822870</v>
      </c>
      <c r="C28" s="177">
        <f>B28/'- 7 -'!F28</f>
        <v>1035.1334469051676</v>
      </c>
      <c r="D28" s="184">
        <f t="shared" si="0"/>
        <v>4.522364102322373</v>
      </c>
      <c r="E28" s="177">
        <f>I28/'- 7 -'!F28</f>
        <v>228.89210675752415</v>
      </c>
      <c r="F28" s="177">
        <f>'- 32 -'!F28</f>
        <v>112440</v>
      </c>
      <c r="G28" s="184">
        <f t="shared" si="1"/>
        <v>0.27895276112126904</v>
      </c>
      <c r="I28" s="1">
        <v>403079</v>
      </c>
    </row>
    <row r="29" spans="1:9" ht="13.5" customHeight="1">
      <c r="A29" s="362" t="s">
        <v>233</v>
      </c>
      <c r="B29" s="420">
        <f>'- 32 -'!D29</f>
        <v>10127530</v>
      </c>
      <c r="C29" s="420">
        <f>B29/'- 7 -'!F29</f>
        <v>832.8218412071872</v>
      </c>
      <c r="D29" s="421">
        <f t="shared" si="0"/>
        <v>5.945758870910927</v>
      </c>
      <c r="E29" s="420">
        <f>I29/'- 7 -'!F29</f>
        <v>140.06989844167592</v>
      </c>
      <c r="F29" s="420">
        <f>'- 32 -'!F29</f>
        <v>1024000</v>
      </c>
      <c r="G29" s="421">
        <f t="shared" si="1"/>
        <v>0.6011788741986238</v>
      </c>
      <c r="I29" s="1">
        <v>1703320</v>
      </c>
    </row>
    <row r="30" spans="1:9" ht="13.5" customHeight="1">
      <c r="A30" s="23" t="s">
        <v>234</v>
      </c>
      <c r="B30" s="177">
        <f>'- 32 -'!D30</f>
        <v>934050</v>
      </c>
      <c r="C30" s="177">
        <f>B30/'- 7 -'!F30</f>
        <v>793.5853865760408</v>
      </c>
      <c r="D30" s="184">
        <f t="shared" si="0"/>
        <v>4.469673405909798</v>
      </c>
      <c r="E30" s="177">
        <f>I30/'- 7 -'!F30</f>
        <v>177.54885301614274</v>
      </c>
      <c r="F30" s="177">
        <f>'- 32 -'!F30</f>
        <v>213000</v>
      </c>
      <c r="G30" s="184">
        <f t="shared" si="1"/>
        <v>1.0192606771144874</v>
      </c>
      <c r="I30" s="1">
        <v>208975</v>
      </c>
    </row>
    <row r="31" spans="1:9" ht="13.5" customHeight="1">
      <c r="A31" s="362" t="s">
        <v>235</v>
      </c>
      <c r="B31" s="420">
        <f>'- 32 -'!D31</f>
        <v>3039204</v>
      </c>
      <c r="C31" s="420">
        <f>B31/'- 7 -'!F31</f>
        <v>928.0578966654451</v>
      </c>
      <c r="D31" s="421">
        <f t="shared" si="0"/>
        <v>5.112167453877518</v>
      </c>
      <c r="E31" s="420">
        <f>I31/'- 7 -'!F31</f>
        <v>181.5390252839868</v>
      </c>
      <c r="F31" s="420">
        <f>'- 32 -'!F31</f>
        <v>157436</v>
      </c>
      <c r="G31" s="421">
        <f t="shared" si="1"/>
        <v>0.2648190760701358</v>
      </c>
      <c r="I31" s="1">
        <v>594504</v>
      </c>
    </row>
    <row r="32" spans="1:9" ht="13.5" customHeight="1">
      <c r="A32" s="23" t="s">
        <v>236</v>
      </c>
      <c r="B32" s="177">
        <f>'- 32 -'!D32</f>
        <v>1822055</v>
      </c>
      <c r="C32" s="177">
        <f>B32/'- 7 -'!F32</f>
        <v>830.4717411121239</v>
      </c>
      <c r="D32" s="184">
        <f t="shared" si="0"/>
        <v>4.56990973321261</v>
      </c>
      <c r="E32" s="177">
        <f>I32/'- 7 -'!F32</f>
        <v>181.7260711030082</v>
      </c>
      <c r="F32" s="177">
        <f>'- 32 -'!F32</f>
        <v>229000</v>
      </c>
      <c r="G32" s="184">
        <f t="shared" si="1"/>
        <v>0.5743566077345018</v>
      </c>
      <c r="I32" s="1">
        <v>398707</v>
      </c>
    </row>
    <row r="33" spans="1:9" ht="13.5" customHeight="1">
      <c r="A33" s="362" t="s">
        <v>237</v>
      </c>
      <c r="B33" s="420">
        <f>'- 32 -'!D33</f>
        <v>2348400</v>
      </c>
      <c r="C33" s="420">
        <f>B33/'- 7 -'!F33</f>
        <v>1079.2279411764705</v>
      </c>
      <c r="D33" s="421">
        <f t="shared" si="0"/>
        <v>4.604714911205709</v>
      </c>
      <c r="E33" s="420">
        <f>I33/'- 7 -'!F33</f>
        <v>234.37454044117646</v>
      </c>
      <c r="F33" s="420">
        <f>'- 32 -'!F33</f>
        <v>228200</v>
      </c>
      <c r="G33" s="421">
        <f t="shared" si="1"/>
        <v>0.4474518577487407</v>
      </c>
      <c r="I33" s="1">
        <v>509999</v>
      </c>
    </row>
    <row r="34" spans="1:9" ht="13.5" customHeight="1">
      <c r="A34" s="23" t="s">
        <v>238</v>
      </c>
      <c r="B34" s="177">
        <f>'- 32 -'!D34</f>
        <v>1828619</v>
      </c>
      <c r="C34" s="177">
        <f>B34/'- 7 -'!F34</f>
        <v>903.0217283950617</v>
      </c>
      <c r="D34" s="184">
        <f t="shared" si="0"/>
        <v>4.992720958234245</v>
      </c>
      <c r="E34" s="177">
        <f>I34/'- 7 -'!F34</f>
        <v>180.86765432098767</v>
      </c>
      <c r="F34" s="177">
        <f>'- 32 -'!F34</f>
        <v>211976</v>
      </c>
      <c r="G34" s="184">
        <f t="shared" si="1"/>
        <v>0.5787629997515406</v>
      </c>
      <c r="I34" s="1">
        <v>366257</v>
      </c>
    </row>
    <row r="35" spans="1:9" ht="13.5" customHeight="1">
      <c r="A35" s="362" t="s">
        <v>239</v>
      </c>
      <c r="B35" s="420">
        <f>'- 32 -'!D35</f>
        <v>16877840</v>
      </c>
      <c r="C35" s="420">
        <f>B35/'- 7 -'!F35</f>
        <v>1034.118007475032</v>
      </c>
      <c r="D35" s="421">
        <f t="shared" si="0"/>
        <v>6.991393851425466</v>
      </c>
      <c r="E35" s="420">
        <f>I35/'- 7 -'!F35</f>
        <v>147.91299552723484</v>
      </c>
      <c r="F35" s="420">
        <f>'- 32 -'!F35</f>
        <v>647500</v>
      </c>
      <c r="G35" s="421">
        <f t="shared" si="1"/>
        <v>0.26821723151765803</v>
      </c>
      <c r="I35" s="1">
        <v>2414088</v>
      </c>
    </row>
    <row r="36" spans="1:9" ht="13.5" customHeight="1">
      <c r="A36" s="23" t="s">
        <v>240</v>
      </c>
      <c r="B36" s="177">
        <f>'- 32 -'!D36</f>
        <v>1925800</v>
      </c>
      <c r="C36" s="177">
        <f>B36/'- 7 -'!F36</f>
        <v>1047.7693144722525</v>
      </c>
      <c r="D36" s="184">
        <f t="shared" si="0"/>
        <v>5.962542920215615</v>
      </c>
      <c r="E36" s="177">
        <f>I36/'- 7 -'!F36</f>
        <v>175.72524483133841</v>
      </c>
      <c r="F36" s="177">
        <f>'- 32 -'!F36</f>
        <v>120000</v>
      </c>
      <c r="G36" s="184">
        <f t="shared" si="1"/>
        <v>0.3715365824207466</v>
      </c>
      <c r="I36" s="1">
        <v>322983</v>
      </c>
    </row>
    <row r="37" spans="1:9" ht="13.5" customHeight="1">
      <c r="A37" s="362" t="s">
        <v>241</v>
      </c>
      <c r="B37" s="420">
        <f>'- 32 -'!D37</f>
        <v>2966350</v>
      </c>
      <c r="C37" s="420">
        <f>B37/'- 7 -'!F37</f>
        <v>856.2130177514792</v>
      </c>
      <c r="D37" s="421">
        <f t="shared" si="0"/>
        <v>5.469428469754827</v>
      </c>
      <c r="E37" s="420">
        <f>I37/'- 7 -'!F37</f>
        <v>156.54524462404387</v>
      </c>
      <c r="F37" s="420">
        <f>'- 32 -'!F37</f>
        <v>216486</v>
      </c>
      <c r="G37" s="421">
        <f t="shared" si="1"/>
        <v>0.3991621661986426</v>
      </c>
      <c r="I37" s="1">
        <v>542351</v>
      </c>
    </row>
    <row r="38" spans="1:9" ht="13.5" customHeight="1">
      <c r="A38" s="23" t="s">
        <v>242</v>
      </c>
      <c r="B38" s="177">
        <f>'- 32 -'!D38</f>
        <v>8015367</v>
      </c>
      <c r="C38" s="177">
        <f>B38/'- 7 -'!F38</f>
        <v>911.1477776514721</v>
      </c>
      <c r="D38" s="184">
        <f t="shared" si="0"/>
        <v>7.380754929639718</v>
      </c>
      <c r="E38" s="177">
        <f>I38/'- 7 -'!F38</f>
        <v>123.44913038535864</v>
      </c>
      <c r="F38" s="177">
        <f>'- 32 -'!F38</f>
        <v>1034450</v>
      </c>
      <c r="G38" s="184">
        <f t="shared" si="1"/>
        <v>0.952548016449628</v>
      </c>
      <c r="I38" s="1">
        <v>1085982</v>
      </c>
    </row>
    <row r="39" spans="1:9" ht="13.5" customHeight="1">
      <c r="A39" s="362" t="s">
        <v>243</v>
      </c>
      <c r="B39" s="420">
        <f>'- 32 -'!D39</f>
        <v>1540800</v>
      </c>
      <c r="C39" s="420">
        <f>B39/'- 7 -'!F39</f>
        <v>943.5394978567055</v>
      </c>
      <c r="D39" s="421">
        <f t="shared" si="0"/>
        <v>4.927831952231244</v>
      </c>
      <c r="E39" s="420">
        <f>I39/'- 7 -'!F39</f>
        <v>191.47152480097978</v>
      </c>
      <c r="F39" s="420">
        <f>'- 32 -'!F39</f>
        <v>180200</v>
      </c>
      <c r="G39" s="421">
        <f t="shared" si="1"/>
        <v>0.576320948722787</v>
      </c>
      <c r="I39" s="1">
        <v>312673</v>
      </c>
    </row>
    <row r="40" spans="1:9" ht="13.5" customHeight="1">
      <c r="A40" s="23" t="s">
        <v>244</v>
      </c>
      <c r="B40" s="177">
        <f>'- 32 -'!D40</f>
        <v>7578162</v>
      </c>
      <c r="C40" s="177">
        <f>B40/'- 7 -'!F40</f>
        <v>906.8475217193595</v>
      </c>
      <c r="D40" s="184">
        <f t="shared" si="0"/>
        <v>5.346496807197933</v>
      </c>
      <c r="E40" s="177">
        <f>I40/'- 7 -'!F40</f>
        <v>169.61527415456047</v>
      </c>
      <c r="F40" s="177">
        <f>'- 32 -'!F40</f>
        <v>991516</v>
      </c>
      <c r="G40" s="184">
        <f t="shared" si="1"/>
        <v>0.699528081912958</v>
      </c>
      <c r="I40" s="1">
        <v>1417407</v>
      </c>
    </row>
    <row r="41" spans="1:9" ht="13.5" customHeight="1">
      <c r="A41" s="362" t="s">
        <v>245</v>
      </c>
      <c r="B41" s="420">
        <f>'- 32 -'!D41</f>
        <v>3820471</v>
      </c>
      <c r="C41" s="420">
        <f>B41/'- 7 -'!F41</f>
        <v>825.3339814214734</v>
      </c>
      <c r="D41" s="421">
        <f t="shared" si="0"/>
        <v>5.309749555259062</v>
      </c>
      <c r="E41" s="420">
        <f>I41/'- 7 -'!F41</f>
        <v>155.43745949449126</v>
      </c>
      <c r="F41" s="420">
        <f>'- 32 -'!F41</f>
        <v>150480</v>
      </c>
      <c r="G41" s="421">
        <f t="shared" si="1"/>
        <v>0.20913942628418947</v>
      </c>
      <c r="I41" s="1">
        <v>719520</v>
      </c>
    </row>
    <row r="42" spans="1:9" ht="13.5" customHeight="1">
      <c r="A42" s="23" t="s">
        <v>246</v>
      </c>
      <c r="B42" s="177">
        <f>'- 32 -'!D42</f>
        <v>1604609</v>
      </c>
      <c r="C42" s="177">
        <f>B42/'- 7 -'!F42</f>
        <v>985.6320638820639</v>
      </c>
      <c r="D42" s="184">
        <f t="shared" si="0"/>
        <v>4.973665694421628</v>
      </c>
      <c r="E42" s="177">
        <f>I42/'- 7 -'!F42</f>
        <v>198.17014742014743</v>
      </c>
      <c r="F42" s="177">
        <f>'- 32 -'!F42</f>
        <v>83799</v>
      </c>
      <c r="G42" s="184">
        <f t="shared" si="1"/>
        <v>0.2597444059748126</v>
      </c>
      <c r="I42" s="1">
        <v>322621</v>
      </c>
    </row>
    <row r="43" spans="1:9" ht="13.5" customHeight="1">
      <c r="A43" s="362" t="s">
        <v>247</v>
      </c>
      <c r="B43" s="420">
        <f>'- 32 -'!D43</f>
        <v>716821</v>
      </c>
      <c r="C43" s="420">
        <f>B43/'- 7 -'!F43</f>
        <v>713.609756097561</v>
      </c>
      <c r="D43" s="421">
        <f>B43/I43</f>
        <v>3.92567826591748</v>
      </c>
      <c r="E43" s="420">
        <f>I43/'- 7 -'!F43</f>
        <v>181.7799900447984</v>
      </c>
      <c r="F43" s="420">
        <f>'- 32 -'!F43</f>
        <v>102300</v>
      </c>
      <c r="G43" s="421">
        <f>F43/I43</f>
        <v>0.5602471001872967</v>
      </c>
      <c r="I43" s="1">
        <v>182598</v>
      </c>
    </row>
    <row r="44" spans="1:9" ht="13.5" customHeight="1">
      <c r="A44" s="23" t="s">
        <v>248</v>
      </c>
      <c r="B44" s="177">
        <f>'- 32 -'!D44</f>
        <v>729970</v>
      </c>
      <c r="C44" s="177">
        <f>B44/'- 7 -'!F44</f>
        <v>935.8589743589744</v>
      </c>
      <c r="D44" s="184">
        <f>B44/I44</f>
        <v>4.0968811911750675</v>
      </c>
      <c r="E44" s="177">
        <f>I44/'- 7 -'!F44</f>
        <v>228.43205128205128</v>
      </c>
      <c r="F44" s="177">
        <f>'- 32 -'!F44</f>
        <v>53640</v>
      </c>
      <c r="G44" s="184">
        <f>F44/I44</f>
        <v>0.3010489569360804</v>
      </c>
      <c r="I44" s="1">
        <v>178177</v>
      </c>
    </row>
    <row r="45" spans="1:9" ht="13.5" customHeight="1">
      <c r="A45" s="362" t="s">
        <v>249</v>
      </c>
      <c r="B45" s="420">
        <f>'- 32 -'!D45</f>
        <v>1089137</v>
      </c>
      <c r="C45" s="420">
        <f>B45/'- 7 -'!F45</f>
        <v>716.5375</v>
      </c>
      <c r="D45" s="421">
        <f>B45/I45</f>
        <v>5.882171539055623</v>
      </c>
      <c r="E45" s="420">
        <f>I45/'- 7 -'!F45</f>
        <v>121.81513157894737</v>
      </c>
      <c r="F45" s="420">
        <f>'- 32 -'!F45</f>
        <v>138040</v>
      </c>
      <c r="G45" s="421">
        <f>F45/I45</f>
        <v>0.7455214167283254</v>
      </c>
      <c r="I45" s="1">
        <v>185159</v>
      </c>
    </row>
    <row r="46" spans="1:9" ht="13.5" customHeight="1">
      <c r="A46" s="23" t="s">
        <v>250</v>
      </c>
      <c r="B46" s="177">
        <f>'- 32 -'!D46</f>
        <v>33402400</v>
      </c>
      <c r="C46" s="177">
        <f>B46/'- 7 -'!F46</f>
        <v>1099.088545951104</v>
      </c>
      <c r="D46" s="184">
        <f>B46/I46</f>
        <v>6.767027575884533</v>
      </c>
      <c r="E46" s="177">
        <f>I46/'- 7 -'!F46</f>
        <v>162.4182159191866</v>
      </c>
      <c r="F46" s="177">
        <f>'- 32 -'!F46</f>
        <v>2881900</v>
      </c>
      <c r="G46" s="184">
        <f>F46/I46</f>
        <v>0.5838471717883037</v>
      </c>
      <c r="I46" s="1">
        <v>4936052</v>
      </c>
    </row>
    <row r="47" spans="1:9" ht="4.5" customHeight="1">
      <c r="A47"/>
      <c r="B47"/>
      <c r="C47"/>
      <c r="D47"/>
      <c r="E47"/>
      <c r="F47"/>
      <c r="G47"/>
      <c r="H47"/>
      <c r="I47"/>
    </row>
    <row r="48" spans="1:9" ht="13.5" customHeight="1">
      <c r="A48" s="365" t="s">
        <v>251</v>
      </c>
      <c r="B48" s="422">
        <f>SUM(B11:B46)</f>
        <v>171123318</v>
      </c>
      <c r="C48" s="422">
        <f>B48/'- 7 -'!F48</f>
        <v>993.3695757258699</v>
      </c>
      <c r="D48" s="423">
        <f>B48/I48</f>
        <v>6.109020075274434</v>
      </c>
      <c r="E48" s="422">
        <f>I48/'- 7 -'!F48</f>
        <v>162.6070242830631</v>
      </c>
      <c r="F48" s="422">
        <f>SUM(F11:F46)</f>
        <v>14274842</v>
      </c>
      <c r="G48" s="423">
        <f>F48/I48</f>
        <v>0.5096049876111604</v>
      </c>
      <c r="I48" s="1">
        <f>SUM(I11:I46)</f>
        <v>28011582.2</v>
      </c>
    </row>
    <row r="49" spans="1:7" ht="4.5" customHeight="1">
      <c r="A49" s="25" t="s">
        <v>3</v>
      </c>
      <c r="B49" s="178"/>
      <c r="C49" s="178"/>
      <c r="D49" s="101"/>
      <c r="E49" s="178"/>
      <c r="F49" s="178"/>
      <c r="G49" s="101"/>
    </row>
    <row r="50" spans="1:9" ht="13.5" customHeight="1">
      <c r="A50" s="23" t="s">
        <v>252</v>
      </c>
      <c r="B50" s="177">
        <f>'- 32 -'!D50</f>
        <v>371003</v>
      </c>
      <c r="C50" s="177">
        <f>B50/'- 7 -'!F50</f>
        <v>1737.718969555035</v>
      </c>
      <c r="D50" s="184">
        <f>B50/I50</f>
        <v>5.307169627785884</v>
      </c>
      <c r="E50" s="177">
        <f>I50/'- 7 -'!F50</f>
        <v>327.42857142857144</v>
      </c>
      <c r="F50" s="177">
        <f>'- 32 -'!F50</f>
        <v>0</v>
      </c>
      <c r="G50" s="332" t="s">
        <v>173</v>
      </c>
      <c r="I50" s="164">
        <v>69906</v>
      </c>
    </row>
    <row r="51" spans="1:7" ht="13.5" customHeight="1">
      <c r="A51" s="362" t="s">
        <v>253</v>
      </c>
      <c r="B51" s="420">
        <f>'- 32 -'!D51</f>
        <v>898783</v>
      </c>
      <c r="C51" s="420">
        <f>B51/'- 7 -'!F51</f>
        <v>1440.3573717948718</v>
      </c>
      <c r="D51" s="425" t="s">
        <v>173</v>
      </c>
      <c r="E51" s="424" t="s">
        <v>173</v>
      </c>
      <c r="F51" s="420">
        <f>'- 32 -'!F51</f>
        <v>40000</v>
      </c>
      <c r="G51" s="425" t="s">
        <v>173</v>
      </c>
    </row>
    <row r="52" spans="1:7" ht="49.5" customHeight="1">
      <c r="A52" s="27"/>
      <c r="B52" s="27"/>
      <c r="C52" s="27"/>
      <c r="D52" s="27"/>
      <c r="E52" s="27"/>
      <c r="F52" s="27"/>
      <c r="G52" s="27"/>
    </row>
    <row r="53" ht="15" customHeight="1">
      <c r="A53" s="503" t="s">
        <v>497</v>
      </c>
    </row>
    <row r="54" ht="12" customHeight="1">
      <c r="A54" s="251" t="s">
        <v>389</v>
      </c>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5"/>
  <sheetViews>
    <sheetView showGridLines="0" showZeros="0" workbookViewId="0" topLeftCell="A1">
      <selection activeCell="A3" sqref="A3"/>
    </sheetView>
  </sheetViews>
  <sheetFormatPr defaultColWidth="15.83203125" defaultRowHeight="12"/>
  <cols>
    <col min="1" max="1" width="29.83203125" style="1" customWidth="1"/>
    <col min="2" max="2" width="15.83203125" style="1" customWidth="1"/>
    <col min="3" max="3" width="8.83203125" style="1" customWidth="1"/>
    <col min="4" max="4" width="9.83203125" style="1" customWidth="1"/>
    <col min="5" max="5" width="15.83203125" style="1" customWidth="1"/>
    <col min="6" max="6" width="8.83203125" style="1" customWidth="1"/>
    <col min="7" max="7" width="9.83203125" style="1" customWidth="1"/>
    <col min="8" max="8" width="15.83203125" style="1" customWidth="1"/>
    <col min="9" max="9" width="8.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545</v>
      </c>
      <c r="C2" s="6"/>
      <c r="D2" s="6"/>
      <c r="E2" s="6"/>
      <c r="F2" s="6"/>
      <c r="G2" s="6"/>
      <c r="H2" s="108"/>
      <c r="I2" s="179"/>
      <c r="J2" s="119"/>
    </row>
    <row r="3" spans="1:10" ht="15.75" customHeight="1">
      <c r="A3" s="170"/>
      <c r="B3" s="7" t="str">
        <f>OPYEAR</f>
        <v>OPERATING FUND 2008/2009 BUDGET</v>
      </c>
      <c r="C3" s="8"/>
      <c r="D3" s="8"/>
      <c r="E3" s="8"/>
      <c r="F3" s="8"/>
      <c r="G3" s="8"/>
      <c r="H3" s="110"/>
      <c r="I3" s="110"/>
      <c r="J3" s="103"/>
    </row>
    <row r="4" spans="2:10" ht="15.75" customHeight="1">
      <c r="B4" s="4"/>
      <c r="C4" s="4"/>
      <c r="D4" s="4"/>
      <c r="E4" s="4"/>
      <c r="F4" s="4"/>
      <c r="G4" s="4"/>
      <c r="H4" s="4"/>
      <c r="I4" s="4"/>
      <c r="J4" s="4"/>
    </row>
    <row r="5" ht="13.5" customHeight="1"/>
    <row r="6" spans="2:10" ht="18" customHeight="1">
      <c r="B6" s="172" t="s">
        <v>488</v>
      </c>
      <c r="C6" s="180"/>
      <c r="D6" s="173"/>
      <c r="E6" s="173"/>
      <c r="F6" s="173"/>
      <c r="G6" s="173"/>
      <c r="H6" s="173"/>
      <c r="I6" s="173"/>
      <c r="J6" s="174"/>
    </row>
    <row r="7" spans="2:10" ht="15.75" customHeight="1">
      <c r="B7" s="359" t="s">
        <v>147</v>
      </c>
      <c r="C7" s="360"/>
      <c r="D7" s="361"/>
      <c r="E7" s="359" t="s">
        <v>135</v>
      </c>
      <c r="F7" s="360"/>
      <c r="G7" s="361"/>
      <c r="H7" s="359" t="s">
        <v>140</v>
      </c>
      <c r="I7" s="360"/>
      <c r="J7" s="361"/>
    </row>
    <row r="8" spans="1:10" ht="15.75" customHeight="1">
      <c r="A8" s="104"/>
      <c r="B8" s="175"/>
      <c r="C8" s="106"/>
      <c r="D8" s="16" t="s">
        <v>59</v>
      </c>
      <c r="E8" s="175"/>
      <c r="F8" s="176"/>
      <c r="G8" s="16" t="s">
        <v>59</v>
      </c>
      <c r="H8" s="175"/>
      <c r="I8" s="176"/>
      <c r="J8" s="16" t="s">
        <v>59</v>
      </c>
    </row>
    <row r="9" spans="1:10" ht="15.75" customHeight="1">
      <c r="A9" s="35" t="s">
        <v>79</v>
      </c>
      <c r="B9" s="115" t="s">
        <v>80</v>
      </c>
      <c r="C9" s="115" t="s">
        <v>81</v>
      </c>
      <c r="D9" s="115" t="s">
        <v>82</v>
      </c>
      <c r="E9" s="115" t="s">
        <v>80</v>
      </c>
      <c r="F9" s="115" t="s">
        <v>81</v>
      </c>
      <c r="G9" s="115" t="s">
        <v>82</v>
      </c>
      <c r="H9" s="115" t="s">
        <v>80</v>
      </c>
      <c r="I9" s="115" t="s">
        <v>81</v>
      </c>
      <c r="J9" s="115" t="s">
        <v>82</v>
      </c>
    </row>
    <row r="10" ht="4.5" customHeight="1">
      <c r="A10" s="37"/>
    </row>
    <row r="11" spans="1:10" ht="13.5" customHeight="1">
      <c r="A11" s="362" t="s">
        <v>216</v>
      </c>
      <c r="B11" s="363">
        <v>109300</v>
      </c>
      <c r="C11" s="364">
        <f>B11/'- 3 -'!D11*100</f>
        <v>0.8166595560749234</v>
      </c>
      <c r="D11" s="363">
        <f>B11/'- 7 -'!F11</f>
        <v>77.35314932767162</v>
      </c>
      <c r="E11" s="363">
        <v>55983</v>
      </c>
      <c r="F11" s="364">
        <f>E11/'- 3 -'!D11*100</f>
        <v>0.4182895876280186</v>
      </c>
      <c r="G11" s="363">
        <f>E11/'- 7 -'!F11</f>
        <v>39.61995753715499</v>
      </c>
      <c r="H11" s="363">
        <v>186360</v>
      </c>
      <c r="I11" s="364">
        <f>H11/'- 3 -'!D11*100</f>
        <v>1.3924306941456792</v>
      </c>
      <c r="J11" s="363">
        <f>H11/'- 7 -'!F11</f>
        <v>131.8895966029724</v>
      </c>
    </row>
    <row r="12" spans="1:10" ht="13.5" customHeight="1">
      <c r="A12" s="23" t="s">
        <v>217</v>
      </c>
      <c r="B12" s="24">
        <v>153675</v>
      </c>
      <c r="C12" s="355">
        <f>B12/'- 3 -'!D12*100</f>
        <v>0.611687828922766</v>
      </c>
      <c r="D12" s="24">
        <f>B12/'- 7 -'!F12</f>
        <v>66.43968871595331</v>
      </c>
      <c r="E12" s="24">
        <v>44700</v>
      </c>
      <c r="F12" s="355">
        <f>E12/'- 3 -'!D12*100</f>
        <v>0.17792383896435748</v>
      </c>
      <c r="G12" s="24">
        <f>E12/'- 7 -'!F12</f>
        <v>19.325551232166017</v>
      </c>
      <c r="H12" s="24">
        <v>511052</v>
      </c>
      <c r="I12" s="355">
        <f>H12/'- 3 -'!D12*100</f>
        <v>2.034190911642345</v>
      </c>
      <c r="J12" s="24">
        <f>H12/'- 7 -'!F12</f>
        <v>220.9476869865975</v>
      </c>
    </row>
    <row r="13" spans="1:10" ht="13.5" customHeight="1">
      <c r="A13" s="362" t="s">
        <v>218</v>
      </c>
      <c r="B13" s="363">
        <v>278000</v>
      </c>
      <c r="C13" s="364">
        <f>B13/'- 3 -'!D13*100</f>
        <v>0.4725777415883712</v>
      </c>
      <c r="D13" s="363">
        <f>B13/'- 7 -'!F13</f>
        <v>41.036411907729224</v>
      </c>
      <c r="E13" s="363">
        <v>171000</v>
      </c>
      <c r="F13" s="364">
        <f>E13/'- 3 -'!D13*100</f>
        <v>0.29068630867486145</v>
      </c>
      <c r="G13" s="363">
        <f>E13/'- 7 -'!F13</f>
        <v>25.24182171302769</v>
      </c>
      <c r="H13" s="363">
        <v>508800</v>
      </c>
      <c r="I13" s="364">
        <f>H13/'- 3 -'!D13*100</f>
        <v>0.8649192623027456</v>
      </c>
      <c r="J13" s="363">
        <f>H13/'- 7 -'!F13</f>
        <v>75.10549057069291</v>
      </c>
    </row>
    <row r="14" spans="1:10" ht="13.5" customHeight="1">
      <c r="A14" s="23" t="s">
        <v>254</v>
      </c>
      <c r="B14" s="24">
        <v>199904</v>
      </c>
      <c r="C14" s="355">
        <f>B14/'- 3 -'!D14*100</f>
        <v>0.35147906605142354</v>
      </c>
      <c r="D14" s="24">
        <f>B14/'- 7 -'!F14</f>
        <v>41.34519131334023</v>
      </c>
      <c r="E14" s="24">
        <v>123000</v>
      </c>
      <c r="F14" s="355">
        <f>E14/'- 3 -'!D14*100</f>
        <v>0.21626343206901863</v>
      </c>
      <c r="G14" s="24">
        <f>E14/'- 7 -'!F14</f>
        <v>25.43950361944157</v>
      </c>
      <c r="H14" s="24">
        <v>619450</v>
      </c>
      <c r="I14" s="355">
        <f>H14/'- 3 -'!D14*100</f>
        <v>1.0891413251638502</v>
      </c>
      <c r="J14" s="24">
        <f>H14/'- 7 -'!F14</f>
        <v>128.11789038262668</v>
      </c>
    </row>
    <row r="15" spans="1:10" ht="13.5" customHeight="1">
      <c r="A15" s="362" t="s">
        <v>219</v>
      </c>
      <c r="B15" s="363">
        <v>48650</v>
      </c>
      <c r="C15" s="364">
        <f>B15/'- 3 -'!D15*100</f>
        <v>0.2979362418891987</v>
      </c>
      <c r="D15" s="363">
        <f>B15/'- 7 -'!F15</f>
        <v>30.434782608695652</v>
      </c>
      <c r="E15" s="363">
        <v>62100</v>
      </c>
      <c r="F15" s="364">
        <f>E15/'- 3 -'!D15*100</f>
        <v>0.38030504874243043</v>
      </c>
      <c r="G15" s="363">
        <f>E15/'- 7 -'!F15</f>
        <v>38.84892086330935</v>
      </c>
      <c r="H15" s="363">
        <v>190472</v>
      </c>
      <c r="I15" s="364">
        <f>H15/'- 3 -'!D15*100</f>
        <v>1.1664647865389404</v>
      </c>
      <c r="J15" s="363">
        <f>H15/'- 7 -'!F15</f>
        <v>119.15670941507663</v>
      </c>
    </row>
    <row r="16" spans="1:10" ht="13.5" customHeight="1">
      <c r="A16" s="23" t="s">
        <v>220</v>
      </c>
      <c r="B16" s="24">
        <v>95030</v>
      </c>
      <c r="C16" s="355">
        <f>B16/'- 3 -'!D16*100</f>
        <v>0.8334285626834662</v>
      </c>
      <c r="D16" s="24">
        <f>B16/'- 7 -'!F16</f>
        <v>88.27682303762192</v>
      </c>
      <c r="E16" s="24">
        <v>19558</v>
      </c>
      <c r="F16" s="355">
        <f>E16/'- 3 -'!D16*100</f>
        <v>0.1715268423546589</v>
      </c>
      <c r="G16" s="24">
        <f>E16/'- 7 -'!F16</f>
        <v>18.168137482582445</v>
      </c>
      <c r="H16" s="24">
        <v>65132</v>
      </c>
      <c r="I16" s="355">
        <f>H16/'- 3 -'!D16*100</f>
        <v>0.571218237869089</v>
      </c>
      <c r="J16" s="24">
        <f>H16/'- 7 -'!F16</f>
        <v>60.50348351137947</v>
      </c>
    </row>
    <row r="17" spans="1:10" ht="13.5" customHeight="1">
      <c r="A17" s="362" t="s">
        <v>221</v>
      </c>
      <c r="B17" s="363">
        <v>84100</v>
      </c>
      <c r="C17" s="364">
        <f>B17/'- 3 -'!D17*100</f>
        <v>0.5727332006490068</v>
      </c>
      <c r="D17" s="363">
        <f>B17/'- 7 -'!F17</f>
        <v>60.986221899927486</v>
      </c>
      <c r="E17" s="363">
        <v>67376</v>
      </c>
      <c r="F17" s="364">
        <f>E17/'- 3 -'!D17*100</f>
        <v>0.4588403344462246</v>
      </c>
      <c r="G17" s="363">
        <f>E17/'- 7 -'!F17</f>
        <v>48.85859318346628</v>
      </c>
      <c r="H17" s="363">
        <v>268902</v>
      </c>
      <c r="I17" s="364">
        <f>H17/'- 3 -'!D17*100</f>
        <v>1.8312616304508829</v>
      </c>
      <c r="J17" s="363">
        <f>H17/'- 7 -'!F17</f>
        <v>194.99782451051487</v>
      </c>
    </row>
    <row r="18" spans="1:10" ht="13.5" customHeight="1">
      <c r="A18" s="23" t="s">
        <v>222</v>
      </c>
      <c r="B18" s="24">
        <v>301161</v>
      </c>
      <c r="C18" s="355">
        <f>B18/'- 3 -'!D18*100</f>
        <v>0.30100136693505963</v>
      </c>
      <c r="D18" s="24">
        <f>B18/'- 7 -'!F18</f>
        <v>51.80284161277005</v>
      </c>
      <c r="E18" s="24">
        <v>541000</v>
      </c>
      <c r="F18" s="355">
        <f>E18/'- 3 -'!D18*100</f>
        <v>0.5407132381412841</v>
      </c>
      <c r="G18" s="24">
        <f>E18/'- 7 -'!F18</f>
        <v>93.05765790560065</v>
      </c>
      <c r="H18" s="24">
        <v>611156</v>
      </c>
      <c r="I18" s="355">
        <f>H18/'- 3 -'!D18*100</f>
        <v>0.6108320513298977</v>
      </c>
      <c r="J18" s="24">
        <f>H18/'- 7 -'!F18</f>
        <v>105.1252236135957</v>
      </c>
    </row>
    <row r="19" spans="1:10" ht="13.5" customHeight="1">
      <c r="A19" s="362" t="s">
        <v>223</v>
      </c>
      <c r="B19" s="363">
        <v>214000</v>
      </c>
      <c r="C19" s="364">
        <f>B19/'- 3 -'!D19*100</f>
        <v>0.7379301438774126</v>
      </c>
      <c r="D19" s="363">
        <f>B19/'- 7 -'!F19</f>
        <v>56.079664570230605</v>
      </c>
      <c r="E19" s="363">
        <v>55560</v>
      </c>
      <c r="F19" s="364">
        <f>E19/'- 3 -'!D19*100</f>
        <v>0.1915859756720983</v>
      </c>
      <c r="G19" s="363">
        <f>E19/'- 7 -'!F19</f>
        <v>14.559748427672956</v>
      </c>
      <c r="H19" s="363">
        <v>336100</v>
      </c>
      <c r="I19" s="364">
        <f>H19/'- 3 -'!D19*100</f>
        <v>1.158964118491581</v>
      </c>
      <c r="J19" s="363">
        <f>H19/'- 7 -'!F19</f>
        <v>88.07651991614256</v>
      </c>
    </row>
    <row r="20" spans="1:10" ht="13.5" customHeight="1">
      <c r="A20" s="23" t="s">
        <v>224</v>
      </c>
      <c r="B20" s="24">
        <v>307228</v>
      </c>
      <c r="C20" s="355">
        <f>B20/'- 3 -'!D20*100</f>
        <v>0.555990813716145</v>
      </c>
      <c r="D20" s="24">
        <f>B20/'- 7 -'!F20</f>
        <v>42.78941504178273</v>
      </c>
      <c r="E20" s="24">
        <v>94950</v>
      </c>
      <c r="F20" s="355">
        <f>E20/'- 3 -'!D20*100</f>
        <v>0.17183110837016147</v>
      </c>
      <c r="G20" s="24">
        <f>E20/'- 7 -'!F20</f>
        <v>13.224233983286908</v>
      </c>
      <c r="H20" s="24">
        <v>762346</v>
      </c>
      <c r="I20" s="355">
        <f>H20/'- 3 -'!D20*100</f>
        <v>1.379618305861602</v>
      </c>
      <c r="J20" s="24">
        <f>H20/'- 7 -'!F20</f>
        <v>106.17632311977715</v>
      </c>
    </row>
    <row r="21" spans="1:10" ht="13.5" customHeight="1">
      <c r="A21" s="362" t="s">
        <v>225</v>
      </c>
      <c r="B21" s="363">
        <v>257316</v>
      </c>
      <c r="C21" s="364">
        <f>B21/'- 3 -'!D21*100</f>
        <v>0.9049652174524685</v>
      </c>
      <c r="D21" s="363">
        <f>B21/'- 7 -'!F21</f>
        <v>86.47823895143674</v>
      </c>
      <c r="E21" s="363">
        <v>147911</v>
      </c>
      <c r="F21" s="364">
        <f>E21/'- 3 -'!D21*100</f>
        <v>0.520194275826657</v>
      </c>
      <c r="G21" s="363">
        <f>E21/'- 7 -'!F21</f>
        <v>49.70962863384305</v>
      </c>
      <c r="H21" s="363">
        <v>236057</v>
      </c>
      <c r="I21" s="364">
        <f>H21/'- 3 -'!D21*100</f>
        <v>0.8301985664948055</v>
      </c>
      <c r="J21" s="363">
        <f>H21/'- 7 -'!F21</f>
        <v>79.3335573853134</v>
      </c>
    </row>
    <row r="22" spans="1:10" ht="13.5" customHeight="1">
      <c r="A22" s="23" t="s">
        <v>226</v>
      </c>
      <c r="B22" s="24">
        <v>81700</v>
      </c>
      <c r="C22" s="355">
        <f>B22/'- 3 -'!D22*100</f>
        <v>0.5096106836355588</v>
      </c>
      <c r="D22" s="24">
        <f>B22/'- 7 -'!F22</f>
        <v>48.200589970501476</v>
      </c>
      <c r="E22" s="24">
        <v>16825</v>
      </c>
      <c r="F22" s="355">
        <f>E22/'- 3 -'!D22*100</f>
        <v>0.10494736538761663</v>
      </c>
      <c r="G22" s="24">
        <f>E22/'- 7 -'!F22</f>
        <v>9.926253687315635</v>
      </c>
      <c r="H22" s="24">
        <v>124674</v>
      </c>
      <c r="I22" s="355">
        <f>H22/'- 3 -'!D22*100</f>
        <v>0.7776646557108895</v>
      </c>
      <c r="J22" s="24">
        <f>H22/'- 7 -'!F22</f>
        <v>73.55398230088495</v>
      </c>
    </row>
    <row r="23" spans="1:10" ht="13.5" customHeight="1">
      <c r="A23" s="362" t="s">
        <v>227</v>
      </c>
      <c r="B23" s="363">
        <v>50650</v>
      </c>
      <c r="C23" s="364">
        <f>B23/'- 3 -'!D23*100</f>
        <v>0.381941993681405</v>
      </c>
      <c r="D23" s="363">
        <f>B23/'- 7 -'!F23</f>
        <v>38.871834228702994</v>
      </c>
      <c r="E23" s="363">
        <v>20000</v>
      </c>
      <c r="F23" s="364">
        <f>E23/'- 3 -'!D23*100</f>
        <v>0.15081618704102864</v>
      </c>
      <c r="G23" s="363">
        <f>E23/'- 7 -'!F23</f>
        <v>15.349194167306216</v>
      </c>
      <c r="H23" s="363">
        <v>192000</v>
      </c>
      <c r="I23" s="364">
        <f>H23/'- 3 -'!D23*100</f>
        <v>1.447835395593875</v>
      </c>
      <c r="J23" s="363">
        <f>H23/'- 7 -'!F23</f>
        <v>147.35226400613968</v>
      </c>
    </row>
    <row r="24" spans="1:10" ht="13.5" customHeight="1">
      <c r="A24" s="23" t="s">
        <v>228</v>
      </c>
      <c r="B24" s="24">
        <v>184630</v>
      </c>
      <c r="C24" s="355">
        <f>B24/'- 3 -'!D24*100</f>
        <v>0.4156747028791535</v>
      </c>
      <c r="D24" s="24">
        <f>B24/'- 7 -'!F24</f>
        <v>41.71486669679169</v>
      </c>
      <c r="E24" s="24">
        <v>201975</v>
      </c>
      <c r="F24" s="355">
        <f>E24/'- 3 -'!D24*100</f>
        <v>0.4547251157125984</v>
      </c>
      <c r="G24" s="24">
        <f>E24/'- 7 -'!F24</f>
        <v>45.633755083596924</v>
      </c>
      <c r="H24" s="24">
        <v>801304</v>
      </c>
      <c r="I24" s="355">
        <f>H24/'- 3 -'!D24*100</f>
        <v>1.8040502741476314</v>
      </c>
      <c r="J24" s="24">
        <f>H24/'- 7 -'!F24</f>
        <v>181.0447356529598</v>
      </c>
    </row>
    <row r="25" spans="1:10" ht="13.5" customHeight="1">
      <c r="A25" s="362" t="s">
        <v>229</v>
      </c>
      <c r="B25" s="363">
        <v>687251</v>
      </c>
      <c r="C25" s="364">
        <f>B25/'- 3 -'!D25*100</f>
        <v>0.5124693204880708</v>
      </c>
      <c r="D25" s="363">
        <f>B25/'- 7 -'!F25</f>
        <v>48.4525521714608</v>
      </c>
      <c r="E25" s="363">
        <v>890750</v>
      </c>
      <c r="F25" s="364">
        <f>E25/'- 3 -'!D25*100</f>
        <v>0.6642144532707105</v>
      </c>
      <c r="G25" s="363">
        <f>E25/'- 7 -'!F25</f>
        <v>62.799633389734915</v>
      </c>
      <c r="H25" s="363">
        <v>1309349</v>
      </c>
      <c r="I25" s="364">
        <f>H25/'- 3 -'!D25*100</f>
        <v>0.9763553524283486</v>
      </c>
      <c r="J25" s="363">
        <f>H25/'- 7 -'!F25</f>
        <v>92.31168922729836</v>
      </c>
    </row>
    <row r="26" spans="1:10" ht="13.5" customHeight="1">
      <c r="A26" s="23" t="s">
        <v>230</v>
      </c>
      <c r="B26" s="24">
        <v>239465</v>
      </c>
      <c r="C26" s="355">
        <f>B26/'- 3 -'!D26*100</f>
        <v>0.7382693436186972</v>
      </c>
      <c r="D26" s="24">
        <f>B26/'- 7 -'!F26</f>
        <v>76.48195464707761</v>
      </c>
      <c r="E26" s="24">
        <v>47393</v>
      </c>
      <c r="F26" s="355">
        <f>E26/'- 3 -'!D26*100</f>
        <v>0.14611237133660834</v>
      </c>
      <c r="G26" s="24">
        <f>E26/'- 7 -'!F26</f>
        <v>15.136697540721814</v>
      </c>
      <c r="H26" s="24">
        <v>628552</v>
      </c>
      <c r="I26" s="355">
        <f>H26/'- 3 -'!D26*100</f>
        <v>1.9378225313520527</v>
      </c>
      <c r="J26" s="24">
        <f>H26/'- 7 -'!F26</f>
        <v>200.7511977004152</v>
      </c>
    </row>
    <row r="27" spans="1:10" ht="13.5" customHeight="1">
      <c r="A27" s="362" t="s">
        <v>231</v>
      </c>
      <c r="B27" s="363">
        <v>78280</v>
      </c>
      <c r="C27" s="364">
        <f>B27/'- 3 -'!D27*100</f>
        <v>0.2218182945460186</v>
      </c>
      <c r="D27" s="363">
        <f>B27/'- 7 -'!F27</f>
        <v>24.302709683828827</v>
      </c>
      <c r="E27" s="363">
        <v>98075</v>
      </c>
      <c r="F27" s="364">
        <f>E27/'- 3 -'!D27*100</f>
        <v>0.2779104399284718</v>
      </c>
      <c r="G27" s="363">
        <f>E27/'- 7 -'!F27</f>
        <v>30.44824031989668</v>
      </c>
      <c r="H27" s="363">
        <v>346330</v>
      </c>
      <c r="I27" s="364">
        <f>H27/'- 3 -'!D27*100</f>
        <v>0.9813787678860835</v>
      </c>
      <c r="J27" s="363">
        <f>H27/'- 7 -'!F27</f>
        <v>107.52117328564687</v>
      </c>
    </row>
    <row r="28" spans="1:10" ht="13.5" customHeight="1">
      <c r="A28" s="23" t="s">
        <v>232</v>
      </c>
      <c r="B28" s="24">
        <v>177348</v>
      </c>
      <c r="C28" s="355">
        <f>B28/'- 3 -'!D28*100</f>
        <v>0.954403330821774</v>
      </c>
      <c r="D28" s="24">
        <f>B28/'- 7 -'!F28</f>
        <v>100.70868824531516</v>
      </c>
      <c r="E28" s="24">
        <v>117500</v>
      </c>
      <c r="F28" s="355">
        <f>E28/'- 3 -'!D28*100</f>
        <v>0.6323296082930646</v>
      </c>
      <c r="G28" s="24">
        <f>E28/'- 7 -'!F28</f>
        <v>66.72345258375923</v>
      </c>
      <c r="H28" s="24">
        <v>253553</v>
      </c>
      <c r="I28" s="355">
        <f>H28/'- 3 -'!D28*100</f>
        <v>1.364502716353459</v>
      </c>
      <c r="J28" s="24">
        <f>H28/'- 7 -'!F28</f>
        <v>143.9823963657013</v>
      </c>
    </row>
    <row r="29" spans="1:10" ht="13.5" customHeight="1">
      <c r="A29" s="362" t="s">
        <v>233</v>
      </c>
      <c r="B29" s="363">
        <v>914401</v>
      </c>
      <c r="C29" s="364">
        <f>B29/'- 3 -'!D29*100</f>
        <v>0.7432401270809177</v>
      </c>
      <c r="D29" s="363">
        <f>B29/'- 7 -'!F29</f>
        <v>75.19435878458945</v>
      </c>
      <c r="E29" s="363">
        <v>199700</v>
      </c>
      <c r="F29" s="364">
        <f>E29/'- 3 -'!D29*100</f>
        <v>0.1623194346660374</v>
      </c>
      <c r="G29" s="363">
        <f>E29/'- 7 -'!F29</f>
        <v>16.422022120800953</v>
      </c>
      <c r="H29" s="363">
        <v>976700</v>
      </c>
      <c r="I29" s="364">
        <f>H29/'- 3 -'!D29*100</f>
        <v>0.7938777758553768</v>
      </c>
      <c r="J29" s="363">
        <f>H29/'- 7 -'!F29</f>
        <v>80.31742115866946</v>
      </c>
    </row>
    <row r="30" spans="1:10" ht="13.5" customHeight="1">
      <c r="A30" s="23" t="s">
        <v>234</v>
      </c>
      <c r="B30" s="24">
        <v>102500</v>
      </c>
      <c r="C30" s="355">
        <f>B30/'- 3 -'!D30*100</f>
        <v>0.8983236142021721</v>
      </c>
      <c r="D30" s="24">
        <f>B30/'- 7 -'!F30</f>
        <v>87.0858113848768</v>
      </c>
      <c r="E30" s="24">
        <v>7900</v>
      </c>
      <c r="F30" s="355">
        <f>E30/'- 3 -'!D30*100</f>
        <v>0.06923664928972838</v>
      </c>
      <c r="G30" s="24">
        <f>E30/'- 7 -'!F30</f>
        <v>6.711979609175871</v>
      </c>
      <c r="H30" s="24">
        <v>96763</v>
      </c>
      <c r="I30" s="355">
        <f>H30/'- 3 -'!D30*100</f>
        <v>0.8480437842053148</v>
      </c>
      <c r="J30" s="24">
        <f>H30/'- 7 -'!F30</f>
        <v>82.21155480033984</v>
      </c>
    </row>
    <row r="31" spans="1:10" ht="13.5" customHeight="1">
      <c r="A31" s="362" t="s">
        <v>235</v>
      </c>
      <c r="B31" s="363">
        <v>146553</v>
      </c>
      <c r="C31" s="364">
        <f>B31/'- 3 -'!D31*100</f>
        <v>0.4993078144281025</v>
      </c>
      <c r="D31" s="363">
        <f>B31/'- 7 -'!F31</f>
        <v>44.751740564309266</v>
      </c>
      <c r="E31" s="363">
        <v>60300</v>
      </c>
      <c r="F31" s="364">
        <f>E31/'- 3 -'!D31*100</f>
        <v>0.2054428173426309</v>
      </c>
      <c r="G31" s="363">
        <f>E31/'- 7 -'!F31</f>
        <v>18.413338219127883</v>
      </c>
      <c r="H31" s="363">
        <v>175055</v>
      </c>
      <c r="I31" s="364">
        <f>H31/'- 3 -'!D31*100</f>
        <v>0.596414467494432</v>
      </c>
      <c r="J31" s="363">
        <f>H31/'- 7 -'!F31</f>
        <v>53.455172834982285</v>
      </c>
    </row>
    <row r="32" spans="1:10" ht="13.5" customHeight="1">
      <c r="A32" s="23" t="s">
        <v>236</v>
      </c>
      <c r="B32" s="24">
        <v>191000</v>
      </c>
      <c r="C32" s="355">
        <f>B32/'- 3 -'!D32*100</f>
        <v>0.8716318161493936</v>
      </c>
      <c r="D32" s="24">
        <f>B32/'- 7 -'!F32</f>
        <v>87.0556061987238</v>
      </c>
      <c r="E32" s="24">
        <v>79200</v>
      </c>
      <c r="F32" s="355">
        <f>E32/'- 3 -'!D32*100</f>
        <v>0.3614305750734658</v>
      </c>
      <c r="G32" s="24">
        <f>E32/'- 7 -'!F32</f>
        <v>36.09845031905196</v>
      </c>
      <c r="H32" s="24">
        <v>164900</v>
      </c>
      <c r="I32" s="355">
        <f>H32/'- 3 -'!D32*100</f>
        <v>0.7525240130001832</v>
      </c>
      <c r="J32" s="24">
        <f>H32/'- 7 -'!F32</f>
        <v>75.1595259799453</v>
      </c>
    </row>
    <row r="33" spans="1:10" ht="13.5" customHeight="1">
      <c r="A33" s="362" t="s">
        <v>237</v>
      </c>
      <c r="B33" s="363">
        <v>161400</v>
      </c>
      <c r="C33" s="364">
        <f>B33/'- 3 -'!D33*100</f>
        <v>0.7019985646869495</v>
      </c>
      <c r="D33" s="363">
        <f>B33/'- 7 -'!F33</f>
        <v>74.17279411764706</v>
      </c>
      <c r="E33" s="363">
        <v>56000</v>
      </c>
      <c r="F33" s="364">
        <f>E33/'- 3 -'!D33*100</f>
        <v>0.243568275232151</v>
      </c>
      <c r="G33" s="363">
        <f>E33/'- 7 -'!F33</f>
        <v>25.735294117647058</v>
      </c>
      <c r="H33" s="363">
        <v>209500</v>
      </c>
      <c r="I33" s="364">
        <f>H33/'- 3 -'!D33*100</f>
        <v>0.9112063153774221</v>
      </c>
      <c r="J33" s="363">
        <f>H33/'- 7 -'!F33</f>
        <v>96.27757352941177</v>
      </c>
    </row>
    <row r="34" spans="1:10" ht="13.5" customHeight="1">
      <c r="A34" s="23" t="s">
        <v>238</v>
      </c>
      <c r="B34" s="24">
        <v>108459</v>
      </c>
      <c r="C34" s="355">
        <f>B34/'- 3 -'!D34*100</f>
        <v>0.5244792273652438</v>
      </c>
      <c r="D34" s="24">
        <f>B34/'- 7 -'!F34</f>
        <v>53.56</v>
      </c>
      <c r="E34" s="24">
        <v>73742</v>
      </c>
      <c r="F34" s="355">
        <f>E34/'- 3 -'!D34*100</f>
        <v>0.35659693694730543</v>
      </c>
      <c r="G34" s="24">
        <f>E34/'- 7 -'!F34</f>
        <v>36.415802469135805</v>
      </c>
      <c r="H34" s="24">
        <v>196449</v>
      </c>
      <c r="I34" s="355">
        <f>H34/'- 3 -'!D34*100</f>
        <v>0.9499757487776465</v>
      </c>
      <c r="J34" s="24">
        <f>H34/'- 7 -'!F34</f>
        <v>97.01185185185186</v>
      </c>
    </row>
    <row r="35" spans="1:10" ht="13.5" customHeight="1">
      <c r="A35" s="362" t="s">
        <v>239</v>
      </c>
      <c r="B35" s="363">
        <v>639000</v>
      </c>
      <c r="C35" s="364">
        <f>B35/'- 3 -'!D35*100</f>
        <v>0.42379360055215465</v>
      </c>
      <c r="D35" s="363">
        <f>B35/'- 7 -'!F35</f>
        <v>39.15201274431714</v>
      </c>
      <c r="E35" s="363">
        <v>292925</v>
      </c>
      <c r="F35" s="364">
        <f>E35/'- 3 -'!D35*100</f>
        <v>0.1942718942750233</v>
      </c>
      <c r="G35" s="363">
        <f>E35/'- 7 -'!F35</f>
        <v>17.947736045585444</v>
      </c>
      <c r="H35" s="363">
        <v>2061475</v>
      </c>
      <c r="I35" s="364">
        <f>H35/'- 3 -'!D35*100</f>
        <v>1.3671986114213661</v>
      </c>
      <c r="J35" s="363">
        <f>H35/'- 7 -'!F35</f>
        <v>126.30813062925066</v>
      </c>
    </row>
    <row r="36" spans="1:10" ht="13.5" customHeight="1">
      <c r="A36" s="23" t="s">
        <v>240</v>
      </c>
      <c r="B36" s="24">
        <v>163175</v>
      </c>
      <c r="C36" s="355">
        <f>B36/'- 3 -'!D36*100</f>
        <v>0.8491895554498532</v>
      </c>
      <c r="D36" s="24">
        <f>B36/'- 7 -'!F36</f>
        <v>88.77856365614798</v>
      </c>
      <c r="E36" s="24">
        <v>82000</v>
      </c>
      <c r="F36" s="355">
        <f>E36/'- 3 -'!D36*100</f>
        <v>0.4267414956144505</v>
      </c>
      <c r="G36" s="24">
        <f>E36/'- 7 -'!F36</f>
        <v>44.613710554951034</v>
      </c>
      <c r="H36" s="24">
        <v>203400</v>
      </c>
      <c r="I36" s="355">
        <f>H36/'- 3 -'!D36*100</f>
        <v>1.0585270757070637</v>
      </c>
      <c r="J36" s="24">
        <f>H36/'- 7 -'!F36</f>
        <v>110.66376496191512</v>
      </c>
    </row>
    <row r="37" spans="1:10" ht="13.5" customHeight="1">
      <c r="A37" s="362" t="s">
        <v>241</v>
      </c>
      <c r="B37" s="363">
        <v>141000</v>
      </c>
      <c r="C37" s="364">
        <f>B37/'- 3 -'!D37*100</f>
        <v>0.42795373134224163</v>
      </c>
      <c r="D37" s="363">
        <f>B37/'- 7 -'!F37</f>
        <v>40.69851349401068</v>
      </c>
      <c r="E37" s="363">
        <v>153271</v>
      </c>
      <c r="F37" s="364">
        <f>E37/'- 3 -'!D37*100</f>
        <v>0.46519784650040236</v>
      </c>
      <c r="G37" s="363">
        <f>E37/'- 7 -'!F37</f>
        <v>44.240438735748306</v>
      </c>
      <c r="H37" s="363">
        <v>494015</v>
      </c>
      <c r="I37" s="364">
        <f>H37/'- 3 -'!D37*100</f>
        <v>1.4994011531137414</v>
      </c>
      <c r="J37" s="363">
        <f>H37/'- 7 -'!F37</f>
        <v>142.5934478279694</v>
      </c>
    </row>
    <row r="38" spans="1:10" ht="13.5" customHeight="1">
      <c r="A38" s="23" t="s">
        <v>242</v>
      </c>
      <c r="B38" s="24">
        <v>172600</v>
      </c>
      <c r="C38" s="355">
        <f>B38/'- 3 -'!D38*100</f>
        <v>0.20695967248092248</v>
      </c>
      <c r="D38" s="24">
        <f>B38/'- 7 -'!F38</f>
        <v>19.62032511083324</v>
      </c>
      <c r="E38" s="24">
        <v>190450</v>
      </c>
      <c r="F38" s="355">
        <f>E38/'- 3 -'!D38*100</f>
        <v>0.22836309168013721</v>
      </c>
      <c r="G38" s="24">
        <f>E38/'- 7 -'!F38</f>
        <v>21.64942594066159</v>
      </c>
      <c r="H38" s="24">
        <v>600836</v>
      </c>
      <c r="I38" s="355">
        <f>H38/'- 3 -'!D38*100</f>
        <v>0.7204450856010866</v>
      </c>
      <c r="J38" s="24">
        <f>H38/'- 7 -'!F38</f>
        <v>68.30010230760486</v>
      </c>
    </row>
    <row r="39" spans="1:10" ht="13.5" customHeight="1">
      <c r="A39" s="362" t="s">
        <v>243</v>
      </c>
      <c r="B39" s="363">
        <v>441000</v>
      </c>
      <c r="C39" s="364">
        <f>B39/'- 3 -'!D39*100</f>
        <v>2.562195107497157</v>
      </c>
      <c r="D39" s="363">
        <f>B39/'- 7 -'!F39</f>
        <v>270.0551132884262</v>
      </c>
      <c r="E39" s="363">
        <v>60750</v>
      </c>
      <c r="F39" s="364">
        <f>E39/'- 3 -'!D39*100</f>
        <v>0.35295544848175125</v>
      </c>
      <c r="G39" s="363">
        <f>E39/'- 7 -'!F39</f>
        <v>37.201469687691365</v>
      </c>
      <c r="H39" s="363">
        <v>150000</v>
      </c>
      <c r="I39" s="364">
        <f>H39/'- 3 -'!D39*100</f>
        <v>0.8714949345228425</v>
      </c>
      <c r="J39" s="363">
        <f>H39/'- 7 -'!F39</f>
        <v>91.85548071034906</v>
      </c>
    </row>
    <row r="40" spans="1:10" ht="13.5" customHeight="1">
      <c r="A40" s="23" t="s">
        <v>244</v>
      </c>
      <c r="B40" s="24">
        <v>626483</v>
      </c>
      <c r="C40" s="355">
        <f>B40/'- 3 -'!D40*100</f>
        <v>0.7444861550219337</v>
      </c>
      <c r="D40" s="24">
        <f>B40/'- 7 -'!F40</f>
        <v>74.96864753607926</v>
      </c>
      <c r="E40" s="24">
        <v>152373</v>
      </c>
      <c r="F40" s="355">
        <f>E40/'- 3 -'!D40*100</f>
        <v>0.18107369058562975</v>
      </c>
      <c r="G40" s="24">
        <f>E40/'- 7 -'!F40</f>
        <v>18.233851087762964</v>
      </c>
      <c r="H40" s="24">
        <v>757141</v>
      </c>
      <c r="I40" s="355">
        <f>H40/'- 3 -'!D40*100</f>
        <v>0.8997546492074994</v>
      </c>
      <c r="J40" s="24">
        <f>H40/'- 7 -'!F40</f>
        <v>90.603953761099</v>
      </c>
    </row>
    <row r="41" spans="1:10" ht="13.5" customHeight="1">
      <c r="A41" s="362" t="s">
        <v>245</v>
      </c>
      <c r="B41" s="363">
        <v>460871</v>
      </c>
      <c r="C41" s="364">
        <f>B41/'- 3 -'!D41*100</f>
        <v>0.8992452401148553</v>
      </c>
      <c r="D41" s="363">
        <f>B41/'- 7 -'!F41</f>
        <v>99.56167638798877</v>
      </c>
      <c r="E41" s="363">
        <v>395866</v>
      </c>
      <c r="F41" s="364">
        <f>E41/'- 3 -'!D41*100</f>
        <v>0.7724083663830168</v>
      </c>
      <c r="G41" s="363">
        <f>E41/'- 7 -'!F41</f>
        <v>85.51868654136963</v>
      </c>
      <c r="H41" s="363">
        <v>496874</v>
      </c>
      <c r="I41" s="364">
        <f>H41/'- 3 -'!D41*100</f>
        <v>0.9694938050708954</v>
      </c>
      <c r="J41" s="363">
        <f>H41/'- 7 -'!F41</f>
        <v>107.33938215597321</v>
      </c>
    </row>
    <row r="42" spans="1:10" ht="13.5" customHeight="1">
      <c r="A42" s="23" t="s">
        <v>246</v>
      </c>
      <c r="B42" s="24">
        <v>116151</v>
      </c>
      <c r="C42" s="355">
        <f>B42/'- 3 -'!D42*100</f>
        <v>0.6553462477843112</v>
      </c>
      <c r="D42" s="24">
        <f>B42/'- 7 -'!F42</f>
        <v>71.34582309582309</v>
      </c>
      <c r="E42" s="24">
        <v>81260</v>
      </c>
      <c r="F42" s="355">
        <f>E42/'- 3 -'!D42*100</f>
        <v>0.4584845252727323</v>
      </c>
      <c r="G42" s="24">
        <f>E42/'- 7 -'!F42</f>
        <v>49.91400491400491</v>
      </c>
      <c r="H42" s="24">
        <v>133477</v>
      </c>
      <c r="I42" s="355">
        <f>H42/'- 3 -'!D42*100</f>
        <v>0.7531028670911701</v>
      </c>
      <c r="J42" s="24">
        <f>H42/'- 7 -'!F42</f>
        <v>81.98832923832924</v>
      </c>
    </row>
    <row r="43" spans="1:10" ht="13.5" customHeight="1">
      <c r="A43" s="362" t="s">
        <v>247</v>
      </c>
      <c r="B43" s="363">
        <v>35834</v>
      </c>
      <c r="C43" s="364">
        <f>B43/'- 3 -'!D43*100</f>
        <v>0.3475746401844937</v>
      </c>
      <c r="D43" s="363">
        <f>B43/'- 7 -'!F43</f>
        <v>35.673469387755105</v>
      </c>
      <c r="E43" s="363">
        <v>13000</v>
      </c>
      <c r="F43" s="364">
        <f>E43/'- 3 -'!D43*100</f>
        <v>0.12609450026227656</v>
      </c>
      <c r="G43" s="363">
        <f>E43/'- 7 -'!F43</f>
        <v>12.941762070681932</v>
      </c>
      <c r="H43" s="363">
        <v>146459</v>
      </c>
      <c r="I43" s="364">
        <f>H43/'- 3 -'!D43*100</f>
        <v>1.420590339531751</v>
      </c>
      <c r="J43" s="363">
        <f>H43/'- 7 -'!F43</f>
        <v>145.8028870084619</v>
      </c>
    </row>
    <row r="44" spans="1:10" ht="13.5" customHeight="1">
      <c r="A44" s="23" t="s">
        <v>248</v>
      </c>
      <c r="B44" s="24">
        <v>45963</v>
      </c>
      <c r="C44" s="355">
        <f>B44/'- 3 -'!D44*100</f>
        <v>0.5428337687175964</v>
      </c>
      <c r="D44" s="24">
        <f>B44/'- 7 -'!F44</f>
        <v>58.926923076923075</v>
      </c>
      <c r="E44" s="24">
        <v>43588</v>
      </c>
      <c r="F44" s="355">
        <f>E44/'- 3 -'!D44*100</f>
        <v>0.5147844638266125</v>
      </c>
      <c r="G44" s="24">
        <f>E44/'- 7 -'!F44</f>
        <v>55.88205128205128</v>
      </c>
      <c r="H44" s="24">
        <v>224418</v>
      </c>
      <c r="I44" s="355">
        <f>H44/'- 3 -'!D44*100</f>
        <v>2.6504290126420282</v>
      </c>
      <c r="J44" s="24">
        <f>H44/'- 7 -'!F44</f>
        <v>287.7153846153846</v>
      </c>
    </row>
    <row r="45" spans="1:10" ht="13.5" customHeight="1">
      <c r="A45" s="362" t="s">
        <v>249</v>
      </c>
      <c r="B45" s="363">
        <v>139199</v>
      </c>
      <c r="C45" s="364">
        <f>B45/'- 3 -'!D45*100</f>
        <v>1.0688899122252322</v>
      </c>
      <c r="D45" s="363">
        <f>B45/'- 7 -'!F45</f>
        <v>91.57828947368421</v>
      </c>
      <c r="E45" s="363">
        <v>20350</v>
      </c>
      <c r="F45" s="364">
        <f>E45/'- 3 -'!D45*100</f>
        <v>0.15626484180046893</v>
      </c>
      <c r="G45" s="363">
        <f>E45/'- 7 -'!F45</f>
        <v>13.388157894736842</v>
      </c>
      <c r="H45" s="363">
        <v>75237</v>
      </c>
      <c r="I45" s="364">
        <f>H45/'- 3 -'!D45*100</f>
        <v>0.5777345406654487</v>
      </c>
      <c r="J45" s="363">
        <f>H45/'- 7 -'!F45</f>
        <v>49.498026315789474</v>
      </c>
    </row>
    <row r="46" spans="1:10" ht="13.5" customHeight="1">
      <c r="A46" s="23" t="s">
        <v>250</v>
      </c>
      <c r="B46" s="24">
        <v>677800</v>
      </c>
      <c r="C46" s="355">
        <f>B46/'- 3 -'!D46*100</f>
        <v>0.22123402760823105</v>
      </c>
      <c r="D46" s="24">
        <f>B46/'- 7 -'!F46</f>
        <v>22.30265539139877</v>
      </c>
      <c r="E46" s="24">
        <v>843400</v>
      </c>
      <c r="F46" s="355">
        <f>E46/'- 3 -'!D46*100</f>
        <v>0.2752858938990588</v>
      </c>
      <c r="G46" s="24">
        <f>E46/'- 7 -'!F46</f>
        <v>27.7516369977954</v>
      </c>
      <c r="H46" s="24">
        <v>1731200</v>
      </c>
      <c r="I46" s="355">
        <f>H46/'- 3 -'!D46*100</f>
        <v>0.5650639548471077</v>
      </c>
      <c r="J46" s="24">
        <f>H46/'- 7 -'!F46</f>
        <v>56.96423283208845</v>
      </c>
    </row>
    <row r="47" spans="1:10" ht="4.5" customHeight="1">
      <c r="A47"/>
      <c r="B47"/>
      <c r="C47"/>
      <c r="D47"/>
      <c r="E47"/>
      <c r="F47"/>
      <c r="G47"/>
      <c r="H47"/>
      <c r="I47"/>
      <c r="J47"/>
    </row>
    <row r="48" spans="1:10" ht="13.5" customHeight="1">
      <c r="A48" s="365" t="s">
        <v>251</v>
      </c>
      <c r="B48" s="366">
        <f>SUM(B11:B46)</f>
        <v>8831077</v>
      </c>
      <c r="C48" s="367">
        <f>B48/'- 3 -'!D48*100</f>
        <v>0.5111416616846924</v>
      </c>
      <c r="D48" s="366">
        <f>B48/'- 7 -'!F48</f>
        <v>51.26433565700549</v>
      </c>
      <c r="E48" s="366">
        <f>SUM(E11:E46)</f>
        <v>5581731</v>
      </c>
      <c r="F48" s="367">
        <f>E48/'- 3 -'!D48*100</f>
        <v>0.3230699107727132</v>
      </c>
      <c r="G48" s="366">
        <f>E48/'- 7 -'!F48</f>
        <v>32.401906532024675</v>
      </c>
      <c r="H48" s="366">
        <f>SUM(H11:H46)</f>
        <v>16845488</v>
      </c>
      <c r="I48" s="367">
        <f>H48/'- 3 -'!D48*100</f>
        <v>0.9750147947084534</v>
      </c>
      <c r="J48" s="366">
        <f>H48/'- 7 -'!F48</f>
        <v>97.78793131778356</v>
      </c>
    </row>
    <row r="49" spans="1:10" ht="4.5" customHeight="1">
      <c r="A49" s="25" t="s">
        <v>3</v>
      </c>
      <c r="B49" s="26"/>
      <c r="C49" s="353"/>
      <c r="D49" s="26"/>
      <c r="E49" s="26"/>
      <c r="F49" s="353"/>
      <c r="H49" s="26"/>
      <c r="I49" s="353"/>
      <c r="J49" s="26"/>
    </row>
    <row r="50" spans="1:10" ht="13.5" customHeight="1">
      <c r="A50" s="23" t="s">
        <v>252</v>
      </c>
      <c r="B50" s="24">
        <v>0</v>
      </c>
      <c r="C50" s="355">
        <f>B50/'- 3 -'!D50</f>
        <v>0</v>
      </c>
      <c r="D50" s="24">
        <f>B50/'- 7 -'!F50</f>
        <v>0</v>
      </c>
      <c r="E50" s="24">
        <v>15000</v>
      </c>
      <c r="F50" s="355">
        <f>E50/'- 3 -'!D50*100</f>
        <v>0.5278227697816538</v>
      </c>
      <c r="G50" s="24">
        <f>E50/'- 7 -'!F50</f>
        <v>70.2576112412178</v>
      </c>
      <c r="H50" s="24">
        <v>35100</v>
      </c>
      <c r="I50" s="355">
        <f>H50/'- 3 -'!D50*100</f>
        <v>1.23510528128907</v>
      </c>
      <c r="J50" s="24">
        <f>H50/'- 7 -'!F50</f>
        <v>164.40281030444964</v>
      </c>
    </row>
    <row r="51" spans="1:10" ht="13.5" customHeight="1">
      <c r="A51" s="362" t="s">
        <v>253</v>
      </c>
      <c r="B51" s="363">
        <v>80926</v>
      </c>
      <c r="C51" s="364">
        <f>B51/'- 3 -'!D51*100</f>
        <v>0.6669296717444447</v>
      </c>
      <c r="D51" s="363">
        <f>B51/'- 7 -'!F51</f>
        <v>129.68910256410257</v>
      </c>
      <c r="E51" s="363">
        <v>35250</v>
      </c>
      <c r="F51" s="364">
        <f>E51/'- 3 -'!D51*100</f>
        <v>0.2905033107900017</v>
      </c>
      <c r="G51" s="363">
        <f>E51/'- 7 -'!F51</f>
        <v>56.49038461538461</v>
      </c>
      <c r="H51" s="363">
        <v>169835</v>
      </c>
      <c r="I51" s="364">
        <f>H51/'- 3 -'!D51*100</f>
        <v>1.3996490720005657</v>
      </c>
      <c r="J51" s="363">
        <f>H51/'- 7 -'!F51</f>
        <v>272.17147435897436</v>
      </c>
    </row>
    <row r="52" spans="1:10" ht="49.5" customHeight="1">
      <c r="A52" s="27"/>
      <c r="B52" s="27"/>
      <c r="C52" s="27"/>
      <c r="D52" s="27"/>
      <c r="E52" s="27"/>
      <c r="F52" s="27"/>
      <c r="G52" s="27"/>
      <c r="H52" s="27"/>
      <c r="I52" s="27"/>
      <c r="J52" s="27"/>
    </row>
    <row r="53" ht="15" customHeight="1">
      <c r="A53" s="251" t="s">
        <v>496</v>
      </c>
    </row>
    <row r="54" ht="12" customHeight="1">
      <c r="A54" s="161" t="s">
        <v>532</v>
      </c>
    </row>
    <row r="55" ht="12" customHeight="1">
      <c r="A55" s="1" t="s">
        <v>533</v>
      </c>
    </row>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H54"/>
  <sheetViews>
    <sheetView showGridLines="0" workbookViewId="0" topLeftCell="A1">
      <selection activeCell="A2" sqref="A2"/>
    </sheetView>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ustomWidth="1"/>
  </cols>
  <sheetData>
    <row r="1" spans="1:7" ht="6.75" customHeight="1">
      <c r="A1" s="3"/>
      <c r="B1" s="3"/>
      <c r="C1" s="3"/>
      <c r="D1" s="3"/>
      <c r="E1" s="4"/>
      <c r="F1" s="4"/>
      <c r="G1" s="4"/>
    </row>
    <row r="2" spans="1:8" ht="15.75" customHeight="1">
      <c r="A2" s="167"/>
      <c r="B2" s="5" t="s">
        <v>545</v>
      </c>
      <c r="C2" s="243"/>
      <c r="D2" s="243"/>
      <c r="E2" s="5"/>
      <c r="F2" s="244"/>
      <c r="G2" s="181"/>
      <c r="H2" s="169"/>
    </row>
    <row r="3" spans="1:8" ht="15.75" customHeight="1">
      <c r="A3" s="170"/>
      <c r="B3" s="7" t="str">
        <f>OPYEAR</f>
        <v>OPERATING FUND 2008/2009 BUDGET</v>
      </c>
      <c r="C3" s="245"/>
      <c r="D3" s="245"/>
      <c r="E3" s="7"/>
      <c r="F3" s="182"/>
      <c r="G3" s="182"/>
      <c r="H3" s="171"/>
    </row>
    <row r="4" spans="5:7" ht="15.75" customHeight="1">
      <c r="E4" s="4"/>
      <c r="F4" s="4"/>
      <c r="G4" s="4"/>
    </row>
    <row r="5" spans="2:7" ht="18" customHeight="1">
      <c r="B5" s="172" t="s">
        <v>488</v>
      </c>
      <c r="C5" s="246"/>
      <c r="D5" s="247"/>
      <c r="E5" s="248"/>
      <c r="F5" s="249"/>
      <c r="G5" s="250"/>
    </row>
    <row r="6" spans="2:7" ht="15.75" customHeight="1">
      <c r="B6" s="427" t="s">
        <v>15</v>
      </c>
      <c r="C6" s="428"/>
      <c r="D6" s="429"/>
      <c r="E6" s="430"/>
      <c r="F6" s="431"/>
      <c r="G6" s="432"/>
    </row>
    <row r="7" spans="2:7" ht="15.75" customHeight="1">
      <c r="B7" s="433" t="s">
        <v>398</v>
      </c>
      <c r="C7" s="434"/>
      <c r="D7" s="435"/>
      <c r="E7" s="433" t="s">
        <v>54</v>
      </c>
      <c r="F7" s="434"/>
      <c r="G7" s="435"/>
    </row>
    <row r="8" spans="1:7" ht="15.75" customHeight="1">
      <c r="A8" s="104"/>
      <c r="B8" s="175"/>
      <c r="C8" s="106"/>
      <c r="D8" s="16" t="s">
        <v>59</v>
      </c>
      <c r="E8" s="175"/>
      <c r="F8" s="176"/>
      <c r="G8" s="16" t="s">
        <v>59</v>
      </c>
    </row>
    <row r="9" spans="1:7" ht="15.75" customHeight="1">
      <c r="A9" s="35" t="s">
        <v>79</v>
      </c>
      <c r="B9" s="115" t="s">
        <v>80</v>
      </c>
      <c r="C9" s="115" t="s">
        <v>81</v>
      </c>
      <c r="D9" s="115" t="s">
        <v>82</v>
      </c>
      <c r="E9" s="115" t="s">
        <v>80</v>
      </c>
      <c r="F9" s="115" t="s">
        <v>81</v>
      </c>
      <c r="G9" s="115" t="s">
        <v>82</v>
      </c>
    </row>
    <row r="10" spans="1:4" ht="4.5" customHeight="1">
      <c r="A10" s="37"/>
      <c r="B10" s="37"/>
      <c r="C10" s="37"/>
      <c r="D10" s="37"/>
    </row>
    <row r="11" spans="1:7" ht="13.5" customHeight="1">
      <c r="A11" s="362" t="s">
        <v>216</v>
      </c>
      <c r="B11" s="363">
        <f>'- 27 -'!B11</f>
        <v>0</v>
      </c>
      <c r="C11" s="364">
        <f>'- 27 -'!C11</f>
        <v>0</v>
      </c>
      <c r="D11" s="363">
        <f>'- 27 -'!D11</f>
        <v>0</v>
      </c>
      <c r="E11" s="363">
        <f>SUM('- 38 -'!B11,'- 38 -'!E11,'- 38 -'!H11,B11)</f>
        <v>351643</v>
      </c>
      <c r="F11" s="364">
        <f>E11/'- 3 -'!D11*100</f>
        <v>2.627379837848621</v>
      </c>
      <c r="G11" s="363">
        <f>E11/'- 7 -'!F11</f>
        <v>248.862703467799</v>
      </c>
    </row>
    <row r="12" spans="1:7" ht="13.5" customHeight="1">
      <c r="A12" s="23" t="s">
        <v>217</v>
      </c>
      <c r="B12" s="24">
        <f>'- 27 -'!B12</f>
        <v>22510</v>
      </c>
      <c r="C12" s="355">
        <f>'- 27 -'!C12</f>
        <v>0.089598783335295</v>
      </c>
      <c r="D12" s="24">
        <f>'- 27 -'!D12</f>
        <v>9.731949848681365</v>
      </c>
      <c r="E12" s="24">
        <f>SUM('- 38 -'!B12,'- 38 -'!E12,'- 38 -'!H12,B12)</f>
        <v>731937</v>
      </c>
      <c r="F12" s="355">
        <f>E12/'- 3 -'!D12*100</f>
        <v>2.9134013628647635</v>
      </c>
      <c r="G12" s="24">
        <f>E12/'- 7 -'!F12</f>
        <v>316.4448767833982</v>
      </c>
    </row>
    <row r="13" spans="1:7" ht="13.5" customHeight="1">
      <c r="A13" s="362" t="s">
        <v>218</v>
      </c>
      <c r="B13" s="363">
        <f>'- 27 -'!B13</f>
        <v>99200</v>
      </c>
      <c r="C13" s="364">
        <f>'- 27 -'!C13</f>
        <v>0.16863205743009504</v>
      </c>
      <c r="D13" s="363">
        <f>'- 27 -'!D13</f>
        <v>14.643208853405536</v>
      </c>
      <c r="E13" s="363">
        <f>SUM('- 38 -'!B13,'- 38 -'!E13,'- 38 -'!H13,B13)</f>
        <v>1057000</v>
      </c>
      <c r="F13" s="364">
        <f>E13/'- 3 -'!D13*100</f>
        <v>1.7968153699960732</v>
      </c>
      <c r="G13" s="363">
        <f>E13/'- 7 -'!F13</f>
        <v>156.02693304485535</v>
      </c>
    </row>
    <row r="14" spans="1:7" ht="13.5" customHeight="1">
      <c r="A14" s="23" t="s">
        <v>254</v>
      </c>
      <c r="B14" s="24">
        <f>'- 27 -'!B14</f>
        <v>105343</v>
      </c>
      <c r="C14" s="355">
        <f>'- 27 -'!C14</f>
        <v>0.18521820101176123</v>
      </c>
      <c r="D14" s="24">
        <f>'- 27 -'!D14</f>
        <v>21.787590486039296</v>
      </c>
      <c r="E14" s="24">
        <f>SUM('- 38 -'!B14,'- 38 -'!E14,'- 38 -'!H14,B14)</f>
        <v>1047697</v>
      </c>
      <c r="F14" s="355">
        <f>E14/'- 3 -'!D14*100</f>
        <v>1.8421020242960537</v>
      </c>
      <c r="G14" s="24">
        <f>E14/'- 7 -'!F14</f>
        <v>216.69017580144777</v>
      </c>
    </row>
    <row r="15" spans="1:7" ht="13.5" customHeight="1">
      <c r="A15" s="362" t="s">
        <v>219</v>
      </c>
      <c r="B15" s="363">
        <f>'- 27 -'!B15</f>
        <v>0</v>
      </c>
      <c r="C15" s="364">
        <f>'- 27 -'!C15</f>
        <v>0</v>
      </c>
      <c r="D15" s="363">
        <f>'- 27 -'!D15</f>
        <v>0</v>
      </c>
      <c r="E15" s="363">
        <f>SUM('- 38 -'!B15,'- 38 -'!E15,'- 38 -'!H15,B15)</f>
        <v>301222</v>
      </c>
      <c r="F15" s="364">
        <f>E15/'- 3 -'!D15*100</f>
        <v>1.8447060771705697</v>
      </c>
      <c r="G15" s="363">
        <f>E15/'- 7 -'!F15</f>
        <v>188.44041288708164</v>
      </c>
    </row>
    <row r="16" spans="1:7" ht="13.5" customHeight="1">
      <c r="A16" s="23" t="s">
        <v>220</v>
      </c>
      <c r="B16" s="24">
        <f>'- 27 -'!B16</f>
        <v>9000</v>
      </c>
      <c r="C16" s="355">
        <f>'- 27 -'!C16</f>
        <v>0.0789314644233526</v>
      </c>
      <c r="D16" s="24">
        <f>'- 27 -'!D16</f>
        <v>8.360427310729214</v>
      </c>
      <c r="E16" s="24">
        <f>SUM('- 38 -'!B16,'- 38 -'!E16,'- 38 -'!H16,B16)</f>
        <v>188720</v>
      </c>
      <c r="F16" s="355">
        <f>E16/'- 3 -'!D16*100</f>
        <v>1.6551051073305667</v>
      </c>
      <c r="G16" s="24">
        <f>E16/'- 7 -'!F16</f>
        <v>175.30887134231304</v>
      </c>
    </row>
    <row r="17" spans="1:7" ht="13.5" customHeight="1">
      <c r="A17" s="362" t="s">
        <v>221</v>
      </c>
      <c r="B17" s="363">
        <f>'- 27 -'!B17</f>
        <v>30850</v>
      </c>
      <c r="C17" s="364">
        <f>'- 27 -'!C17</f>
        <v>0.2100929755056107</v>
      </c>
      <c r="D17" s="363">
        <f>'- 27 -'!D17</f>
        <v>22.37128353879623</v>
      </c>
      <c r="E17" s="363">
        <f>SUM('- 38 -'!B17,'- 38 -'!E17,'- 38 -'!H17,B17)</f>
        <v>451228</v>
      </c>
      <c r="F17" s="364">
        <f>E17/'- 3 -'!D17*100</f>
        <v>3.0729281410517246</v>
      </c>
      <c r="G17" s="363">
        <f>E17/'- 7 -'!F17</f>
        <v>327.21392313270485</v>
      </c>
    </row>
    <row r="18" spans="1:7" ht="13.5" customHeight="1">
      <c r="A18" s="23" t="s">
        <v>222</v>
      </c>
      <c r="B18" s="24">
        <f>'- 27 -'!B18</f>
        <v>329071</v>
      </c>
      <c r="C18" s="355">
        <f>'- 27 -'!C18</f>
        <v>0.32889657299147973</v>
      </c>
      <c r="D18" s="24">
        <f>'- 27 -'!D18</f>
        <v>56.60365350213293</v>
      </c>
      <c r="E18" s="24">
        <f>SUM('- 38 -'!B18,'- 38 -'!E18,'- 38 -'!H18,B18)</f>
        <v>1782388</v>
      </c>
      <c r="F18" s="355">
        <f>E18/'- 3 -'!D18*100</f>
        <v>1.7814432293977212</v>
      </c>
      <c r="G18" s="24">
        <f>E18/'- 7 -'!F18</f>
        <v>306.5893766340993</v>
      </c>
    </row>
    <row r="19" spans="1:7" ht="13.5" customHeight="1">
      <c r="A19" s="362" t="s">
        <v>223</v>
      </c>
      <c r="B19" s="363">
        <f>'- 27 -'!B19</f>
        <v>38100</v>
      </c>
      <c r="C19" s="364">
        <f>'- 27 -'!C19</f>
        <v>0.13137915178378234</v>
      </c>
      <c r="D19" s="363">
        <f>'- 27 -'!D19</f>
        <v>9.984276729559749</v>
      </c>
      <c r="E19" s="363">
        <f>SUM('- 38 -'!B19,'- 38 -'!E19,'- 38 -'!H19,B19)</f>
        <v>643760</v>
      </c>
      <c r="F19" s="364">
        <f>E19/'- 3 -'!D19*100</f>
        <v>2.219859389824874</v>
      </c>
      <c r="G19" s="363">
        <f>E19/'- 7 -'!F19</f>
        <v>168.70020964360586</v>
      </c>
    </row>
    <row r="20" spans="1:7" ht="13.5" customHeight="1">
      <c r="A20" s="23" t="s">
        <v>224</v>
      </c>
      <c r="B20" s="24">
        <f>'- 27 -'!B20</f>
        <v>10000</v>
      </c>
      <c r="C20" s="355">
        <f>'- 27 -'!C20</f>
        <v>0.018097009833613634</v>
      </c>
      <c r="D20" s="24">
        <f>'- 27 -'!D20</f>
        <v>1.392757660167131</v>
      </c>
      <c r="E20" s="24">
        <f>SUM('- 38 -'!B20,'- 38 -'!E20,'- 38 -'!H20,B20)</f>
        <v>1174524</v>
      </c>
      <c r="F20" s="355">
        <f>E20/'- 3 -'!D20*100</f>
        <v>2.125537237781522</v>
      </c>
      <c r="G20" s="24">
        <f>E20/'- 7 -'!F20</f>
        <v>163.58272980501394</v>
      </c>
    </row>
    <row r="21" spans="1:7" ht="13.5" customHeight="1">
      <c r="A21" s="362" t="s">
        <v>225</v>
      </c>
      <c r="B21" s="363">
        <f>'- 27 -'!B21</f>
        <v>9000</v>
      </c>
      <c r="C21" s="364">
        <f>'- 27 -'!C21</f>
        <v>0.03165246994773825</v>
      </c>
      <c r="D21" s="363">
        <f>'- 27 -'!D21</f>
        <v>3.024701730801546</v>
      </c>
      <c r="E21" s="363">
        <f>SUM('- 38 -'!B21,'- 38 -'!E21,'- 38 -'!H21,B21)</f>
        <v>650284</v>
      </c>
      <c r="F21" s="364">
        <f>E21/'- 3 -'!D21*100</f>
        <v>2.287010529721669</v>
      </c>
      <c r="G21" s="363">
        <f>E21/'- 7 -'!F21</f>
        <v>218.5461267013947</v>
      </c>
    </row>
    <row r="22" spans="1:7" ht="13.5" customHeight="1">
      <c r="A22" s="23" t="s">
        <v>226</v>
      </c>
      <c r="B22" s="24">
        <f>'- 27 -'!B22</f>
        <v>0</v>
      </c>
      <c r="C22" s="355">
        <f>'- 27 -'!C22</f>
        <v>0</v>
      </c>
      <c r="D22" s="24">
        <f>'- 27 -'!D22</f>
        <v>0</v>
      </c>
      <c r="E22" s="24">
        <f>SUM('- 38 -'!B22,'- 38 -'!E22,'- 38 -'!H22,B22)</f>
        <v>223199</v>
      </c>
      <c r="F22" s="355">
        <f>E22/'- 3 -'!D22*100</f>
        <v>1.392222704734065</v>
      </c>
      <c r="G22" s="24">
        <f>E22/'- 7 -'!F22</f>
        <v>131.68082595870206</v>
      </c>
    </row>
    <row r="23" spans="1:7" ht="13.5" customHeight="1">
      <c r="A23" s="362" t="s">
        <v>227</v>
      </c>
      <c r="B23" s="363">
        <f>'- 27 -'!B23</f>
        <v>0</v>
      </c>
      <c r="C23" s="364">
        <f>'- 27 -'!C23</f>
        <v>0</v>
      </c>
      <c r="D23" s="363">
        <f>'- 27 -'!D23</f>
        <v>0</v>
      </c>
      <c r="E23" s="363">
        <f>SUM('- 38 -'!B23,'- 38 -'!E23,'- 38 -'!H23,B23)</f>
        <v>262650</v>
      </c>
      <c r="F23" s="364">
        <f>E23/'- 3 -'!D23*100</f>
        <v>1.9805935763163085</v>
      </c>
      <c r="G23" s="363">
        <f>E23/'- 7 -'!F23</f>
        <v>201.5732924021489</v>
      </c>
    </row>
    <row r="24" spans="1:7" ht="13.5" customHeight="1">
      <c r="A24" s="23" t="s">
        <v>228</v>
      </c>
      <c r="B24" s="24">
        <f>'- 27 -'!B24</f>
        <v>30100</v>
      </c>
      <c r="C24" s="355">
        <f>'- 27 -'!C24</f>
        <v>0.06776693146651422</v>
      </c>
      <c r="D24" s="24">
        <f>'- 27 -'!D24</f>
        <v>6.8007230004518755</v>
      </c>
      <c r="E24" s="24">
        <f>SUM('- 38 -'!B24,'- 38 -'!E24,'- 38 -'!H24,B24)</f>
        <v>1218009</v>
      </c>
      <c r="F24" s="355">
        <f>E24/'- 3 -'!D24*100</f>
        <v>2.7422170242058974</v>
      </c>
      <c r="G24" s="24">
        <f>E24/'- 7 -'!F24</f>
        <v>275.19408043380025</v>
      </c>
    </row>
    <row r="25" spans="1:7" ht="13.5" customHeight="1">
      <c r="A25" s="362" t="s">
        <v>229</v>
      </c>
      <c r="B25" s="363">
        <f>'- 27 -'!B25</f>
        <v>225052</v>
      </c>
      <c r="C25" s="364">
        <f>'- 27 -'!C25</f>
        <v>0.1678167736598147</v>
      </c>
      <c r="D25" s="363">
        <f>'- 27 -'!D25</f>
        <v>15.866610265087422</v>
      </c>
      <c r="E25" s="363">
        <f>SUM('- 38 -'!B25,'- 38 -'!E25,'- 38 -'!H25,B25)</f>
        <v>3112402</v>
      </c>
      <c r="F25" s="364">
        <f>E25/'- 3 -'!D25*100</f>
        <v>2.320855899846945</v>
      </c>
      <c r="G25" s="363">
        <f>E25/'- 7 -'!F25</f>
        <v>219.4304850535815</v>
      </c>
    </row>
    <row r="26" spans="1:7" ht="13.5" customHeight="1">
      <c r="A26" s="23" t="s">
        <v>230</v>
      </c>
      <c r="B26" s="24">
        <f>'- 27 -'!B26</f>
        <v>20000</v>
      </c>
      <c r="C26" s="355">
        <f>'- 27 -'!C26</f>
        <v>0.06165989548524395</v>
      </c>
      <c r="D26" s="24">
        <f>'- 27 -'!D26</f>
        <v>6.387735547748323</v>
      </c>
      <c r="E26" s="24">
        <f>SUM('- 38 -'!B26,'- 38 -'!E26,'- 38 -'!H26,B26)</f>
        <v>935410</v>
      </c>
      <c r="F26" s="355">
        <f>E26/'- 3 -'!D26*100</f>
        <v>2.8838641417926025</v>
      </c>
      <c r="G26" s="24">
        <f>E26/'- 7 -'!F26</f>
        <v>298.75758543596294</v>
      </c>
    </row>
    <row r="27" spans="1:7" ht="13.5" customHeight="1">
      <c r="A27" s="362" t="s">
        <v>231</v>
      </c>
      <c r="B27" s="363">
        <f>'- 27 -'!B27</f>
        <v>160751</v>
      </c>
      <c r="C27" s="364">
        <f>'- 27 -'!C27</f>
        <v>0.45551242547990595</v>
      </c>
      <c r="D27" s="363">
        <f>'- 27 -'!D27</f>
        <v>49.90655192111865</v>
      </c>
      <c r="E27" s="363">
        <f>SUM('- 38 -'!B27,'- 38 -'!E27,'- 38 -'!H27,B27)</f>
        <v>683436</v>
      </c>
      <c r="F27" s="364">
        <f>E27/'- 3 -'!D27*100</f>
        <v>1.9366199278404799</v>
      </c>
      <c r="G27" s="363">
        <f>E27/'- 7 -'!F27</f>
        <v>212.17867521049104</v>
      </c>
    </row>
    <row r="28" spans="1:7" ht="13.5" customHeight="1">
      <c r="A28" s="23" t="s">
        <v>232</v>
      </c>
      <c r="B28" s="24">
        <f>'- 27 -'!B28</f>
        <v>9000</v>
      </c>
      <c r="C28" s="355">
        <f>'- 27 -'!C28</f>
        <v>0.04843375723095814</v>
      </c>
      <c r="D28" s="24">
        <f>'- 27 -'!D28</f>
        <v>5.1107325383304945</v>
      </c>
      <c r="E28" s="24">
        <f>SUM('- 38 -'!B28,'- 38 -'!E28,'- 38 -'!H28,B28)</f>
        <v>557401</v>
      </c>
      <c r="F28" s="355">
        <f>E28/'- 3 -'!D28*100</f>
        <v>2.999669412699256</v>
      </c>
      <c r="G28" s="24">
        <f>E28/'- 7 -'!F28</f>
        <v>316.5252697331062</v>
      </c>
    </row>
    <row r="29" spans="1:7" ht="13.5" customHeight="1">
      <c r="A29" s="362" t="s">
        <v>233</v>
      </c>
      <c r="B29" s="363">
        <f>'- 27 -'!B29</f>
        <v>644685</v>
      </c>
      <c r="C29" s="364">
        <f>'- 27 -'!C29</f>
        <v>0.524010539497618</v>
      </c>
      <c r="D29" s="363">
        <f>'- 27 -'!D29</f>
        <v>53.01467867275194</v>
      </c>
      <c r="E29" s="363">
        <f>SUM('- 38 -'!B29,'- 38 -'!E29,'- 38 -'!H29,B29)</f>
        <v>2735486</v>
      </c>
      <c r="F29" s="364">
        <f>E29/'- 3 -'!D29*100</f>
        <v>2.2234478770999497</v>
      </c>
      <c r="G29" s="363">
        <f>E29/'- 7 -'!F29</f>
        <v>224.9484807368118</v>
      </c>
    </row>
    <row r="30" spans="1:7" ht="13.5" customHeight="1">
      <c r="A30" s="23" t="s">
        <v>234</v>
      </c>
      <c r="B30" s="24">
        <f>'- 27 -'!B30</f>
        <v>10650</v>
      </c>
      <c r="C30" s="355">
        <f>'- 27 -'!C30</f>
        <v>0.09333801454881105</v>
      </c>
      <c r="D30" s="24">
        <f>'- 27 -'!D30</f>
        <v>9.048428207306712</v>
      </c>
      <c r="E30" s="24">
        <f>SUM('- 38 -'!B30,'- 38 -'!E30,'- 38 -'!H30,B30)</f>
        <v>217813</v>
      </c>
      <c r="F30" s="355">
        <f>E30/'- 3 -'!D30*100</f>
        <v>1.9089420622460262</v>
      </c>
      <c r="G30" s="24">
        <f>E30/'- 7 -'!F30</f>
        <v>185.05777400169924</v>
      </c>
    </row>
    <row r="31" spans="1:7" ht="13.5" customHeight="1">
      <c r="A31" s="362" t="s">
        <v>235</v>
      </c>
      <c r="B31" s="363">
        <f>'- 27 -'!B31</f>
        <v>7000</v>
      </c>
      <c r="C31" s="364">
        <f>'- 27 -'!C31</f>
        <v>0.023849083273605576</v>
      </c>
      <c r="D31" s="363">
        <f>'- 27 -'!D31</f>
        <v>2.137535116648345</v>
      </c>
      <c r="E31" s="363">
        <f>SUM('- 38 -'!B31,'- 38 -'!E31,'- 38 -'!H31,B31)</f>
        <v>388908</v>
      </c>
      <c r="F31" s="364">
        <f>E31/'- 3 -'!D31*100</f>
        <v>1.325014182538771</v>
      </c>
      <c r="G31" s="363">
        <f>E31/'- 7 -'!F31</f>
        <v>118.75778673506778</v>
      </c>
    </row>
    <row r="32" spans="1:7" ht="13.5" customHeight="1">
      <c r="A32" s="23" t="s">
        <v>236</v>
      </c>
      <c r="B32" s="24">
        <f>'- 27 -'!B32</f>
        <v>16700</v>
      </c>
      <c r="C32" s="355">
        <f>'- 27 -'!C32</f>
        <v>0.07621073994604644</v>
      </c>
      <c r="D32" s="24">
        <f>'- 27 -'!D32</f>
        <v>7.6116681859617135</v>
      </c>
      <c r="E32" s="24">
        <f>SUM('- 38 -'!B32,'- 38 -'!E32,'- 38 -'!H32,B32)</f>
        <v>451800</v>
      </c>
      <c r="F32" s="355">
        <f>E32/'- 3 -'!D32*100</f>
        <v>2.0617971441690885</v>
      </c>
      <c r="G32" s="24">
        <f>E32/'- 7 -'!F32</f>
        <v>205.92525068368278</v>
      </c>
    </row>
    <row r="33" spans="1:7" ht="13.5" customHeight="1">
      <c r="A33" s="362" t="s">
        <v>237</v>
      </c>
      <c r="B33" s="363">
        <f>'- 27 -'!B33</f>
        <v>6000</v>
      </c>
      <c r="C33" s="364">
        <f>'- 27 -'!C33</f>
        <v>0.026096600917730466</v>
      </c>
      <c r="D33" s="363">
        <f>'- 27 -'!D33</f>
        <v>2.7573529411764706</v>
      </c>
      <c r="E33" s="363">
        <f>SUM('- 38 -'!B33,'- 38 -'!E33,'- 38 -'!H33,B33)</f>
        <v>432900</v>
      </c>
      <c r="F33" s="364">
        <f>E33/'- 3 -'!D33*100</f>
        <v>1.8828697562142533</v>
      </c>
      <c r="G33" s="363">
        <f>E33/'- 7 -'!F33</f>
        <v>198.94301470588235</v>
      </c>
    </row>
    <row r="34" spans="1:7" ht="13.5" customHeight="1">
      <c r="A34" s="23" t="s">
        <v>238</v>
      </c>
      <c r="B34" s="24">
        <f>'- 27 -'!B34</f>
        <v>20000</v>
      </c>
      <c r="C34" s="355">
        <f>'- 27 -'!C34</f>
        <v>0.09671474517840728</v>
      </c>
      <c r="D34" s="24">
        <f>'- 27 -'!D34</f>
        <v>9.876543209876543</v>
      </c>
      <c r="E34" s="24">
        <f>SUM('- 38 -'!B34,'- 38 -'!E34,'- 38 -'!H34,B34)</f>
        <v>398650</v>
      </c>
      <c r="F34" s="355">
        <f>E34/'- 3 -'!D34*100</f>
        <v>1.927766658268603</v>
      </c>
      <c r="G34" s="24">
        <f>E34/'- 7 -'!F34</f>
        <v>196.8641975308642</v>
      </c>
    </row>
    <row r="35" spans="1:7" ht="13.5" customHeight="1">
      <c r="A35" s="362" t="s">
        <v>239</v>
      </c>
      <c r="B35" s="363">
        <f>'- 27 -'!B35</f>
        <v>939500</v>
      </c>
      <c r="C35" s="364">
        <f>'- 27 -'!C35</f>
        <v>0.6230893391529723</v>
      </c>
      <c r="D35" s="363">
        <f>'- 27 -'!D35</f>
        <v>57.56387476257582</v>
      </c>
      <c r="E35" s="363">
        <f>SUM('- 38 -'!B35,'- 38 -'!E35,'- 38 -'!H35,B35)</f>
        <v>3932900</v>
      </c>
      <c r="F35" s="364">
        <f>E35/'- 3 -'!D35*100</f>
        <v>2.6083534454015163</v>
      </c>
      <c r="G35" s="363">
        <f>E35/'- 7 -'!F35</f>
        <v>240.97175418172907</v>
      </c>
    </row>
    <row r="36" spans="1:7" ht="13.5" customHeight="1">
      <c r="A36" s="23" t="s">
        <v>240</v>
      </c>
      <c r="B36" s="24">
        <f>'- 27 -'!B36</f>
        <v>0</v>
      </c>
      <c r="C36" s="355">
        <f>'- 27 -'!C36</f>
        <v>0</v>
      </c>
      <c r="D36" s="24">
        <f>'- 27 -'!D36</f>
        <v>0</v>
      </c>
      <c r="E36" s="24">
        <f>SUM('- 38 -'!B36,'- 38 -'!E36,'- 38 -'!H36,B36)</f>
        <v>448575</v>
      </c>
      <c r="F36" s="355">
        <f>E36/'- 3 -'!D36*100</f>
        <v>2.3344581267713673</v>
      </c>
      <c r="G36" s="24">
        <f>E36/'- 7 -'!F36</f>
        <v>244.05603917301414</v>
      </c>
    </row>
    <row r="37" spans="1:7" ht="13.5" customHeight="1">
      <c r="A37" s="511" t="s">
        <v>241</v>
      </c>
      <c r="B37" s="363">
        <f>'- 27 -'!B37</f>
        <v>54812</v>
      </c>
      <c r="C37" s="364">
        <f>'- 27 -'!C37</f>
        <v>0.16636170157681524</v>
      </c>
      <c r="D37" s="363">
        <f>'- 27 -'!D37</f>
        <v>15.821041997402222</v>
      </c>
      <c r="E37" s="363">
        <f>SUM('- 38 -'!B37,'- 38 -'!E37,'- 38 -'!H37,B37)</f>
        <v>843098</v>
      </c>
      <c r="F37" s="364">
        <f>E37/'- 3 -'!D37*100</f>
        <v>2.5589144325332005</v>
      </c>
      <c r="G37" s="363">
        <f>E37/'- 7 -'!F37</f>
        <v>243.3534420551306</v>
      </c>
    </row>
    <row r="38" spans="1:7" ht="13.5" customHeight="1">
      <c r="A38" s="23" t="s">
        <v>242</v>
      </c>
      <c r="B38" s="24">
        <f>'- 27 -'!B38</f>
        <v>262840</v>
      </c>
      <c r="C38" s="355">
        <f>'- 27 -'!C38</f>
        <v>0.31516384886955773</v>
      </c>
      <c r="D38" s="24">
        <f>'- 27 -'!D38</f>
        <v>29.878367625326817</v>
      </c>
      <c r="E38" s="24">
        <f>SUM('- 38 -'!B38,'- 38 -'!E38,'- 38 -'!H38,B38)</f>
        <v>1226726</v>
      </c>
      <c r="F38" s="355">
        <f>E38/'- 3 -'!D38*100</f>
        <v>1.470931698631704</v>
      </c>
      <c r="G38" s="24">
        <f>E38/'- 7 -'!F38</f>
        <v>139.4482209844265</v>
      </c>
    </row>
    <row r="39" spans="1:7" ht="13.5" customHeight="1">
      <c r="A39" s="362" t="s">
        <v>243</v>
      </c>
      <c r="B39" s="363">
        <f>'- 27 -'!B39</f>
        <v>12900</v>
      </c>
      <c r="C39" s="364">
        <f>'- 27 -'!C39</f>
        <v>0.07494856436896447</v>
      </c>
      <c r="D39" s="363">
        <f>'- 27 -'!D39</f>
        <v>7.899571341090018</v>
      </c>
      <c r="E39" s="363">
        <f>SUM('- 38 -'!B39,'- 38 -'!E39,'- 38 -'!H39,B39)</f>
        <v>664650</v>
      </c>
      <c r="F39" s="364">
        <f>E39/'- 3 -'!D39*100</f>
        <v>3.8615940548707157</v>
      </c>
      <c r="G39" s="363">
        <f>E39/'- 7 -'!F39</f>
        <v>407.0116350275566</v>
      </c>
    </row>
    <row r="40" spans="1:7" ht="13.5" customHeight="1">
      <c r="A40" s="23" t="s">
        <v>244</v>
      </c>
      <c r="B40" s="24">
        <f>'- 27 -'!B40</f>
        <v>135227</v>
      </c>
      <c r="C40" s="355">
        <f>'- 27 -'!C40</f>
        <v>0.16069810239886959</v>
      </c>
      <c r="D40" s="24">
        <f>'- 27 -'!D40</f>
        <v>16.18205968934734</v>
      </c>
      <c r="E40" s="24">
        <f>SUM('- 38 -'!B40,'- 38 -'!E40,'- 38 -'!H40,B40)</f>
        <v>1671224</v>
      </c>
      <c r="F40" s="355">
        <f>E40/'- 3 -'!D40*100</f>
        <v>1.9860125972139324</v>
      </c>
      <c r="G40" s="24">
        <f>E40/'- 7 -'!F40</f>
        <v>199.98851207428856</v>
      </c>
    </row>
    <row r="41" spans="1:7" ht="13.5" customHeight="1">
      <c r="A41" s="362" t="s">
        <v>245</v>
      </c>
      <c r="B41" s="363">
        <f>'- 27 -'!B41</f>
        <v>64657</v>
      </c>
      <c r="C41" s="364">
        <f>'- 27 -'!C41</f>
        <v>0.12615786085500325</v>
      </c>
      <c r="D41" s="363">
        <f>'- 27 -'!D41</f>
        <v>13.967811622380644</v>
      </c>
      <c r="E41" s="363">
        <f>SUM('- 38 -'!B41,'- 38 -'!E41,'- 38 -'!H41,B41)</f>
        <v>1418268</v>
      </c>
      <c r="F41" s="364">
        <f>E41/'- 3 -'!D41*100</f>
        <v>2.767305272423771</v>
      </c>
      <c r="G41" s="363">
        <f>E41/'- 7 -'!F41</f>
        <v>306.38755670771224</v>
      </c>
    </row>
    <row r="42" spans="1:7" ht="13.5" customHeight="1">
      <c r="A42" s="23" t="s">
        <v>246</v>
      </c>
      <c r="B42" s="24">
        <f>'- 27 -'!B42</f>
        <v>27800</v>
      </c>
      <c r="C42" s="355">
        <f>'- 27 -'!C42</f>
        <v>0.15685293874700906</v>
      </c>
      <c r="D42" s="24">
        <f>'- 27 -'!D42</f>
        <v>17.076167076167078</v>
      </c>
      <c r="E42" s="24">
        <f>SUM('- 38 -'!B42,'- 38 -'!E42,'- 38 -'!H42,B42)</f>
        <v>358688</v>
      </c>
      <c r="F42" s="355">
        <f>E42/'- 3 -'!D42*100</f>
        <v>2.0237865788952227</v>
      </c>
      <c r="G42" s="24">
        <f>E42/'- 7 -'!F42</f>
        <v>220.32432432432432</v>
      </c>
    </row>
    <row r="43" spans="1:7" ht="13.5" customHeight="1">
      <c r="A43" s="362" t="s">
        <v>247</v>
      </c>
      <c r="B43" s="363">
        <f>'- 27 -'!B43</f>
        <v>0</v>
      </c>
      <c r="C43" s="364">
        <f>'- 27 -'!C43</f>
        <v>0</v>
      </c>
      <c r="D43" s="363">
        <f>'- 27 -'!D43</f>
        <v>0</v>
      </c>
      <c r="E43" s="363">
        <f>SUM('- 38 -'!B43,'- 38 -'!E43,'- 38 -'!H43,B43)</f>
        <v>195293</v>
      </c>
      <c r="F43" s="364">
        <f>E43/'- 3 -'!D43*100</f>
        <v>1.8942594799785213</v>
      </c>
      <c r="G43" s="363">
        <f>E43/'- 7 -'!F43</f>
        <v>194.41811846689896</v>
      </c>
    </row>
    <row r="44" spans="1:7" ht="13.5" customHeight="1">
      <c r="A44" s="23" t="s">
        <v>248</v>
      </c>
      <c r="B44" s="24">
        <f>'- 27 -'!B44</f>
        <v>2500</v>
      </c>
      <c r="C44" s="355">
        <f>'- 27 -'!C44</f>
        <v>0.02952558409577249</v>
      </c>
      <c r="D44" s="24">
        <f>'- 27 -'!D44</f>
        <v>3.2051282051282053</v>
      </c>
      <c r="E44" s="24">
        <f>SUM('- 38 -'!B44,'- 38 -'!E44,'- 38 -'!H44,B44)</f>
        <v>316469</v>
      </c>
      <c r="F44" s="355">
        <f>E44/'- 3 -'!D44*100</f>
        <v>3.73757282928201</v>
      </c>
      <c r="G44" s="24">
        <f>E44/'- 7 -'!F44</f>
        <v>405.7294871794872</v>
      </c>
    </row>
    <row r="45" spans="1:7" ht="13.5" customHeight="1">
      <c r="A45" s="362" t="s">
        <v>249</v>
      </c>
      <c r="B45" s="363">
        <f>'- 27 -'!B45</f>
        <v>17918</v>
      </c>
      <c r="C45" s="364">
        <f>'- 27 -'!C45</f>
        <v>0.13758984940446203</v>
      </c>
      <c r="D45" s="363">
        <f>'- 27 -'!D45</f>
        <v>11.788157894736843</v>
      </c>
      <c r="E45" s="363">
        <f>SUM('- 38 -'!B45,'- 38 -'!E45,'- 38 -'!H45,B45)</f>
        <v>252704</v>
      </c>
      <c r="F45" s="364">
        <f>E45/'- 3 -'!D45*100</f>
        <v>1.9404791440956117</v>
      </c>
      <c r="G45" s="363">
        <f>E45/'- 7 -'!F45</f>
        <v>166.25263157894736</v>
      </c>
    </row>
    <row r="46" spans="1:7" ht="13.5" customHeight="1">
      <c r="A46" s="23" t="s">
        <v>250</v>
      </c>
      <c r="B46" s="24">
        <f>'- 27 -'!B46</f>
        <v>1067500</v>
      </c>
      <c r="C46" s="355">
        <f>'- 27 -'!C46</f>
        <v>0.34843216947740724</v>
      </c>
      <c r="D46" s="24">
        <f>'- 27 -'!D46</f>
        <v>35.12553058471258</v>
      </c>
      <c r="E46" s="24">
        <f>SUM('- 38 -'!B46,'- 38 -'!E46,'- 38 -'!H46,B46)</f>
        <v>4319900</v>
      </c>
      <c r="F46" s="355">
        <f>E46/'- 3 -'!D46*100</f>
        <v>1.4100160458318047</v>
      </c>
      <c r="G46" s="24">
        <f>E46/'- 7 -'!F46</f>
        <v>142.1440558059952</v>
      </c>
    </row>
    <row r="47" spans="1:7" ht="4.5" customHeight="1">
      <c r="A47"/>
      <c r="B47"/>
      <c r="C47"/>
      <c r="D47"/>
      <c r="E47"/>
      <c r="F47"/>
      <c r="G47"/>
    </row>
    <row r="48" spans="1:7" ht="13.5" customHeight="1">
      <c r="A48" s="365" t="s">
        <v>251</v>
      </c>
      <c r="B48" s="366">
        <f>SUM(B11:B46)</f>
        <v>4388666</v>
      </c>
      <c r="C48" s="367">
        <f>'- 27 -'!C48</f>
        <v>0.25401545381374346</v>
      </c>
      <c r="D48" s="366">
        <f>'- 27 -'!D48</f>
        <v>25.47617316783532</v>
      </c>
      <c r="E48" s="366">
        <f>SUM(E11:E46)</f>
        <v>35646962</v>
      </c>
      <c r="F48" s="367">
        <f>E48/'- 3 -'!D48*100</f>
        <v>2.0632418209796026</v>
      </c>
      <c r="G48" s="366">
        <f>E48/'- 7 -'!F48</f>
        <v>206.93034667464903</v>
      </c>
    </row>
    <row r="49" spans="1:6" ht="4.5" customHeight="1">
      <c r="A49" s="25" t="s">
        <v>3</v>
      </c>
      <c r="B49" s="26"/>
      <c r="C49" s="353"/>
      <c r="D49" s="26"/>
      <c r="E49" s="26"/>
      <c r="F49" s="353"/>
    </row>
    <row r="50" spans="1:7" ht="13.5" customHeight="1">
      <c r="A50" s="23" t="s">
        <v>252</v>
      </c>
      <c r="B50" s="24">
        <f>'- 27 -'!B50</f>
        <v>6500</v>
      </c>
      <c r="C50" s="355">
        <f>'- 27 -'!C50</f>
        <v>0.22872320023871665</v>
      </c>
      <c r="D50" s="24">
        <f>'- 27 -'!D50</f>
        <v>30.44496487119438</v>
      </c>
      <c r="E50" s="24">
        <f>SUM('- 38 -'!B50,'- 38 -'!E50,'- 38 -'!H50,B50)</f>
        <v>56600</v>
      </c>
      <c r="F50" s="355">
        <f>E50/'- 3 -'!D50*100</f>
        <v>1.9916512513094404</v>
      </c>
      <c r="G50" s="24">
        <f>E50/'- 7 -'!F50</f>
        <v>265.10538641686185</v>
      </c>
    </row>
    <row r="51" spans="1:7" ht="13.5" customHeight="1">
      <c r="A51" s="362" t="s">
        <v>253</v>
      </c>
      <c r="B51" s="363">
        <f>'- 27 -'!B51</f>
        <v>220270</v>
      </c>
      <c r="C51" s="364">
        <f>'- 27 -'!C51</f>
        <v>1.8152954402188277</v>
      </c>
      <c r="D51" s="363">
        <f>'- 27 -'!D51</f>
        <v>352.99679487179486</v>
      </c>
      <c r="E51" s="363">
        <f>SUM('- 38 -'!B51,'- 38 -'!E51,'- 38 -'!H51,B51)</f>
        <v>506281</v>
      </c>
      <c r="F51" s="364">
        <f>E51/'- 3 -'!D51*100</f>
        <v>4.17237749475384</v>
      </c>
      <c r="G51" s="363">
        <f>E51/'- 7 -'!F51</f>
        <v>811.3477564102565</v>
      </c>
    </row>
    <row r="52" spans="1:8" ht="49.5" customHeight="1">
      <c r="A52" s="27"/>
      <c r="B52" s="27"/>
      <c r="C52" s="27"/>
      <c r="D52" s="27"/>
      <c r="E52" s="27"/>
      <c r="F52" s="27"/>
      <c r="G52" s="27"/>
      <c r="H52" s="27"/>
    </row>
    <row r="53" ht="15" customHeight="1">
      <c r="A53" s="251" t="s">
        <v>489</v>
      </c>
    </row>
    <row r="54" spans="1:4" ht="12" customHeight="1">
      <c r="A54" s="251" t="s">
        <v>490</v>
      </c>
      <c r="B54" s="161"/>
      <c r="C54" s="161"/>
      <c r="D54" s="161"/>
    </row>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L55"/>
  <sheetViews>
    <sheetView showGridLines="0" showZeros="0" workbookViewId="0" topLeftCell="A1">
      <selection activeCell="A2" sqref="A2"/>
    </sheetView>
  </sheetViews>
  <sheetFormatPr defaultColWidth="14.83203125" defaultRowHeight="1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10" width="14.83203125" style="1" customWidth="1"/>
    <col min="11" max="11" width="19.5" style="1" customWidth="1"/>
    <col min="12" max="16384" width="14.83203125" style="1" customWidth="1"/>
  </cols>
  <sheetData>
    <row r="1" ht="6.75" customHeight="1">
      <c r="A1" s="3"/>
    </row>
    <row r="2" spans="1:8" ht="15.75" customHeight="1">
      <c r="A2" s="532" t="s">
        <v>568</v>
      </c>
      <c r="B2" s="135"/>
      <c r="C2" s="135"/>
      <c r="D2" s="135"/>
      <c r="E2" s="135"/>
      <c r="F2" s="135"/>
      <c r="G2" s="135"/>
      <c r="H2" s="135"/>
    </row>
    <row r="3" ht="15.75" customHeight="1">
      <c r="A3" s="252"/>
    </row>
    <row r="4" spans="2:8" ht="15.75" customHeight="1">
      <c r="B4" s="4"/>
      <c r="C4" s="107"/>
      <c r="D4" s="107"/>
      <c r="E4" s="4"/>
      <c r="F4" s="4"/>
      <c r="G4" s="4"/>
      <c r="H4" s="4"/>
    </row>
    <row r="5" spans="2:8" ht="15.75" customHeight="1">
      <c r="B5" s="4"/>
      <c r="C5" s="4"/>
      <c r="D5" s="4"/>
      <c r="E5" s="4"/>
      <c r="F5" s="4"/>
      <c r="G5" s="4"/>
      <c r="H5" s="4"/>
    </row>
    <row r="6" spans="2:8" ht="15.75" customHeight="1">
      <c r="B6" s="253" t="s">
        <v>98</v>
      </c>
      <c r="C6" s="201"/>
      <c r="D6" s="201"/>
      <c r="E6" s="201"/>
      <c r="F6" s="201"/>
      <c r="G6" s="201"/>
      <c r="H6" s="202"/>
    </row>
    <row r="7" spans="2:8" ht="15.75" customHeight="1">
      <c r="B7" s="356" t="s">
        <v>106</v>
      </c>
      <c r="C7" s="357"/>
      <c r="D7" s="357"/>
      <c r="E7" s="378" t="s">
        <v>44</v>
      </c>
      <c r="F7" s="378" t="s">
        <v>3</v>
      </c>
      <c r="G7" s="378" t="s">
        <v>97</v>
      </c>
      <c r="H7" s="378" t="s">
        <v>3</v>
      </c>
    </row>
    <row r="8" spans="1:8" ht="15.75" customHeight="1">
      <c r="A8" s="32"/>
      <c r="B8" s="436"/>
      <c r="C8" s="437"/>
      <c r="D8" s="437"/>
      <c r="E8" s="438" t="s">
        <v>124</v>
      </c>
      <c r="F8" s="438" t="s">
        <v>125</v>
      </c>
      <c r="G8" s="438" t="s">
        <v>126</v>
      </c>
      <c r="H8" s="438" t="s">
        <v>3</v>
      </c>
    </row>
    <row r="9" spans="1:10" ht="15.75" customHeight="1">
      <c r="A9" s="120" t="s">
        <v>79</v>
      </c>
      <c r="B9" s="381" t="s">
        <v>534</v>
      </c>
      <c r="C9" s="381" t="s">
        <v>100</v>
      </c>
      <c r="D9" s="381" t="s">
        <v>101</v>
      </c>
      <c r="E9" s="381" t="s">
        <v>120</v>
      </c>
      <c r="F9" s="381" t="s">
        <v>137</v>
      </c>
      <c r="G9" s="381" t="s">
        <v>138</v>
      </c>
      <c r="H9" s="381" t="s">
        <v>44</v>
      </c>
      <c r="J9" s="163"/>
    </row>
    <row r="10" spans="1:8" ht="4.5" customHeight="1">
      <c r="A10" s="37"/>
      <c r="B10" s="254"/>
      <c r="C10" s="254"/>
      <c r="D10" s="254"/>
      <c r="E10" s="254"/>
      <c r="F10" s="254"/>
      <c r="G10" s="254"/>
      <c r="H10" s="254"/>
    </row>
    <row r="11" spans="1:12" ht="13.5" customHeight="1">
      <c r="A11" s="362" t="s">
        <v>216</v>
      </c>
      <c r="B11" s="364">
        <f>'- 42 -'!I11</f>
        <v>60.6291746171463</v>
      </c>
      <c r="C11" s="364">
        <f>'- 43 -'!C11</f>
        <v>0</v>
      </c>
      <c r="D11" s="364">
        <f>'- 43 -'!E11</f>
        <v>37.9277995546017</v>
      </c>
      <c r="E11" s="364">
        <f>'- 43 -'!G11</f>
        <v>0.3820638649139732</v>
      </c>
      <c r="F11" s="364">
        <f>'- 43 -'!I11</f>
        <v>0</v>
      </c>
      <c r="G11" s="364">
        <f>'- 44 -'!C11</f>
        <v>0.950751233074387</v>
      </c>
      <c r="H11" s="364">
        <f>'- 44 -'!E11</f>
        <v>0.1102107302636461</v>
      </c>
      <c r="J11" s="486"/>
      <c r="L11" s="486"/>
    </row>
    <row r="12" spans="1:12" ht="13.5" customHeight="1">
      <c r="A12" s="23" t="s">
        <v>217</v>
      </c>
      <c r="B12" s="355">
        <f>'- 42 -'!I12</f>
        <v>63.48863356507217</v>
      </c>
      <c r="C12" s="355">
        <f>'- 43 -'!C12</f>
        <v>0</v>
      </c>
      <c r="D12" s="355">
        <f>'- 43 -'!E12</f>
        <v>33.973086465444986</v>
      </c>
      <c r="E12" s="355">
        <f>'- 43 -'!G12</f>
        <v>1.0210185895565935</v>
      </c>
      <c r="F12" s="355">
        <f>'- 43 -'!I12</f>
        <v>0.39651207361421115</v>
      </c>
      <c r="G12" s="355">
        <f>'- 44 -'!C12</f>
        <v>0.7421912993910804</v>
      </c>
      <c r="H12" s="355">
        <f>'- 44 -'!E12</f>
        <v>0.37855800692095964</v>
      </c>
      <c r="J12" s="486"/>
      <c r="L12" s="486"/>
    </row>
    <row r="13" spans="1:12" ht="13.5" customHeight="1">
      <c r="A13" s="362" t="s">
        <v>218</v>
      </c>
      <c r="B13" s="364">
        <f>'- 42 -'!I13</f>
        <v>60.225290133601504</v>
      </c>
      <c r="C13" s="364">
        <f>'- 43 -'!C13</f>
        <v>0.036445977275258244</v>
      </c>
      <c r="D13" s="364">
        <f>'- 43 -'!E13</f>
        <v>37.71180006006837</v>
      </c>
      <c r="E13" s="364">
        <f>'- 43 -'!G13</f>
        <v>0.2934238633410837</v>
      </c>
      <c r="F13" s="364">
        <f>'- 43 -'!I13</f>
        <v>0.48442778128364083</v>
      </c>
      <c r="G13" s="364">
        <f>'- 44 -'!C13</f>
        <v>0.972905115597866</v>
      </c>
      <c r="H13" s="364">
        <f>'- 44 -'!E13</f>
        <v>0.27570706883227764</v>
      </c>
      <c r="J13" s="486"/>
      <c r="L13" s="486"/>
    </row>
    <row r="14" spans="1:12" ht="13.5" customHeight="1">
      <c r="A14" s="23" t="s">
        <v>254</v>
      </c>
      <c r="B14" s="355">
        <f>'- 42 -'!I14</f>
        <v>72.64218015609742</v>
      </c>
      <c r="C14" s="355">
        <f>'- 43 -'!C14</f>
        <v>0.155757872725431</v>
      </c>
      <c r="D14" s="355">
        <f>'- 43 -'!E14</f>
        <v>25.70006976741248</v>
      </c>
      <c r="E14" s="355">
        <f>'- 43 -'!G14</f>
        <v>1.3462343310392333</v>
      </c>
      <c r="F14" s="355">
        <f>'- 43 -'!I14</f>
        <v>0</v>
      </c>
      <c r="G14" s="355">
        <f>'- 44 -'!C14</f>
        <v>0.12114501211977968</v>
      </c>
      <c r="H14" s="355">
        <f>'- 44 -'!E14</f>
        <v>0.03461286060565134</v>
      </c>
      <c r="J14" s="486"/>
      <c r="L14" s="486"/>
    </row>
    <row r="15" spans="1:12" ht="13.5" customHeight="1">
      <c r="A15" s="362" t="s">
        <v>219</v>
      </c>
      <c r="B15" s="364">
        <f>'- 42 -'!I15</f>
        <v>61.05525661027566</v>
      </c>
      <c r="C15" s="364">
        <f>'- 43 -'!C15</f>
        <v>0</v>
      </c>
      <c r="D15" s="364">
        <f>'- 43 -'!E15</f>
        <v>37.232723446176756</v>
      </c>
      <c r="E15" s="364">
        <f>'- 43 -'!G15</f>
        <v>0.3030123793889525</v>
      </c>
      <c r="F15" s="364">
        <f>'- 43 -'!I15</f>
        <v>1.090844565800229</v>
      </c>
      <c r="G15" s="364">
        <f>'- 44 -'!C15</f>
        <v>0.19695804660281913</v>
      </c>
      <c r="H15" s="364">
        <f>'- 44 -'!E15</f>
        <v>0.121204951755581</v>
      </c>
      <c r="J15" s="486"/>
      <c r="L15" s="486"/>
    </row>
    <row r="16" spans="1:12" ht="13.5" customHeight="1">
      <c r="A16" s="23" t="s">
        <v>220</v>
      </c>
      <c r="B16" s="355">
        <f>'- 42 -'!I16</f>
        <v>67.38798419402534</v>
      </c>
      <c r="C16" s="355">
        <f>'- 43 -'!C16</f>
        <v>0</v>
      </c>
      <c r="D16" s="355">
        <f>'- 43 -'!E16</f>
        <v>28.29239980440067</v>
      </c>
      <c r="E16" s="355">
        <f>'- 43 -'!G16</f>
        <v>1.785668032146734</v>
      </c>
      <c r="F16" s="355">
        <f>'- 43 -'!I16</f>
        <v>0</v>
      </c>
      <c r="G16" s="355">
        <f>'- 44 -'!C16</f>
        <v>2.144109820284613</v>
      </c>
      <c r="H16" s="355">
        <f>'- 44 -'!E16</f>
        <v>0.38983814914265696</v>
      </c>
      <c r="J16" s="486"/>
      <c r="L16" s="486"/>
    </row>
    <row r="17" spans="1:12" ht="13.5" customHeight="1">
      <c r="A17" s="362" t="s">
        <v>221</v>
      </c>
      <c r="B17" s="364">
        <f>'- 42 -'!I17</f>
        <v>54.72145420479693</v>
      </c>
      <c r="C17" s="364">
        <f>'- 43 -'!C17</f>
        <v>0</v>
      </c>
      <c r="D17" s="364">
        <f>'- 43 -'!E17</f>
        <v>39.85889367223952</v>
      </c>
      <c r="E17" s="364">
        <f>'- 43 -'!G17</f>
        <v>0.09334981851404964</v>
      </c>
      <c r="F17" s="364">
        <f>'- 43 -'!I17</f>
        <v>5.15118863780436</v>
      </c>
      <c r="G17" s="364">
        <f>'- 44 -'!C17</f>
        <v>0.02118577441453609</v>
      </c>
      <c r="H17" s="364">
        <f>'- 44 -'!E17</f>
        <v>0.1539278922306138</v>
      </c>
      <c r="J17" s="486"/>
      <c r="K17" s="166"/>
      <c r="L17" s="486"/>
    </row>
    <row r="18" spans="1:12" ht="13.5" customHeight="1">
      <c r="A18" s="23" t="s">
        <v>222</v>
      </c>
      <c r="B18" s="355">
        <f>'- 42 -'!I18</f>
        <v>39.66821724846997</v>
      </c>
      <c r="C18" s="355">
        <f>'- 43 -'!C18</f>
        <v>0</v>
      </c>
      <c r="D18" s="355">
        <f>'- 43 -'!E18</f>
        <v>2.9701145591848848</v>
      </c>
      <c r="E18" s="355">
        <f>'- 43 -'!G18</f>
        <v>0</v>
      </c>
      <c r="F18" s="355">
        <f>'- 43 -'!I18</f>
        <v>53.002684089906424</v>
      </c>
      <c r="G18" s="355">
        <f>'- 44 -'!C18</f>
        <v>3.8728044953327196</v>
      </c>
      <c r="H18" s="355">
        <f>'- 44 -'!E18</f>
        <v>0.48617960710598895</v>
      </c>
      <c r="J18" s="486"/>
      <c r="L18" s="486"/>
    </row>
    <row r="19" spans="1:12" ht="13.5" customHeight="1">
      <c r="A19" s="362" t="s">
        <v>223</v>
      </c>
      <c r="B19" s="364">
        <f>'- 42 -'!I19</f>
        <v>68.88804746336457</v>
      </c>
      <c r="C19" s="364">
        <f>'- 43 -'!C19</f>
        <v>0</v>
      </c>
      <c r="D19" s="364">
        <f>'- 43 -'!E19</f>
        <v>30.057832790707067</v>
      </c>
      <c r="E19" s="364">
        <f>'- 43 -'!G19</f>
        <v>0.5856220810713123</v>
      </c>
      <c r="F19" s="364">
        <f>'- 43 -'!I19</f>
        <v>0</v>
      </c>
      <c r="G19" s="364">
        <f>'- 44 -'!C19</f>
        <v>0</v>
      </c>
      <c r="H19" s="364">
        <f>'- 44 -'!E19</f>
        <v>0.4684976648570498</v>
      </c>
      <c r="J19" s="486"/>
      <c r="L19" s="486"/>
    </row>
    <row r="20" spans="1:10" ht="13.5" customHeight="1">
      <c r="A20" s="23" t="s">
        <v>224</v>
      </c>
      <c r="B20" s="355">
        <f>'- 42 -'!I20</f>
        <v>68.88154547950691</v>
      </c>
      <c r="C20" s="355">
        <f>'- 43 -'!C20</f>
        <v>0</v>
      </c>
      <c r="D20" s="355">
        <f>'- 43 -'!E20</f>
        <v>29.80774752356714</v>
      </c>
      <c r="E20" s="355">
        <f>'- 43 -'!G20</f>
        <v>0.3178529959234131</v>
      </c>
      <c r="F20" s="355">
        <f>'- 43 -'!I20</f>
        <v>0</v>
      </c>
      <c r="G20" s="355">
        <f>'- 44 -'!C20</f>
        <v>0.7046905706324021</v>
      </c>
      <c r="H20" s="355">
        <f>'- 44 -'!E20</f>
        <v>0.28816343037012726</v>
      </c>
      <c r="J20" s="486"/>
    </row>
    <row r="21" spans="1:10" ht="13.5" customHeight="1">
      <c r="A21" s="362" t="s">
        <v>225</v>
      </c>
      <c r="B21" s="364">
        <f>'- 42 -'!I21</f>
        <v>65.43829031053794</v>
      </c>
      <c r="C21" s="364">
        <f>'- 43 -'!C21</f>
        <v>0</v>
      </c>
      <c r="D21" s="364">
        <f>'- 43 -'!E21</f>
        <v>33.57585528593246</v>
      </c>
      <c r="E21" s="364">
        <f>'- 43 -'!G21</f>
        <v>0.13575428474461226</v>
      </c>
      <c r="F21" s="364">
        <f>'- 43 -'!I21</f>
        <v>0</v>
      </c>
      <c r="G21" s="364">
        <f>'- 44 -'!C21</f>
        <v>0.59757339216019</v>
      </c>
      <c r="H21" s="364">
        <f>'- 44 -'!E21</f>
        <v>0.25252672662480913</v>
      </c>
      <c r="J21" s="486"/>
    </row>
    <row r="22" spans="1:10" ht="13.5" customHeight="1">
      <c r="A22" s="23" t="s">
        <v>226</v>
      </c>
      <c r="B22" s="355">
        <f>'- 42 -'!I22</f>
        <v>78.13409905313105</v>
      </c>
      <c r="C22" s="355">
        <f>'- 43 -'!C22</f>
        <v>0.11412816630090132</v>
      </c>
      <c r="D22" s="355">
        <f>'- 43 -'!E22</f>
        <v>20.351389334605646</v>
      </c>
      <c r="E22" s="355">
        <f>'- 43 -'!G22</f>
        <v>0.03084545035159495</v>
      </c>
      <c r="F22" s="355">
        <f>'- 43 -'!I22</f>
        <v>0.7711362587898738</v>
      </c>
      <c r="G22" s="355">
        <f>'- 44 -'!C22</f>
        <v>0.15422725175797475</v>
      </c>
      <c r="H22" s="355">
        <f>'- 44 -'!E22</f>
        <v>0.44417448506296725</v>
      </c>
      <c r="J22" s="486"/>
    </row>
    <row r="23" spans="1:10" ht="13.5" customHeight="1">
      <c r="A23" s="362" t="s">
        <v>227</v>
      </c>
      <c r="B23" s="364">
        <f>'- 42 -'!I23</f>
        <v>69.28050218667923</v>
      </c>
      <c r="C23" s="364">
        <f>'- 43 -'!C23</f>
        <v>0</v>
      </c>
      <c r="D23" s="364">
        <f>'- 43 -'!E23</f>
        <v>23.98397585915604</v>
      </c>
      <c r="E23" s="364">
        <f>'- 43 -'!G23</f>
        <v>0.6652732395465616</v>
      </c>
      <c r="F23" s="364">
        <f>'- 43 -'!I23</f>
        <v>4.435154930310411</v>
      </c>
      <c r="G23" s="364">
        <f>'- 44 -'!C23</f>
        <v>1.4192495776993315</v>
      </c>
      <c r="H23" s="364">
        <f>'- 44 -'!E23</f>
        <v>0.21584420660843998</v>
      </c>
      <c r="J23" s="486"/>
    </row>
    <row r="24" spans="1:10" ht="13.5" customHeight="1">
      <c r="A24" s="23" t="s">
        <v>228</v>
      </c>
      <c r="B24" s="355">
        <f>'- 42 -'!I24</f>
        <v>61.04177971868591</v>
      </c>
      <c r="C24" s="355">
        <f>'- 43 -'!C24</f>
        <v>0.2325451216472108</v>
      </c>
      <c r="D24" s="355">
        <f>'- 43 -'!E24</f>
        <v>36.209356200840205</v>
      </c>
      <c r="E24" s="355">
        <f>'- 43 -'!G24</f>
        <v>0.43586944886228857</v>
      </c>
      <c r="F24" s="355">
        <f>'- 43 -'!I24</f>
        <v>0.8356125812039993</v>
      </c>
      <c r="G24" s="355">
        <f>'- 44 -'!C24</f>
        <v>0.9792074729916926</v>
      </c>
      <c r="H24" s="355">
        <f>'- 44 -'!E24</f>
        <v>0.26562945576869884</v>
      </c>
      <c r="J24" s="486"/>
    </row>
    <row r="25" spans="1:10" ht="13.5" customHeight="1">
      <c r="A25" s="362" t="s">
        <v>229</v>
      </c>
      <c r="B25" s="364">
        <f>'- 42 -'!I25</f>
        <v>63.11108642749807</v>
      </c>
      <c r="C25" s="364">
        <f>'- 43 -'!C25</f>
        <v>0.014812636589173568</v>
      </c>
      <c r="D25" s="364">
        <f>'- 43 -'!E25</f>
        <v>35.59264789447407</v>
      </c>
      <c r="E25" s="364">
        <f>'- 43 -'!G25</f>
        <v>0.3518001189928723</v>
      </c>
      <c r="F25" s="364">
        <f>'- 43 -'!I25</f>
        <v>0</v>
      </c>
      <c r="G25" s="364">
        <f>'- 44 -'!C25</f>
        <v>0.8552194235852073</v>
      </c>
      <c r="H25" s="364">
        <f>'- 44 -'!E25</f>
        <v>0.07443349886059719</v>
      </c>
      <c r="J25" s="486"/>
    </row>
    <row r="26" spans="1:10" ht="13.5" customHeight="1">
      <c r="A26" s="23" t="s">
        <v>230</v>
      </c>
      <c r="B26" s="355">
        <f>'- 42 -'!I26</f>
        <v>67.00066471501482</v>
      </c>
      <c r="C26" s="355">
        <f>'- 43 -'!C26</f>
        <v>0.16966926633977258</v>
      </c>
      <c r="D26" s="355">
        <f>'- 43 -'!E26</f>
        <v>28.587299997420057</v>
      </c>
      <c r="E26" s="355">
        <f>'- 43 -'!G26</f>
        <v>1.161682062862615</v>
      </c>
      <c r="F26" s="355">
        <f>'- 43 -'!I26</f>
        <v>1.3120867346861347</v>
      </c>
      <c r="G26" s="355">
        <f>'- 44 -'!C26</f>
        <v>1.540955095313759</v>
      </c>
      <c r="H26" s="355">
        <f>'- 44 -'!E26</f>
        <v>0.22764212836284334</v>
      </c>
      <c r="J26" s="486"/>
    </row>
    <row r="27" spans="1:10" ht="13.5" customHeight="1">
      <c r="A27" s="362" t="s">
        <v>231</v>
      </c>
      <c r="B27" s="364">
        <f>'- 42 -'!I27</f>
        <v>75.01624651900522</v>
      </c>
      <c r="C27" s="364">
        <f>'- 43 -'!C27</f>
        <v>0.056719129970773205</v>
      </c>
      <c r="D27" s="364">
        <f>'- 43 -'!E27</f>
        <v>22.88125332357728</v>
      </c>
      <c r="E27" s="364">
        <f>'- 43 -'!G27</f>
        <v>0.3447098301591686</v>
      </c>
      <c r="F27" s="364">
        <f>'- 43 -'!I27</f>
        <v>1.436290958996536</v>
      </c>
      <c r="G27" s="364">
        <f>'- 44 -'!C27</f>
        <v>0.014362909589965358</v>
      </c>
      <c r="H27" s="364">
        <f>'- 44 -'!E27</f>
        <v>0.25041732870104605</v>
      </c>
      <c r="J27" s="486"/>
    </row>
    <row r="28" spans="1:10" ht="13.5" customHeight="1">
      <c r="A28" s="23" t="s">
        <v>232</v>
      </c>
      <c r="B28" s="355">
        <f>'- 42 -'!I28</f>
        <v>62.24604541175318</v>
      </c>
      <c r="C28" s="355">
        <f>'- 43 -'!C28</f>
        <v>0</v>
      </c>
      <c r="D28" s="355">
        <f>'- 43 -'!E28</f>
        <v>31.341539110712812</v>
      </c>
      <c r="E28" s="355">
        <f>'- 43 -'!G28</f>
        <v>0.1624164759959365</v>
      </c>
      <c r="F28" s="355">
        <f>'- 43 -'!I28</f>
        <v>6.047644047838202</v>
      </c>
      <c r="G28" s="355">
        <f>'- 44 -'!C28</f>
        <v>0</v>
      </c>
      <c r="H28" s="355">
        <f>'- 44 -'!E28</f>
        <v>0.20235495369985532</v>
      </c>
      <c r="J28" s="486"/>
    </row>
    <row r="29" spans="1:10" ht="13.5" customHeight="1">
      <c r="A29" s="362" t="s">
        <v>233</v>
      </c>
      <c r="B29" s="364">
        <f>'- 42 -'!I29</f>
        <v>53.37531594170963</v>
      </c>
      <c r="C29" s="364">
        <f>'- 43 -'!C29</f>
        <v>0.01007705637090938</v>
      </c>
      <c r="D29" s="364">
        <f>'- 43 -'!E29</f>
        <v>44.064951786803654</v>
      </c>
      <c r="E29" s="364">
        <f>'- 43 -'!G29</f>
        <v>0.5254465107688463</v>
      </c>
      <c r="F29" s="364">
        <f>'- 43 -'!I29</f>
        <v>0</v>
      </c>
      <c r="G29" s="364">
        <f>'- 44 -'!C29</f>
        <v>1.6723114977437712</v>
      </c>
      <c r="H29" s="364">
        <f>'- 44 -'!E29</f>
        <v>0.35189720660318474</v>
      </c>
      <c r="J29" s="486"/>
    </row>
    <row r="30" spans="1:10" ht="13.5" customHeight="1">
      <c r="A30" s="23" t="s">
        <v>234</v>
      </c>
      <c r="B30" s="355">
        <f>'- 42 -'!I30</f>
        <v>68.22840450160783</v>
      </c>
      <c r="C30" s="355">
        <f>'- 43 -'!C30</f>
        <v>0.017324804216718746</v>
      </c>
      <c r="D30" s="355">
        <f>'- 43 -'!E30</f>
        <v>30.905355287556237</v>
      </c>
      <c r="E30" s="355">
        <f>'- 43 -'!G30</f>
        <v>0.33783368222601556</v>
      </c>
      <c r="F30" s="355">
        <f>'- 43 -'!I30</f>
        <v>0</v>
      </c>
      <c r="G30" s="355">
        <f>'- 44 -'!C30</f>
        <v>0.07796161897523436</v>
      </c>
      <c r="H30" s="355">
        <f>'- 44 -'!E30</f>
        <v>0.43312010541796864</v>
      </c>
      <c r="J30" s="486"/>
    </row>
    <row r="31" spans="1:10" ht="13.5" customHeight="1">
      <c r="A31" s="362" t="s">
        <v>235</v>
      </c>
      <c r="B31" s="364">
        <f>'- 42 -'!I31</f>
        <v>64.61542246645442</v>
      </c>
      <c r="C31" s="364">
        <f>'- 43 -'!C31</f>
        <v>0.06736448866833307</v>
      </c>
      <c r="D31" s="364">
        <f>'- 43 -'!E31</f>
        <v>32.831463413015754</v>
      </c>
      <c r="E31" s="364">
        <f>'- 43 -'!G31</f>
        <v>0.08420561083541633</v>
      </c>
      <c r="F31" s="364">
        <f>'- 43 -'!I31</f>
        <v>2.3072337368904074</v>
      </c>
      <c r="G31" s="364">
        <f>'- 44 -'!C31</f>
        <v>0.016841122167083267</v>
      </c>
      <c r="H31" s="364">
        <f>'- 44 -'!E31</f>
        <v>0.07746916196858301</v>
      </c>
      <c r="J31" s="486"/>
    </row>
    <row r="32" spans="1:10" ht="13.5" customHeight="1">
      <c r="A32" s="23" t="s">
        <v>236</v>
      </c>
      <c r="B32" s="355">
        <f>'- 42 -'!I32</f>
        <v>61.94322272758035</v>
      </c>
      <c r="C32" s="355">
        <f>'- 43 -'!C32</f>
        <v>0</v>
      </c>
      <c r="D32" s="355">
        <f>'- 43 -'!E32</f>
        <v>37.3108456076002</v>
      </c>
      <c r="E32" s="355">
        <f>'- 43 -'!G32</f>
        <v>0.48211832156859497</v>
      </c>
      <c r="F32" s="355">
        <f>'- 43 -'!I32</f>
        <v>0</v>
      </c>
      <c r="G32" s="355">
        <f>'- 44 -'!C32</f>
        <v>0.02500707181967946</v>
      </c>
      <c r="H32" s="355">
        <f>'- 44 -'!E32</f>
        <v>0.2388062714311732</v>
      </c>
      <c r="J32" s="486"/>
    </row>
    <row r="33" spans="1:10" ht="13.5" customHeight="1">
      <c r="A33" s="362" t="s">
        <v>237</v>
      </c>
      <c r="B33" s="364">
        <f>'- 42 -'!I33</f>
        <v>63.98509951700062</v>
      </c>
      <c r="C33" s="364">
        <f>'- 43 -'!C33</f>
        <v>0</v>
      </c>
      <c r="D33" s="364">
        <f>'- 43 -'!E33</f>
        <v>34.420843128815775</v>
      </c>
      <c r="E33" s="364">
        <f>'- 43 -'!G33</f>
        <v>0.1062704902789069</v>
      </c>
      <c r="F33" s="364">
        <f>'- 43 -'!I33</f>
        <v>0.8501639222312553</v>
      </c>
      <c r="G33" s="364">
        <f>'- 44 -'!C33</f>
        <v>0.36131966694828344</v>
      </c>
      <c r="H33" s="364">
        <f>'- 44 -'!E33</f>
        <v>0.276303274725158</v>
      </c>
      <c r="J33" s="486"/>
    </row>
    <row r="34" spans="1:10" ht="13.5" customHeight="1">
      <c r="A34" s="23" t="s">
        <v>238</v>
      </c>
      <c r="B34" s="355">
        <f>'- 42 -'!I34</f>
        <v>60.319953453100396</v>
      </c>
      <c r="C34" s="355">
        <f>'- 43 -'!C34</f>
        <v>0.09164248154561216</v>
      </c>
      <c r="D34" s="355">
        <f>'- 43 -'!E34</f>
        <v>36.32200418740682</v>
      </c>
      <c r="E34" s="355">
        <f>'- 43 -'!G34</f>
        <v>2.604329705148264</v>
      </c>
      <c r="F34" s="355">
        <f>'- 43 -'!I34</f>
        <v>0</v>
      </c>
      <c r="G34" s="355">
        <f>'- 44 -'!C34</f>
        <v>0.4296910231653958</v>
      </c>
      <c r="H34" s="355">
        <f>'- 44 -'!E34</f>
        <v>0.23237914963351655</v>
      </c>
      <c r="J34" s="486"/>
    </row>
    <row r="35" spans="1:10" ht="13.5" customHeight="1">
      <c r="A35" s="362" t="s">
        <v>239</v>
      </c>
      <c r="B35" s="364">
        <f>'- 42 -'!I35</f>
        <v>67.19668404156234</v>
      </c>
      <c r="C35" s="364">
        <f>'- 43 -'!C35</f>
        <v>0.007869995750071128</v>
      </c>
      <c r="D35" s="364">
        <f>'- 43 -'!E35</f>
        <v>32.11010049945223</v>
      </c>
      <c r="E35" s="364">
        <f>'- 43 -'!G35</f>
        <v>0.19019156396005227</v>
      </c>
      <c r="F35" s="364">
        <f>'- 43 -'!I35</f>
        <v>0</v>
      </c>
      <c r="G35" s="364">
        <f>'- 44 -'!C35</f>
        <v>0.36398730344078967</v>
      </c>
      <c r="H35" s="364">
        <f>'- 44 -'!E35</f>
        <v>0.13116659583451878</v>
      </c>
      <c r="J35" s="486"/>
    </row>
    <row r="36" spans="1:10" ht="13.5" customHeight="1">
      <c r="A36" s="23" t="s">
        <v>240</v>
      </c>
      <c r="B36" s="355">
        <f>'- 42 -'!I36</f>
        <v>59.76031128762013</v>
      </c>
      <c r="C36" s="355">
        <f>'- 43 -'!C36</f>
        <v>0.29847121512988856</v>
      </c>
      <c r="D36" s="355">
        <f>'- 43 -'!E36</f>
        <v>33.16872705343094</v>
      </c>
      <c r="E36" s="355">
        <f>'- 43 -'!G36</f>
        <v>0.41836990838719423</v>
      </c>
      <c r="F36" s="355">
        <f>'- 43 -'!I36</f>
        <v>5.96687326657102</v>
      </c>
      <c r="G36" s="355">
        <f>'- 44 -'!C36</f>
        <v>0.07959232403463695</v>
      </c>
      <c r="H36" s="355">
        <f>'- 44 -'!E36</f>
        <v>0.3076549448261928</v>
      </c>
      <c r="J36" s="486"/>
    </row>
    <row r="37" spans="1:10" ht="13.5" customHeight="1">
      <c r="A37" s="362" t="s">
        <v>241</v>
      </c>
      <c r="B37" s="364">
        <f>'- 42 -'!I37</f>
        <v>70.57620779559548</v>
      </c>
      <c r="C37" s="364">
        <f>'- 43 -'!C37</f>
        <v>0.04402314748834443</v>
      </c>
      <c r="D37" s="364">
        <f>'- 43 -'!E37</f>
        <v>28.588626138526642</v>
      </c>
      <c r="E37" s="364">
        <f>'- 43 -'!G37</f>
        <v>0.5282777698601332</v>
      </c>
      <c r="F37" s="364">
        <f>'- 43 -'!I37</f>
        <v>0</v>
      </c>
      <c r="G37" s="364">
        <f>'- 44 -'!C37</f>
        <v>0.03022922794199651</v>
      </c>
      <c r="H37" s="364">
        <f>'- 44 -'!E37</f>
        <v>0.2326359205874073</v>
      </c>
      <c r="J37" s="486"/>
    </row>
    <row r="38" spans="1:10" ht="13.5" customHeight="1">
      <c r="A38" s="23" t="s">
        <v>242</v>
      </c>
      <c r="B38" s="355">
        <f>'- 42 -'!I38</f>
        <v>66.31968658319424</v>
      </c>
      <c r="C38" s="355">
        <f>'- 43 -'!C38</f>
        <v>0.006974116728116384</v>
      </c>
      <c r="D38" s="355">
        <f>'- 43 -'!E38</f>
        <v>31.739765437207378</v>
      </c>
      <c r="E38" s="355">
        <f>'- 43 -'!G38</f>
        <v>0.9066351746551299</v>
      </c>
      <c r="F38" s="355">
        <f>'- 43 -'!I38</f>
        <v>0.18597644608310357</v>
      </c>
      <c r="G38" s="355">
        <f>'- 44 -'!C38</f>
        <v>0.769477545668841</v>
      </c>
      <c r="H38" s="355">
        <f>'- 44 -'!E38</f>
        <v>0.07148469646319293</v>
      </c>
      <c r="J38" s="486"/>
    </row>
    <row r="39" spans="1:10" ht="13.5" customHeight="1">
      <c r="A39" s="362" t="s">
        <v>243</v>
      </c>
      <c r="B39" s="364">
        <f>'- 42 -'!I39</f>
        <v>58.40779349948949</v>
      </c>
      <c r="C39" s="364">
        <f>'- 43 -'!C39</f>
        <v>0</v>
      </c>
      <c r="D39" s="364">
        <f>'- 43 -'!E39</f>
        <v>40.46755660965331</v>
      </c>
      <c r="E39" s="364">
        <f>'- 43 -'!G39</f>
        <v>0.5688669149505279</v>
      </c>
      <c r="F39" s="364">
        <f>'- 43 -'!I39</f>
        <v>0</v>
      </c>
      <c r="G39" s="364">
        <f>'- 44 -'!C39</f>
        <v>0</v>
      </c>
      <c r="H39" s="364">
        <f>'- 44 -'!E39</f>
        <v>0.5557829759066658</v>
      </c>
      <c r="J39" s="486"/>
    </row>
    <row r="40" spans="1:10" ht="13.5" customHeight="1">
      <c r="A40" s="23" t="s">
        <v>244</v>
      </c>
      <c r="B40" s="355">
        <f>'- 42 -'!I40</f>
        <v>55.13425366992747</v>
      </c>
      <c r="C40" s="355">
        <f>'- 43 -'!C40</f>
        <v>0.011378081011634936</v>
      </c>
      <c r="D40" s="355">
        <f>'- 43 -'!E40</f>
        <v>40.147633468866786</v>
      </c>
      <c r="E40" s="355">
        <f>'- 43 -'!G40</f>
        <v>0.8997972228588853</v>
      </c>
      <c r="F40" s="355">
        <f>'- 43 -'!I40</f>
        <v>0.033669831565042156</v>
      </c>
      <c r="G40" s="355">
        <f>'- 44 -'!C40</f>
        <v>2.679886386842424</v>
      </c>
      <c r="H40" s="355">
        <f>'- 44 -'!E40</f>
        <v>1.0933813389277578</v>
      </c>
      <c r="J40" s="486"/>
    </row>
    <row r="41" spans="1:10" ht="13.5" customHeight="1">
      <c r="A41" s="362" t="s">
        <v>245</v>
      </c>
      <c r="B41" s="364">
        <f>'- 42 -'!I41</f>
        <v>58.20368569788486</v>
      </c>
      <c r="C41" s="364">
        <f>'- 43 -'!C41</f>
        <v>0</v>
      </c>
      <c r="D41" s="364">
        <f>'- 43 -'!E41</f>
        <v>39.856880132770996</v>
      </c>
      <c r="E41" s="364">
        <f>'- 43 -'!G41</f>
        <v>0.2029241952407862</v>
      </c>
      <c r="F41" s="364">
        <f>'- 43 -'!I41</f>
        <v>0.6839326515179203</v>
      </c>
      <c r="G41" s="364">
        <f>'- 44 -'!C41</f>
        <v>0.6911320226106626</v>
      </c>
      <c r="H41" s="364">
        <f>'- 44 -'!E41</f>
        <v>0.3614452999747775</v>
      </c>
      <c r="J41" s="486"/>
    </row>
    <row r="42" spans="1:10" ht="13.5" customHeight="1">
      <c r="A42" s="23" t="s">
        <v>246</v>
      </c>
      <c r="B42" s="355">
        <f>'- 42 -'!I42</f>
        <v>68.88541778804216</v>
      </c>
      <c r="C42" s="355">
        <f>'- 43 -'!C42</f>
        <v>0</v>
      </c>
      <c r="D42" s="355">
        <f>'- 43 -'!E42</f>
        <v>28.57597291604147</v>
      </c>
      <c r="E42" s="355">
        <f>'- 43 -'!G42</f>
        <v>0.27126268686203153</v>
      </c>
      <c r="F42" s="355">
        <f>'- 43 -'!I42</f>
        <v>0.4248076039537475</v>
      </c>
      <c r="G42" s="355">
        <f>'- 44 -'!C42</f>
        <v>1.2306340762461976</v>
      </c>
      <c r="H42" s="355">
        <f>'- 44 -'!E42</f>
        <v>0.6119049288543941</v>
      </c>
      <c r="J42" s="486"/>
    </row>
    <row r="43" spans="1:10" ht="13.5" customHeight="1">
      <c r="A43" s="362" t="s">
        <v>247</v>
      </c>
      <c r="B43" s="364">
        <f>'- 42 -'!I43</f>
        <v>64.44611462594573</v>
      </c>
      <c r="C43" s="364">
        <f>'- 43 -'!C43</f>
        <v>0</v>
      </c>
      <c r="D43" s="364">
        <f>'- 43 -'!E43</f>
        <v>34.16215565882446</v>
      </c>
      <c r="E43" s="364">
        <f>'- 43 -'!G43</f>
        <v>0.24767263926060956</v>
      </c>
      <c r="F43" s="364">
        <f>'- 43 -'!I43</f>
        <v>0</v>
      </c>
      <c r="G43" s="364">
        <f>'- 44 -'!C43</f>
        <v>0.9916431441165173</v>
      </c>
      <c r="H43" s="364">
        <f>'- 44 -'!E43</f>
        <v>0.1524139318526828</v>
      </c>
      <c r="J43" s="486"/>
    </row>
    <row r="44" spans="1:10" ht="13.5" customHeight="1">
      <c r="A44" s="23" t="s">
        <v>248</v>
      </c>
      <c r="B44" s="355">
        <f>'- 42 -'!I44</f>
        <v>71.89737342659201</v>
      </c>
      <c r="C44" s="355">
        <f>'- 43 -'!C44</f>
        <v>0.1140483710862626</v>
      </c>
      <c r="D44" s="355">
        <f>'- 43 -'!E44</f>
        <v>27.515286630189216</v>
      </c>
      <c r="E44" s="355">
        <f>'- 43 -'!G44</f>
        <v>0.23836476272048454</v>
      </c>
      <c r="F44" s="355">
        <f>'- 43 -'!I44</f>
        <v>0</v>
      </c>
      <c r="G44" s="355">
        <f>'- 44 -'!C44</f>
        <v>0.06302914398858966</v>
      </c>
      <c r="H44" s="355">
        <f>'- 44 -'!E44</f>
        <v>0.17189766542342635</v>
      </c>
      <c r="J44" s="486"/>
    </row>
    <row r="45" spans="1:10" ht="13.5" customHeight="1">
      <c r="A45" s="362" t="s">
        <v>249</v>
      </c>
      <c r="B45" s="364">
        <f>'- 42 -'!I45</f>
        <v>68.28260399105957</v>
      </c>
      <c r="C45" s="364">
        <f>'- 43 -'!C45</f>
        <v>0</v>
      </c>
      <c r="D45" s="364">
        <f>'- 43 -'!E45</f>
        <v>29.43454462674134</v>
      </c>
      <c r="E45" s="364">
        <f>'- 43 -'!G45</f>
        <v>0.2134998970945426</v>
      </c>
      <c r="F45" s="364">
        <f>'- 43 -'!I45</f>
        <v>0</v>
      </c>
      <c r="G45" s="364">
        <f>'- 44 -'!C45</f>
        <v>1.9573760146004069</v>
      </c>
      <c r="H45" s="364">
        <f>'- 44 -'!E45</f>
        <v>0.11197547050413074</v>
      </c>
      <c r="J45" s="486"/>
    </row>
    <row r="46" spans="1:10" ht="13.5" customHeight="1">
      <c r="A46" s="23" t="s">
        <v>250</v>
      </c>
      <c r="B46" s="355">
        <f>'- 42 -'!I46</f>
        <v>62.4401286055496</v>
      </c>
      <c r="C46" s="355">
        <f>'- 43 -'!C46</f>
        <v>0.003239924159855266</v>
      </c>
      <c r="D46" s="355">
        <f>'- 43 -'!E46</f>
        <v>35.39981395707489</v>
      </c>
      <c r="E46" s="355">
        <f>'- 43 -'!G46</f>
        <v>0.6641844527703296</v>
      </c>
      <c r="F46" s="355">
        <f>'- 43 -'!I46</f>
        <v>0.8099810399638165</v>
      </c>
      <c r="G46" s="355">
        <f>'- 44 -'!C46</f>
        <v>0.27604153841966866</v>
      </c>
      <c r="H46" s="355">
        <f>'- 44 -'!E46</f>
        <v>0.4066104820618359</v>
      </c>
      <c r="J46" s="486"/>
    </row>
    <row r="47" spans="1:10" ht="4.5" customHeight="1">
      <c r="A47"/>
      <c r="B47"/>
      <c r="C47"/>
      <c r="D47"/>
      <c r="E47"/>
      <c r="F47"/>
      <c r="G47"/>
      <c r="H47"/>
      <c r="J47" s="486"/>
    </row>
    <row r="48" spans="1:10" ht="13.5" customHeight="1">
      <c r="A48" s="365" t="s">
        <v>251</v>
      </c>
      <c r="B48" s="367">
        <f>'- 42 -'!I48</f>
        <v>62.014709340830485</v>
      </c>
      <c r="C48" s="367">
        <f>'- 43 -'!C48</f>
        <v>0.028801825816296162</v>
      </c>
      <c r="D48" s="367">
        <f>'- 43 -'!E48</f>
        <v>32.534554103956395</v>
      </c>
      <c r="E48" s="367">
        <f>'- 43 -'!G48</f>
        <v>0.5193920014094044</v>
      </c>
      <c r="F48" s="367">
        <f>'- 43 -'!I48</f>
        <v>3.688469658848051</v>
      </c>
      <c r="G48" s="367">
        <f>'- 44 -'!C48</f>
        <v>0.9005025959166725</v>
      </c>
      <c r="H48" s="367">
        <f>'- 44 -'!E48</f>
        <v>0.3135704732226747</v>
      </c>
      <c r="J48" s="486"/>
    </row>
    <row r="49" spans="1:10" ht="4.5" customHeight="1">
      <c r="A49" s="25" t="s">
        <v>3</v>
      </c>
      <c r="B49" s="353"/>
      <c r="C49" s="353"/>
      <c r="D49" s="353"/>
      <c r="E49" s="353"/>
      <c r="F49" s="353"/>
      <c r="G49" s="353"/>
      <c r="H49" s="353"/>
      <c r="J49" s="486"/>
    </row>
    <row r="50" spans="1:10" ht="13.5" customHeight="1">
      <c r="A50" s="23" t="s">
        <v>252</v>
      </c>
      <c r="B50" s="355">
        <f>'- 42 -'!I50</f>
        <v>38.45797990615367</v>
      </c>
      <c r="C50" s="355">
        <f>'- 43 -'!C50</f>
        <v>0</v>
      </c>
      <c r="D50" s="355">
        <f>'- 43 -'!E50</f>
        <v>58.28157700103396</v>
      </c>
      <c r="E50" s="355">
        <f>'- 43 -'!G50</f>
        <v>1.0139501224709322</v>
      </c>
      <c r="F50" s="355">
        <f>'- 43 -'!I50</f>
        <v>0</v>
      </c>
      <c r="G50" s="355">
        <f>'- 44 -'!C50</f>
        <v>0</v>
      </c>
      <c r="H50" s="355">
        <f>'- 44 -'!E50</f>
        <v>2.2464929703414502</v>
      </c>
      <c r="J50" s="486"/>
    </row>
    <row r="51" spans="1:10" ht="13.5" customHeight="1">
      <c r="A51" s="362" t="s">
        <v>253</v>
      </c>
      <c r="B51" s="364">
        <f>'- 42 -'!I51</f>
        <v>63.17361442569307</v>
      </c>
      <c r="C51" s="364">
        <f>'- 43 -'!C51</f>
        <v>0</v>
      </c>
      <c r="D51" s="364">
        <f>'- 43 -'!E51</f>
        <v>0</v>
      </c>
      <c r="E51" s="364">
        <f>'- 43 -'!G51</f>
        <v>12.75480803011553</v>
      </c>
      <c r="F51" s="364">
        <f>'- 43 -'!I51</f>
        <v>0</v>
      </c>
      <c r="G51" s="364">
        <f>'- 44 -'!C51</f>
        <v>22.616736412443302</v>
      </c>
      <c r="H51" s="364">
        <f>'- 44 -'!E51</f>
        <v>1.4548411317480947</v>
      </c>
      <c r="J51" s="486"/>
    </row>
    <row r="52" ht="49.5" customHeight="1">
      <c r="A52" s="1" t="s">
        <v>536</v>
      </c>
    </row>
    <row r="53" ht="14.25" customHeight="1">
      <c r="A53" s="128" t="s">
        <v>535</v>
      </c>
    </row>
    <row r="54" ht="14.25" customHeight="1">
      <c r="A54" s="166" t="s">
        <v>553</v>
      </c>
    </row>
    <row r="55" ht="14.25" customHeight="1">
      <c r="A55" s="1" t="s">
        <v>537</v>
      </c>
    </row>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I66"/>
  <sheetViews>
    <sheetView showGridLines="0" showZeros="0" workbookViewId="0" topLeftCell="A1">
      <selection activeCell="A3" sqref="A3"/>
    </sheetView>
  </sheetViews>
  <sheetFormatPr defaultColWidth="15.83203125" defaultRowHeight="12"/>
  <cols>
    <col min="1" max="1" width="26.83203125" style="1" customWidth="1"/>
    <col min="2" max="4" width="15.83203125" style="1" customWidth="1"/>
    <col min="5" max="5" width="14.83203125" style="1" customWidth="1"/>
    <col min="6" max="6" width="15.83203125" style="1" customWidth="1"/>
    <col min="7" max="7" width="14.83203125" style="1" customWidth="1"/>
    <col min="8" max="8" width="15.83203125" style="1" customWidth="1"/>
    <col min="9" max="9" width="13.83203125" style="1" customWidth="1"/>
    <col min="10" max="16384" width="15.83203125" style="1" customWidth="1"/>
  </cols>
  <sheetData>
    <row r="1" spans="1:9" ht="15.75" customHeight="1">
      <c r="A1" s="255"/>
      <c r="B1" s="532" t="s">
        <v>569</v>
      </c>
      <c r="C1" s="256"/>
      <c r="D1" s="256"/>
      <c r="E1" s="135"/>
      <c r="F1" s="135"/>
      <c r="G1" s="135"/>
      <c r="H1" s="135"/>
      <c r="I1" s="257" t="s">
        <v>2</v>
      </c>
    </row>
    <row r="2" ht="7.5" customHeight="1">
      <c r="A2" s="252"/>
    </row>
    <row r="3" spans="2:9" ht="15.75" customHeight="1">
      <c r="B3" s="391" t="s">
        <v>94</v>
      </c>
      <c r="C3" s="439"/>
      <c r="D3" s="439"/>
      <c r="E3" s="440"/>
      <c r="F3" s="440"/>
      <c r="G3" s="440"/>
      <c r="H3" s="440"/>
      <c r="I3" s="441"/>
    </row>
    <row r="4" ht="7.5" customHeight="1"/>
    <row r="5" spans="2:6" ht="15.75" customHeight="1">
      <c r="B5" s="442" t="s">
        <v>327</v>
      </c>
      <c r="C5" s="439"/>
      <c r="D5" s="439"/>
      <c r="E5" s="443"/>
      <c r="F5" s="377"/>
    </row>
    <row r="6" spans="2:9" ht="15.75" customHeight="1">
      <c r="B6" s="335"/>
      <c r="C6" s="335"/>
      <c r="D6" s="335"/>
      <c r="E6" s="338"/>
      <c r="F6" s="338"/>
      <c r="G6" s="335"/>
      <c r="H6" s="335"/>
      <c r="I6" s="258" t="s">
        <v>81</v>
      </c>
    </row>
    <row r="7" spans="2:9" ht="15.75" customHeight="1">
      <c r="B7" s="336" t="s">
        <v>206</v>
      </c>
      <c r="C7" s="336" t="s">
        <v>76</v>
      </c>
      <c r="D7" s="336" t="s">
        <v>555</v>
      </c>
      <c r="E7" s="339"/>
      <c r="F7" s="339"/>
      <c r="G7" s="336" t="s">
        <v>44</v>
      </c>
      <c r="H7" s="336" t="s">
        <v>54</v>
      </c>
      <c r="I7" s="260" t="s">
        <v>105</v>
      </c>
    </row>
    <row r="8" spans="1:9" ht="15.75" customHeight="1">
      <c r="A8" s="333"/>
      <c r="B8" s="336" t="s">
        <v>205</v>
      </c>
      <c r="C8" s="336" t="s">
        <v>382</v>
      </c>
      <c r="D8" s="336" t="s">
        <v>556</v>
      </c>
      <c r="E8" s="340" t="s">
        <v>44</v>
      </c>
      <c r="F8" s="339"/>
      <c r="G8" s="336" t="s">
        <v>117</v>
      </c>
      <c r="H8" s="336" t="s">
        <v>117</v>
      </c>
      <c r="I8" s="260" t="s">
        <v>118</v>
      </c>
    </row>
    <row r="9" spans="1:9" ht="15.75" customHeight="1">
      <c r="A9" s="334" t="s">
        <v>79</v>
      </c>
      <c r="B9" s="337" t="s">
        <v>359</v>
      </c>
      <c r="C9" s="337" t="s">
        <v>383</v>
      </c>
      <c r="D9" s="337" t="s">
        <v>557</v>
      </c>
      <c r="E9" s="337" t="s">
        <v>386</v>
      </c>
      <c r="F9" s="337" t="s">
        <v>54</v>
      </c>
      <c r="G9" s="337" t="s">
        <v>392</v>
      </c>
      <c r="H9" s="337" t="s">
        <v>123</v>
      </c>
      <c r="I9" s="337" t="s">
        <v>558</v>
      </c>
    </row>
    <row r="10" spans="1:9" ht="4.5" customHeight="1">
      <c r="A10" s="37"/>
      <c r="B10" s="254"/>
      <c r="C10" s="254"/>
      <c r="E10" s="254"/>
      <c r="F10" s="254"/>
      <c r="G10" s="254"/>
      <c r="H10" s="254"/>
      <c r="I10" s="254"/>
    </row>
    <row r="11" spans="1:9" ht="13.5" customHeight="1">
      <c r="A11" s="362" t="s">
        <v>216</v>
      </c>
      <c r="B11" s="363">
        <f>'- 56 -'!G11</f>
        <v>6969390</v>
      </c>
      <c r="C11" s="363">
        <v>1072416.49</v>
      </c>
      <c r="D11" s="363">
        <v>0</v>
      </c>
      <c r="E11" s="363">
        <v>210000</v>
      </c>
      <c r="F11" s="363">
        <f>SUM(B11:E11)</f>
        <v>8251806.49</v>
      </c>
      <c r="G11" s="363">
        <v>0</v>
      </c>
      <c r="H11" s="363">
        <f>SUM(F11,G11)</f>
        <v>8251806.49</v>
      </c>
      <c r="I11" s="364">
        <f>H11/'- 44 -'!I11*100</f>
        <v>60.6291746171463</v>
      </c>
    </row>
    <row r="12" spans="1:9" ht="13.5" customHeight="1">
      <c r="A12" s="23" t="s">
        <v>217</v>
      </c>
      <c r="B12" s="24">
        <f>'- 56 -'!G12</f>
        <v>13162659</v>
      </c>
      <c r="C12" s="24">
        <v>1643009.15</v>
      </c>
      <c r="D12" s="24">
        <v>263513</v>
      </c>
      <c r="E12" s="24">
        <v>851318</v>
      </c>
      <c r="F12" s="24">
        <f aca="true" t="shared" si="0" ref="F12:F46">SUM(B12:E12)</f>
        <v>15920499.15</v>
      </c>
      <c r="G12" s="24">
        <v>91279</v>
      </c>
      <c r="H12" s="24">
        <f>SUM(F12,G12)</f>
        <v>16011778.15</v>
      </c>
      <c r="I12" s="355">
        <f>H12/'- 44 -'!I12*100</f>
        <v>63.48863356507217</v>
      </c>
    </row>
    <row r="13" spans="1:9" ht="13.5" customHeight="1">
      <c r="A13" s="362" t="s">
        <v>218</v>
      </c>
      <c r="B13" s="363">
        <f>'- 56 -'!G13</f>
        <v>29605000</v>
      </c>
      <c r="C13" s="363">
        <v>5068500</v>
      </c>
      <c r="D13" s="363">
        <v>0</v>
      </c>
      <c r="E13" s="363">
        <v>1019500</v>
      </c>
      <c r="F13" s="363">
        <f t="shared" si="0"/>
        <v>35693000</v>
      </c>
      <c r="G13" s="363">
        <v>0</v>
      </c>
      <c r="H13" s="363">
        <f aca="true" t="shared" si="1" ref="H13:H46">SUM(F13,G13)</f>
        <v>35693000</v>
      </c>
      <c r="I13" s="364">
        <f>H13/'- 44 -'!I13*100</f>
        <v>60.225290133601504</v>
      </c>
    </row>
    <row r="14" spans="1:9" ht="13.5" customHeight="1">
      <c r="A14" s="23" t="s">
        <v>254</v>
      </c>
      <c r="B14" s="24">
        <f>'- 56 -'!G14</f>
        <v>27980126</v>
      </c>
      <c r="C14" s="24">
        <v>4431172</v>
      </c>
      <c r="D14" s="24">
        <v>0</v>
      </c>
      <c r="E14" s="24">
        <v>9235208</v>
      </c>
      <c r="F14" s="24">
        <f t="shared" si="0"/>
        <v>41646506</v>
      </c>
      <c r="G14" s="24">
        <v>327592</v>
      </c>
      <c r="H14" s="24">
        <f t="shared" si="1"/>
        <v>41974098</v>
      </c>
      <c r="I14" s="355">
        <f>H14/'- 44 -'!I14*100</f>
        <v>72.64218015609742</v>
      </c>
    </row>
    <row r="15" spans="1:9" ht="13.5" customHeight="1">
      <c r="A15" s="362" t="s">
        <v>219</v>
      </c>
      <c r="B15" s="363">
        <f>'- 56 -'!G15</f>
        <v>7654276</v>
      </c>
      <c r="C15" s="363">
        <v>1782351.24</v>
      </c>
      <c r="D15" s="363">
        <v>155686</v>
      </c>
      <c r="E15" s="363">
        <v>482400</v>
      </c>
      <c r="F15" s="363">
        <f t="shared" si="0"/>
        <v>10074713.24</v>
      </c>
      <c r="G15" s="363">
        <v>0</v>
      </c>
      <c r="H15" s="363">
        <f t="shared" si="1"/>
        <v>10074713.24</v>
      </c>
      <c r="I15" s="364">
        <f>H15/'- 44 -'!I15*100</f>
        <v>61.05525661027566</v>
      </c>
    </row>
    <row r="16" spans="1:9" ht="13.5" customHeight="1">
      <c r="A16" s="23" t="s">
        <v>220</v>
      </c>
      <c r="B16" s="24">
        <f>'- 56 -'!G16</f>
        <v>6602142</v>
      </c>
      <c r="C16" s="24">
        <v>651736.41</v>
      </c>
      <c r="D16" s="24">
        <v>163028</v>
      </c>
      <c r="E16" s="24">
        <v>227500</v>
      </c>
      <c r="F16" s="24">
        <f t="shared" si="0"/>
        <v>7644406.41</v>
      </c>
      <c r="G16" s="24">
        <v>82500</v>
      </c>
      <c r="H16" s="24">
        <f t="shared" si="1"/>
        <v>7726906.41</v>
      </c>
      <c r="I16" s="355">
        <f>H16/'- 44 -'!I16*100</f>
        <v>67.38798419402534</v>
      </c>
    </row>
    <row r="17" spans="1:9" ht="13.5" customHeight="1">
      <c r="A17" s="362" t="s">
        <v>221</v>
      </c>
      <c r="B17" s="363">
        <f>'- 56 -'!G17</f>
        <v>6942106</v>
      </c>
      <c r="C17" s="363">
        <v>977682.37</v>
      </c>
      <c r="D17" s="363">
        <v>0</v>
      </c>
      <c r="E17" s="363">
        <v>345600</v>
      </c>
      <c r="F17" s="363">
        <f t="shared" si="0"/>
        <v>8265388.37</v>
      </c>
      <c r="G17" s="363">
        <v>0</v>
      </c>
      <c r="H17" s="363">
        <f t="shared" si="1"/>
        <v>8265388.37</v>
      </c>
      <c r="I17" s="364">
        <f>H17/'- 44 -'!I17*100</f>
        <v>54.72145420479693</v>
      </c>
    </row>
    <row r="18" spans="1:9" ht="13.5" customHeight="1">
      <c r="A18" s="23" t="s">
        <v>222</v>
      </c>
      <c r="B18" s="24">
        <f>'- 56 -'!G18</f>
        <v>31388869</v>
      </c>
      <c r="C18" s="24">
        <v>425915.42</v>
      </c>
      <c r="D18" s="24">
        <v>0</v>
      </c>
      <c r="E18" s="24">
        <v>8242802</v>
      </c>
      <c r="F18" s="24">
        <f t="shared" si="0"/>
        <v>40057586.42</v>
      </c>
      <c r="G18" s="24">
        <v>1179100</v>
      </c>
      <c r="H18" s="24">
        <f t="shared" si="1"/>
        <v>41236686.42</v>
      </c>
      <c r="I18" s="355">
        <f>H18/'- 44 -'!I18*100</f>
        <v>39.66821724846997</v>
      </c>
    </row>
    <row r="19" spans="1:9" ht="13.5" customHeight="1">
      <c r="A19" s="362" t="s">
        <v>223</v>
      </c>
      <c r="B19" s="363">
        <f>'- 56 -'!G19</f>
        <v>18176753</v>
      </c>
      <c r="C19" s="363">
        <v>1953892.07</v>
      </c>
      <c r="D19" s="363">
        <v>0</v>
      </c>
      <c r="E19" s="363">
        <v>455000</v>
      </c>
      <c r="F19" s="363">
        <f t="shared" si="0"/>
        <v>20585645.07</v>
      </c>
      <c r="G19" s="363">
        <v>0</v>
      </c>
      <c r="H19" s="363">
        <f t="shared" si="1"/>
        <v>20585645.07</v>
      </c>
      <c r="I19" s="364">
        <f>H19/'- 44 -'!I19*100</f>
        <v>68.88804746336457</v>
      </c>
    </row>
    <row r="20" spans="1:9" ht="13.5" customHeight="1">
      <c r="A20" s="23" t="s">
        <v>224</v>
      </c>
      <c r="B20" s="24">
        <f>'- 56 -'!G20</f>
        <v>35027407</v>
      </c>
      <c r="C20" s="24">
        <v>3501996.98</v>
      </c>
      <c r="D20" s="24">
        <v>0</v>
      </c>
      <c r="E20" s="24">
        <v>907600</v>
      </c>
      <c r="F20" s="24">
        <f t="shared" si="0"/>
        <v>39437003.98</v>
      </c>
      <c r="G20" s="24">
        <v>4000</v>
      </c>
      <c r="H20" s="24">
        <f t="shared" si="1"/>
        <v>39441003.98</v>
      </c>
      <c r="I20" s="355">
        <f>H20/'- 44 -'!I20*100</f>
        <v>68.88154547950691</v>
      </c>
    </row>
    <row r="21" spans="1:9" ht="13.5" customHeight="1">
      <c r="A21" s="362" t="s">
        <v>225</v>
      </c>
      <c r="B21" s="363">
        <f>'- 56 -'!G21</f>
        <v>16032950</v>
      </c>
      <c r="C21" s="363">
        <v>2502734.24</v>
      </c>
      <c r="D21" s="363">
        <v>149140</v>
      </c>
      <c r="E21" s="363">
        <v>596568</v>
      </c>
      <c r="F21" s="363">
        <f t="shared" si="0"/>
        <v>19281392.240000002</v>
      </c>
      <c r="G21" s="363">
        <v>0</v>
      </c>
      <c r="H21" s="363">
        <f t="shared" si="1"/>
        <v>19281392.240000002</v>
      </c>
      <c r="I21" s="364">
        <f>H21/'- 44 -'!I21*100</f>
        <v>65.43829031053794</v>
      </c>
    </row>
    <row r="22" spans="1:9" ht="13.5" customHeight="1">
      <c r="A22" s="23" t="s">
        <v>226</v>
      </c>
      <c r="B22" s="24">
        <f>'- 56 -'!G22</f>
        <v>10654216</v>
      </c>
      <c r="C22" s="24">
        <v>851560.13</v>
      </c>
      <c r="D22" s="24">
        <v>118941</v>
      </c>
      <c r="E22" s="24">
        <v>585700</v>
      </c>
      <c r="F22" s="24">
        <f t="shared" si="0"/>
        <v>12210417.13</v>
      </c>
      <c r="G22" s="24">
        <v>455000</v>
      </c>
      <c r="H22" s="24">
        <f t="shared" si="1"/>
        <v>12665417.13</v>
      </c>
      <c r="I22" s="355">
        <f>H22/'- 44 -'!I22*100</f>
        <v>78.13409905313105</v>
      </c>
    </row>
    <row r="23" spans="1:9" ht="13.5" customHeight="1">
      <c r="A23" s="362" t="s">
        <v>227</v>
      </c>
      <c r="B23" s="363">
        <f>'- 56 -'!G23</f>
        <v>8048427</v>
      </c>
      <c r="C23" s="363">
        <v>854030.55</v>
      </c>
      <c r="D23" s="363">
        <v>0</v>
      </c>
      <c r="E23" s="363">
        <v>240000</v>
      </c>
      <c r="F23" s="363">
        <f t="shared" si="0"/>
        <v>9142457.55</v>
      </c>
      <c r="G23" s="363">
        <v>230000</v>
      </c>
      <c r="H23" s="363">
        <f t="shared" si="1"/>
        <v>9372457.55</v>
      </c>
      <c r="I23" s="364">
        <f>H23/'- 44 -'!I23*100</f>
        <v>69.28050218667923</v>
      </c>
    </row>
    <row r="24" spans="1:9" ht="13.5" customHeight="1">
      <c r="A24" s="23" t="s">
        <v>228</v>
      </c>
      <c r="B24" s="24">
        <f>'- 56 -'!G24</f>
        <v>22252909</v>
      </c>
      <c r="C24" s="24">
        <v>3964725.9</v>
      </c>
      <c r="D24" s="24">
        <v>190898</v>
      </c>
      <c r="E24" s="24">
        <v>804500</v>
      </c>
      <c r="F24" s="24">
        <f t="shared" si="0"/>
        <v>27213032.9</v>
      </c>
      <c r="G24" s="24">
        <v>278000</v>
      </c>
      <c r="H24" s="24">
        <f t="shared" si="1"/>
        <v>27491032.9</v>
      </c>
      <c r="I24" s="355">
        <f>H24/'- 44 -'!I24*100</f>
        <v>61.04177971868591</v>
      </c>
    </row>
    <row r="25" spans="1:9" ht="13.5" customHeight="1">
      <c r="A25" s="362" t="s">
        <v>229</v>
      </c>
      <c r="B25" s="363">
        <f>'- 56 -'!G25</f>
        <v>66149994</v>
      </c>
      <c r="C25" s="363">
        <v>14580125.49</v>
      </c>
      <c r="D25" s="363">
        <v>1065664</v>
      </c>
      <c r="E25" s="363">
        <v>3148712</v>
      </c>
      <c r="F25" s="363">
        <f t="shared" si="0"/>
        <v>84944495.49</v>
      </c>
      <c r="G25" s="363">
        <v>268000</v>
      </c>
      <c r="H25" s="363">
        <f t="shared" si="1"/>
        <v>85212495.49</v>
      </c>
      <c r="I25" s="364">
        <f>H25/'- 44 -'!I25*100</f>
        <v>63.11108642749807</v>
      </c>
    </row>
    <row r="26" spans="1:9" ht="13.5" customHeight="1">
      <c r="A26" s="23" t="s">
        <v>230</v>
      </c>
      <c r="B26" s="24">
        <f>'- 56 -'!G26</f>
        <v>18580017</v>
      </c>
      <c r="C26" s="24">
        <v>2679091.5</v>
      </c>
      <c r="D26" s="24">
        <v>0</v>
      </c>
      <c r="E26" s="24">
        <v>593251</v>
      </c>
      <c r="F26" s="24">
        <f t="shared" si="0"/>
        <v>21852359.5</v>
      </c>
      <c r="G26" s="24">
        <v>221981</v>
      </c>
      <c r="H26" s="24">
        <f t="shared" si="1"/>
        <v>22074340.5</v>
      </c>
      <c r="I26" s="355">
        <f>H26/'- 44 -'!I26*100</f>
        <v>67.00066471501482</v>
      </c>
    </row>
    <row r="27" spans="1:9" ht="13.5" customHeight="1">
      <c r="A27" s="362" t="s">
        <v>231</v>
      </c>
      <c r="B27" s="363">
        <f>'- 56 -'!G27</f>
        <v>24077487</v>
      </c>
      <c r="C27" s="363">
        <v>1322763.72</v>
      </c>
      <c r="D27" s="363">
        <v>129242</v>
      </c>
      <c r="E27" s="363">
        <v>585079</v>
      </c>
      <c r="F27" s="363">
        <f t="shared" si="0"/>
        <v>26114571.72</v>
      </c>
      <c r="G27" s="363">
        <v>0</v>
      </c>
      <c r="H27" s="363">
        <f t="shared" si="1"/>
        <v>26114571.72</v>
      </c>
      <c r="I27" s="364">
        <f>H27/'- 44 -'!I27*100</f>
        <v>75.01624651900522</v>
      </c>
    </row>
    <row r="28" spans="1:9" ht="13.5" customHeight="1">
      <c r="A28" s="23" t="s">
        <v>232</v>
      </c>
      <c r="B28" s="24">
        <f>'- 56 -'!G28</f>
        <v>10036933</v>
      </c>
      <c r="C28" s="24">
        <v>1207972.04</v>
      </c>
      <c r="D28" s="24">
        <v>173207</v>
      </c>
      <c r="E28" s="24">
        <v>271000</v>
      </c>
      <c r="F28" s="24">
        <f t="shared" si="0"/>
        <v>11689112.04</v>
      </c>
      <c r="G28" s="24">
        <v>0</v>
      </c>
      <c r="H28" s="24">
        <f t="shared" si="1"/>
        <v>11689112.04</v>
      </c>
      <c r="I28" s="355">
        <f>H28/'- 44 -'!I28*100</f>
        <v>62.24604541175318</v>
      </c>
    </row>
    <row r="29" spans="1:9" ht="13.5" customHeight="1">
      <c r="A29" s="362" t="s">
        <v>233</v>
      </c>
      <c r="B29" s="363">
        <f>'- 56 -'!G29</f>
        <v>50205483</v>
      </c>
      <c r="C29" s="363">
        <v>14148151.39</v>
      </c>
      <c r="D29" s="363">
        <v>0</v>
      </c>
      <c r="E29" s="363">
        <v>2385000</v>
      </c>
      <c r="F29" s="363">
        <f t="shared" si="0"/>
        <v>66738634.39</v>
      </c>
      <c r="G29" s="363">
        <v>0</v>
      </c>
      <c r="H29" s="363">
        <f t="shared" si="1"/>
        <v>66738634.39</v>
      </c>
      <c r="I29" s="364">
        <f>H29/'- 44 -'!I29*100</f>
        <v>53.37531594170963</v>
      </c>
    </row>
    <row r="30" spans="1:9" ht="13.5" customHeight="1">
      <c r="A30" s="23" t="s">
        <v>234</v>
      </c>
      <c r="B30" s="24">
        <f>'- 56 -'!G30</f>
        <v>7026354</v>
      </c>
      <c r="C30" s="24">
        <v>666364.9</v>
      </c>
      <c r="D30" s="24">
        <v>0</v>
      </c>
      <c r="E30" s="24">
        <v>183665</v>
      </c>
      <c r="F30" s="24">
        <f t="shared" si="0"/>
        <v>7876383.9</v>
      </c>
      <c r="G30" s="24">
        <v>0</v>
      </c>
      <c r="H30" s="24">
        <f t="shared" si="1"/>
        <v>7876383.9</v>
      </c>
      <c r="I30" s="355">
        <f>H30/'- 44 -'!I30*100</f>
        <v>68.22840450160783</v>
      </c>
    </row>
    <row r="31" spans="1:9" ht="13.5" customHeight="1">
      <c r="A31" s="362" t="s">
        <v>235</v>
      </c>
      <c r="B31" s="363">
        <f>'- 56 -'!G31</f>
        <v>15921130</v>
      </c>
      <c r="C31" s="363">
        <v>2285827.33</v>
      </c>
      <c r="D31" s="363">
        <v>141624</v>
      </c>
      <c r="E31" s="363">
        <v>485242</v>
      </c>
      <c r="F31" s="363">
        <f t="shared" si="0"/>
        <v>18833823.33</v>
      </c>
      <c r="G31" s="363">
        <v>350000</v>
      </c>
      <c r="H31" s="363">
        <f t="shared" si="1"/>
        <v>19183823.33</v>
      </c>
      <c r="I31" s="364">
        <f>H31/'- 44 -'!I31*100</f>
        <v>64.61542246645442</v>
      </c>
    </row>
    <row r="32" spans="1:9" ht="13.5" customHeight="1">
      <c r="A32" s="23" t="s">
        <v>236</v>
      </c>
      <c r="B32" s="24">
        <f>'- 56 -'!G32</f>
        <v>11276132</v>
      </c>
      <c r="C32" s="24">
        <v>1645736.65</v>
      </c>
      <c r="D32" s="24">
        <v>217388</v>
      </c>
      <c r="E32" s="24">
        <v>376500</v>
      </c>
      <c r="F32" s="24">
        <f t="shared" si="0"/>
        <v>13515756.65</v>
      </c>
      <c r="G32" s="24">
        <v>231750</v>
      </c>
      <c r="H32" s="24">
        <f t="shared" si="1"/>
        <v>13747506.65</v>
      </c>
      <c r="I32" s="355">
        <f>H32/'- 44 -'!I32*100</f>
        <v>61.94322272758035</v>
      </c>
    </row>
    <row r="33" spans="1:9" ht="13.5" customHeight="1">
      <c r="A33" s="362" t="s">
        <v>237</v>
      </c>
      <c r="B33" s="363">
        <f>'- 56 -'!G33</f>
        <v>13227695</v>
      </c>
      <c r="C33" s="363">
        <v>1464719.68</v>
      </c>
      <c r="D33" s="363">
        <v>0</v>
      </c>
      <c r="E33" s="363">
        <v>360000</v>
      </c>
      <c r="F33" s="363">
        <f t="shared" si="0"/>
        <v>15052414.68</v>
      </c>
      <c r="G33" s="363">
        <v>0</v>
      </c>
      <c r="H33" s="363">
        <f t="shared" si="1"/>
        <v>15052414.68</v>
      </c>
      <c r="I33" s="364">
        <f>H33/'- 44 -'!I33*100</f>
        <v>63.98509951700062</v>
      </c>
    </row>
    <row r="34" spans="1:9" ht="13.5" customHeight="1">
      <c r="A34" s="23" t="s">
        <v>238</v>
      </c>
      <c r="B34" s="24">
        <f>'- 56 -'!G34</f>
        <v>10897681</v>
      </c>
      <c r="C34" s="24">
        <v>1284026.52</v>
      </c>
      <c r="D34" s="24">
        <v>207335</v>
      </c>
      <c r="E34" s="24">
        <v>511864</v>
      </c>
      <c r="F34" s="24">
        <f t="shared" si="0"/>
        <v>12900906.52</v>
      </c>
      <c r="G34" s="24">
        <v>0</v>
      </c>
      <c r="H34" s="24">
        <f t="shared" si="1"/>
        <v>12900906.52</v>
      </c>
      <c r="I34" s="355">
        <f>H34/'- 44 -'!I34*100</f>
        <v>60.319953453100396</v>
      </c>
    </row>
    <row r="35" spans="1:9" ht="13.5" customHeight="1">
      <c r="A35" s="362" t="s">
        <v>239</v>
      </c>
      <c r="B35" s="363">
        <f>'- 56 -'!G35</f>
        <v>83423773</v>
      </c>
      <c r="C35" s="363">
        <v>16486283.41</v>
      </c>
      <c r="D35" s="363">
        <v>0</v>
      </c>
      <c r="E35" s="363">
        <v>2550000</v>
      </c>
      <c r="F35" s="363">
        <f t="shared" si="0"/>
        <v>102460056.41</v>
      </c>
      <c r="G35" s="363">
        <v>0</v>
      </c>
      <c r="H35" s="363">
        <f t="shared" si="1"/>
        <v>102460056.41</v>
      </c>
      <c r="I35" s="364">
        <f>H35/'- 44 -'!I35*100</f>
        <v>67.19668404156234</v>
      </c>
    </row>
    <row r="36" spans="1:9" ht="13.5" customHeight="1">
      <c r="A36" s="23" t="s">
        <v>240</v>
      </c>
      <c r="B36" s="24">
        <f>'- 56 -'!G36</f>
        <v>9537184</v>
      </c>
      <c r="C36" s="24">
        <v>1442281.3</v>
      </c>
      <c r="D36" s="24">
        <v>383984</v>
      </c>
      <c r="E36" s="24">
        <v>349500</v>
      </c>
      <c r="F36" s="24">
        <f t="shared" si="0"/>
        <v>11712949.3</v>
      </c>
      <c r="G36" s="24">
        <v>0</v>
      </c>
      <c r="H36" s="24">
        <f t="shared" si="1"/>
        <v>11712949.3</v>
      </c>
      <c r="I36" s="355">
        <f>H36/'- 44 -'!I36*100</f>
        <v>59.76031128762013</v>
      </c>
    </row>
    <row r="37" spans="1:9" ht="13.5" customHeight="1">
      <c r="A37" s="362" t="s">
        <v>241</v>
      </c>
      <c r="B37" s="363">
        <f>'- 56 -'!G37</f>
        <v>20521092</v>
      </c>
      <c r="C37" s="363">
        <v>2601413.99</v>
      </c>
      <c r="D37" s="363">
        <v>404922</v>
      </c>
      <c r="E37" s="363">
        <v>519992</v>
      </c>
      <c r="F37" s="363">
        <f t="shared" si="0"/>
        <v>24047419.990000002</v>
      </c>
      <c r="G37" s="363">
        <v>0</v>
      </c>
      <c r="H37" s="363">
        <f t="shared" si="1"/>
        <v>24047419.990000002</v>
      </c>
      <c r="I37" s="364">
        <f>H37/'- 44 -'!I37*100</f>
        <v>70.57620779559548</v>
      </c>
    </row>
    <row r="38" spans="1:9" ht="13.5" customHeight="1">
      <c r="A38" s="23" t="s">
        <v>242</v>
      </c>
      <c r="B38" s="24">
        <f>'- 56 -'!G38</f>
        <v>46726910</v>
      </c>
      <c r="C38" s="24">
        <v>8417908.04</v>
      </c>
      <c r="D38" s="24">
        <v>0</v>
      </c>
      <c r="E38" s="24">
        <v>1577000</v>
      </c>
      <c r="F38" s="24">
        <f t="shared" si="0"/>
        <v>56721818.04</v>
      </c>
      <c r="G38" s="24">
        <v>334600</v>
      </c>
      <c r="H38" s="24">
        <f t="shared" si="1"/>
        <v>57056418.04</v>
      </c>
      <c r="I38" s="355">
        <f>H38/'- 44 -'!I38*100</f>
        <v>66.31968658319424</v>
      </c>
    </row>
    <row r="39" spans="1:9" ht="13.5" customHeight="1">
      <c r="A39" s="362" t="s">
        <v>243</v>
      </c>
      <c r="B39" s="363">
        <f>'- 56 -'!G39</f>
        <v>8601929</v>
      </c>
      <c r="C39" s="363">
        <v>1174306.54</v>
      </c>
      <c r="D39" s="363">
        <v>187156</v>
      </c>
      <c r="E39" s="363">
        <v>250000</v>
      </c>
      <c r="F39" s="363">
        <f t="shared" si="0"/>
        <v>10213391.54</v>
      </c>
      <c r="G39" s="363">
        <v>54000</v>
      </c>
      <c r="H39" s="363">
        <f t="shared" si="1"/>
        <v>10267391.54</v>
      </c>
      <c r="I39" s="364">
        <f>H39/'- 44 -'!I39*100</f>
        <v>58.40779349948949</v>
      </c>
    </row>
    <row r="40" spans="1:9" ht="13.5" customHeight="1">
      <c r="A40" s="23" t="s">
        <v>244</v>
      </c>
      <c r="B40" s="24">
        <f>'- 56 -'!G40</f>
        <v>36240762</v>
      </c>
      <c r="C40" s="24">
        <v>9477089.73</v>
      </c>
      <c r="D40" s="24">
        <v>0</v>
      </c>
      <c r="E40" s="24">
        <v>1563051</v>
      </c>
      <c r="F40" s="24">
        <f t="shared" si="0"/>
        <v>47280902.730000004</v>
      </c>
      <c r="G40" s="24">
        <v>206515</v>
      </c>
      <c r="H40" s="24">
        <f t="shared" si="1"/>
        <v>47487417.730000004</v>
      </c>
      <c r="I40" s="355">
        <f>H40/'- 44 -'!I40*100</f>
        <v>55.13425366992747</v>
      </c>
    </row>
    <row r="41" spans="1:9" ht="13.5" customHeight="1">
      <c r="A41" s="362" t="s">
        <v>245</v>
      </c>
      <c r="B41" s="363">
        <f>'- 56 -'!G41</f>
        <v>23862322</v>
      </c>
      <c r="C41" s="363">
        <v>4516670.73</v>
      </c>
      <c r="D41" s="363">
        <v>494838</v>
      </c>
      <c r="E41" s="363">
        <v>775000</v>
      </c>
      <c r="F41" s="363">
        <f t="shared" si="0"/>
        <v>29648830.73</v>
      </c>
      <c r="G41" s="363">
        <v>975450</v>
      </c>
      <c r="H41" s="363">
        <f t="shared" si="1"/>
        <v>30624280.73</v>
      </c>
      <c r="I41" s="364">
        <f>H41/'- 44 -'!I41*100</f>
        <v>58.20368569788486</v>
      </c>
    </row>
    <row r="42" spans="1:9" ht="13.5" customHeight="1">
      <c r="A42" s="23" t="s">
        <v>246</v>
      </c>
      <c r="B42" s="24">
        <f>'- 56 -'!G42</f>
        <v>10467440</v>
      </c>
      <c r="C42" s="24">
        <v>1226199.76</v>
      </c>
      <c r="D42" s="24">
        <v>0</v>
      </c>
      <c r="E42" s="24">
        <v>378669</v>
      </c>
      <c r="F42" s="24">
        <f t="shared" si="0"/>
        <v>12072308.76</v>
      </c>
      <c r="G42" s="24">
        <v>40800</v>
      </c>
      <c r="H42" s="24">
        <f t="shared" si="1"/>
        <v>12113108.76</v>
      </c>
      <c r="I42" s="355">
        <f>H42/'- 44 -'!I42*100</f>
        <v>68.88541778804216</v>
      </c>
    </row>
    <row r="43" spans="1:9" ht="13.5" customHeight="1">
      <c r="A43" s="362" t="s">
        <v>247</v>
      </c>
      <c r="B43" s="363">
        <f>'- 56 -'!G43</f>
        <v>5622474</v>
      </c>
      <c r="C43" s="363">
        <v>844263.82</v>
      </c>
      <c r="D43" s="363">
        <v>0</v>
      </c>
      <c r="E43" s="363">
        <v>155000</v>
      </c>
      <c r="F43" s="363">
        <f t="shared" si="0"/>
        <v>6621737.82</v>
      </c>
      <c r="G43" s="363">
        <v>143640</v>
      </c>
      <c r="H43" s="363">
        <f t="shared" si="1"/>
        <v>6765377.82</v>
      </c>
      <c r="I43" s="364">
        <f>H43/'- 44 -'!I43*100</f>
        <v>64.44611462594573</v>
      </c>
    </row>
    <row r="44" spans="1:9" ht="13.5" customHeight="1">
      <c r="A44" s="23" t="s">
        <v>248</v>
      </c>
      <c r="B44" s="24">
        <f>'- 56 -'!G44</f>
        <v>5618520</v>
      </c>
      <c r="C44" s="24">
        <v>528115.52</v>
      </c>
      <c r="D44" s="24">
        <v>0</v>
      </c>
      <c r="E44" s="24">
        <v>127217</v>
      </c>
      <c r="F44" s="24">
        <f t="shared" si="0"/>
        <v>6273852.52</v>
      </c>
      <c r="G44" s="24">
        <v>0</v>
      </c>
      <c r="H44" s="24">
        <f t="shared" si="1"/>
        <v>6273852.52</v>
      </c>
      <c r="I44" s="355">
        <f>H44/'- 44 -'!I44*100</f>
        <v>71.89737342659201</v>
      </c>
    </row>
    <row r="45" spans="1:9" ht="13.5" customHeight="1">
      <c r="A45" s="362" t="s">
        <v>249</v>
      </c>
      <c r="B45" s="363">
        <f>'- 56 -'!G45</f>
        <v>7291967</v>
      </c>
      <c r="C45" s="363">
        <v>1187467.92</v>
      </c>
      <c r="D45" s="363">
        <v>0</v>
      </c>
      <c r="E45" s="363">
        <v>297591</v>
      </c>
      <c r="F45" s="363">
        <f t="shared" si="0"/>
        <v>8777025.92</v>
      </c>
      <c r="G45" s="363">
        <v>369969</v>
      </c>
      <c r="H45" s="363">
        <f t="shared" si="1"/>
        <v>9146994.92</v>
      </c>
      <c r="I45" s="364">
        <f>H45/'- 44 -'!I45*100</f>
        <v>68.28260399105957</v>
      </c>
    </row>
    <row r="46" spans="1:9" ht="13.5" customHeight="1">
      <c r="A46" s="23" t="s">
        <v>250</v>
      </c>
      <c r="B46" s="24">
        <f>'- 56 -'!G46</f>
        <v>155743675</v>
      </c>
      <c r="C46" s="24">
        <v>21483525.42</v>
      </c>
      <c r="D46" s="24">
        <v>875357</v>
      </c>
      <c r="E46" s="24">
        <v>11128400</v>
      </c>
      <c r="F46" s="24">
        <f t="shared" si="0"/>
        <v>189230957.42000002</v>
      </c>
      <c r="G46" s="24">
        <v>3490000</v>
      </c>
      <c r="H46" s="24">
        <f t="shared" si="1"/>
        <v>192720957.42000002</v>
      </c>
      <c r="I46" s="355">
        <f>H46/'- 44 -'!I46*100</f>
        <v>62.4401286055496</v>
      </c>
    </row>
    <row r="47" spans="1:9" ht="4.5" customHeight="1">
      <c r="A47"/>
      <c r="B47"/>
      <c r="C47"/>
      <c r="D47"/>
      <c r="E47">
        <v>0</v>
      </c>
      <c r="F47"/>
      <c r="G47"/>
      <c r="H47"/>
      <c r="I47"/>
    </row>
    <row r="48" spans="1:9" ht="13.5" customHeight="1">
      <c r="A48" s="365" t="s">
        <v>251</v>
      </c>
      <c r="B48" s="366">
        <f aca="true" t="shared" si="2" ref="B48:H48">SUM(B11:B46)</f>
        <v>881554184</v>
      </c>
      <c r="C48" s="366">
        <f t="shared" si="2"/>
        <v>140352028.35000002</v>
      </c>
      <c r="D48" s="366">
        <v>5321923</v>
      </c>
      <c r="E48" s="366">
        <v>52775429</v>
      </c>
      <c r="F48" s="366">
        <f t="shared" si="2"/>
        <v>1080003564.3499997</v>
      </c>
      <c r="G48" s="366">
        <f t="shared" si="2"/>
        <v>9334176</v>
      </c>
      <c r="H48" s="366">
        <f t="shared" si="2"/>
        <v>1089337740.3499997</v>
      </c>
      <c r="I48" s="367">
        <f>H48/'- 44 -'!I48*100</f>
        <v>62.014709340830485</v>
      </c>
    </row>
    <row r="49" spans="1:9" ht="4.5" customHeight="1">
      <c r="A49" s="25" t="s">
        <v>3</v>
      </c>
      <c r="B49" s="26"/>
      <c r="C49" s="26"/>
      <c r="E49" s="26"/>
      <c r="F49" s="26"/>
      <c r="G49" s="26"/>
      <c r="H49" s="26"/>
      <c r="I49" s="353"/>
    </row>
    <row r="50" spans="1:9" ht="13.5" customHeight="1">
      <c r="A50" s="23" t="s">
        <v>252</v>
      </c>
      <c r="B50" s="24">
        <f>'- 56 -'!G50</f>
        <v>846490</v>
      </c>
      <c r="C50" s="24">
        <v>257583.14</v>
      </c>
      <c r="E50" s="24">
        <v>30000</v>
      </c>
      <c r="F50" s="24">
        <f>SUM(B50:E50)</f>
        <v>1134073.1400000001</v>
      </c>
      <c r="G50" s="24">
        <v>0</v>
      </c>
      <c r="H50" s="24">
        <f>SUM(F50,G50)</f>
        <v>1134073.1400000001</v>
      </c>
      <c r="I50" s="355">
        <f>H50/'- 44 -'!I50*100</f>
        <v>38.45797990615367</v>
      </c>
    </row>
    <row r="51" spans="1:9" ht="13.5" customHeight="1">
      <c r="A51" s="362" t="s">
        <v>384</v>
      </c>
      <c r="B51" s="363">
        <f>'- 56 -'!G51</f>
        <v>700</v>
      </c>
      <c r="C51" s="363">
        <v>0</v>
      </c>
      <c r="D51" s="363">
        <v>0</v>
      </c>
      <c r="E51" s="363">
        <v>4007259</v>
      </c>
      <c r="F51" s="363">
        <f>SUM(B51:E51)</f>
        <v>4007959</v>
      </c>
      <c r="G51" s="363">
        <v>3895033</v>
      </c>
      <c r="H51" s="363">
        <f>SUM(F51,G51)</f>
        <v>7902992</v>
      </c>
      <c r="I51" s="364">
        <f>H51/'- 44 -'!I51*100</f>
        <v>63.17361442569307</v>
      </c>
    </row>
    <row r="52" spans="1:9" ht="39" customHeight="1">
      <c r="A52" s="27"/>
      <c r="B52" s="27"/>
      <c r="C52" s="27"/>
      <c r="D52" s="27"/>
      <c r="E52" s="27"/>
      <c r="F52" s="27"/>
      <c r="G52" s="27"/>
      <c r="H52" s="27"/>
      <c r="I52" s="27"/>
    </row>
    <row r="53" spans="1:9" ht="15" customHeight="1">
      <c r="A53" s="40" t="s">
        <v>385</v>
      </c>
      <c r="E53" s="39"/>
      <c r="F53" s="262"/>
      <c r="G53" s="262"/>
      <c r="H53" s="262"/>
      <c r="I53" s="262"/>
    </row>
    <row r="54" spans="1:9" ht="12" customHeight="1">
      <c r="A54" s="40" t="s">
        <v>440</v>
      </c>
      <c r="E54" s="39"/>
      <c r="F54" s="262"/>
      <c r="G54" s="262"/>
      <c r="H54" s="262"/>
      <c r="I54" s="262"/>
    </row>
    <row r="55" spans="1:9" ht="12" customHeight="1">
      <c r="A55" s="161" t="s">
        <v>405</v>
      </c>
      <c r="E55" s="39"/>
      <c r="F55" s="262"/>
      <c r="G55" s="262"/>
      <c r="H55" s="262"/>
      <c r="I55" s="262"/>
    </row>
    <row r="56" spans="1:9" ht="12" customHeight="1">
      <c r="A56" s="161" t="s">
        <v>441</v>
      </c>
      <c r="E56" s="39"/>
      <c r="F56" s="262"/>
      <c r="G56" s="262"/>
      <c r="H56" s="262"/>
      <c r="I56" s="262"/>
    </row>
    <row r="57" spans="1:9" ht="12" customHeight="1">
      <c r="A57" s="161" t="s">
        <v>442</v>
      </c>
      <c r="E57" s="39"/>
      <c r="F57" s="262"/>
      <c r="G57" s="262"/>
      <c r="H57" s="262"/>
      <c r="I57" s="262"/>
    </row>
    <row r="58" spans="1:9" ht="12" customHeight="1">
      <c r="A58" s="505" t="s">
        <v>465</v>
      </c>
      <c r="E58" s="39"/>
      <c r="F58" s="262"/>
      <c r="G58" s="262"/>
      <c r="H58" s="262"/>
      <c r="I58" s="262"/>
    </row>
    <row r="59" spans="1:9" ht="12" customHeight="1">
      <c r="A59" s="330" t="s">
        <v>562</v>
      </c>
      <c r="E59" s="39"/>
      <c r="F59" s="262"/>
      <c r="G59" s="262"/>
      <c r="H59" s="262"/>
      <c r="I59" s="262"/>
    </row>
    <row r="60" spans="1:9" ht="12" customHeight="1">
      <c r="A60" s="29" t="s">
        <v>565</v>
      </c>
      <c r="E60" s="39"/>
      <c r="F60" s="262"/>
      <c r="G60" s="262"/>
      <c r="H60" s="262"/>
      <c r="I60" s="262"/>
    </row>
    <row r="61" spans="1:9" ht="12" customHeight="1">
      <c r="A61" s="29" t="s">
        <v>566</v>
      </c>
      <c r="E61" s="39"/>
      <c r="F61" s="262"/>
      <c r="G61" s="262"/>
      <c r="H61" s="262"/>
      <c r="I61" s="262"/>
    </row>
    <row r="62" spans="1:9" ht="12" customHeight="1">
      <c r="A62" s="40" t="s">
        <v>559</v>
      </c>
      <c r="E62" s="39"/>
      <c r="F62" s="262"/>
      <c r="G62" s="262"/>
      <c r="H62" s="262"/>
      <c r="I62" s="262"/>
    </row>
    <row r="63" spans="1:9" ht="12" customHeight="1">
      <c r="A63" s="40" t="s">
        <v>560</v>
      </c>
      <c r="E63" s="39"/>
      <c r="F63" s="39"/>
      <c r="G63" s="39"/>
      <c r="H63" s="39"/>
      <c r="I63" s="39"/>
    </row>
    <row r="64" spans="1:9" ht="12" customHeight="1">
      <c r="A64" s="504" t="s">
        <v>561</v>
      </c>
      <c r="E64" s="117"/>
      <c r="F64" s="117"/>
      <c r="G64" s="117"/>
      <c r="H64" s="117"/>
      <c r="I64" s="117"/>
    </row>
    <row r="65" spans="2:9" ht="12" customHeight="1">
      <c r="B65" s="117"/>
      <c r="C65" s="117"/>
      <c r="D65" s="117"/>
      <c r="E65" s="117"/>
      <c r="F65" s="117"/>
      <c r="G65" s="117"/>
      <c r="H65" s="117"/>
      <c r="I65" s="117"/>
    </row>
    <row r="66" spans="2:9" ht="14.25" customHeight="1">
      <c r="B66" s="117"/>
      <c r="C66" s="117"/>
      <c r="D66" s="117"/>
      <c r="E66" s="117"/>
      <c r="F66" s="117"/>
      <c r="G66" s="117"/>
      <c r="H66" s="117"/>
      <c r="I66" s="117"/>
    </row>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6384" width="15.83203125" style="1" customWidth="1"/>
  </cols>
  <sheetData>
    <row r="1" ht="6.75" customHeight="1">
      <c r="A1" s="3"/>
    </row>
    <row r="2" spans="1:9" ht="15.75" customHeight="1">
      <c r="A2" s="255"/>
      <c r="B2" s="75" t="str">
        <f>REVYEAR</f>
        <v> ANALYSIS OF OPERATING FUND REVENUE: 2008/2009 BUDGET</v>
      </c>
      <c r="C2" s="135"/>
      <c r="D2" s="135"/>
      <c r="E2" s="135"/>
      <c r="F2" s="135"/>
      <c r="G2" s="265"/>
      <c r="H2" s="266"/>
      <c r="I2" s="257" t="s">
        <v>4</v>
      </c>
    </row>
    <row r="3" ht="15.75" customHeight="1">
      <c r="A3" s="252"/>
    </row>
    <row r="4" spans="2:9" ht="15.75" customHeight="1">
      <c r="B4" s="4"/>
      <c r="C4" s="4"/>
      <c r="D4" s="4"/>
      <c r="E4" s="4"/>
      <c r="F4" s="4"/>
      <c r="G4" s="4"/>
      <c r="H4" s="4"/>
      <c r="I4" s="77"/>
    </row>
    <row r="5" spans="2:9" ht="15.75" customHeight="1">
      <c r="B5" s="4"/>
      <c r="C5" s="4"/>
      <c r="D5" s="4"/>
      <c r="E5" s="4"/>
      <c r="F5" s="4"/>
      <c r="G5" s="4"/>
      <c r="H5" s="4"/>
      <c r="I5" s="4"/>
    </row>
    <row r="6" spans="2:9" ht="15.75" customHeight="1">
      <c r="B6" s="4"/>
      <c r="C6" s="4"/>
      <c r="D6" s="4"/>
      <c r="E6" s="4"/>
      <c r="F6" s="4"/>
      <c r="G6" s="4"/>
      <c r="H6" s="4"/>
      <c r="I6" s="4"/>
    </row>
    <row r="7" spans="2:9" ht="15.75" customHeight="1">
      <c r="B7" s="356" t="s">
        <v>100</v>
      </c>
      <c r="C7" s="358"/>
      <c r="D7" s="357" t="s">
        <v>101</v>
      </c>
      <c r="E7" s="358"/>
      <c r="F7" s="357" t="s">
        <v>102</v>
      </c>
      <c r="G7" s="358"/>
      <c r="H7" s="369"/>
      <c r="I7" s="358"/>
    </row>
    <row r="8" spans="1:9" ht="15.75" customHeight="1">
      <c r="A8" s="104"/>
      <c r="B8" s="360" t="s">
        <v>119</v>
      </c>
      <c r="C8" s="361"/>
      <c r="D8" s="360" t="s">
        <v>393</v>
      </c>
      <c r="E8" s="361"/>
      <c r="F8" s="360" t="s">
        <v>120</v>
      </c>
      <c r="G8" s="361"/>
      <c r="H8" s="360" t="s">
        <v>121</v>
      </c>
      <c r="I8" s="361"/>
    </row>
    <row r="9" spans="1:9" ht="15.75" customHeight="1">
      <c r="A9" s="35" t="s">
        <v>79</v>
      </c>
      <c r="B9" s="200" t="s">
        <v>123</v>
      </c>
      <c r="C9" s="253" t="s">
        <v>81</v>
      </c>
      <c r="D9" s="253" t="s">
        <v>123</v>
      </c>
      <c r="E9" s="253" t="s">
        <v>81</v>
      </c>
      <c r="F9" s="253" t="s">
        <v>123</v>
      </c>
      <c r="G9" s="253" t="s">
        <v>81</v>
      </c>
      <c r="H9" s="264" t="s">
        <v>123</v>
      </c>
      <c r="I9" s="264" t="s">
        <v>81</v>
      </c>
    </row>
    <row r="10" spans="1:9" ht="4.5" customHeight="1">
      <c r="A10" s="37"/>
      <c r="B10" s="254"/>
      <c r="C10" s="254"/>
      <c r="D10" s="254"/>
      <c r="E10" s="254"/>
      <c r="F10" s="254"/>
      <c r="G10" s="254"/>
      <c r="H10" s="254"/>
      <c r="I10" s="254"/>
    </row>
    <row r="11" spans="1:9" ht="13.5" customHeight="1">
      <c r="A11" s="362" t="s">
        <v>216</v>
      </c>
      <c r="B11" s="363">
        <v>0</v>
      </c>
      <c r="C11" s="364">
        <f>B11/'- 44 -'!I11*100</f>
        <v>0</v>
      </c>
      <c r="D11" s="363">
        <v>5162083.51</v>
      </c>
      <c r="E11" s="364">
        <f>D11/'- 44 -'!I11*100</f>
        <v>37.9277995546017</v>
      </c>
      <c r="F11" s="363">
        <v>52000</v>
      </c>
      <c r="G11" s="364">
        <f>F11/'- 44 -'!I11*100</f>
        <v>0.3820638649139732</v>
      </c>
      <c r="H11" s="363">
        <v>0</v>
      </c>
      <c r="I11" s="364">
        <f>H11/'- 44 -'!I11*100</f>
        <v>0</v>
      </c>
    </row>
    <row r="12" spans="1:9" ht="13.5" customHeight="1">
      <c r="A12" s="23" t="s">
        <v>217</v>
      </c>
      <c r="B12" s="24">
        <v>0</v>
      </c>
      <c r="C12" s="355">
        <f>B12/'- 44 -'!I12*100</f>
        <v>0</v>
      </c>
      <c r="D12" s="24">
        <v>8567982.85</v>
      </c>
      <c r="E12" s="355">
        <f>D12/'- 44 -'!I12*100</f>
        <v>33.973086465444986</v>
      </c>
      <c r="F12" s="24">
        <v>257500</v>
      </c>
      <c r="G12" s="355">
        <f>F12/'- 44 -'!I12*100</f>
        <v>1.0210185895565935</v>
      </c>
      <c r="H12" s="24">
        <v>100000</v>
      </c>
      <c r="I12" s="355">
        <f>H12/'- 44 -'!I12*100</f>
        <v>0.39651207361421115</v>
      </c>
    </row>
    <row r="13" spans="1:9" ht="13.5" customHeight="1">
      <c r="A13" s="362" t="s">
        <v>218</v>
      </c>
      <c r="B13" s="363">
        <v>21600</v>
      </c>
      <c r="C13" s="364">
        <f>B13/'- 44 -'!I13*100</f>
        <v>0.036445977275258244</v>
      </c>
      <c r="D13" s="363">
        <v>22350200</v>
      </c>
      <c r="E13" s="364">
        <f>D13/'- 44 -'!I13*100</f>
        <v>37.71180006006837</v>
      </c>
      <c r="F13" s="363">
        <v>173900</v>
      </c>
      <c r="G13" s="364">
        <f>F13/'- 44 -'!I13*100</f>
        <v>0.2934238633410837</v>
      </c>
      <c r="H13" s="363">
        <v>287100</v>
      </c>
      <c r="I13" s="364">
        <f>H13/'- 44 -'!I13*100</f>
        <v>0.48442778128364083</v>
      </c>
    </row>
    <row r="14" spans="1:9" ht="13.5" customHeight="1">
      <c r="A14" s="23" t="s">
        <v>254</v>
      </c>
      <c r="B14" s="24">
        <v>90000</v>
      </c>
      <c r="C14" s="355">
        <f>B14/'- 44 -'!I14*100</f>
        <v>0.155757872725431</v>
      </c>
      <c r="D14" s="24">
        <v>14850012</v>
      </c>
      <c r="E14" s="355">
        <f>D14/'- 44 -'!I14*100</f>
        <v>25.70006976741248</v>
      </c>
      <c r="F14" s="24">
        <v>777881</v>
      </c>
      <c r="G14" s="355">
        <f>F14/'- 44 -'!I14*100</f>
        <v>1.3462343310392333</v>
      </c>
      <c r="H14" s="24">
        <v>0</v>
      </c>
      <c r="I14" s="355">
        <f>H14/'- 44 -'!I14*100</f>
        <v>0</v>
      </c>
    </row>
    <row r="15" spans="1:9" ht="13.5" customHeight="1">
      <c r="A15" s="362" t="s">
        <v>219</v>
      </c>
      <c r="B15" s="363">
        <v>0</v>
      </c>
      <c r="C15" s="364">
        <f>B15/'- 44 -'!I15*100</f>
        <v>0</v>
      </c>
      <c r="D15" s="363">
        <v>6143762.76</v>
      </c>
      <c r="E15" s="364">
        <f>D15/'- 44 -'!I15*100</f>
        <v>37.232723446176756</v>
      </c>
      <c r="F15" s="363">
        <v>50000</v>
      </c>
      <c r="G15" s="364">
        <f>F15/'- 44 -'!I15*100</f>
        <v>0.3030123793889525</v>
      </c>
      <c r="H15" s="363">
        <v>180000</v>
      </c>
      <c r="I15" s="364">
        <f>H15/'- 44 -'!I15*100</f>
        <v>1.090844565800229</v>
      </c>
    </row>
    <row r="16" spans="1:9" ht="13.5" customHeight="1">
      <c r="A16" s="23" t="s">
        <v>220</v>
      </c>
      <c r="B16" s="24">
        <v>0</v>
      </c>
      <c r="C16" s="355">
        <f>B16/'- 44 -'!I16*100</f>
        <v>0</v>
      </c>
      <c r="D16" s="24">
        <v>3244090.59</v>
      </c>
      <c r="E16" s="355">
        <f>D16/'- 44 -'!I16*100</f>
        <v>28.29239980440067</v>
      </c>
      <c r="F16" s="24">
        <v>204750</v>
      </c>
      <c r="G16" s="355">
        <f>F16/'- 44 -'!I16*100</f>
        <v>1.785668032146734</v>
      </c>
      <c r="H16" s="24">
        <v>0</v>
      </c>
      <c r="I16" s="355">
        <f>H16/'- 44 -'!I16*100</f>
        <v>0</v>
      </c>
    </row>
    <row r="17" spans="1:9" ht="13.5" customHeight="1">
      <c r="A17" s="362" t="s">
        <v>221</v>
      </c>
      <c r="B17" s="363">
        <v>0</v>
      </c>
      <c r="C17" s="364">
        <f>B17/'- 44 -'!I17*100</f>
        <v>0</v>
      </c>
      <c r="D17" s="363">
        <v>6020476.63</v>
      </c>
      <c r="E17" s="364">
        <f>D17/'- 44 -'!I17*100</f>
        <v>39.85889367223952</v>
      </c>
      <c r="F17" s="363">
        <v>14100</v>
      </c>
      <c r="G17" s="364">
        <f>F17/'- 44 -'!I17*100</f>
        <v>0.09334981851404964</v>
      </c>
      <c r="H17" s="363">
        <v>778060</v>
      </c>
      <c r="I17" s="364">
        <f>H17/'- 44 -'!I17*100</f>
        <v>5.15118863780436</v>
      </c>
    </row>
    <row r="18" spans="1:9" ht="13.5" customHeight="1">
      <c r="A18" s="23" t="s">
        <v>222</v>
      </c>
      <c r="B18" s="24">
        <v>0</v>
      </c>
      <c r="C18" s="355">
        <f>B18/'- 44 -'!I18*100</f>
        <v>0</v>
      </c>
      <c r="D18" s="24">
        <v>3087551.98</v>
      </c>
      <c r="E18" s="355">
        <f>D18/'- 44 -'!I18*100</f>
        <v>2.9701145591848848</v>
      </c>
      <c r="F18" s="24">
        <v>0</v>
      </c>
      <c r="G18" s="355">
        <f>F18/'- 44 -'!I18*100</f>
        <v>0</v>
      </c>
      <c r="H18" s="24">
        <v>55098394</v>
      </c>
      <c r="I18" s="355">
        <f>H18/'- 44 -'!I18*100</f>
        <v>53.002684089906424</v>
      </c>
    </row>
    <row r="19" spans="1:9" ht="13.5" customHeight="1">
      <c r="A19" s="362" t="s">
        <v>223</v>
      </c>
      <c r="B19" s="363">
        <v>0</v>
      </c>
      <c r="C19" s="364">
        <f>B19/'- 44 -'!I19*100</f>
        <v>0</v>
      </c>
      <c r="D19" s="363">
        <v>8982107.93</v>
      </c>
      <c r="E19" s="364">
        <f>D19/'- 44 -'!I19*100</f>
        <v>30.057832790707067</v>
      </c>
      <c r="F19" s="363">
        <v>175000</v>
      </c>
      <c r="G19" s="364">
        <f>F19/'- 44 -'!I19*100</f>
        <v>0.5856220810713123</v>
      </c>
      <c r="H19" s="363">
        <v>0</v>
      </c>
      <c r="I19" s="364">
        <f>H19/'- 44 -'!I19*100</f>
        <v>0</v>
      </c>
    </row>
    <row r="20" spans="1:9" ht="13.5" customHeight="1">
      <c r="A20" s="23" t="s">
        <v>224</v>
      </c>
      <c r="B20" s="24">
        <v>0</v>
      </c>
      <c r="C20" s="355">
        <f>B20/'- 44 -'!I20*100</f>
        <v>0</v>
      </c>
      <c r="D20" s="24">
        <v>17067670.02</v>
      </c>
      <c r="E20" s="355">
        <f>D20/'- 44 -'!I20*100</f>
        <v>29.80774752356714</v>
      </c>
      <c r="F20" s="24">
        <v>182000</v>
      </c>
      <c r="G20" s="355">
        <f>F20/'- 44 -'!I20*100</f>
        <v>0.3178529959234131</v>
      </c>
      <c r="H20" s="24">
        <v>0</v>
      </c>
      <c r="I20" s="355">
        <f>H20/'- 44 -'!I20*100</f>
        <v>0</v>
      </c>
    </row>
    <row r="21" spans="1:9" ht="13.5" customHeight="1">
      <c r="A21" s="362" t="s">
        <v>225</v>
      </c>
      <c r="B21" s="363">
        <v>0</v>
      </c>
      <c r="C21" s="364">
        <f>B21/'- 44 -'!I21*100</f>
        <v>0</v>
      </c>
      <c r="D21" s="363">
        <v>9893125.76</v>
      </c>
      <c r="E21" s="364">
        <f>D21/'- 44 -'!I21*100</f>
        <v>33.57585528593246</v>
      </c>
      <c r="F21" s="363">
        <v>40000</v>
      </c>
      <c r="G21" s="364">
        <f>F21/'- 44 -'!I21*100</f>
        <v>0.13575428474461226</v>
      </c>
      <c r="H21" s="363">
        <v>0</v>
      </c>
      <c r="I21" s="364">
        <f>H21/'- 44 -'!I21*100</f>
        <v>0</v>
      </c>
    </row>
    <row r="22" spans="1:9" ht="13.5" customHeight="1">
      <c r="A22" s="23" t="s">
        <v>226</v>
      </c>
      <c r="B22" s="24">
        <v>18500</v>
      </c>
      <c r="C22" s="355">
        <f>B22/'- 44 -'!I22*100</f>
        <v>0.11412816630090132</v>
      </c>
      <c r="D22" s="24">
        <v>3298928.87</v>
      </c>
      <c r="E22" s="355">
        <f>D22/'- 44 -'!I22*100</f>
        <v>20.351389334605646</v>
      </c>
      <c r="F22" s="24">
        <v>5000</v>
      </c>
      <c r="G22" s="355">
        <f>F22/'- 44 -'!I22*100</f>
        <v>0.03084545035159495</v>
      </c>
      <c r="H22" s="24">
        <v>125000</v>
      </c>
      <c r="I22" s="355">
        <f>H22/'- 44 -'!I22*100</f>
        <v>0.7711362587898738</v>
      </c>
    </row>
    <row r="23" spans="1:9" ht="13.5" customHeight="1">
      <c r="A23" s="362" t="s">
        <v>227</v>
      </c>
      <c r="B23" s="363">
        <v>0</v>
      </c>
      <c r="C23" s="364">
        <f>B23/'- 44 -'!I23*100</f>
        <v>0</v>
      </c>
      <c r="D23" s="363">
        <v>3244618.45</v>
      </c>
      <c r="E23" s="364">
        <f>D23/'- 44 -'!I23*100</f>
        <v>23.98397585915604</v>
      </c>
      <c r="F23" s="363">
        <v>90000</v>
      </c>
      <c r="G23" s="364">
        <f>F23/'- 44 -'!I23*100</f>
        <v>0.6652732395465616</v>
      </c>
      <c r="H23" s="363">
        <v>600000</v>
      </c>
      <c r="I23" s="364">
        <f>H23/'- 44 -'!I23*100</f>
        <v>4.435154930310411</v>
      </c>
    </row>
    <row r="24" spans="1:9" ht="13.5" customHeight="1">
      <c r="A24" s="23" t="s">
        <v>228</v>
      </c>
      <c r="B24" s="24">
        <v>104730</v>
      </c>
      <c r="C24" s="355">
        <f>B24/'- 44 -'!I24*100</f>
        <v>0.2325451216472108</v>
      </c>
      <c r="D24" s="24">
        <v>16307398.1</v>
      </c>
      <c r="E24" s="355">
        <f>D24/'- 44 -'!I24*100</f>
        <v>36.209356200840205</v>
      </c>
      <c r="F24" s="24">
        <v>196300</v>
      </c>
      <c r="G24" s="355">
        <f>F24/'- 44 -'!I24*100</f>
        <v>0.43586944886228857</v>
      </c>
      <c r="H24" s="24">
        <v>376330</v>
      </c>
      <c r="I24" s="355">
        <f>H24/'- 44 -'!I24*100</f>
        <v>0.8356125812039993</v>
      </c>
    </row>
    <row r="25" spans="1:9" ht="13.5" customHeight="1">
      <c r="A25" s="362" t="s">
        <v>229</v>
      </c>
      <c r="B25" s="363">
        <v>20000</v>
      </c>
      <c r="C25" s="364">
        <f>B25/'- 44 -'!I25*100</f>
        <v>0.014812636589173568</v>
      </c>
      <c r="D25" s="363">
        <v>48057140.51</v>
      </c>
      <c r="E25" s="364">
        <f>D25/'- 44 -'!I25*100</f>
        <v>35.59264789447407</v>
      </c>
      <c r="F25" s="363">
        <v>475000</v>
      </c>
      <c r="G25" s="364">
        <f>F25/'- 44 -'!I25*100</f>
        <v>0.3518001189928723</v>
      </c>
      <c r="H25" s="363">
        <v>0</v>
      </c>
      <c r="I25" s="364">
        <f>H25/'- 44 -'!I25*100</f>
        <v>0</v>
      </c>
    </row>
    <row r="26" spans="1:9" ht="13.5" customHeight="1">
      <c r="A26" s="23" t="s">
        <v>230</v>
      </c>
      <c r="B26" s="24">
        <v>55900</v>
      </c>
      <c r="C26" s="355">
        <f>B26/'- 44 -'!I26*100</f>
        <v>0.16966926633977258</v>
      </c>
      <c r="D26" s="24">
        <v>9418500.5</v>
      </c>
      <c r="E26" s="355">
        <f>D26/'- 44 -'!I26*100</f>
        <v>28.587299997420057</v>
      </c>
      <c r="F26" s="24">
        <v>382733</v>
      </c>
      <c r="G26" s="355">
        <f>F26/'- 44 -'!I26*100</f>
        <v>1.161682062862615</v>
      </c>
      <c r="H26" s="24">
        <v>432286</v>
      </c>
      <c r="I26" s="355">
        <f>H26/'- 44 -'!I26*100</f>
        <v>1.3120867346861347</v>
      </c>
    </row>
    <row r="27" spans="1:9" ht="13.5" customHeight="1">
      <c r="A27" s="362" t="s">
        <v>231</v>
      </c>
      <c r="B27" s="363">
        <v>19745</v>
      </c>
      <c r="C27" s="364">
        <f>B27/'- 44 -'!I27*100</f>
        <v>0.056719129970773205</v>
      </c>
      <c r="D27" s="363">
        <v>7965396.28</v>
      </c>
      <c r="E27" s="364">
        <f>D27/'- 44 -'!I27*100</f>
        <v>22.88125332357728</v>
      </c>
      <c r="F27" s="363">
        <v>120000</v>
      </c>
      <c r="G27" s="364">
        <f>F27/'- 44 -'!I27*100</f>
        <v>0.3447098301591686</v>
      </c>
      <c r="H27" s="363">
        <v>500000</v>
      </c>
      <c r="I27" s="364">
        <f>H27/'- 44 -'!I27*100</f>
        <v>1.436290958996536</v>
      </c>
    </row>
    <row r="28" spans="1:9" ht="13.5" customHeight="1">
      <c r="A28" s="23" t="s">
        <v>232</v>
      </c>
      <c r="B28" s="24">
        <v>0</v>
      </c>
      <c r="C28" s="355">
        <f>B28/'- 44 -'!I28*100</f>
        <v>0</v>
      </c>
      <c r="D28" s="24">
        <v>5885590.96</v>
      </c>
      <c r="E28" s="355">
        <f>D28/'- 44 -'!I28*100</f>
        <v>31.341539110712812</v>
      </c>
      <c r="F28" s="24">
        <v>30500</v>
      </c>
      <c r="G28" s="355">
        <f>F28/'- 44 -'!I28*100</f>
        <v>0.1624164759959365</v>
      </c>
      <c r="H28" s="24">
        <v>1135680</v>
      </c>
      <c r="I28" s="355">
        <f>H28/'- 44 -'!I28*100</f>
        <v>6.047644047838202</v>
      </c>
    </row>
    <row r="29" spans="1:9" ht="13.5" customHeight="1">
      <c r="A29" s="362" t="s">
        <v>233</v>
      </c>
      <c r="B29" s="363">
        <v>12600</v>
      </c>
      <c r="C29" s="364">
        <f>B29/'- 44 -'!I29*100</f>
        <v>0.01007705637090938</v>
      </c>
      <c r="D29" s="363">
        <v>55097279.61</v>
      </c>
      <c r="E29" s="364">
        <f>D29/'- 44 -'!I29*100</f>
        <v>44.064951786803654</v>
      </c>
      <c r="F29" s="363">
        <v>657000</v>
      </c>
      <c r="G29" s="364">
        <f>F29/'- 44 -'!I29*100</f>
        <v>0.5254465107688463</v>
      </c>
      <c r="H29" s="363">
        <v>0</v>
      </c>
      <c r="I29" s="364">
        <f>H29/'- 44 -'!I29*100</f>
        <v>0</v>
      </c>
    </row>
    <row r="30" spans="1:9" ht="13.5" customHeight="1">
      <c r="A30" s="23" t="s">
        <v>234</v>
      </c>
      <c r="B30" s="24">
        <v>2000</v>
      </c>
      <c r="C30" s="355">
        <f>B30/'- 44 -'!I30*100</f>
        <v>0.017324804216718746</v>
      </c>
      <c r="D30" s="24">
        <v>3567758.1</v>
      </c>
      <c r="E30" s="355">
        <f>D30/'- 44 -'!I30*100</f>
        <v>30.905355287556237</v>
      </c>
      <c r="F30" s="24">
        <v>39000</v>
      </c>
      <c r="G30" s="355">
        <f>F30/'- 44 -'!I30*100</f>
        <v>0.33783368222601556</v>
      </c>
      <c r="H30" s="24">
        <v>0</v>
      </c>
      <c r="I30" s="355">
        <f>H30/'- 44 -'!I30*100</f>
        <v>0</v>
      </c>
    </row>
    <row r="31" spans="1:9" ht="13.5" customHeight="1">
      <c r="A31" s="362" t="s">
        <v>235</v>
      </c>
      <c r="B31" s="363">
        <v>20000</v>
      </c>
      <c r="C31" s="364">
        <f>B31/'- 44 -'!I31*100</f>
        <v>0.06736448866833307</v>
      </c>
      <c r="D31" s="363">
        <v>9747409.67</v>
      </c>
      <c r="E31" s="364">
        <f>D31/'- 44 -'!I31*100</f>
        <v>32.831463413015754</v>
      </c>
      <c r="F31" s="363">
        <v>25000</v>
      </c>
      <c r="G31" s="364">
        <f>F31/'- 44 -'!I31*100</f>
        <v>0.08420561083541633</v>
      </c>
      <c r="H31" s="363">
        <v>685000</v>
      </c>
      <c r="I31" s="364">
        <f>H31/'- 44 -'!I31*100</f>
        <v>2.3072337368904074</v>
      </c>
    </row>
    <row r="32" spans="1:9" ht="13.5" customHeight="1">
      <c r="A32" s="23" t="s">
        <v>236</v>
      </c>
      <c r="B32" s="24">
        <v>0</v>
      </c>
      <c r="C32" s="355">
        <f>B32/'- 44 -'!I32*100</f>
        <v>0</v>
      </c>
      <c r="D32" s="24">
        <v>8280665.35</v>
      </c>
      <c r="E32" s="355">
        <f>D32/'- 44 -'!I32*100</f>
        <v>37.3108456076002</v>
      </c>
      <c r="F32" s="24">
        <v>107000</v>
      </c>
      <c r="G32" s="355">
        <f>F32/'- 44 -'!I32*100</f>
        <v>0.48211832156859497</v>
      </c>
      <c r="H32" s="24">
        <v>0</v>
      </c>
      <c r="I32" s="355">
        <f>H32/'- 44 -'!I32*100</f>
        <v>0</v>
      </c>
    </row>
    <row r="33" spans="1:9" ht="13.5" customHeight="1">
      <c r="A33" s="362" t="s">
        <v>237</v>
      </c>
      <c r="B33" s="363">
        <v>0</v>
      </c>
      <c r="C33" s="364">
        <f>B33/'- 44 -'!I33*100</f>
        <v>0</v>
      </c>
      <c r="D33" s="363">
        <v>8097460.32</v>
      </c>
      <c r="E33" s="364">
        <f>D33/'- 44 -'!I33*100</f>
        <v>34.420843128815775</v>
      </c>
      <c r="F33" s="363">
        <v>25000</v>
      </c>
      <c r="G33" s="364">
        <f>F33/'- 44 -'!I33*100</f>
        <v>0.1062704902789069</v>
      </c>
      <c r="H33" s="363">
        <v>200000</v>
      </c>
      <c r="I33" s="364">
        <f>H33/'- 44 -'!I33*100</f>
        <v>0.8501639222312553</v>
      </c>
    </row>
    <row r="34" spans="1:9" ht="13.5" customHeight="1">
      <c r="A34" s="23" t="s">
        <v>238</v>
      </c>
      <c r="B34" s="24">
        <v>19600</v>
      </c>
      <c r="C34" s="355">
        <f>B34/'- 44 -'!I34*100</f>
        <v>0.09164248154561216</v>
      </c>
      <c r="D34" s="24">
        <v>7768354.48</v>
      </c>
      <c r="E34" s="355">
        <f>D34/'- 44 -'!I34*100</f>
        <v>36.32200418740682</v>
      </c>
      <c r="F34" s="24">
        <v>557000</v>
      </c>
      <c r="G34" s="355">
        <f>F34/'- 44 -'!I34*100</f>
        <v>2.604329705148264</v>
      </c>
      <c r="H34" s="24">
        <v>0</v>
      </c>
      <c r="I34" s="355">
        <f>H34/'- 44 -'!I34*100</f>
        <v>0</v>
      </c>
    </row>
    <row r="35" spans="1:9" ht="13.5" customHeight="1">
      <c r="A35" s="362" t="s">
        <v>239</v>
      </c>
      <c r="B35" s="363">
        <v>12000</v>
      </c>
      <c r="C35" s="364">
        <f>B35/'- 44 -'!I35*100</f>
        <v>0.007869995750071128</v>
      </c>
      <c r="D35" s="363">
        <v>48960789.59</v>
      </c>
      <c r="E35" s="364">
        <f>D35/'- 44 -'!I35*100</f>
        <v>32.11010049945223</v>
      </c>
      <c r="F35" s="363">
        <v>290000</v>
      </c>
      <c r="G35" s="364">
        <f>F35/'- 44 -'!I35*100</f>
        <v>0.19019156396005227</v>
      </c>
      <c r="H35" s="363">
        <v>0</v>
      </c>
      <c r="I35" s="364">
        <f>H35/'- 44 -'!I35*100</f>
        <v>0</v>
      </c>
    </row>
    <row r="36" spans="1:9" ht="13.5" customHeight="1">
      <c r="A36" s="23" t="s">
        <v>240</v>
      </c>
      <c r="B36" s="24">
        <v>58500</v>
      </c>
      <c r="C36" s="355">
        <f>B36/'- 44 -'!I36*100</f>
        <v>0.29847121512988856</v>
      </c>
      <c r="D36" s="24">
        <v>6501030.7</v>
      </c>
      <c r="E36" s="355">
        <f>D36/'- 44 -'!I36*100</f>
        <v>33.16872705343094</v>
      </c>
      <c r="F36" s="24">
        <v>82000</v>
      </c>
      <c r="G36" s="355">
        <f>F36/'- 44 -'!I36*100</f>
        <v>0.41836990838719423</v>
      </c>
      <c r="H36" s="24">
        <v>1169500</v>
      </c>
      <c r="I36" s="355">
        <f>H36/'- 44 -'!I36*100</f>
        <v>5.96687326657102</v>
      </c>
    </row>
    <row r="37" spans="1:9" ht="13.5" customHeight="1">
      <c r="A37" s="362" t="s">
        <v>241</v>
      </c>
      <c r="B37" s="363">
        <v>15000</v>
      </c>
      <c r="C37" s="364">
        <f>B37/'- 44 -'!I37*100</f>
        <v>0.04402314748834443</v>
      </c>
      <c r="D37" s="363">
        <v>9740998.01</v>
      </c>
      <c r="E37" s="364">
        <f>D37/'- 44 -'!I37*100</f>
        <v>28.588626138526642</v>
      </c>
      <c r="F37" s="363">
        <v>180000</v>
      </c>
      <c r="G37" s="364">
        <f>F37/'- 44 -'!I37*100</f>
        <v>0.5282777698601332</v>
      </c>
      <c r="H37" s="363">
        <v>0</v>
      </c>
      <c r="I37" s="364">
        <f>H37/'- 44 -'!I37*100</f>
        <v>0</v>
      </c>
    </row>
    <row r="38" spans="1:9" ht="13.5" customHeight="1">
      <c r="A38" s="23" t="s">
        <v>242</v>
      </c>
      <c r="B38" s="24">
        <v>6000</v>
      </c>
      <c r="C38" s="355">
        <f>B38/'- 44 -'!I38*100</f>
        <v>0.006974116728116384</v>
      </c>
      <c r="D38" s="24">
        <v>27306481.96</v>
      </c>
      <c r="E38" s="355">
        <f>D38/'- 44 -'!I38*100</f>
        <v>31.739765437207378</v>
      </c>
      <c r="F38" s="24">
        <v>780000</v>
      </c>
      <c r="G38" s="355">
        <f>F38/'- 44 -'!I38*100</f>
        <v>0.9066351746551299</v>
      </c>
      <c r="H38" s="24">
        <v>160000</v>
      </c>
      <c r="I38" s="355">
        <f>H38/'- 44 -'!I38*100</f>
        <v>0.18597644608310357</v>
      </c>
    </row>
    <row r="39" spans="1:9" ht="13.5" customHeight="1">
      <c r="A39" s="362" t="s">
        <v>243</v>
      </c>
      <c r="B39" s="363">
        <v>0</v>
      </c>
      <c r="C39" s="364">
        <f>B39/'- 44 -'!I39*100</f>
        <v>0</v>
      </c>
      <c r="D39" s="363">
        <v>7113712.46</v>
      </c>
      <c r="E39" s="364">
        <f>D39/'- 44 -'!I39*100</f>
        <v>40.46755660965331</v>
      </c>
      <c r="F39" s="363">
        <v>100000</v>
      </c>
      <c r="G39" s="364">
        <f>F39/'- 44 -'!I39*100</f>
        <v>0.5688669149505279</v>
      </c>
      <c r="H39" s="363">
        <v>0</v>
      </c>
      <c r="I39" s="364">
        <f>H39/'- 44 -'!I39*100</f>
        <v>0</v>
      </c>
    </row>
    <row r="40" spans="1:9" ht="13.5" customHeight="1">
      <c r="A40" s="23" t="s">
        <v>244</v>
      </c>
      <c r="B40" s="24">
        <v>9800</v>
      </c>
      <c r="C40" s="355">
        <f>B40/'- 44 -'!I40*100</f>
        <v>0.011378081011634936</v>
      </c>
      <c r="D40" s="24">
        <v>34579364.269999996</v>
      </c>
      <c r="E40" s="355">
        <f>D40/'- 44 -'!I40*100</f>
        <v>40.147633468866786</v>
      </c>
      <c r="F40" s="24">
        <v>775000</v>
      </c>
      <c r="G40" s="355">
        <f>F40/'- 44 -'!I40*100</f>
        <v>0.8997972228588853</v>
      </c>
      <c r="H40" s="24">
        <v>29000</v>
      </c>
      <c r="I40" s="355">
        <f>H40/'- 44 -'!I40*100</f>
        <v>0.033669831565042156</v>
      </c>
    </row>
    <row r="41" spans="1:9" ht="13.5" customHeight="1">
      <c r="A41" s="362" t="s">
        <v>245</v>
      </c>
      <c r="B41" s="363">
        <v>0</v>
      </c>
      <c r="C41" s="364">
        <f>B41/'- 44 -'!I41*100</f>
        <v>0</v>
      </c>
      <c r="D41" s="363">
        <v>20970979.27</v>
      </c>
      <c r="E41" s="364">
        <f>D41/'- 44 -'!I41*100</f>
        <v>39.856880132770996</v>
      </c>
      <c r="F41" s="363">
        <v>106770</v>
      </c>
      <c r="G41" s="364">
        <f>F41/'- 44 -'!I41*100</f>
        <v>0.2029241952407862</v>
      </c>
      <c r="H41" s="363">
        <v>359856</v>
      </c>
      <c r="I41" s="364">
        <f>H41/'- 44 -'!I41*100</f>
        <v>0.6839326515179203</v>
      </c>
    </row>
    <row r="42" spans="1:9" ht="13.5" customHeight="1">
      <c r="A42" s="23" t="s">
        <v>246</v>
      </c>
      <c r="B42" s="24">
        <v>0</v>
      </c>
      <c r="C42" s="355">
        <f>B42/'- 44 -'!I42*100</f>
        <v>0</v>
      </c>
      <c r="D42" s="24">
        <v>5024922.24</v>
      </c>
      <c r="E42" s="355">
        <f>D42/'- 44 -'!I42*100</f>
        <v>28.57597291604147</v>
      </c>
      <c r="F42" s="24">
        <v>47700</v>
      </c>
      <c r="G42" s="355">
        <f>F42/'- 44 -'!I42*100</f>
        <v>0.27126268686203153</v>
      </c>
      <c r="H42" s="24">
        <v>74700</v>
      </c>
      <c r="I42" s="355">
        <f>H42/'- 44 -'!I42*100</f>
        <v>0.4248076039537475</v>
      </c>
    </row>
    <row r="43" spans="1:9" ht="13.5" customHeight="1">
      <c r="A43" s="362" t="s">
        <v>247</v>
      </c>
      <c r="B43" s="363">
        <v>0</v>
      </c>
      <c r="C43" s="364">
        <f>B43/'- 44 -'!I43*100</f>
        <v>0</v>
      </c>
      <c r="D43" s="363">
        <v>3586250.18</v>
      </c>
      <c r="E43" s="364">
        <f>D43/'- 44 -'!I43*100</f>
        <v>34.16215565882446</v>
      </c>
      <c r="F43" s="363">
        <v>26000</v>
      </c>
      <c r="G43" s="364">
        <f>F43/'- 44 -'!I43*100</f>
        <v>0.24767263926060956</v>
      </c>
      <c r="H43" s="363">
        <v>0</v>
      </c>
      <c r="I43" s="364">
        <f>H43/'- 44 -'!I43*100</f>
        <v>0</v>
      </c>
    </row>
    <row r="44" spans="1:9" ht="13.5" customHeight="1">
      <c r="A44" s="23" t="s">
        <v>248</v>
      </c>
      <c r="B44" s="24">
        <v>9952</v>
      </c>
      <c r="C44" s="355">
        <f>B44/'- 44 -'!I44*100</f>
        <v>0.1140483710862626</v>
      </c>
      <c r="D44" s="24">
        <v>2401017.48</v>
      </c>
      <c r="E44" s="355">
        <f>D44/'- 44 -'!I44*100</f>
        <v>27.515286630189216</v>
      </c>
      <c r="F44" s="24">
        <v>20800</v>
      </c>
      <c r="G44" s="355">
        <f>F44/'- 44 -'!I44*100</f>
        <v>0.23836476272048454</v>
      </c>
      <c r="H44" s="24">
        <v>0</v>
      </c>
      <c r="I44" s="355">
        <f>H44/'- 44 -'!I44*100</f>
        <v>0</v>
      </c>
    </row>
    <row r="45" spans="1:9" ht="13.5" customHeight="1">
      <c r="A45" s="362" t="s">
        <v>249</v>
      </c>
      <c r="B45" s="363">
        <v>0</v>
      </c>
      <c r="C45" s="364">
        <f>B45/'- 44 -'!I45*100</f>
        <v>0</v>
      </c>
      <c r="D45" s="363">
        <v>3942990.08</v>
      </c>
      <c r="E45" s="364">
        <f>D45/'- 44 -'!I45*100</f>
        <v>29.43454462674134</v>
      </c>
      <c r="F45" s="363">
        <v>28600</v>
      </c>
      <c r="G45" s="364">
        <f>F45/'- 44 -'!I45*100</f>
        <v>0.2134998970945426</v>
      </c>
      <c r="H45" s="363">
        <v>0</v>
      </c>
      <c r="I45" s="364">
        <f>H45/'- 44 -'!I45*100</f>
        <v>0</v>
      </c>
    </row>
    <row r="46" spans="1:9" ht="13.5" customHeight="1">
      <c r="A46" s="23" t="s">
        <v>250</v>
      </c>
      <c r="B46" s="24">
        <v>10000</v>
      </c>
      <c r="C46" s="355">
        <f>B46/'- 44 -'!I46*100</f>
        <v>0.003239924159855266</v>
      </c>
      <c r="D46" s="24">
        <v>109261242.58</v>
      </c>
      <c r="E46" s="355">
        <f>D46/'- 44 -'!I46*100</f>
        <v>35.39981395707489</v>
      </c>
      <c r="F46" s="24">
        <v>2050000</v>
      </c>
      <c r="G46" s="355">
        <f>F46/'- 44 -'!I46*100</f>
        <v>0.6641844527703296</v>
      </c>
      <c r="H46" s="24">
        <v>2500000</v>
      </c>
      <c r="I46" s="355">
        <f>H46/'- 44 -'!I46*100</f>
        <v>0.8099810399638165</v>
      </c>
    </row>
    <row r="47" spans="1:9" ht="4.5" customHeight="1">
      <c r="A47"/>
      <c r="B47"/>
      <c r="C47"/>
      <c r="D47"/>
      <c r="E47"/>
      <c r="F47"/>
      <c r="G47"/>
      <c r="H47"/>
      <c r="I47"/>
    </row>
    <row r="48" spans="1:9" ht="13.5" customHeight="1">
      <c r="A48" s="365" t="s">
        <v>251</v>
      </c>
      <c r="B48" s="366">
        <f>SUM(B11:B46)</f>
        <v>505927</v>
      </c>
      <c r="C48" s="367">
        <f>B48/'- 44 -'!I48*100</f>
        <v>0.028801825816296162</v>
      </c>
      <c r="D48" s="366">
        <f>SUM(D11:D46)</f>
        <v>571495344.05</v>
      </c>
      <c r="E48" s="367">
        <f>D48/'- 44 -'!I48*100</f>
        <v>32.534554103956395</v>
      </c>
      <c r="F48" s="366">
        <f>SUM(F11:F46)</f>
        <v>9123534</v>
      </c>
      <c r="G48" s="367">
        <f>F48/'- 44 -'!I48*100</f>
        <v>0.5193920014094044</v>
      </c>
      <c r="H48" s="366">
        <f>SUM(H11:H46)</f>
        <v>64790906</v>
      </c>
      <c r="I48" s="367">
        <f>H48/'- 44 -'!I48*100</f>
        <v>3.688469658848051</v>
      </c>
    </row>
    <row r="49" spans="1:9" ht="4.5" customHeight="1">
      <c r="A49" s="25" t="s">
        <v>3</v>
      </c>
      <c r="B49" s="26"/>
      <c r="C49" s="353"/>
      <c r="D49" s="26"/>
      <c r="E49" s="353"/>
      <c r="F49" s="26"/>
      <c r="G49" s="353"/>
      <c r="H49" s="26"/>
      <c r="I49" s="353"/>
    </row>
    <row r="50" spans="1:9" ht="13.5" customHeight="1">
      <c r="A50" s="23" t="s">
        <v>252</v>
      </c>
      <c r="B50" s="24">
        <v>0</v>
      </c>
      <c r="C50" s="355">
        <f>B50/'- 44 -'!I50*100</f>
        <v>0</v>
      </c>
      <c r="D50" s="24">
        <v>1718643.86</v>
      </c>
      <c r="E50" s="355">
        <f>D50/'- 44 -'!I50*100</f>
        <v>58.28157700103396</v>
      </c>
      <c r="F50" s="24">
        <v>29900</v>
      </c>
      <c r="G50" s="355">
        <f>F50/'- 44 -'!I50*100</f>
        <v>1.0139501224709322</v>
      </c>
      <c r="H50" s="24">
        <v>0</v>
      </c>
      <c r="I50" s="355">
        <f>H50/'- 44 -'!I50*100</f>
        <v>0</v>
      </c>
    </row>
    <row r="51" spans="1:9" ht="13.5" customHeight="1">
      <c r="A51" s="362" t="s">
        <v>253</v>
      </c>
      <c r="B51" s="363">
        <v>0</v>
      </c>
      <c r="C51" s="364">
        <f>B51/'- 44 -'!I51*100</f>
        <v>0</v>
      </c>
      <c r="D51" s="363">
        <v>0</v>
      </c>
      <c r="E51" s="364">
        <f>D51/'- 44 -'!I51*100</f>
        <v>0</v>
      </c>
      <c r="F51" s="363">
        <v>1595621</v>
      </c>
      <c r="G51" s="364">
        <f>F51/'- 44 -'!I51*100</f>
        <v>12.75480803011553</v>
      </c>
      <c r="H51" s="363">
        <v>0</v>
      </c>
      <c r="I51" s="364">
        <f>H51/'- 44 -'!I51*100</f>
        <v>0</v>
      </c>
    </row>
    <row r="52" spans="1:9" ht="49.5" customHeight="1">
      <c r="A52" s="27"/>
      <c r="B52" s="27"/>
      <c r="C52" s="27"/>
      <c r="D52" s="27"/>
      <c r="E52" s="27"/>
      <c r="F52" s="27"/>
      <c r="G52" s="27"/>
      <c r="H52" s="27"/>
      <c r="I52" s="27"/>
    </row>
    <row r="53" spans="1:9" ht="14.25" customHeight="1">
      <c r="A53" s="504" t="s">
        <v>513</v>
      </c>
      <c r="D53" s="39"/>
      <c r="E53" s="262"/>
      <c r="F53" s="262"/>
      <c r="G53" s="262"/>
      <c r="H53" s="262"/>
      <c r="I53" s="262"/>
    </row>
    <row r="54" ht="12" customHeight="1">
      <c r="A54" s="1" t="s">
        <v>432</v>
      </c>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3"/>
  <sheetViews>
    <sheetView showGridLines="0" showZeros="0" workbookViewId="0" topLeftCell="A1">
      <selection activeCell="A3" sqref="A3"/>
    </sheetView>
  </sheetViews>
  <sheetFormatPr defaultColWidth="15.83203125" defaultRowHeight="12"/>
  <cols>
    <col min="1" max="1" width="33.83203125" style="1" customWidth="1"/>
    <col min="2" max="2" width="16.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4.83203125" style="1" customWidth="1"/>
    <col min="9" max="9" width="19.83203125" style="1" customWidth="1"/>
    <col min="10" max="16384" width="15.83203125" style="1" customWidth="1"/>
  </cols>
  <sheetData>
    <row r="1" ht="6.75" customHeight="1">
      <c r="A1" s="3"/>
    </row>
    <row r="2" spans="1:9" ht="15.75" customHeight="1">
      <c r="A2" s="255"/>
      <c r="B2" s="75" t="str">
        <f>REVYEAR</f>
        <v> ANALYSIS OF OPERATING FUND REVENUE: 2008/2009 BUDGET</v>
      </c>
      <c r="C2" s="135"/>
      <c r="D2" s="135"/>
      <c r="E2" s="135"/>
      <c r="F2" s="135"/>
      <c r="G2" s="263"/>
      <c r="H2" s="136"/>
      <c r="I2" s="257" t="s">
        <v>5</v>
      </c>
    </row>
    <row r="3" ht="15.75" customHeight="1">
      <c r="A3" s="252"/>
    </row>
    <row r="4" spans="2:9" ht="15.75" customHeight="1">
      <c r="B4" s="77"/>
      <c r="C4" s="4"/>
      <c r="D4" s="4"/>
      <c r="E4" s="4"/>
      <c r="F4" s="4"/>
      <c r="G4" s="4"/>
      <c r="H4" s="4"/>
      <c r="I4" s="4"/>
    </row>
    <row r="5" spans="2:9" ht="15.75" customHeight="1">
      <c r="B5" s="4"/>
      <c r="C5" s="4"/>
      <c r="D5" s="4"/>
      <c r="E5" s="4"/>
      <c r="F5" s="4"/>
      <c r="G5" s="4"/>
      <c r="H5" s="4"/>
      <c r="I5" s="4"/>
    </row>
    <row r="6" spans="2:9" ht="15.75" customHeight="1">
      <c r="B6" s="356" t="s">
        <v>97</v>
      </c>
      <c r="C6" s="358"/>
      <c r="D6" s="369"/>
      <c r="E6" s="369"/>
      <c r="F6" s="356" t="s">
        <v>54</v>
      </c>
      <c r="G6" s="358"/>
      <c r="H6" s="4"/>
      <c r="I6" s="447" t="s">
        <v>54</v>
      </c>
    </row>
    <row r="7" spans="2:9" ht="15.75" customHeight="1">
      <c r="B7" s="436" t="s">
        <v>103</v>
      </c>
      <c r="C7" s="445"/>
      <c r="D7" s="446"/>
      <c r="E7" s="446"/>
      <c r="F7" s="436" t="s">
        <v>104</v>
      </c>
      <c r="G7" s="445"/>
      <c r="H7" s="4"/>
      <c r="I7" s="448" t="s">
        <v>105</v>
      </c>
    </row>
    <row r="8" spans="1:9" ht="15.75" customHeight="1">
      <c r="A8" s="104"/>
      <c r="B8" s="360" t="s">
        <v>122</v>
      </c>
      <c r="C8" s="361"/>
      <c r="D8" s="360" t="s">
        <v>44</v>
      </c>
      <c r="E8" s="360"/>
      <c r="F8" s="359" t="s">
        <v>123</v>
      </c>
      <c r="G8" s="361"/>
      <c r="H8" s="4"/>
      <c r="I8" s="449" t="s">
        <v>118</v>
      </c>
    </row>
    <row r="9" spans="1:9" ht="15.75" customHeight="1">
      <c r="A9" s="35" t="s">
        <v>79</v>
      </c>
      <c r="B9" s="200" t="s">
        <v>123</v>
      </c>
      <c r="C9" s="253" t="s">
        <v>81</v>
      </c>
      <c r="D9" s="264" t="s">
        <v>123</v>
      </c>
      <c r="E9" s="264" t="s">
        <v>81</v>
      </c>
      <c r="F9" s="253" t="s">
        <v>123</v>
      </c>
      <c r="G9" s="264" t="s">
        <v>81</v>
      </c>
      <c r="H9" s="4"/>
      <c r="I9" s="264" t="s">
        <v>123</v>
      </c>
    </row>
    <row r="10" spans="1:9" ht="4.5" customHeight="1">
      <c r="A10" s="37"/>
      <c r="B10" s="254"/>
      <c r="C10" s="254"/>
      <c r="D10" s="254"/>
      <c r="E10" s="254"/>
      <c r="F10" s="254"/>
      <c r="G10" s="3"/>
      <c r="H10" s="3"/>
      <c r="I10" s="254"/>
    </row>
    <row r="11" spans="1:9" ht="13.5" customHeight="1">
      <c r="A11" s="362" t="s">
        <v>216</v>
      </c>
      <c r="B11" s="363">
        <v>129400</v>
      </c>
      <c r="C11" s="364">
        <f>B11/I11*100</f>
        <v>0.950751233074387</v>
      </c>
      <c r="D11" s="363">
        <v>15000</v>
      </c>
      <c r="E11" s="364">
        <f>D11/I11*100</f>
        <v>0.1102107302636461</v>
      </c>
      <c r="F11" s="363">
        <f>SUM('- 43 -'!B11,'- 43 -'!D11,'- 43 -'!F11,'- 43 -'!H11,B11,D11)</f>
        <v>5358483.51</v>
      </c>
      <c r="G11" s="364">
        <f>F11/I11*100</f>
        <v>39.37082538285371</v>
      </c>
      <c r="I11" s="363">
        <f>SUM('- 42 -'!H11,F11)</f>
        <v>13610290</v>
      </c>
    </row>
    <row r="12" spans="1:9" ht="13.5" customHeight="1">
      <c r="A12" s="23" t="s">
        <v>217</v>
      </c>
      <c r="B12" s="24">
        <v>187180</v>
      </c>
      <c r="C12" s="355">
        <f aca="true" t="shared" si="0" ref="C12:C46">B12/I12*100</f>
        <v>0.7421912993910804</v>
      </c>
      <c r="D12" s="24">
        <v>95472</v>
      </c>
      <c r="E12" s="355">
        <f aca="true" t="shared" si="1" ref="E12:E48">D12/I12*100</f>
        <v>0.37855800692095964</v>
      </c>
      <c r="F12" s="24">
        <f>SUM('- 43 -'!B12,'- 43 -'!D12,'- 43 -'!F12,'- 43 -'!H12,B12,D12)</f>
        <v>9208134.85</v>
      </c>
      <c r="G12" s="355">
        <f aca="true" t="shared" si="2" ref="G12:G48">F12/I12*100</f>
        <v>36.51136643492783</v>
      </c>
      <c r="I12" s="24">
        <f>SUM('- 42 -'!H12,F12)</f>
        <v>25219913</v>
      </c>
    </row>
    <row r="13" spans="1:9" ht="13.5" customHeight="1">
      <c r="A13" s="362" t="s">
        <v>218</v>
      </c>
      <c r="B13" s="363">
        <v>576600</v>
      </c>
      <c r="C13" s="364">
        <f t="shared" si="0"/>
        <v>0.972905115597866</v>
      </c>
      <c r="D13" s="363">
        <v>163400</v>
      </c>
      <c r="E13" s="364">
        <f t="shared" si="1"/>
        <v>0.27570706883227764</v>
      </c>
      <c r="F13" s="363">
        <f>SUM('- 43 -'!B13,'- 43 -'!D13,'- 43 -'!F13,'- 43 -'!H13,B13,D13)</f>
        <v>23572800</v>
      </c>
      <c r="G13" s="364">
        <f t="shared" si="2"/>
        <v>39.774709866398496</v>
      </c>
      <c r="I13" s="363">
        <f>SUM('- 42 -'!H13,F13)</f>
        <v>59265800</v>
      </c>
    </row>
    <row r="14" spans="1:9" ht="13.5" customHeight="1">
      <c r="A14" s="23" t="s">
        <v>254</v>
      </c>
      <c r="B14" s="24">
        <v>70000</v>
      </c>
      <c r="C14" s="355">
        <f t="shared" si="0"/>
        <v>0.12114501211977968</v>
      </c>
      <c r="D14" s="24">
        <v>20000</v>
      </c>
      <c r="E14" s="355">
        <f t="shared" si="1"/>
        <v>0.03461286060565134</v>
      </c>
      <c r="F14" s="24">
        <f>SUM('- 43 -'!B14,'- 43 -'!D14,'- 43 -'!F14,'- 43 -'!H14,B14,D14)</f>
        <v>15807893</v>
      </c>
      <c r="G14" s="355">
        <f t="shared" si="2"/>
        <v>27.357819843902575</v>
      </c>
      <c r="I14" s="24">
        <f>SUM('- 42 -'!H14,F14)</f>
        <v>57781991</v>
      </c>
    </row>
    <row r="15" spans="1:9" ht="13.5" customHeight="1">
      <c r="A15" s="362" t="s">
        <v>219</v>
      </c>
      <c r="B15" s="363">
        <v>32500</v>
      </c>
      <c r="C15" s="364">
        <f t="shared" si="0"/>
        <v>0.19695804660281913</v>
      </c>
      <c r="D15" s="363">
        <v>20000</v>
      </c>
      <c r="E15" s="364">
        <f t="shared" si="1"/>
        <v>0.121204951755581</v>
      </c>
      <c r="F15" s="363">
        <f>SUM('- 43 -'!B15,'- 43 -'!D15,'- 43 -'!F15,'- 43 -'!H15,B15,D15)</f>
        <v>6426262.76</v>
      </c>
      <c r="G15" s="364">
        <f t="shared" si="2"/>
        <v>38.94474338972434</v>
      </c>
      <c r="I15" s="363">
        <f>SUM('- 42 -'!H15,F15)</f>
        <v>16500976</v>
      </c>
    </row>
    <row r="16" spans="1:9" ht="13.5" customHeight="1">
      <c r="A16" s="23" t="s">
        <v>220</v>
      </c>
      <c r="B16" s="24">
        <v>245850</v>
      </c>
      <c r="C16" s="355">
        <f t="shared" si="0"/>
        <v>2.144109820284613</v>
      </c>
      <c r="D16" s="24">
        <v>44700</v>
      </c>
      <c r="E16" s="355">
        <f t="shared" si="1"/>
        <v>0.38983814914265696</v>
      </c>
      <c r="F16" s="24">
        <f>SUM('- 43 -'!B16,'- 43 -'!D16,'- 43 -'!F16,'- 43 -'!H16,B16,D16)</f>
        <v>3739390.59</v>
      </c>
      <c r="G16" s="355">
        <f t="shared" si="2"/>
        <v>32.61201580597468</v>
      </c>
      <c r="I16" s="24">
        <f>SUM('- 42 -'!H16,F16)</f>
        <v>11466297</v>
      </c>
    </row>
    <row r="17" spans="1:9" ht="13.5" customHeight="1">
      <c r="A17" s="362" t="s">
        <v>221</v>
      </c>
      <c r="B17" s="363">
        <v>3200</v>
      </c>
      <c r="C17" s="364">
        <f t="shared" si="0"/>
        <v>0.02118577441453609</v>
      </c>
      <c r="D17" s="363">
        <v>23250</v>
      </c>
      <c r="E17" s="364">
        <f t="shared" si="1"/>
        <v>0.1539278922306138</v>
      </c>
      <c r="F17" s="363">
        <f>SUM('- 43 -'!B17,'- 43 -'!D17,'- 43 -'!F17,'- 43 -'!H17,B17,D17)</f>
        <v>6839086.63</v>
      </c>
      <c r="G17" s="364">
        <f t="shared" si="2"/>
        <v>45.27854579520308</v>
      </c>
      <c r="I17" s="363">
        <f>SUM('- 42 -'!H17,F17)</f>
        <v>15104475</v>
      </c>
    </row>
    <row r="18" spans="1:9" ht="13.5" customHeight="1">
      <c r="A18" s="23" t="s">
        <v>222</v>
      </c>
      <c r="B18" s="24">
        <v>4025934</v>
      </c>
      <c r="C18" s="355">
        <f t="shared" si="0"/>
        <v>3.8728044953327196</v>
      </c>
      <c r="D18" s="24">
        <v>505403</v>
      </c>
      <c r="E18" s="355">
        <f t="shared" si="1"/>
        <v>0.48617960710598895</v>
      </c>
      <c r="F18" s="24">
        <f>SUM('- 43 -'!B18,'- 43 -'!D18,'- 43 -'!F18,'- 43 -'!H18,B18,D18)</f>
        <v>62717282.98</v>
      </c>
      <c r="G18" s="355">
        <f t="shared" si="2"/>
        <v>60.331782751530014</v>
      </c>
      <c r="I18" s="24">
        <f>SUM('- 42 -'!H18,F18)</f>
        <v>103953969.4</v>
      </c>
    </row>
    <row r="19" spans="1:9" ht="13.5" customHeight="1">
      <c r="A19" s="362" t="s">
        <v>223</v>
      </c>
      <c r="B19" s="363">
        <v>0</v>
      </c>
      <c r="C19" s="364">
        <f t="shared" si="0"/>
        <v>0</v>
      </c>
      <c r="D19" s="363">
        <v>140000</v>
      </c>
      <c r="E19" s="364">
        <f t="shared" si="1"/>
        <v>0.4684976648570498</v>
      </c>
      <c r="F19" s="363">
        <f>SUM('- 43 -'!B19,'- 43 -'!D19,'- 43 -'!F19,'- 43 -'!H19,B19,D19)</f>
        <v>9297107.93</v>
      </c>
      <c r="G19" s="364">
        <f t="shared" si="2"/>
        <v>31.111952536635428</v>
      </c>
      <c r="I19" s="363">
        <f>SUM('- 42 -'!H19,F19)</f>
        <v>29882753</v>
      </c>
    </row>
    <row r="20" spans="1:9" ht="13.5" customHeight="1">
      <c r="A20" s="23" t="s">
        <v>224</v>
      </c>
      <c r="B20" s="24">
        <v>403500</v>
      </c>
      <c r="C20" s="355">
        <f t="shared" si="0"/>
        <v>0.7046905706324021</v>
      </c>
      <c r="D20" s="24">
        <v>165000</v>
      </c>
      <c r="E20" s="355">
        <f t="shared" si="1"/>
        <v>0.28816343037012726</v>
      </c>
      <c r="F20" s="24">
        <f>SUM('- 43 -'!B20,'- 43 -'!D20,'- 43 -'!F20,'- 43 -'!H20,B20,D20)</f>
        <v>17818170.02</v>
      </c>
      <c r="G20" s="355">
        <f t="shared" si="2"/>
        <v>31.11845452049308</v>
      </c>
      <c r="I20" s="24">
        <f>SUM('- 42 -'!H20,F20)</f>
        <v>57259174</v>
      </c>
    </row>
    <row r="21" spans="1:9" ht="13.5" customHeight="1">
      <c r="A21" s="362" t="s">
        <v>225</v>
      </c>
      <c r="B21" s="363">
        <v>176075</v>
      </c>
      <c r="C21" s="364">
        <f t="shared" si="0"/>
        <v>0.59757339216019</v>
      </c>
      <c r="D21" s="363">
        <v>74407</v>
      </c>
      <c r="E21" s="364">
        <f t="shared" si="1"/>
        <v>0.25252672662480913</v>
      </c>
      <c r="F21" s="363">
        <f>SUM('- 43 -'!B21,'- 43 -'!D21,'- 43 -'!F21,'- 43 -'!H21,B21,D21)</f>
        <v>10183607.76</v>
      </c>
      <c r="G21" s="364">
        <f t="shared" si="2"/>
        <v>34.56170968946207</v>
      </c>
      <c r="I21" s="363">
        <f>SUM('- 42 -'!H21,F21)</f>
        <v>29465000</v>
      </c>
    </row>
    <row r="22" spans="1:9" ht="13.5" customHeight="1">
      <c r="A22" s="23" t="s">
        <v>226</v>
      </c>
      <c r="B22" s="24">
        <v>25000</v>
      </c>
      <c r="C22" s="355">
        <f t="shared" si="0"/>
        <v>0.15422725175797475</v>
      </c>
      <c r="D22" s="24">
        <v>72000</v>
      </c>
      <c r="E22" s="355">
        <f t="shared" si="1"/>
        <v>0.44417448506296725</v>
      </c>
      <c r="F22" s="24">
        <f>SUM('- 43 -'!B22,'- 43 -'!D22,'- 43 -'!F22,'- 43 -'!H22,B22,D22)</f>
        <v>3544428.87</v>
      </c>
      <c r="G22" s="355">
        <f t="shared" si="2"/>
        <v>21.865900946868962</v>
      </c>
      <c r="I22" s="24">
        <f>SUM('- 42 -'!H22,F22)</f>
        <v>16209846</v>
      </c>
    </row>
    <row r="23" spans="1:9" ht="13.5" customHeight="1">
      <c r="A23" s="362" t="s">
        <v>227</v>
      </c>
      <c r="B23" s="363">
        <v>192000</v>
      </c>
      <c r="C23" s="364">
        <f t="shared" si="0"/>
        <v>1.4192495776993315</v>
      </c>
      <c r="D23" s="363">
        <v>29200</v>
      </c>
      <c r="E23" s="364">
        <f t="shared" si="1"/>
        <v>0.21584420660843998</v>
      </c>
      <c r="F23" s="363">
        <f>SUM('- 43 -'!B23,'- 43 -'!D23,'- 43 -'!F23,'- 43 -'!H23,B23,D23)</f>
        <v>4155818.45</v>
      </c>
      <c r="G23" s="364">
        <f t="shared" si="2"/>
        <v>30.719497813320785</v>
      </c>
      <c r="I23" s="363">
        <f>SUM('- 42 -'!H23,F23)</f>
        <v>13528276</v>
      </c>
    </row>
    <row r="24" spans="1:9" ht="13.5" customHeight="1">
      <c r="A24" s="23" t="s">
        <v>228</v>
      </c>
      <c r="B24" s="24">
        <v>441000</v>
      </c>
      <c r="C24" s="355">
        <f t="shared" si="0"/>
        <v>0.9792074729916926</v>
      </c>
      <c r="D24" s="24">
        <v>119630</v>
      </c>
      <c r="E24" s="355">
        <f t="shared" si="1"/>
        <v>0.26562945576869884</v>
      </c>
      <c r="F24" s="24">
        <f>SUM('- 43 -'!B24,'- 43 -'!D24,'- 43 -'!F24,'- 43 -'!H24,B24,D24)</f>
        <v>17545388.1</v>
      </c>
      <c r="G24" s="355">
        <f t="shared" si="2"/>
        <v>38.9582202813141</v>
      </c>
      <c r="I24" s="24">
        <f>SUM('- 42 -'!H24,F24)</f>
        <v>45036421</v>
      </c>
    </row>
    <row r="25" spans="1:9" ht="13.5" customHeight="1">
      <c r="A25" s="362" t="s">
        <v>229</v>
      </c>
      <c r="B25" s="363">
        <v>1154716</v>
      </c>
      <c r="C25" s="364">
        <f t="shared" si="0"/>
        <v>0.8552194235852073</v>
      </c>
      <c r="D25" s="363">
        <v>100500</v>
      </c>
      <c r="E25" s="364">
        <f t="shared" si="1"/>
        <v>0.07443349886059719</v>
      </c>
      <c r="F25" s="363">
        <f>SUM('- 43 -'!B25,'- 43 -'!D25,'- 43 -'!F25,'- 43 -'!H25,B25,D25)</f>
        <v>49807356.51</v>
      </c>
      <c r="G25" s="364">
        <f t="shared" si="2"/>
        <v>36.88891357250191</v>
      </c>
      <c r="I25" s="363">
        <f>SUM('- 42 -'!H25,F25)</f>
        <v>135019852</v>
      </c>
    </row>
    <row r="26" spans="1:9" ht="13.5" customHeight="1">
      <c r="A26" s="23" t="s">
        <v>230</v>
      </c>
      <c r="B26" s="24">
        <v>507690</v>
      </c>
      <c r="C26" s="355">
        <f t="shared" si="0"/>
        <v>1.540955095313759</v>
      </c>
      <c r="D26" s="24">
        <v>75000</v>
      </c>
      <c r="E26" s="355">
        <f t="shared" si="1"/>
        <v>0.22764212836284334</v>
      </c>
      <c r="F26" s="24">
        <f>SUM('- 43 -'!B26,'- 43 -'!D26,'- 43 -'!F26,'- 43 -'!H26,B26,D26)</f>
        <v>10872109.5</v>
      </c>
      <c r="G26" s="355">
        <f t="shared" si="2"/>
        <v>32.99933528498518</v>
      </c>
      <c r="I26" s="24">
        <f>SUM('- 42 -'!H26,F26)</f>
        <v>32946450</v>
      </c>
    </row>
    <row r="27" spans="1:9" ht="13.5" customHeight="1">
      <c r="A27" s="362" t="s">
        <v>231</v>
      </c>
      <c r="B27" s="363">
        <v>5000</v>
      </c>
      <c r="C27" s="364">
        <f t="shared" si="0"/>
        <v>0.014362909589965358</v>
      </c>
      <c r="D27" s="363">
        <v>87175</v>
      </c>
      <c r="E27" s="364">
        <f t="shared" si="1"/>
        <v>0.25041732870104605</v>
      </c>
      <c r="F27" s="363">
        <f>SUM('- 43 -'!B27,'- 43 -'!D27,'- 43 -'!F27,'- 43 -'!H27,B27,D27)</f>
        <v>8697316.280000001</v>
      </c>
      <c r="G27" s="364">
        <f t="shared" si="2"/>
        <v>24.98375348099477</v>
      </c>
      <c r="I27" s="363">
        <f>SUM('- 42 -'!H27,F27)</f>
        <v>34811888</v>
      </c>
    </row>
    <row r="28" spans="1:9" ht="13.5" customHeight="1">
      <c r="A28" s="23" t="s">
        <v>232</v>
      </c>
      <c r="B28" s="24">
        <v>0</v>
      </c>
      <c r="C28" s="355">
        <f t="shared" si="0"/>
        <v>0</v>
      </c>
      <c r="D28" s="24">
        <v>38000</v>
      </c>
      <c r="E28" s="355">
        <f t="shared" si="1"/>
        <v>0.20235495369985532</v>
      </c>
      <c r="F28" s="24">
        <f>SUM('- 43 -'!B28,'- 43 -'!D28,'- 43 -'!F28,'- 43 -'!H28,B28,D28)</f>
        <v>7089770.96</v>
      </c>
      <c r="G28" s="355">
        <f t="shared" si="2"/>
        <v>37.753954588246806</v>
      </c>
      <c r="I28" s="24">
        <f>SUM('- 42 -'!H28,F28)</f>
        <v>18778883</v>
      </c>
    </row>
    <row r="29" spans="1:9" ht="13.5" customHeight="1">
      <c r="A29" s="362" t="s">
        <v>233</v>
      </c>
      <c r="B29" s="363">
        <v>2091000</v>
      </c>
      <c r="C29" s="364">
        <f t="shared" si="0"/>
        <v>1.6723114977437712</v>
      </c>
      <c r="D29" s="363">
        <v>440000</v>
      </c>
      <c r="E29" s="364">
        <f t="shared" si="1"/>
        <v>0.35189720660318474</v>
      </c>
      <c r="F29" s="363">
        <f>SUM('- 43 -'!B29,'- 43 -'!D29,'- 43 -'!F29,'- 43 -'!H29,B29,D29)</f>
        <v>58297879.61</v>
      </c>
      <c r="G29" s="364">
        <f t="shared" si="2"/>
        <v>46.62468405829037</v>
      </c>
      <c r="I29" s="363">
        <f>SUM('- 42 -'!H29,F29)</f>
        <v>125036514</v>
      </c>
    </row>
    <row r="30" spans="1:9" ht="13.5" customHeight="1">
      <c r="A30" s="23" t="s">
        <v>234</v>
      </c>
      <c r="B30" s="24">
        <v>9000</v>
      </c>
      <c r="C30" s="355">
        <f t="shared" si="0"/>
        <v>0.07796161897523436</v>
      </c>
      <c r="D30" s="24">
        <v>50000</v>
      </c>
      <c r="E30" s="355">
        <f t="shared" si="1"/>
        <v>0.43312010541796864</v>
      </c>
      <c r="F30" s="24">
        <f>SUM('- 43 -'!B30,'- 43 -'!D30,'- 43 -'!F30,'- 43 -'!H30,B30,D30)</f>
        <v>3667758.1</v>
      </c>
      <c r="G30" s="355">
        <f t="shared" si="2"/>
        <v>31.771595498392173</v>
      </c>
      <c r="I30" s="24">
        <f>SUM('- 42 -'!H30,F30)</f>
        <v>11544142</v>
      </c>
    </row>
    <row r="31" spans="1:9" ht="13.5" customHeight="1">
      <c r="A31" s="362" t="s">
        <v>235</v>
      </c>
      <c r="B31" s="363">
        <v>5000</v>
      </c>
      <c r="C31" s="364">
        <f t="shared" si="0"/>
        <v>0.016841122167083267</v>
      </c>
      <c r="D31" s="363">
        <v>23000</v>
      </c>
      <c r="E31" s="364">
        <f t="shared" si="1"/>
        <v>0.07746916196858301</v>
      </c>
      <c r="F31" s="363">
        <f>SUM('- 43 -'!B31,'- 43 -'!D31,'- 43 -'!F31,'- 43 -'!H31,B31,D31)</f>
        <v>10505409.67</v>
      </c>
      <c r="G31" s="364">
        <f t="shared" si="2"/>
        <v>35.38457753354558</v>
      </c>
      <c r="I31" s="363">
        <f>SUM('- 42 -'!H31,F31)</f>
        <v>29689233</v>
      </c>
    </row>
    <row r="32" spans="1:9" ht="13.5" customHeight="1">
      <c r="A32" s="23" t="s">
        <v>236</v>
      </c>
      <c r="B32" s="24">
        <v>5550</v>
      </c>
      <c r="C32" s="355">
        <f t="shared" si="0"/>
        <v>0.02500707181967946</v>
      </c>
      <c r="D32" s="24">
        <v>53000</v>
      </c>
      <c r="E32" s="355">
        <f t="shared" si="1"/>
        <v>0.2388062714311732</v>
      </c>
      <c r="F32" s="24">
        <f>SUM('- 43 -'!B32,'- 43 -'!D32,'- 43 -'!F32,'- 43 -'!H32,B32,D32)</f>
        <v>8446215.35</v>
      </c>
      <c r="G32" s="355">
        <f t="shared" si="2"/>
        <v>38.05677727241965</v>
      </c>
      <c r="I32" s="24">
        <f>SUM('- 42 -'!H32,F32)</f>
        <v>22193722</v>
      </c>
    </row>
    <row r="33" spans="1:9" ht="13.5" customHeight="1">
      <c r="A33" s="362" t="s">
        <v>237</v>
      </c>
      <c r="B33" s="363">
        <v>85000</v>
      </c>
      <c r="C33" s="364">
        <f t="shared" si="0"/>
        <v>0.36131966694828344</v>
      </c>
      <c r="D33" s="363">
        <v>65000</v>
      </c>
      <c r="E33" s="364">
        <f t="shared" si="1"/>
        <v>0.276303274725158</v>
      </c>
      <c r="F33" s="363">
        <f>SUM('- 43 -'!B33,'- 43 -'!D33,'- 43 -'!F33,'- 43 -'!H33,B33,D33)</f>
        <v>8472460.32</v>
      </c>
      <c r="G33" s="364">
        <f t="shared" si="2"/>
        <v>36.01490048299938</v>
      </c>
      <c r="I33" s="363">
        <f>SUM('- 42 -'!H33,F33)</f>
        <v>23524875</v>
      </c>
    </row>
    <row r="34" spans="1:9" ht="13.5" customHeight="1">
      <c r="A34" s="23" t="s">
        <v>238</v>
      </c>
      <c r="B34" s="24">
        <v>91900</v>
      </c>
      <c r="C34" s="355">
        <f t="shared" si="0"/>
        <v>0.4296910231653958</v>
      </c>
      <c r="D34" s="24">
        <v>49700</v>
      </c>
      <c r="E34" s="355">
        <f t="shared" si="1"/>
        <v>0.23237914963351655</v>
      </c>
      <c r="F34" s="24">
        <f>SUM('- 43 -'!B34,'- 43 -'!D34,'- 43 -'!F34,'- 43 -'!H34,B34,D34)</f>
        <v>8486554.48</v>
      </c>
      <c r="G34" s="355">
        <f t="shared" si="2"/>
        <v>39.68004654689961</v>
      </c>
      <c r="I34" s="24">
        <f>SUM('- 42 -'!H34,F34)</f>
        <v>21387461</v>
      </c>
    </row>
    <row r="35" spans="1:9" ht="13.5" customHeight="1">
      <c r="A35" s="362" t="s">
        <v>239</v>
      </c>
      <c r="B35" s="363">
        <v>555000</v>
      </c>
      <c r="C35" s="364">
        <f t="shared" si="0"/>
        <v>0.36398730344078967</v>
      </c>
      <c r="D35" s="363">
        <v>200000</v>
      </c>
      <c r="E35" s="364">
        <f t="shared" si="1"/>
        <v>0.13116659583451878</v>
      </c>
      <c r="F35" s="363">
        <f>SUM('- 43 -'!B35,'- 43 -'!D35,'- 43 -'!F35,'- 43 -'!H35,B35,D35)</f>
        <v>50017789.59</v>
      </c>
      <c r="G35" s="364">
        <f t="shared" si="2"/>
        <v>32.803315958437665</v>
      </c>
      <c r="I35" s="363">
        <f>SUM('- 42 -'!H35,F35)</f>
        <v>152477846</v>
      </c>
    </row>
    <row r="36" spans="1:9" ht="13.5" customHeight="1">
      <c r="A36" s="23" t="s">
        <v>240</v>
      </c>
      <c r="B36" s="24">
        <v>15600</v>
      </c>
      <c r="C36" s="355">
        <f t="shared" si="0"/>
        <v>0.07959232403463695</v>
      </c>
      <c r="D36" s="24">
        <v>60300</v>
      </c>
      <c r="E36" s="355">
        <f t="shared" si="1"/>
        <v>0.3076549448261928</v>
      </c>
      <c r="F36" s="24">
        <f>SUM('- 43 -'!B36,'- 43 -'!D36,'- 43 -'!F36,'- 43 -'!H36,B36,D36)</f>
        <v>7886930.7</v>
      </c>
      <c r="G36" s="355">
        <f t="shared" si="2"/>
        <v>40.23968871237987</v>
      </c>
      <c r="I36" s="24">
        <f>SUM('- 42 -'!H36,F36)</f>
        <v>19599880</v>
      </c>
    </row>
    <row r="37" spans="1:9" ht="13.5" customHeight="1">
      <c r="A37" s="362" t="s">
        <v>241</v>
      </c>
      <c r="B37" s="363">
        <v>10300</v>
      </c>
      <c r="C37" s="364">
        <f t="shared" si="0"/>
        <v>0.03022922794199651</v>
      </c>
      <c r="D37" s="363">
        <v>79266</v>
      </c>
      <c r="E37" s="364">
        <f t="shared" si="1"/>
        <v>0.2326359205874073</v>
      </c>
      <c r="F37" s="363">
        <f>SUM('- 43 -'!B37,'- 43 -'!D37,'- 43 -'!F37,'- 43 -'!H37,B37,D37)</f>
        <v>10025564.01</v>
      </c>
      <c r="G37" s="364">
        <f t="shared" si="2"/>
        <v>29.42379220440452</v>
      </c>
      <c r="I37" s="363">
        <f>SUM('- 42 -'!H37,F37)</f>
        <v>34072984</v>
      </c>
    </row>
    <row r="38" spans="1:9" ht="13.5" customHeight="1">
      <c r="A38" s="23" t="s">
        <v>242</v>
      </c>
      <c r="B38" s="24">
        <v>662000</v>
      </c>
      <c r="C38" s="355">
        <f t="shared" si="0"/>
        <v>0.769477545668841</v>
      </c>
      <c r="D38" s="24">
        <v>61500</v>
      </c>
      <c r="E38" s="355">
        <f t="shared" si="1"/>
        <v>0.07148469646319293</v>
      </c>
      <c r="F38" s="24">
        <f>SUM('- 43 -'!B38,'- 43 -'!D38,'- 43 -'!F38,'- 43 -'!H38,B38,D38)</f>
        <v>28975981.96</v>
      </c>
      <c r="G38" s="355">
        <f t="shared" si="2"/>
        <v>33.68031341680576</v>
      </c>
      <c r="I38" s="24">
        <f>SUM('- 42 -'!H38,F38)</f>
        <v>86032400</v>
      </c>
    </row>
    <row r="39" spans="1:9" ht="13.5" customHeight="1">
      <c r="A39" s="362" t="s">
        <v>243</v>
      </c>
      <c r="B39" s="363">
        <v>0</v>
      </c>
      <c r="C39" s="364">
        <f t="shared" si="0"/>
        <v>0</v>
      </c>
      <c r="D39" s="363">
        <v>97700</v>
      </c>
      <c r="E39" s="364">
        <f t="shared" si="1"/>
        <v>0.5557829759066658</v>
      </c>
      <c r="F39" s="363">
        <f>SUM('- 43 -'!B39,'- 43 -'!D39,'- 43 -'!F39,'- 43 -'!H39,B39,D39)</f>
        <v>7311412.46</v>
      </c>
      <c r="G39" s="364">
        <f t="shared" si="2"/>
        <v>41.59220650051051</v>
      </c>
      <c r="I39" s="363">
        <f>SUM('- 42 -'!H39,F39)</f>
        <v>17578804</v>
      </c>
    </row>
    <row r="40" spans="1:9" ht="13.5" customHeight="1">
      <c r="A40" s="23" t="s">
        <v>244</v>
      </c>
      <c r="B40" s="24">
        <v>2308200</v>
      </c>
      <c r="C40" s="355">
        <f t="shared" si="0"/>
        <v>2.679886386842424</v>
      </c>
      <c r="D40" s="24">
        <v>941735</v>
      </c>
      <c r="E40" s="355">
        <f t="shared" si="1"/>
        <v>1.0933813389277578</v>
      </c>
      <c r="F40" s="24">
        <f>SUM('- 43 -'!B40,'- 43 -'!D40,'- 43 -'!F40,'- 43 -'!H40,B40,D40)</f>
        <v>38643099.269999996</v>
      </c>
      <c r="G40" s="355">
        <f t="shared" si="2"/>
        <v>44.86574633007253</v>
      </c>
      <c r="I40" s="24">
        <f>SUM('- 42 -'!H40,F40)</f>
        <v>86130517</v>
      </c>
    </row>
    <row r="41" spans="1:9" ht="13.5" customHeight="1">
      <c r="A41" s="362" t="s">
        <v>245</v>
      </c>
      <c r="B41" s="363">
        <v>363644</v>
      </c>
      <c r="C41" s="364">
        <f t="shared" si="0"/>
        <v>0.6911320226106626</v>
      </c>
      <c r="D41" s="363">
        <v>190177</v>
      </c>
      <c r="E41" s="364">
        <f t="shared" si="1"/>
        <v>0.3614452999747775</v>
      </c>
      <c r="F41" s="363">
        <f>SUM('- 43 -'!B41,'- 43 -'!D41,'- 43 -'!F41,'- 43 -'!H41,B41,D41)</f>
        <v>21991426.27</v>
      </c>
      <c r="G41" s="364">
        <f t="shared" si="2"/>
        <v>41.79631430211514</v>
      </c>
      <c r="I41" s="363">
        <f>SUM('- 42 -'!H41,F41)</f>
        <v>52615707</v>
      </c>
    </row>
    <row r="42" spans="1:9" ht="13.5" customHeight="1">
      <c r="A42" s="23" t="s">
        <v>246</v>
      </c>
      <c r="B42" s="24">
        <v>216400</v>
      </c>
      <c r="C42" s="355">
        <f t="shared" si="0"/>
        <v>1.2306340762461976</v>
      </c>
      <c r="D42" s="24">
        <v>107600</v>
      </c>
      <c r="E42" s="355">
        <f t="shared" si="1"/>
        <v>0.6119049288543941</v>
      </c>
      <c r="F42" s="24">
        <f>SUM('- 43 -'!B42,'- 43 -'!D42,'- 43 -'!F42,'- 43 -'!H42,B42,D42)</f>
        <v>5471322.24</v>
      </c>
      <c r="G42" s="355">
        <f t="shared" si="2"/>
        <v>31.114582211957842</v>
      </c>
      <c r="I42" s="24">
        <f>SUM('- 42 -'!H42,F42)</f>
        <v>17584431</v>
      </c>
    </row>
    <row r="43" spans="1:9" ht="13.5" customHeight="1">
      <c r="A43" s="362" t="s">
        <v>247</v>
      </c>
      <c r="B43" s="363">
        <v>104100</v>
      </c>
      <c r="C43" s="364">
        <f t="shared" si="0"/>
        <v>0.9916431441165173</v>
      </c>
      <c r="D43" s="363">
        <v>16000</v>
      </c>
      <c r="E43" s="364">
        <f t="shared" si="1"/>
        <v>0.1524139318526828</v>
      </c>
      <c r="F43" s="363">
        <f>SUM('- 43 -'!B43,'- 43 -'!D43,'- 43 -'!F43,'- 43 -'!H43,B43,D43)</f>
        <v>3732350.18</v>
      </c>
      <c r="G43" s="364">
        <f t="shared" si="2"/>
        <v>35.553885374054275</v>
      </c>
      <c r="I43" s="363">
        <f>SUM('- 42 -'!H43,F43)</f>
        <v>10497728</v>
      </c>
    </row>
    <row r="44" spans="1:9" ht="13.5" customHeight="1">
      <c r="A44" s="23" t="s">
        <v>248</v>
      </c>
      <c r="B44" s="24">
        <v>5500</v>
      </c>
      <c r="C44" s="355">
        <f t="shared" si="0"/>
        <v>0.06302914398858966</v>
      </c>
      <c r="D44" s="24">
        <v>15000</v>
      </c>
      <c r="E44" s="355">
        <f t="shared" si="1"/>
        <v>0.17189766542342635</v>
      </c>
      <c r="F44" s="24">
        <f>SUM('- 43 -'!B44,'- 43 -'!D44,'- 43 -'!F44,'- 43 -'!H44,B44,D44)</f>
        <v>2452269.48</v>
      </c>
      <c r="G44" s="355">
        <f t="shared" si="2"/>
        <v>28.102626573407978</v>
      </c>
      <c r="I44" s="24">
        <f>SUM('- 42 -'!H44,F44)</f>
        <v>8726122</v>
      </c>
    </row>
    <row r="45" spans="1:9" ht="13.5" customHeight="1">
      <c r="A45" s="362" t="s">
        <v>249</v>
      </c>
      <c r="B45" s="363">
        <v>262206</v>
      </c>
      <c r="C45" s="364">
        <f t="shared" si="0"/>
        <v>1.9573760146004069</v>
      </c>
      <c r="D45" s="363">
        <v>15000</v>
      </c>
      <c r="E45" s="364">
        <f t="shared" si="1"/>
        <v>0.11197547050413074</v>
      </c>
      <c r="F45" s="363">
        <f>SUM('- 43 -'!B45,'- 43 -'!D45,'- 43 -'!F45,'- 43 -'!H45,B45,D45)</f>
        <v>4248796.08</v>
      </c>
      <c r="G45" s="364">
        <f t="shared" si="2"/>
        <v>31.71739600894042</v>
      </c>
      <c r="I45" s="363">
        <f>SUM('- 42 -'!H45,F45)</f>
        <v>13395791</v>
      </c>
    </row>
    <row r="46" spans="1:9" ht="13.5" customHeight="1">
      <c r="A46" s="23" t="s">
        <v>250</v>
      </c>
      <c r="B46" s="24">
        <v>852000</v>
      </c>
      <c r="C46" s="355">
        <f t="shared" si="0"/>
        <v>0.27604153841966866</v>
      </c>
      <c r="D46" s="24">
        <v>1255000</v>
      </c>
      <c r="E46" s="355">
        <f t="shared" si="1"/>
        <v>0.4066104820618359</v>
      </c>
      <c r="F46" s="24">
        <f>SUM('- 43 -'!B46,'- 43 -'!D46,'- 43 -'!F46,'- 43 -'!H46,B46,D46)</f>
        <v>115928242.58</v>
      </c>
      <c r="G46" s="355">
        <f t="shared" si="2"/>
        <v>37.5598713944504</v>
      </c>
      <c r="I46" s="24">
        <f>SUM('- 42 -'!H46,F46)</f>
        <v>308649200</v>
      </c>
    </row>
    <row r="47" spans="1:9" ht="4.5" customHeight="1">
      <c r="A47"/>
      <c r="B47"/>
      <c r="C47"/>
      <c r="D47"/>
      <c r="E47"/>
      <c r="F47"/>
      <c r="G47"/>
      <c r="I47"/>
    </row>
    <row r="48" spans="1:9" ht="13.5" customHeight="1">
      <c r="A48" s="365" t="s">
        <v>251</v>
      </c>
      <c r="B48" s="366">
        <f>SUM(B11:B46)</f>
        <v>15818045</v>
      </c>
      <c r="C48" s="367">
        <f>B48/I48*100</f>
        <v>0.9005025959166725</v>
      </c>
      <c r="D48" s="366">
        <f>SUM(D11:D46)</f>
        <v>5508115</v>
      </c>
      <c r="E48" s="367">
        <f t="shared" si="1"/>
        <v>0.3135704732226747</v>
      </c>
      <c r="F48" s="366">
        <f>SUM(F11:F46)</f>
        <v>667241871.05</v>
      </c>
      <c r="G48" s="367">
        <f t="shared" si="2"/>
        <v>37.98529065916949</v>
      </c>
      <c r="I48" s="366">
        <f>SUM(I11:I46)</f>
        <v>1756579611.4</v>
      </c>
    </row>
    <row r="49" spans="1:9" ht="4.5" customHeight="1">
      <c r="A49" s="25" t="s">
        <v>3</v>
      </c>
      <c r="B49" s="26"/>
      <c r="C49" s="353"/>
      <c r="D49" s="26"/>
      <c r="E49" s="353"/>
      <c r="F49" s="26"/>
      <c r="G49" s="353"/>
      <c r="I49" s="26"/>
    </row>
    <row r="50" spans="1:9" ht="13.5" customHeight="1">
      <c r="A50" s="23" t="s">
        <v>252</v>
      </c>
      <c r="B50" s="24">
        <v>0</v>
      </c>
      <c r="C50" s="355">
        <f>B50/I50*100</f>
        <v>0</v>
      </c>
      <c r="D50" s="24">
        <v>66246</v>
      </c>
      <c r="E50" s="355">
        <f>D50/I50*100</f>
        <v>2.2464929703414502</v>
      </c>
      <c r="F50" s="24">
        <f>SUM('- 43 -'!B50,'- 43 -'!D50,'- 43 -'!F50,'- 43 -'!H50,B50,D50)</f>
        <v>1814789.86</v>
      </c>
      <c r="G50" s="355">
        <f>F50/I50*100</f>
        <v>61.54202009384634</v>
      </c>
      <c r="I50" s="24">
        <f>SUM('- 42 -'!H50,F50)</f>
        <v>2948863</v>
      </c>
    </row>
    <row r="51" spans="1:9" ht="13.5" customHeight="1">
      <c r="A51" s="362" t="s">
        <v>253</v>
      </c>
      <c r="B51" s="363">
        <v>2829344</v>
      </c>
      <c r="C51" s="364">
        <f>B51/I51*100</f>
        <v>22.616736412443302</v>
      </c>
      <c r="D51" s="363">
        <v>182000</v>
      </c>
      <c r="E51" s="364">
        <f>D51/I51*100</f>
        <v>1.4548411317480947</v>
      </c>
      <c r="F51" s="363">
        <f>SUM('- 43 -'!B51,'- 43 -'!D51,'- 43 -'!F51,'- 43 -'!H51,B51,D51)</f>
        <v>4606965</v>
      </c>
      <c r="G51" s="364">
        <f>F51/I51*100</f>
        <v>36.82638557430693</v>
      </c>
      <c r="I51" s="363">
        <f>SUM('- 42 -'!H51,F51)</f>
        <v>12509957</v>
      </c>
    </row>
    <row r="52" ht="49.5" customHeight="1"/>
    <row r="53" ht="14.25" customHeight="1">
      <c r="I53" s="94"/>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54"/>
  <sheetViews>
    <sheetView showGridLines="0" showZeros="0" workbookViewId="0" topLeftCell="A1">
      <selection activeCell="A1" sqref="A1"/>
    </sheetView>
  </sheetViews>
  <sheetFormatPr defaultColWidth="12.83203125" defaultRowHeight="12"/>
  <cols>
    <col min="1" max="1" width="29.83203125" style="1" customWidth="1"/>
    <col min="2" max="8" width="14.83203125" style="1" customWidth="1"/>
    <col min="9" max="9" width="15.83203125" style="1" customWidth="1"/>
    <col min="10" max="16384" width="12.83203125" style="1" customWidth="1"/>
  </cols>
  <sheetData>
    <row r="1" spans="1:9" ht="6.75" customHeight="1">
      <c r="A1" s="3"/>
      <c r="B1" s="42"/>
      <c r="C1" s="42"/>
      <c r="D1" s="42"/>
      <c r="E1" s="42"/>
      <c r="F1" s="42"/>
      <c r="G1" s="42"/>
      <c r="H1" s="42"/>
      <c r="I1" s="42"/>
    </row>
    <row r="2" spans="1:8" ht="15.75" customHeight="1">
      <c r="A2" s="43"/>
      <c r="B2" s="44" t="s">
        <v>158</v>
      </c>
      <c r="C2" s="45"/>
      <c r="D2" s="45"/>
      <c r="E2" s="45"/>
      <c r="F2" s="45"/>
      <c r="G2" s="45"/>
      <c r="H2" s="46" t="s">
        <v>159</v>
      </c>
    </row>
    <row r="3" spans="1:8" ht="15.75" customHeight="1">
      <c r="A3" s="47"/>
      <c r="B3" s="48" t="s">
        <v>567</v>
      </c>
      <c r="C3" s="49"/>
      <c r="D3" s="50"/>
      <c r="E3" s="49"/>
      <c r="F3" s="50"/>
      <c r="G3" s="49"/>
      <c r="H3" s="51"/>
    </row>
    <row r="4" spans="2:9" ht="15.75" customHeight="1">
      <c r="B4" s="42"/>
      <c r="C4" s="42"/>
      <c r="D4" s="42"/>
      <c r="E4" s="42"/>
      <c r="F4" s="42"/>
      <c r="G4" s="52"/>
      <c r="H4" s="42"/>
      <c r="I4" s="42"/>
    </row>
    <row r="5" spans="2:9" ht="15.75" customHeight="1">
      <c r="B5" s="42"/>
      <c r="C5" s="42"/>
      <c r="D5" s="42"/>
      <c r="E5" s="42"/>
      <c r="F5" s="42"/>
      <c r="G5" s="42"/>
      <c r="H5" s="42"/>
      <c r="I5" s="42"/>
    </row>
    <row r="6" spans="2:8" ht="15.75" customHeight="1">
      <c r="B6" s="395" t="s">
        <v>49</v>
      </c>
      <c r="C6" s="394"/>
      <c r="D6" s="394"/>
      <c r="E6" s="394"/>
      <c r="F6" s="394"/>
      <c r="G6" s="394"/>
      <c r="H6" s="396"/>
    </row>
    <row r="7" spans="2:8" ht="15.75" customHeight="1">
      <c r="B7" s="53" t="s">
        <v>336</v>
      </c>
      <c r="C7" s="54"/>
      <c r="D7" s="54"/>
      <c r="E7" s="55" t="s">
        <v>337</v>
      </c>
      <c r="F7" s="54"/>
      <c r="G7" s="54"/>
      <c r="H7" s="56"/>
    </row>
    <row r="8" spans="1:8" ht="15.75" customHeight="1">
      <c r="A8" s="57"/>
      <c r="B8" s="58" t="s">
        <v>68</v>
      </c>
      <c r="C8" s="59" t="s">
        <v>3</v>
      </c>
      <c r="D8" s="60" t="s">
        <v>69</v>
      </c>
      <c r="E8" s="61" t="s">
        <v>68</v>
      </c>
      <c r="F8" s="59" t="s">
        <v>3</v>
      </c>
      <c r="G8" s="60" t="s">
        <v>69</v>
      </c>
      <c r="H8" s="62" t="s">
        <v>44</v>
      </c>
    </row>
    <row r="9" spans="1:8" ht="15.75" customHeight="1">
      <c r="A9" s="63" t="s">
        <v>79</v>
      </c>
      <c r="B9" s="64" t="s">
        <v>83</v>
      </c>
      <c r="C9" s="65" t="s">
        <v>32</v>
      </c>
      <c r="D9" s="65" t="s">
        <v>84</v>
      </c>
      <c r="E9" s="66" t="s">
        <v>83</v>
      </c>
      <c r="F9" s="65" t="s">
        <v>32</v>
      </c>
      <c r="G9" s="65" t="s">
        <v>84</v>
      </c>
      <c r="H9" s="67" t="s">
        <v>85</v>
      </c>
    </row>
    <row r="10" spans="1:8" ht="4.5" customHeight="1">
      <c r="A10" s="37"/>
      <c r="B10" s="68"/>
      <c r="C10" s="68"/>
      <c r="D10" s="68"/>
      <c r="E10" s="68"/>
      <c r="F10" s="68"/>
      <c r="G10" s="68"/>
      <c r="H10" s="68"/>
    </row>
    <row r="11" spans="1:8" ht="13.5" customHeight="1">
      <c r="A11" s="362" t="s">
        <v>216</v>
      </c>
      <c r="B11" s="389">
        <v>1385</v>
      </c>
      <c r="C11" s="389">
        <v>0</v>
      </c>
      <c r="D11" s="397">
        <v>0</v>
      </c>
      <c r="E11" s="398">
        <v>0</v>
      </c>
      <c r="F11" s="389">
        <v>0</v>
      </c>
      <c r="G11" s="389">
        <v>0</v>
      </c>
      <c r="H11" s="389">
        <v>0</v>
      </c>
    </row>
    <row r="12" spans="1:8" ht="13.5" customHeight="1">
      <c r="A12" s="23" t="s">
        <v>217</v>
      </c>
      <c r="B12" s="69">
        <v>2194</v>
      </c>
      <c r="C12" s="69">
        <v>0</v>
      </c>
      <c r="D12" s="70">
        <v>44</v>
      </c>
      <c r="E12" s="71">
        <v>0</v>
      </c>
      <c r="F12" s="69">
        <v>0</v>
      </c>
      <c r="G12" s="69">
        <v>0</v>
      </c>
      <c r="H12" s="69">
        <v>0</v>
      </c>
    </row>
    <row r="13" spans="1:8" ht="13.5" customHeight="1">
      <c r="A13" s="362" t="s">
        <v>218</v>
      </c>
      <c r="B13" s="389">
        <v>4991</v>
      </c>
      <c r="C13" s="389">
        <v>0</v>
      </c>
      <c r="D13" s="397">
        <v>0</v>
      </c>
      <c r="E13" s="398">
        <v>700.5</v>
      </c>
      <c r="F13" s="389">
        <v>0</v>
      </c>
      <c r="G13" s="389">
        <v>514</v>
      </c>
      <c r="H13" s="389">
        <v>0</v>
      </c>
    </row>
    <row r="14" spans="1:8" ht="13.5" customHeight="1">
      <c r="A14" s="23" t="s">
        <v>254</v>
      </c>
      <c r="B14" s="69">
        <v>0</v>
      </c>
      <c r="C14" s="69">
        <v>4725</v>
      </c>
      <c r="D14" s="70">
        <v>0</v>
      </c>
      <c r="E14" s="71">
        <v>0</v>
      </c>
      <c r="F14" s="69">
        <v>0</v>
      </c>
      <c r="G14" s="69">
        <v>0</v>
      </c>
      <c r="H14" s="69">
        <v>0</v>
      </c>
    </row>
    <row r="15" spans="1:8" ht="13.5" customHeight="1">
      <c r="A15" s="362" t="s">
        <v>219</v>
      </c>
      <c r="B15" s="389">
        <v>1598.5</v>
      </c>
      <c r="C15" s="389">
        <v>0</v>
      </c>
      <c r="D15" s="397">
        <v>0</v>
      </c>
      <c r="E15" s="398">
        <v>0</v>
      </c>
      <c r="F15" s="389">
        <v>0</v>
      </c>
      <c r="G15" s="389">
        <v>0</v>
      </c>
      <c r="H15" s="389">
        <v>0</v>
      </c>
    </row>
    <row r="16" spans="1:8" ht="13.5" customHeight="1">
      <c r="A16" s="23" t="s">
        <v>220</v>
      </c>
      <c r="B16" s="69">
        <v>665</v>
      </c>
      <c r="C16" s="69">
        <v>0</v>
      </c>
      <c r="D16" s="70">
        <v>0</v>
      </c>
      <c r="E16" s="71">
        <v>298.5</v>
      </c>
      <c r="F16" s="69">
        <v>0</v>
      </c>
      <c r="G16" s="69">
        <v>97.5</v>
      </c>
      <c r="H16" s="69">
        <v>0</v>
      </c>
    </row>
    <row r="17" spans="1:8" ht="13.5" customHeight="1">
      <c r="A17" s="362" t="s">
        <v>221</v>
      </c>
      <c r="B17" s="389">
        <v>1349</v>
      </c>
      <c r="C17" s="389">
        <v>0</v>
      </c>
      <c r="D17" s="397">
        <v>0</v>
      </c>
      <c r="E17" s="398">
        <v>0</v>
      </c>
      <c r="F17" s="389">
        <v>0</v>
      </c>
      <c r="G17" s="389">
        <v>0</v>
      </c>
      <c r="H17" s="389">
        <v>0</v>
      </c>
    </row>
    <row r="18" spans="1:8" ht="13.5" customHeight="1">
      <c r="A18" s="23" t="s">
        <v>222</v>
      </c>
      <c r="B18" s="69">
        <v>5813.6</v>
      </c>
      <c r="C18" s="69">
        <v>0</v>
      </c>
      <c r="D18" s="70">
        <v>0</v>
      </c>
      <c r="E18" s="71">
        <v>0</v>
      </c>
      <c r="F18" s="69">
        <v>0</v>
      </c>
      <c r="G18" s="69">
        <v>0</v>
      </c>
      <c r="H18" s="69">
        <v>0</v>
      </c>
    </row>
    <row r="19" spans="1:8" ht="13.5" customHeight="1">
      <c r="A19" s="362" t="s">
        <v>223</v>
      </c>
      <c r="B19" s="389">
        <v>3654</v>
      </c>
      <c r="C19" s="389">
        <v>0</v>
      </c>
      <c r="D19" s="397">
        <v>0</v>
      </c>
      <c r="E19" s="398">
        <v>0</v>
      </c>
      <c r="F19" s="389">
        <v>0</v>
      </c>
      <c r="G19" s="389">
        <v>0</v>
      </c>
      <c r="H19" s="389">
        <v>0</v>
      </c>
    </row>
    <row r="20" spans="1:8" ht="13.5" customHeight="1">
      <c r="A20" s="23" t="s">
        <v>224</v>
      </c>
      <c r="B20" s="69">
        <v>6706.285714285715</v>
      </c>
      <c r="C20" s="69">
        <v>0</v>
      </c>
      <c r="D20" s="70">
        <v>0</v>
      </c>
      <c r="E20" s="71">
        <v>0</v>
      </c>
      <c r="F20" s="69">
        <v>0</v>
      </c>
      <c r="G20" s="69">
        <v>0</v>
      </c>
      <c r="H20" s="69">
        <v>0</v>
      </c>
    </row>
    <row r="21" spans="1:8" ht="13.5" customHeight="1">
      <c r="A21" s="362" t="s">
        <v>225</v>
      </c>
      <c r="B21" s="389">
        <v>2923.8</v>
      </c>
      <c r="C21" s="389">
        <v>0</v>
      </c>
      <c r="D21" s="397">
        <v>11</v>
      </c>
      <c r="E21" s="398">
        <v>0</v>
      </c>
      <c r="F21" s="389">
        <v>0</v>
      </c>
      <c r="G21" s="389">
        <v>0</v>
      </c>
      <c r="H21" s="389">
        <v>0</v>
      </c>
    </row>
    <row r="22" spans="1:8" ht="13.5" customHeight="1">
      <c r="A22" s="23" t="s">
        <v>226</v>
      </c>
      <c r="B22" s="69">
        <v>844</v>
      </c>
      <c r="C22" s="69">
        <v>0</v>
      </c>
      <c r="D22" s="70">
        <v>0</v>
      </c>
      <c r="E22" s="71">
        <v>592</v>
      </c>
      <c r="F22" s="69">
        <v>0</v>
      </c>
      <c r="G22" s="69">
        <v>152</v>
      </c>
      <c r="H22" s="69">
        <v>0</v>
      </c>
    </row>
    <row r="23" spans="1:8" ht="13.5" customHeight="1">
      <c r="A23" s="362" t="s">
        <v>227</v>
      </c>
      <c r="B23" s="389">
        <v>1265</v>
      </c>
      <c r="C23" s="389">
        <v>0</v>
      </c>
      <c r="D23" s="397">
        <v>0</v>
      </c>
      <c r="E23" s="398">
        <v>0</v>
      </c>
      <c r="F23" s="389">
        <v>0</v>
      </c>
      <c r="G23" s="389">
        <v>0</v>
      </c>
      <c r="H23" s="389">
        <v>0</v>
      </c>
    </row>
    <row r="24" spans="1:8" ht="13.5" customHeight="1">
      <c r="A24" s="23" t="s">
        <v>228</v>
      </c>
      <c r="B24" s="69">
        <v>3112.5</v>
      </c>
      <c r="C24" s="69">
        <v>0</v>
      </c>
      <c r="D24" s="70">
        <v>246</v>
      </c>
      <c r="E24" s="71">
        <v>552.5</v>
      </c>
      <c r="F24" s="69">
        <v>0</v>
      </c>
      <c r="G24" s="69">
        <v>70</v>
      </c>
      <c r="H24" s="69">
        <v>69</v>
      </c>
    </row>
    <row r="25" spans="1:8" ht="13.5" customHeight="1">
      <c r="A25" s="362" t="s">
        <v>229</v>
      </c>
      <c r="B25" s="389">
        <v>10125</v>
      </c>
      <c r="C25" s="389">
        <v>244</v>
      </c>
      <c r="D25" s="397">
        <v>3410</v>
      </c>
      <c r="E25" s="398">
        <v>0</v>
      </c>
      <c r="F25" s="389">
        <v>0</v>
      </c>
      <c r="G25" s="389">
        <v>0</v>
      </c>
      <c r="H25" s="389">
        <v>0</v>
      </c>
    </row>
    <row r="26" spans="1:8" ht="13.5" customHeight="1">
      <c r="A26" s="23" t="s">
        <v>230</v>
      </c>
      <c r="B26" s="69">
        <v>2450.5</v>
      </c>
      <c r="C26" s="69">
        <v>0</v>
      </c>
      <c r="D26" s="70">
        <v>126.5</v>
      </c>
      <c r="E26" s="71">
        <v>230</v>
      </c>
      <c r="F26" s="69">
        <v>0</v>
      </c>
      <c r="G26" s="69">
        <v>40</v>
      </c>
      <c r="H26" s="69">
        <v>111</v>
      </c>
    </row>
    <row r="27" spans="1:8" ht="13.5" customHeight="1">
      <c r="A27" s="362" t="s">
        <v>231</v>
      </c>
      <c r="B27" s="389">
        <v>2555.9</v>
      </c>
      <c r="C27" s="389">
        <v>0</v>
      </c>
      <c r="D27" s="397">
        <v>0</v>
      </c>
      <c r="E27" s="398">
        <v>159</v>
      </c>
      <c r="F27" s="389">
        <v>0</v>
      </c>
      <c r="G27" s="389">
        <v>256.5</v>
      </c>
      <c r="H27" s="389">
        <v>0</v>
      </c>
    </row>
    <row r="28" spans="1:8" ht="13.5" customHeight="1">
      <c r="A28" s="23" t="s">
        <v>232</v>
      </c>
      <c r="B28" s="69">
        <v>1761</v>
      </c>
      <c r="C28" s="69">
        <v>0</v>
      </c>
      <c r="D28" s="70">
        <v>0</v>
      </c>
      <c r="E28" s="71">
        <v>0</v>
      </c>
      <c r="F28" s="69">
        <v>0</v>
      </c>
      <c r="G28" s="69">
        <v>0</v>
      </c>
      <c r="H28" s="69">
        <v>0</v>
      </c>
    </row>
    <row r="29" spans="1:8" ht="13.5" customHeight="1">
      <c r="A29" s="362" t="s">
        <v>233</v>
      </c>
      <c r="B29" s="389">
        <v>7679</v>
      </c>
      <c r="C29" s="389">
        <v>0</v>
      </c>
      <c r="D29" s="397">
        <v>1363.5</v>
      </c>
      <c r="E29" s="398">
        <v>2233</v>
      </c>
      <c r="F29" s="389">
        <v>0</v>
      </c>
      <c r="G29" s="389">
        <v>827</v>
      </c>
      <c r="H29" s="389">
        <v>0</v>
      </c>
    </row>
    <row r="30" spans="1:8" ht="13.5" customHeight="1">
      <c r="A30" s="23" t="s">
        <v>234</v>
      </c>
      <c r="B30" s="69">
        <v>1177</v>
      </c>
      <c r="C30" s="69">
        <v>0</v>
      </c>
      <c r="D30" s="70">
        <v>0</v>
      </c>
      <c r="E30" s="71">
        <v>0</v>
      </c>
      <c r="F30" s="69">
        <v>0</v>
      </c>
      <c r="G30" s="69">
        <v>0</v>
      </c>
      <c r="H30" s="69">
        <v>0</v>
      </c>
    </row>
    <row r="31" spans="1:8" ht="13.5" customHeight="1">
      <c r="A31" s="362" t="s">
        <v>235</v>
      </c>
      <c r="B31" s="389">
        <v>2273.3</v>
      </c>
      <c r="C31" s="389">
        <v>0</v>
      </c>
      <c r="D31" s="397">
        <v>0</v>
      </c>
      <c r="E31" s="398">
        <v>589</v>
      </c>
      <c r="F31" s="389">
        <v>0</v>
      </c>
      <c r="G31" s="389">
        <v>147.5</v>
      </c>
      <c r="H31" s="389">
        <v>0</v>
      </c>
    </row>
    <row r="32" spans="1:8" ht="13.5" customHeight="1">
      <c r="A32" s="23" t="s">
        <v>236</v>
      </c>
      <c r="B32" s="69">
        <v>1765</v>
      </c>
      <c r="C32" s="69">
        <v>0</v>
      </c>
      <c r="D32" s="70">
        <v>100</v>
      </c>
      <c r="E32" s="71">
        <v>135</v>
      </c>
      <c r="F32" s="69">
        <v>0</v>
      </c>
      <c r="G32" s="69">
        <v>54</v>
      </c>
      <c r="H32" s="69">
        <v>0</v>
      </c>
    </row>
    <row r="33" spans="1:8" ht="13.5" customHeight="1">
      <c r="A33" s="362" t="s">
        <v>237</v>
      </c>
      <c r="B33" s="389">
        <v>1811.1</v>
      </c>
      <c r="C33" s="389">
        <v>0</v>
      </c>
      <c r="D33" s="397">
        <v>0</v>
      </c>
      <c r="E33" s="398">
        <v>120</v>
      </c>
      <c r="F33" s="389">
        <v>130</v>
      </c>
      <c r="G33" s="389">
        <v>85</v>
      </c>
      <c r="H33" s="389">
        <v>0</v>
      </c>
    </row>
    <row r="34" spans="1:8" ht="13.5" customHeight="1">
      <c r="A34" s="23" t="s">
        <v>238</v>
      </c>
      <c r="B34" s="69">
        <v>1676</v>
      </c>
      <c r="C34" s="69">
        <v>0</v>
      </c>
      <c r="D34" s="70">
        <v>189</v>
      </c>
      <c r="E34" s="71">
        <v>45.5</v>
      </c>
      <c r="F34" s="69">
        <v>75</v>
      </c>
      <c r="G34" s="69">
        <v>0</v>
      </c>
      <c r="H34" s="69">
        <v>0</v>
      </c>
    </row>
    <row r="35" spans="1:8" ht="13.5" customHeight="1">
      <c r="A35" s="362" t="s">
        <v>239</v>
      </c>
      <c r="B35" s="389">
        <v>9622.5</v>
      </c>
      <c r="C35" s="389">
        <v>0</v>
      </c>
      <c r="D35" s="397">
        <v>1099</v>
      </c>
      <c r="E35" s="398">
        <v>2977.5</v>
      </c>
      <c r="F35" s="389">
        <v>0</v>
      </c>
      <c r="G35" s="389">
        <v>1381</v>
      </c>
      <c r="H35" s="389">
        <v>476</v>
      </c>
    </row>
    <row r="36" spans="1:8" ht="13.5" customHeight="1">
      <c r="A36" s="23" t="s">
        <v>240</v>
      </c>
      <c r="B36" s="69">
        <v>1815.9</v>
      </c>
      <c r="C36" s="69">
        <v>0</v>
      </c>
      <c r="D36" s="70">
        <v>0</v>
      </c>
      <c r="E36" s="71">
        <v>0</v>
      </c>
      <c r="F36" s="69">
        <v>0</v>
      </c>
      <c r="G36" s="69">
        <v>0</v>
      </c>
      <c r="H36" s="69">
        <v>0</v>
      </c>
    </row>
    <row r="37" spans="1:8" ht="13.5" customHeight="1">
      <c r="A37" s="362" t="s">
        <v>241</v>
      </c>
      <c r="B37" s="389">
        <v>1674.5</v>
      </c>
      <c r="C37" s="389">
        <v>0</v>
      </c>
      <c r="D37" s="397">
        <v>619.5</v>
      </c>
      <c r="E37" s="398">
        <v>777.5</v>
      </c>
      <c r="F37" s="389">
        <v>0</v>
      </c>
      <c r="G37" s="389">
        <v>393</v>
      </c>
      <c r="H37" s="389">
        <v>0</v>
      </c>
    </row>
    <row r="38" spans="1:8" ht="13.5" customHeight="1">
      <c r="A38" s="23" t="s">
        <v>242</v>
      </c>
      <c r="B38" s="69">
        <v>4960</v>
      </c>
      <c r="C38" s="69">
        <v>0</v>
      </c>
      <c r="D38" s="70">
        <v>205</v>
      </c>
      <c r="E38" s="71">
        <v>2469</v>
      </c>
      <c r="F38" s="69">
        <v>0</v>
      </c>
      <c r="G38" s="69">
        <v>870</v>
      </c>
      <c r="H38" s="69">
        <v>161</v>
      </c>
    </row>
    <row r="39" spans="1:8" ht="13.5" customHeight="1">
      <c r="A39" s="362" t="s">
        <v>243</v>
      </c>
      <c r="B39" s="389">
        <v>1633</v>
      </c>
      <c r="C39" s="389">
        <v>0</v>
      </c>
      <c r="D39" s="397">
        <v>0</v>
      </c>
      <c r="E39" s="398">
        <v>0</v>
      </c>
      <c r="F39" s="389">
        <v>0</v>
      </c>
      <c r="G39" s="389">
        <v>0</v>
      </c>
      <c r="H39" s="389">
        <v>0</v>
      </c>
    </row>
    <row r="40" spans="1:8" ht="13.5" customHeight="1">
      <c r="A40" s="23" t="s">
        <v>244</v>
      </c>
      <c r="B40" s="69">
        <v>5651.2</v>
      </c>
      <c r="C40" s="69">
        <v>0</v>
      </c>
      <c r="D40" s="70">
        <v>650</v>
      </c>
      <c r="E40" s="71">
        <v>937.4</v>
      </c>
      <c r="F40" s="69">
        <v>0</v>
      </c>
      <c r="G40" s="69">
        <v>584.3</v>
      </c>
      <c r="H40" s="69">
        <v>0</v>
      </c>
    </row>
    <row r="41" spans="1:8" ht="13.5" customHeight="1">
      <c r="A41" s="362" t="s">
        <v>245</v>
      </c>
      <c r="B41" s="389">
        <v>3093</v>
      </c>
      <c r="C41" s="389">
        <v>0</v>
      </c>
      <c r="D41" s="397">
        <v>0</v>
      </c>
      <c r="E41" s="398">
        <v>960</v>
      </c>
      <c r="F41" s="389">
        <v>0</v>
      </c>
      <c r="G41" s="389">
        <v>455</v>
      </c>
      <c r="H41" s="389">
        <v>69</v>
      </c>
    </row>
    <row r="42" spans="1:8" ht="13.5" customHeight="1">
      <c r="A42" s="23" t="s">
        <v>246</v>
      </c>
      <c r="B42" s="69">
        <v>1238</v>
      </c>
      <c r="C42" s="69">
        <v>0</v>
      </c>
      <c r="D42" s="70">
        <v>0</v>
      </c>
      <c r="E42" s="71">
        <v>174</v>
      </c>
      <c r="F42" s="69">
        <v>0</v>
      </c>
      <c r="G42" s="69">
        <v>72</v>
      </c>
      <c r="H42" s="69">
        <v>0</v>
      </c>
    </row>
    <row r="43" spans="1:8" ht="13.5" customHeight="1">
      <c r="A43" s="362" t="s">
        <v>247</v>
      </c>
      <c r="B43" s="389">
        <v>1004.5</v>
      </c>
      <c r="C43" s="389">
        <v>0</v>
      </c>
      <c r="D43" s="397">
        <v>0</v>
      </c>
      <c r="E43" s="398">
        <v>0</v>
      </c>
      <c r="F43" s="389">
        <v>0</v>
      </c>
      <c r="G43" s="389">
        <v>0</v>
      </c>
      <c r="H43" s="389">
        <v>0</v>
      </c>
    </row>
    <row r="44" spans="1:8" ht="13.5" customHeight="1">
      <c r="A44" s="23" t="s">
        <v>248</v>
      </c>
      <c r="B44" s="69">
        <v>723</v>
      </c>
      <c r="C44" s="69">
        <v>57</v>
      </c>
      <c r="D44" s="70">
        <v>0</v>
      </c>
      <c r="E44" s="71">
        <v>0</v>
      </c>
      <c r="F44" s="69">
        <v>0</v>
      </c>
      <c r="G44" s="69">
        <v>0</v>
      </c>
      <c r="H44" s="69">
        <v>0</v>
      </c>
    </row>
    <row r="45" spans="1:8" ht="13.5" customHeight="1">
      <c r="A45" s="362" t="s">
        <v>249</v>
      </c>
      <c r="B45" s="389">
        <v>720.5</v>
      </c>
      <c r="C45" s="389">
        <v>0</v>
      </c>
      <c r="D45" s="397">
        <v>0</v>
      </c>
      <c r="E45" s="398">
        <v>613.5</v>
      </c>
      <c r="F45" s="389">
        <v>0</v>
      </c>
      <c r="G45" s="389">
        <v>133</v>
      </c>
      <c r="H45" s="389">
        <v>0</v>
      </c>
    </row>
    <row r="46" spans="1:8" ht="13.5" customHeight="1">
      <c r="A46" s="23" t="s">
        <v>250</v>
      </c>
      <c r="B46" s="69">
        <v>22151</v>
      </c>
      <c r="C46" s="69">
        <v>0</v>
      </c>
      <c r="D46" s="70">
        <v>988.5</v>
      </c>
      <c r="E46" s="71">
        <v>3361.5</v>
      </c>
      <c r="F46" s="69">
        <v>0</v>
      </c>
      <c r="G46" s="69">
        <v>1860</v>
      </c>
      <c r="H46" s="69">
        <v>245.5</v>
      </c>
    </row>
    <row r="47" spans="1:9" ht="4.5" customHeight="1">
      <c r="A47"/>
      <c r="B47"/>
      <c r="C47"/>
      <c r="D47"/>
      <c r="E47"/>
      <c r="F47"/>
      <c r="G47"/>
      <c r="H47"/>
      <c r="I47"/>
    </row>
    <row r="48" spans="1:8" ht="13.5" customHeight="1">
      <c r="A48" s="365" t="s">
        <v>251</v>
      </c>
      <c r="B48" s="390">
        <f>SUM(B11:B46)</f>
        <v>124062.58571428571</v>
      </c>
      <c r="C48" s="390">
        <f aca="true" t="shared" si="0" ref="C48:H48">SUM(C11:C46)</f>
        <v>5026</v>
      </c>
      <c r="D48" s="507">
        <f t="shared" si="0"/>
        <v>9052</v>
      </c>
      <c r="E48" s="506">
        <f t="shared" si="0"/>
        <v>17925.4</v>
      </c>
      <c r="F48" s="390">
        <f t="shared" si="0"/>
        <v>205</v>
      </c>
      <c r="G48" s="390">
        <f t="shared" si="0"/>
        <v>7991.8</v>
      </c>
      <c r="H48" s="390">
        <f t="shared" si="0"/>
        <v>1131.5</v>
      </c>
    </row>
    <row r="49" spans="1:8" ht="4.5" customHeight="1">
      <c r="A49" s="25" t="s">
        <v>3</v>
      </c>
      <c r="B49" s="72"/>
      <c r="C49" s="72"/>
      <c r="D49" s="72"/>
      <c r="E49" s="72"/>
      <c r="F49" s="72"/>
      <c r="G49" s="72"/>
      <c r="H49" s="72"/>
    </row>
    <row r="50" spans="1:8" ht="13.5" customHeight="1">
      <c r="A50" s="23" t="s">
        <v>252</v>
      </c>
      <c r="B50" s="69">
        <v>213.5</v>
      </c>
      <c r="C50" s="69">
        <v>0</v>
      </c>
      <c r="D50" s="70">
        <v>0</v>
      </c>
      <c r="E50" s="71">
        <v>0</v>
      </c>
      <c r="F50" s="69">
        <v>0</v>
      </c>
      <c r="G50" s="69">
        <v>0</v>
      </c>
      <c r="H50" s="69">
        <v>0</v>
      </c>
    </row>
    <row r="51" spans="1:8" ht="13.5" customHeight="1">
      <c r="A51" s="362" t="s">
        <v>253</v>
      </c>
      <c r="B51" s="389">
        <v>37</v>
      </c>
      <c r="C51" s="389">
        <v>0</v>
      </c>
      <c r="D51" s="397">
        <v>0</v>
      </c>
      <c r="E51" s="398">
        <v>0</v>
      </c>
      <c r="F51" s="389">
        <v>0</v>
      </c>
      <c r="G51" s="389">
        <v>0</v>
      </c>
      <c r="H51" s="389">
        <v>0</v>
      </c>
    </row>
    <row r="52" spans="1:9" ht="49.5" customHeight="1">
      <c r="A52" s="27"/>
      <c r="B52" s="73"/>
      <c r="C52" s="73"/>
      <c r="D52" s="73"/>
      <c r="E52" s="73"/>
      <c r="F52" s="73"/>
      <c r="G52" s="73"/>
      <c r="H52" s="73"/>
      <c r="I52" s="68"/>
    </row>
    <row r="53" spans="1:9" ht="15" customHeight="1">
      <c r="A53" s="126" t="s">
        <v>344</v>
      </c>
      <c r="C53" s="68"/>
      <c r="D53" s="68"/>
      <c r="E53" s="68"/>
      <c r="F53" s="68"/>
      <c r="G53" s="68"/>
      <c r="H53" s="68"/>
      <c r="I53" s="68"/>
    </row>
    <row r="54" spans="1:9" ht="12" customHeight="1">
      <c r="A54" s="126" t="s">
        <v>343</v>
      </c>
      <c r="C54" s="68"/>
      <c r="D54" s="68"/>
      <c r="E54" s="68"/>
      <c r="F54" s="68"/>
      <c r="G54" s="68"/>
      <c r="H54" s="68"/>
      <c r="I54" s="68"/>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sheetPr codeName="Sheet41">
    <pageSetUpPr fitToPage="1"/>
  </sheetPr>
  <dimension ref="A1:C54"/>
  <sheetViews>
    <sheetView showGridLines="0" showZeros="0" workbookViewId="0" topLeftCell="A1">
      <selection activeCell="A1" sqref="A1"/>
    </sheetView>
  </sheetViews>
  <sheetFormatPr defaultColWidth="19.83203125" defaultRowHeight="12"/>
  <cols>
    <col min="1" max="1" width="38.83203125" style="1" customWidth="1"/>
    <col min="2" max="2" width="40.83203125" style="1" customWidth="1"/>
    <col min="3" max="3" width="53.83203125" style="1" customWidth="1"/>
    <col min="4" max="16384" width="19.83203125" style="1" customWidth="1"/>
  </cols>
  <sheetData>
    <row r="1" ht="6.75" customHeight="1">
      <c r="A1" s="3"/>
    </row>
    <row r="2" spans="1:3" ht="15.75" customHeight="1">
      <c r="A2" s="268" t="s">
        <v>542</v>
      </c>
      <c r="B2" s="268"/>
      <c r="C2" s="269"/>
    </row>
    <row r="3" spans="1:3" ht="15.75" customHeight="1">
      <c r="A3" s="270" t="str">
        <f>REPLACE(REVYEAR,1,36,"")</f>
        <v> 2008/2009 BUDGET</v>
      </c>
      <c r="B3" s="270"/>
      <c r="C3" s="271"/>
    </row>
    <row r="4" ht="15.75" customHeight="1">
      <c r="B4" s="4"/>
    </row>
    <row r="5" spans="1:3" ht="15.75" customHeight="1">
      <c r="A5"/>
      <c r="B5"/>
      <c r="C5"/>
    </row>
    <row r="6" spans="1:3" ht="15.75" customHeight="1">
      <c r="A6"/>
      <c r="B6"/>
      <c r="C6"/>
    </row>
    <row r="7" spans="2:3" ht="15.75" customHeight="1">
      <c r="B7" s="378" t="s">
        <v>500</v>
      </c>
      <c r="C7"/>
    </row>
    <row r="8" spans="1:3" ht="15.75" customHeight="1">
      <c r="A8" s="333"/>
      <c r="B8" s="438" t="s">
        <v>541</v>
      </c>
      <c r="C8"/>
    </row>
    <row r="9" spans="1:3" ht="15.75" customHeight="1">
      <c r="A9" s="334" t="s">
        <v>79</v>
      </c>
      <c r="B9" s="381" t="s">
        <v>502</v>
      </c>
      <c r="C9"/>
    </row>
    <row r="10" spans="1:3" ht="4.5" customHeight="1">
      <c r="A10" s="37"/>
      <c r="B10" s="254"/>
      <c r="C10"/>
    </row>
    <row r="11" spans="1:3" ht="13.5" customHeight="1">
      <c r="A11" s="362" t="s">
        <v>216</v>
      </c>
      <c r="B11" s="522">
        <v>205000</v>
      </c>
      <c r="C11"/>
    </row>
    <row r="12" spans="1:3" ht="13.5" customHeight="1">
      <c r="A12" s="23" t="s">
        <v>217</v>
      </c>
      <c r="B12" s="523">
        <v>588650</v>
      </c>
      <c r="C12"/>
    </row>
    <row r="13" spans="1:3" ht="13.5" customHeight="1">
      <c r="A13" s="362" t="s">
        <v>218</v>
      </c>
      <c r="B13" s="522">
        <v>354500</v>
      </c>
      <c r="C13"/>
    </row>
    <row r="14" spans="1:3" ht="13.5" customHeight="1">
      <c r="A14" s="23" t="s">
        <v>254</v>
      </c>
      <c r="B14" s="523">
        <v>650865</v>
      </c>
      <c r="C14"/>
    </row>
    <row r="15" spans="1:3" ht="13.5" customHeight="1">
      <c r="A15" s="362" t="s">
        <v>219</v>
      </c>
      <c r="B15" s="522">
        <v>103979</v>
      </c>
      <c r="C15"/>
    </row>
    <row r="16" spans="1:3" ht="13.5" customHeight="1">
      <c r="A16" s="23" t="s">
        <v>220</v>
      </c>
      <c r="B16" s="523">
        <v>0</v>
      </c>
      <c r="C16"/>
    </row>
    <row r="17" spans="1:3" ht="13.5" customHeight="1">
      <c r="A17" s="362" t="s">
        <v>221</v>
      </c>
      <c r="B17" s="522">
        <v>235000</v>
      </c>
      <c r="C17"/>
    </row>
    <row r="18" spans="1:3" ht="13.5" customHeight="1">
      <c r="A18" s="23" t="s">
        <v>222</v>
      </c>
      <c r="B18" s="523">
        <v>200000</v>
      </c>
      <c r="C18"/>
    </row>
    <row r="19" spans="1:3" ht="13.5" customHeight="1">
      <c r="A19" s="362" t="s">
        <v>223</v>
      </c>
      <c r="B19" s="522">
        <v>830000</v>
      </c>
      <c r="C19"/>
    </row>
    <row r="20" spans="1:3" ht="13.5" customHeight="1">
      <c r="A20" s="23" t="s">
        <v>224</v>
      </c>
      <c r="B20" s="523">
        <v>927100</v>
      </c>
      <c r="C20"/>
    </row>
    <row r="21" spans="1:3" ht="13.5" customHeight="1">
      <c r="A21" s="362" t="s">
        <v>225</v>
      </c>
      <c r="B21" s="522">
        <v>575000</v>
      </c>
      <c r="C21"/>
    </row>
    <row r="22" spans="1:3" ht="13.5" customHeight="1">
      <c r="A22" s="23" t="s">
        <v>226</v>
      </c>
      <c r="B22" s="523">
        <v>158000</v>
      </c>
      <c r="C22"/>
    </row>
    <row r="23" spans="1:3" ht="13.5" customHeight="1">
      <c r="A23" s="362" t="s">
        <v>227</v>
      </c>
      <c r="B23" s="522">
        <v>231000</v>
      </c>
      <c r="C23"/>
    </row>
    <row r="24" spans="1:3" ht="13.5" customHeight="1">
      <c r="A24" s="23" t="s">
        <v>228</v>
      </c>
      <c r="B24" s="523">
        <v>400477</v>
      </c>
      <c r="C24"/>
    </row>
    <row r="25" spans="1:3" ht="13.5" customHeight="1">
      <c r="A25" s="362" t="s">
        <v>229</v>
      </c>
      <c r="B25" s="522">
        <v>381130</v>
      </c>
      <c r="C25"/>
    </row>
    <row r="26" spans="1:3" ht="13.5" customHeight="1">
      <c r="A26" s="23" t="s">
        <v>230</v>
      </c>
      <c r="B26" s="523">
        <v>505056</v>
      </c>
      <c r="C26"/>
    </row>
    <row r="27" spans="1:3" ht="13.5" customHeight="1">
      <c r="A27" s="362" t="s">
        <v>231</v>
      </c>
      <c r="B27" s="522">
        <v>0</v>
      </c>
      <c r="C27"/>
    </row>
    <row r="28" spans="1:3" ht="13.5" customHeight="1">
      <c r="A28" s="23" t="s">
        <v>232</v>
      </c>
      <c r="B28" s="523">
        <v>85000</v>
      </c>
      <c r="C28"/>
    </row>
    <row r="29" spans="1:3" ht="13.5" customHeight="1">
      <c r="A29" s="362" t="s">
        <v>233</v>
      </c>
      <c r="B29" s="522">
        <v>147500</v>
      </c>
      <c r="C29"/>
    </row>
    <row r="30" spans="1:3" ht="13.5" customHeight="1">
      <c r="A30" s="23" t="s">
        <v>234</v>
      </c>
      <c r="B30" s="523">
        <v>100000</v>
      </c>
      <c r="C30"/>
    </row>
    <row r="31" spans="1:3" ht="13.5" customHeight="1">
      <c r="A31" s="362" t="s">
        <v>235</v>
      </c>
      <c r="B31" s="522">
        <v>331000</v>
      </c>
      <c r="C31"/>
    </row>
    <row r="32" spans="1:3" ht="13.5" customHeight="1">
      <c r="A32" s="23" t="s">
        <v>236</v>
      </c>
      <c r="B32" s="523">
        <v>301500</v>
      </c>
      <c r="C32"/>
    </row>
    <row r="33" spans="1:3" ht="13.5" customHeight="1">
      <c r="A33" s="362" t="s">
        <v>237</v>
      </c>
      <c r="B33" s="522">
        <v>401375</v>
      </c>
      <c r="C33"/>
    </row>
    <row r="34" spans="1:3" ht="13.5" customHeight="1">
      <c r="A34" s="23" t="s">
        <v>238</v>
      </c>
      <c r="B34" s="523">
        <v>408091</v>
      </c>
      <c r="C34"/>
    </row>
    <row r="35" spans="1:3" ht="13.5" customHeight="1">
      <c r="A35" s="362" t="s">
        <v>239</v>
      </c>
      <c r="B35" s="522">
        <v>1471700</v>
      </c>
      <c r="C35"/>
    </row>
    <row r="36" spans="1:3" ht="13.5" customHeight="1">
      <c r="A36" s="23" t="s">
        <v>240</v>
      </c>
      <c r="B36" s="523">
        <v>235000</v>
      </c>
      <c r="C36"/>
    </row>
    <row r="37" spans="1:3" ht="13.5" customHeight="1">
      <c r="A37" s="362" t="s">
        <v>241</v>
      </c>
      <c r="B37" s="522">
        <v>507747</v>
      </c>
      <c r="C37"/>
    </row>
    <row r="38" spans="1:3" ht="13.5" customHeight="1">
      <c r="A38" s="23" t="s">
        <v>242</v>
      </c>
      <c r="B38" s="523">
        <v>1599005</v>
      </c>
      <c r="C38"/>
    </row>
    <row r="39" spans="1:3" ht="13.5" customHeight="1">
      <c r="A39" s="362" t="s">
        <v>243</v>
      </c>
      <c r="B39" s="522">
        <v>260000</v>
      </c>
      <c r="C39"/>
    </row>
    <row r="40" spans="1:3" ht="13.5" customHeight="1">
      <c r="A40" s="23" t="s">
        <v>244</v>
      </c>
      <c r="B40" s="523">
        <v>1483222</v>
      </c>
      <c r="C40"/>
    </row>
    <row r="41" spans="1:3" ht="13.5" customHeight="1">
      <c r="A41" s="362" t="s">
        <v>245</v>
      </c>
      <c r="B41" s="522">
        <v>788488</v>
      </c>
      <c r="C41"/>
    </row>
    <row r="42" spans="1:3" ht="13.5" customHeight="1">
      <c r="A42" s="23" t="s">
        <v>246</v>
      </c>
      <c r="B42" s="523">
        <v>207472</v>
      </c>
      <c r="C42"/>
    </row>
    <row r="43" spans="1:3" ht="13.5" customHeight="1">
      <c r="A43" s="362" t="s">
        <v>247</v>
      </c>
      <c r="B43" s="522">
        <v>160000</v>
      </c>
      <c r="C43"/>
    </row>
    <row r="44" spans="1:3" ht="13.5" customHeight="1">
      <c r="A44" s="23" t="s">
        <v>248</v>
      </c>
      <c r="B44" s="523">
        <v>90589</v>
      </c>
      <c r="C44"/>
    </row>
    <row r="45" spans="1:3" ht="13.5" customHeight="1">
      <c r="A45" s="362" t="s">
        <v>249</v>
      </c>
      <c r="B45" s="522">
        <v>187746</v>
      </c>
      <c r="C45"/>
    </row>
    <row r="46" spans="1:3" ht="13.5" customHeight="1">
      <c r="A46" s="23" t="s">
        <v>250</v>
      </c>
      <c r="B46" s="523">
        <v>445000</v>
      </c>
      <c r="C46"/>
    </row>
    <row r="47" spans="1:3" ht="4.5" customHeight="1">
      <c r="A47"/>
      <c r="B47" s="524"/>
      <c r="C47"/>
    </row>
    <row r="48" spans="1:3" ht="13.5" customHeight="1">
      <c r="A48" s="365" t="s">
        <v>251</v>
      </c>
      <c r="B48" s="525">
        <f>SUM(B11:B46)</f>
        <v>15556192</v>
      </c>
      <c r="C48"/>
    </row>
    <row r="49" spans="1:3" ht="4.5" customHeight="1">
      <c r="A49" s="25" t="s">
        <v>3</v>
      </c>
      <c r="B49" s="526"/>
      <c r="C49"/>
    </row>
    <row r="50" spans="1:3" ht="13.5" customHeight="1">
      <c r="A50" s="23" t="s">
        <v>252</v>
      </c>
      <c r="B50" s="523">
        <v>107000</v>
      </c>
      <c r="C50"/>
    </row>
    <row r="51" spans="1:3" ht="13.5" customHeight="1">
      <c r="A51" s="362" t="s">
        <v>253</v>
      </c>
      <c r="B51" s="522">
        <v>135569</v>
      </c>
      <c r="C51"/>
    </row>
    <row r="52" spans="1:3" ht="13.5" customHeight="1">
      <c r="A52" s="322"/>
      <c r="B52" s="323"/>
      <c r="C52"/>
    </row>
    <row r="53" spans="1:3" ht="49.5" customHeight="1">
      <c r="A53" s="27"/>
      <c r="B53" s="27"/>
      <c r="C53" s="527"/>
    </row>
    <row r="54" ht="14.25" customHeight="1">
      <c r="A54" s="162" t="s">
        <v>549</v>
      </c>
    </row>
    <row r="55" ht="14.25" customHeight="1"/>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sheetPr codeName="Sheet42">
    <pageSetUpPr fitToPage="1"/>
  </sheetPr>
  <dimension ref="A1:D58"/>
  <sheetViews>
    <sheetView showGridLines="0" showZeros="0" workbookViewId="0" topLeftCell="A1">
      <selection activeCell="A1" sqref="A1"/>
    </sheetView>
  </sheetViews>
  <sheetFormatPr defaultColWidth="15.83203125" defaultRowHeight="12"/>
  <cols>
    <col min="1" max="1" width="35.83203125" style="1" customWidth="1"/>
    <col min="2" max="3" width="25.83203125" style="1" customWidth="1"/>
    <col min="4" max="4" width="45.83203125" style="1" customWidth="1"/>
    <col min="5" max="16384" width="15.83203125" style="1" customWidth="1"/>
  </cols>
  <sheetData>
    <row r="1" ht="6.75" customHeight="1">
      <c r="A1" s="3"/>
    </row>
    <row r="2" spans="1:4" ht="16.5" customHeight="1">
      <c r="A2" s="324"/>
      <c r="B2" s="325" t="s">
        <v>434</v>
      </c>
      <c r="C2" s="168"/>
      <c r="D2" s="179"/>
    </row>
    <row r="3" spans="1:4" ht="15" customHeight="1">
      <c r="A3" s="326"/>
      <c r="B3" s="270" t="s">
        <v>487</v>
      </c>
      <c r="C3" s="183"/>
      <c r="D3" s="327"/>
    </row>
    <row r="4" spans="1:3" ht="15.75" customHeight="1">
      <c r="A4" s="166"/>
      <c r="B4" s="4"/>
      <c r="C4" s="77"/>
    </row>
    <row r="5" spans="1:3" ht="15.75" customHeight="1">
      <c r="A5" s="1">
        <f>REPLACE(A4,5,5,"")</f>
      </c>
      <c r="B5" s="4"/>
      <c r="C5" s="4"/>
    </row>
    <row r="6" spans="2:3" ht="15.75" customHeight="1">
      <c r="B6"/>
      <c r="C6"/>
    </row>
    <row r="7" spans="2:3" ht="15.75" customHeight="1">
      <c r="B7" s="453" t="s">
        <v>435</v>
      </c>
      <c r="C7" s="453"/>
    </row>
    <row r="8" spans="1:3" ht="15.75" customHeight="1">
      <c r="A8" s="104"/>
      <c r="B8" s="454" t="s">
        <v>110</v>
      </c>
      <c r="C8" s="454" t="s">
        <v>76</v>
      </c>
    </row>
    <row r="9" spans="1:3" ht="15.75" customHeight="1">
      <c r="A9" s="35" t="s">
        <v>79</v>
      </c>
      <c r="B9" s="455" t="s">
        <v>142</v>
      </c>
      <c r="C9" s="455" t="s">
        <v>436</v>
      </c>
    </row>
    <row r="10" spans="1:3" ht="4.5" customHeight="1">
      <c r="A10" s="37"/>
      <c r="B10" s="254"/>
      <c r="C10" s="498">
        <v>0.01608</v>
      </c>
    </row>
    <row r="11" spans="1:3" ht="13.5" customHeight="1">
      <c r="A11" s="362" t="s">
        <v>216</v>
      </c>
      <c r="B11" s="363">
        <f>'- 48 -'!D11</f>
        <v>79678750</v>
      </c>
      <c r="C11" s="363">
        <f aca="true" t="shared" si="0" ref="C11:C46">B11*C$10</f>
        <v>1281234.3</v>
      </c>
    </row>
    <row r="12" spans="1:3" ht="13.5" customHeight="1">
      <c r="A12" s="23" t="s">
        <v>217</v>
      </c>
      <c r="B12" s="24">
        <f>'- 48 -'!D12</f>
        <v>86683940</v>
      </c>
      <c r="C12" s="24">
        <f t="shared" si="0"/>
        <v>1393877.7552</v>
      </c>
    </row>
    <row r="13" spans="1:3" ht="13.5" customHeight="1">
      <c r="A13" s="362" t="s">
        <v>218</v>
      </c>
      <c r="B13" s="363">
        <f>'- 48 -'!D13</f>
        <v>497604110</v>
      </c>
      <c r="C13" s="363">
        <f t="shared" si="0"/>
        <v>8001474.0888</v>
      </c>
    </row>
    <row r="14" spans="1:3" ht="13.5" customHeight="1">
      <c r="A14" s="23" t="s">
        <v>254</v>
      </c>
      <c r="B14" s="24">
        <f>'- 48 -'!D14</f>
        <v>0</v>
      </c>
      <c r="C14" s="24">
        <f t="shared" si="0"/>
        <v>0</v>
      </c>
    </row>
    <row r="15" spans="1:3" ht="13.5" customHeight="1">
      <c r="A15" s="362" t="s">
        <v>219</v>
      </c>
      <c r="B15" s="363">
        <f>'- 48 -'!D15</f>
        <v>75297040</v>
      </c>
      <c r="C15" s="363">
        <f t="shared" si="0"/>
        <v>1210776.4032</v>
      </c>
    </row>
    <row r="16" spans="1:3" ht="13.5" customHeight="1">
      <c r="A16" s="23" t="s">
        <v>220</v>
      </c>
      <c r="B16" s="24">
        <f>'- 48 -'!D16</f>
        <v>26234620</v>
      </c>
      <c r="C16" s="24">
        <f t="shared" si="0"/>
        <v>421852.68960000004</v>
      </c>
    </row>
    <row r="17" spans="1:3" ht="13.5" customHeight="1">
      <c r="A17" s="362" t="s">
        <v>221</v>
      </c>
      <c r="B17" s="363">
        <f>'- 48 -'!D17</f>
        <v>142155210</v>
      </c>
      <c r="C17" s="363">
        <f t="shared" si="0"/>
        <v>2285855.7768</v>
      </c>
    </row>
    <row r="18" spans="1:3" ht="13.5" customHeight="1">
      <c r="A18" s="23" t="s">
        <v>222</v>
      </c>
      <c r="B18" s="24">
        <f>'- 48 -'!D18</f>
        <v>43704930</v>
      </c>
      <c r="C18" s="24">
        <f t="shared" si="0"/>
        <v>702775.2744</v>
      </c>
    </row>
    <row r="19" spans="1:3" ht="13.5" customHeight="1">
      <c r="A19" s="362" t="s">
        <v>223</v>
      </c>
      <c r="B19" s="363">
        <f>'- 48 -'!D19</f>
        <v>121186730</v>
      </c>
      <c r="C19" s="363">
        <f t="shared" si="0"/>
        <v>1948682.6184</v>
      </c>
    </row>
    <row r="20" spans="1:3" ht="13.5" customHeight="1">
      <c r="A20" s="23" t="s">
        <v>224</v>
      </c>
      <c r="B20" s="24">
        <f>'- 48 -'!D20</f>
        <v>193291660</v>
      </c>
      <c r="C20" s="24">
        <f t="shared" si="0"/>
        <v>3108129.8928</v>
      </c>
    </row>
    <row r="21" spans="1:3" ht="13.5" customHeight="1">
      <c r="A21" s="362" t="s">
        <v>225</v>
      </c>
      <c r="B21" s="363">
        <f>'- 48 -'!D21</f>
        <v>117478030</v>
      </c>
      <c r="C21" s="363">
        <f t="shared" si="0"/>
        <v>1889046.7224</v>
      </c>
    </row>
    <row r="22" spans="1:3" ht="13.5" customHeight="1">
      <c r="A22" s="23" t="s">
        <v>226</v>
      </c>
      <c r="B22" s="24">
        <f>'- 48 -'!D22</f>
        <v>54503870</v>
      </c>
      <c r="C22" s="24">
        <f t="shared" si="0"/>
        <v>876422.2296000001</v>
      </c>
    </row>
    <row r="23" spans="1:3" ht="13.5" customHeight="1">
      <c r="A23" s="362" t="s">
        <v>227</v>
      </c>
      <c r="B23" s="363">
        <f>'- 48 -'!D23</f>
        <v>21074870</v>
      </c>
      <c r="C23" s="363">
        <f t="shared" si="0"/>
        <v>338883.9096</v>
      </c>
    </row>
    <row r="24" spans="1:3" ht="13.5" customHeight="1">
      <c r="A24" s="23" t="s">
        <v>228</v>
      </c>
      <c r="B24" s="24">
        <f>'- 48 -'!D24</f>
        <v>129275700</v>
      </c>
      <c r="C24" s="24">
        <f t="shared" si="0"/>
        <v>2078753.256</v>
      </c>
    </row>
    <row r="25" spans="1:3" ht="13.5" customHeight="1">
      <c r="A25" s="362" t="s">
        <v>229</v>
      </c>
      <c r="B25" s="363">
        <f>'- 48 -'!D25</f>
        <v>587112910</v>
      </c>
      <c r="C25" s="363">
        <f t="shared" si="0"/>
        <v>9440775.5928</v>
      </c>
    </row>
    <row r="26" spans="1:3" ht="13.5" customHeight="1">
      <c r="A26" s="23" t="s">
        <v>230</v>
      </c>
      <c r="B26" s="24">
        <f>'- 48 -'!D26</f>
        <v>83610600</v>
      </c>
      <c r="C26" s="24">
        <f t="shared" si="0"/>
        <v>1344458.448</v>
      </c>
    </row>
    <row r="27" spans="1:3" ht="13.5" customHeight="1">
      <c r="A27" s="362" t="s">
        <v>231</v>
      </c>
      <c r="B27" s="363">
        <f>'- 48 -'!D27</f>
        <v>66400680</v>
      </c>
      <c r="C27" s="363">
        <f t="shared" si="0"/>
        <v>1067722.9344000001</v>
      </c>
    </row>
    <row r="28" spans="1:3" ht="13.5" customHeight="1">
      <c r="A28" s="23" t="s">
        <v>232</v>
      </c>
      <c r="B28" s="24">
        <f>'- 48 -'!D28</f>
        <v>106439220</v>
      </c>
      <c r="C28" s="24">
        <f t="shared" si="0"/>
        <v>1711542.6576</v>
      </c>
    </row>
    <row r="29" spans="1:3" ht="13.5" customHeight="1">
      <c r="A29" s="362" t="s">
        <v>233</v>
      </c>
      <c r="B29" s="363">
        <f>'- 48 -'!D29</f>
        <v>598304660</v>
      </c>
      <c r="C29" s="363">
        <f t="shared" si="0"/>
        <v>9620738.9328</v>
      </c>
    </row>
    <row r="30" spans="1:3" ht="13.5" customHeight="1">
      <c r="A30" s="23" t="s">
        <v>234</v>
      </c>
      <c r="B30" s="24">
        <f>'- 48 -'!D30</f>
        <v>50155290</v>
      </c>
      <c r="C30" s="24">
        <f t="shared" si="0"/>
        <v>806497.0632</v>
      </c>
    </row>
    <row r="31" spans="1:3" ht="13.5" customHeight="1">
      <c r="A31" s="362" t="s">
        <v>235</v>
      </c>
      <c r="B31" s="363">
        <f>'- 48 -'!D31</f>
        <v>199961400</v>
      </c>
      <c r="C31" s="363">
        <f t="shared" si="0"/>
        <v>3215379.312</v>
      </c>
    </row>
    <row r="32" spans="1:3" ht="13.5" customHeight="1">
      <c r="A32" s="23" t="s">
        <v>236</v>
      </c>
      <c r="B32" s="24">
        <f>'- 48 -'!D32</f>
        <v>74634860</v>
      </c>
      <c r="C32" s="24">
        <f t="shared" si="0"/>
        <v>1200128.5488</v>
      </c>
    </row>
    <row r="33" spans="1:3" ht="13.5" customHeight="1">
      <c r="A33" s="362" t="s">
        <v>237</v>
      </c>
      <c r="B33" s="363">
        <f>'- 48 -'!D33</f>
        <v>87391290</v>
      </c>
      <c r="C33" s="363">
        <f t="shared" si="0"/>
        <v>1405251.9432</v>
      </c>
    </row>
    <row r="34" spans="1:3" ht="13.5" customHeight="1">
      <c r="A34" s="23" t="s">
        <v>238</v>
      </c>
      <c r="B34" s="24">
        <f>'- 48 -'!D34</f>
        <v>116913270</v>
      </c>
      <c r="C34" s="24">
        <f t="shared" si="0"/>
        <v>1879965.3816</v>
      </c>
    </row>
    <row r="35" spans="1:3" ht="13.5" customHeight="1">
      <c r="A35" s="362" t="s">
        <v>239</v>
      </c>
      <c r="B35" s="363">
        <f>'- 48 -'!D35</f>
        <v>490893340</v>
      </c>
      <c r="C35" s="363">
        <f t="shared" si="0"/>
        <v>7893564.9072</v>
      </c>
    </row>
    <row r="36" spans="1:3" ht="13.5" customHeight="1">
      <c r="A36" s="23" t="s">
        <v>240</v>
      </c>
      <c r="B36" s="24">
        <f>'- 48 -'!D36</f>
        <v>92197160</v>
      </c>
      <c r="C36" s="24">
        <f t="shared" si="0"/>
        <v>1482530.3328</v>
      </c>
    </row>
    <row r="37" spans="1:3" ht="13.5" customHeight="1">
      <c r="A37" s="362" t="s">
        <v>241</v>
      </c>
      <c r="B37" s="363">
        <f>'- 48 -'!D37</f>
        <v>89085580</v>
      </c>
      <c r="C37" s="363">
        <f t="shared" si="0"/>
        <v>1432496.1264</v>
      </c>
    </row>
    <row r="38" spans="1:3" ht="13.5" customHeight="1">
      <c r="A38" s="23" t="s">
        <v>242</v>
      </c>
      <c r="B38" s="24">
        <f>'- 48 -'!D38</f>
        <v>186133190</v>
      </c>
      <c r="C38" s="24">
        <f t="shared" si="0"/>
        <v>2993021.6952</v>
      </c>
    </row>
    <row r="39" spans="1:3" ht="13.5" customHeight="1">
      <c r="A39" s="362" t="s">
        <v>243</v>
      </c>
      <c r="B39" s="363">
        <f>'- 48 -'!D39</f>
        <v>89885750</v>
      </c>
      <c r="C39" s="363">
        <f t="shared" si="0"/>
        <v>1445362.86</v>
      </c>
    </row>
    <row r="40" spans="1:3" ht="13.5" customHeight="1">
      <c r="A40" s="23" t="s">
        <v>244</v>
      </c>
      <c r="B40" s="24">
        <f>'- 48 -'!D40</f>
        <v>712593500</v>
      </c>
      <c r="C40" s="24">
        <f t="shared" si="0"/>
        <v>11458503.48</v>
      </c>
    </row>
    <row r="41" spans="1:3" ht="13.5" customHeight="1">
      <c r="A41" s="362" t="s">
        <v>245</v>
      </c>
      <c r="B41" s="363">
        <f>'- 48 -'!D41</f>
        <v>195405590</v>
      </c>
      <c r="C41" s="363">
        <f t="shared" si="0"/>
        <v>3142121.8872</v>
      </c>
    </row>
    <row r="42" spans="1:3" ht="13.5" customHeight="1">
      <c r="A42" s="23" t="s">
        <v>246</v>
      </c>
      <c r="B42" s="24">
        <f>'- 48 -'!D42</f>
        <v>54890730</v>
      </c>
      <c r="C42" s="24">
        <f t="shared" si="0"/>
        <v>882642.9384</v>
      </c>
    </row>
    <row r="43" spans="1:3" ht="13.5" customHeight="1">
      <c r="A43" s="362" t="s">
        <v>247</v>
      </c>
      <c r="B43" s="363">
        <f>'- 48 -'!D43</f>
        <v>38053170</v>
      </c>
      <c r="C43" s="363">
        <f t="shared" si="0"/>
        <v>611894.9736</v>
      </c>
    </row>
    <row r="44" spans="1:3" ht="13.5" customHeight="1">
      <c r="A44" s="23" t="s">
        <v>248</v>
      </c>
      <c r="B44" s="24">
        <f>'- 48 -'!D44</f>
        <v>11241330</v>
      </c>
      <c r="C44" s="24">
        <f t="shared" si="0"/>
        <v>180760.5864</v>
      </c>
    </row>
    <row r="45" spans="1:3" ht="13.5" customHeight="1">
      <c r="A45" s="362" t="s">
        <v>249</v>
      </c>
      <c r="B45" s="363">
        <f>'- 48 -'!D45</f>
        <v>53684830</v>
      </c>
      <c r="C45" s="363">
        <f t="shared" si="0"/>
        <v>863252.0664</v>
      </c>
    </row>
    <row r="46" spans="1:4" ht="13.5" customHeight="1">
      <c r="A46" s="23" t="s">
        <v>250</v>
      </c>
      <c r="B46" s="24">
        <f>'- 48 -'!D46</f>
        <v>2219075510</v>
      </c>
      <c r="C46" s="24">
        <f t="shared" si="0"/>
        <v>35682734.2008</v>
      </c>
      <c r="D46"/>
    </row>
    <row r="47" spans="1:4" ht="6" customHeight="1">
      <c r="A47"/>
      <c r="B47"/>
      <c r="C47"/>
      <c r="D47"/>
    </row>
    <row r="48" spans="1:4" ht="13.5" customHeight="1">
      <c r="A48" s="365" t="s">
        <v>258</v>
      </c>
      <c r="B48" s="366">
        <f>SUM(B11:B46)</f>
        <v>7792233320</v>
      </c>
      <c r="C48" s="366">
        <f>SUM(C11:C46)</f>
        <v>125299111.7856</v>
      </c>
      <c r="D48"/>
    </row>
    <row r="49" spans="1:4" ht="6" customHeight="1">
      <c r="A49" s="25"/>
      <c r="B49" s="26"/>
      <c r="C49" s="26"/>
      <c r="D49"/>
    </row>
    <row r="50" spans="1:4" ht="13.5" customHeight="1">
      <c r="A50" s="23" t="s">
        <v>256</v>
      </c>
      <c r="B50" s="24">
        <f>'- 48 -'!D50</f>
        <v>1912260</v>
      </c>
      <c r="C50" s="24">
        <v>0</v>
      </c>
      <c r="D50"/>
    </row>
    <row r="51" spans="1:4" ht="13.5" customHeight="1">
      <c r="A51" s="362" t="s">
        <v>257</v>
      </c>
      <c r="B51" s="363">
        <f>'- 48 -'!D51</f>
        <v>31263590</v>
      </c>
      <c r="C51" s="363">
        <f>B51*C$10</f>
        <v>502718.5272</v>
      </c>
      <c r="D51"/>
    </row>
    <row r="52" spans="1:4" ht="6" customHeight="1">
      <c r="A52" s="161"/>
      <c r="B52" s="178"/>
      <c r="C52" s="178"/>
      <c r="D52"/>
    </row>
    <row r="53" spans="1:4" ht="14.25" customHeight="1">
      <c r="A53" s="365" t="s">
        <v>251</v>
      </c>
      <c r="B53" s="366">
        <f>SUM(B48,B50:B51)</f>
        <v>7825409170</v>
      </c>
      <c r="C53" s="366">
        <f>SUM(C48,C50:C51)</f>
        <v>125801830.3128</v>
      </c>
      <c r="D53"/>
    </row>
    <row r="54" spans="1:4" ht="28.5" customHeight="1">
      <c r="A54" s="328"/>
      <c r="B54" s="328"/>
      <c r="C54" s="328"/>
      <c r="D54" s="27"/>
    </row>
    <row r="55" spans="1:4" ht="14.25" customHeight="1">
      <c r="A55" s="330" t="s">
        <v>501</v>
      </c>
      <c r="B55" s="39"/>
      <c r="C55" s="39"/>
      <c r="D55" s="39"/>
    </row>
    <row r="56" spans="1:4" ht="14.25" customHeight="1">
      <c r="A56" s="28"/>
      <c r="B56" s="39"/>
      <c r="C56" s="39"/>
      <c r="D56" s="39"/>
    </row>
    <row r="57" spans="1:4" ht="14.25" customHeight="1">
      <c r="A57" s="29"/>
      <c r="B57" s="39"/>
      <c r="C57" s="39"/>
      <c r="D57" s="39"/>
    </row>
    <row r="58" spans="2:3" ht="14.25" customHeight="1">
      <c r="B58" s="117"/>
      <c r="C58" s="117"/>
    </row>
    <row r="59" ht="14.25" customHeight="1"/>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42.xml><?xml version="1.0" encoding="utf-8"?>
<worksheet xmlns="http://schemas.openxmlformats.org/spreadsheetml/2006/main" xmlns:r="http://schemas.openxmlformats.org/officeDocument/2006/relationships">
  <sheetPr codeName="Sheet43">
    <pageSetUpPr fitToPage="1"/>
  </sheetPr>
  <dimension ref="A1:K57"/>
  <sheetViews>
    <sheetView showGridLines="0" showZeros="0" workbookViewId="0" topLeftCell="A1">
      <selection activeCell="G16" sqref="G16"/>
    </sheetView>
  </sheetViews>
  <sheetFormatPr defaultColWidth="15.83203125" defaultRowHeight="12"/>
  <cols>
    <col min="1" max="1" width="30.83203125" style="1" customWidth="1"/>
    <col min="2" max="2" width="18.83203125" style="1" customWidth="1"/>
    <col min="3" max="3" width="15.83203125" style="1" customWidth="1"/>
    <col min="4" max="4" width="16.83203125" style="1" customWidth="1"/>
    <col min="5" max="5" width="17.83203125" style="1" customWidth="1"/>
    <col min="6" max="6" width="15.83203125" style="1" customWidth="1"/>
    <col min="7" max="7" width="17.83203125" style="1" customWidth="1"/>
    <col min="8" max="8" width="15.83203125" style="1" customWidth="1"/>
    <col min="9" max="9" width="21" style="1" customWidth="1"/>
    <col min="10" max="16384" width="15.83203125" style="1" customWidth="1"/>
  </cols>
  <sheetData>
    <row r="1" ht="6.75" customHeight="1">
      <c r="A1" s="3"/>
    </row>
    <row r="2" spans="1:7" ht="15.75" customHeight="1">
      <c r="A2" s="268" t="s">
        <v>93</v>
      </c>
      <c r="B2" s="269"/>
      <c r="C2" s="269"/>
      <c r="D2" s="269"/>
      <c r="E2" s="269"/>
      <c r="F2" s="269"/>
      <c r="G2" s="269"/>
    </row>
    <row r="3" spans="1:7" ht="15.75" customHeight="1">
      <c r="A3" s="270" t="str">
        <f>TAXYEAR</f>
        <v>FOR THE 2008 TAXATION YEAR</v>
      </c>
      <c r="B3" s="271"/>
      <c r="C3" s="271"/>
      <c r="D3" s="271"/>
      <c r="E3" s="272"/>
      <c r="F3" s="272"/>
      <c r="G3" s="271"/>
    </row>
    <row r="4" spans="2:7" ht="15.75" customHeight="1">
      <c r="B4" s="4"/>
      <c r="C4" s="4"/>
      <c r="D4" s="4"/>
      <c r="E4" s="77"/>
      <c r="F4" s="77"/>
      <c r="G4" s="77"/>
    </row>
    <row r="5" spans="2:7" ht="15.75" customHeight="1">
      <c r="B5" s="4"/>
      <c r="C5" s="4"/>
      <c r="D5" s="4"/>
      <c r="E5" s="4"/>
      <c r="F5" s="4"/>
      <c r="G5" s="4"/>
    </row>
    <row r="6" spans="2:8" ht="15.75" customHeight="1">
      <c r="B6" s="253" t="s">
        <v>99</v>
      </c>
      <c r="C6" s="200"/>
      <c r="D6" s="200"/>
      <c r="E6" s="198"/>
      <c r="F6" s="4"/>
      <c r="G6" s="4"/>
      <c r="H6" s="163"/>
    </row>
    <row r="7" spans="2:8" ht="15.75" customHeight="1">
      <c r="B7" s="452" t="s">
        <v>107</v>
      </c>
      <c r="C7" s="452" t="s">
        <v>108</v>
      </c>
      <c r="D7" s="453"/>
      <c r="E7" s="378"/>
      <c r="F7" s="450"/>
      <c r="G7" s="378" t="s">
        <v>109</v>
      </c>
      <c r="H7" s="163"/>
    </row>
    <row r="8" spans="1:8" ht="15.75" customHeight="1">
      <c r="A8" s="32"/>
      <c r="B8" s="456" t="s">
        <v>129</v>
      </c>
      <c r="C8" s="456" t="s">
        <v>130</v>
      </c>
      <c r="D8" s="457" t="s">
        <v>3</v>
      </c>
      <c r="E8" s="458"/>
      <c r="F8" s="438" t="s">
        <v>109</v>
      </c>
      <c r="G8" s="438" t="s">
        <v>131</v>
      </c>
      <c r="H8" s="163"/>
    </row>
    <row r="9" spans="1:8" ht="15.75" customHeight="1">
      <c r="A9" s="273" t="s">
        <v>79</v>
      </c>
      <c r="B9" s="455" t="s">
        <v>141</v>
      </c>
      <c r="C9" s="455" t="s">
        <v>139</v>
      </c>
      <c r="D9" s="455" t="s">
        <v>142</v>
      </c>
      <c r="E9" s="381" t="s">
        <v>54</v>
      </c>
      <c r="F9" s="381" t="s">
        <v>395</v>
      </c>
      <c r="G9" s="381" t="s">
        <v>394</v>
      </c>
      <c r="H9" s="163"/>
    </row>
    <row r="10" spans="1:7" ht="4.5" customHeight="1">
      <c r="A10" s="22"/>
      <c r="B10" s="254"/>
      <c r="C10" s="3"/>
      <c r="D10" s="254"/>
      <c r="E10" s="254"/>
      <c r="F10" s="3"/>
      <c r="G10" s="3"/>
    </row>
    <row r="11" spans="1:11" ht="13.5" customHeight="1">
      <c r="A11" s="362" t="s">
        <v>216</v>
      </c>
      <c r="B11" s="363">
        <v>113617500</v>
      </c>
      <c r="C11" s="363">
        <v>104311810</v>
      </c>
      <c r="D11" s="363">
        <v>79678750</v>
      </c>
      <c r="E11" s="363">
        <f aca="true" t="shared" si="0" ref="E11:E46">SUM(B11:D11)</f>
        <v>297608060</v>
      </c>
      <c r="F11" s="363">
        <f>'- 51 -'!C11</f>
        <v>5956560</v>
      </c>
      <c r="G11" s="364">
        <f aca="true" t="shared" si="1" ref="G11:G46">F11/E11*1000</f>
        <v>20.014780513672918</v>
      </c>
      <c r="I11" s="267"/>
      <c r="J11" s="274"/>
      <c r="K11" s="1">
        <f>F11-'- 51 -'!C11</f>
        <v>0</v>
      </c>
    </row>
    <row r="12" spans="1:11" ht="13.5" customHeight="1">
      <c r="A12" s="23" t="s">
        <v>217</v>
      </c>
      <c r="B12" s="24">
        <v>156423630</v>
      </c>
      <c r="C12" s="24">
        <v>137692090</v>
      </c>
      <c r="D12" s="24">
        <v>86683940</v>
      </c>
      <c r="E12" s="24">
        <f t="shared" si="0"/>
        <v>380799660</v>
      </c>
      <c r="F12" s="24">
        <f>'- 51 -'!C12</f>
        <v>9710394</v>
      </c>
      <c r="G12" s="355">
        <f t="shared" si="1"/>
        <v>25.500007011560882</v>
      </c>
      <c r="I12" s="267"/>
      <c r="J12" s="274"/>
      <c r="K12" s="101">
        <f>F12-'- 51 -'!C12</f>
        <v>0</v>
      </c>
    </row>
    <row r="13" spans="1:11" ht="13.5" customHeight="1">
      <c r="A13" s="362" t="s">
        <v>218</v>
      </c>
      <c r="B13" s="363">
        <v>802984430</v>
      </c>
      <c r="C13" s="363">
        <v>32523380</v>
      </c>
      <c r="D13" s="363">
        <v>497604110</v>
      </c>
      <c r="E13" s="363">
        <f t="shared" si="0"/>
        <v>1333111920</v>
      </c>
      <c r="F13" s="363">
        <f>'- 51 -'!C13</f>
        <v>25995454</v>
      </c>
      <c r="G13" s="364">
        <f t="shared" si="1"/>
        <v>19.499828641544212</v>
      </c>
      <c r="I13" s="267"/>
      <c r="J13" s="274"/>
      <c r="K13" s="1">
        <f>F13-'- 51 -'!C13</f>
        <v>0</v>
      </c>
    </row>
    <row r="14" spans="1:11" ht="13.5" customHeight="1">
      <c r="A14" s="23" t="s">
        <v>254</v>
      </c>
      <c r="B14" s="24"/>
      <c r="C14" s="24"/>
      <c r="D14" s="24"/>
      <c r="E14" s="24">
        <f t="shared" si="0"/>
        <v>0</v>
      </c>
      <c r="F14" s="24">
        <f>'- 51 -'!C14</f>
        <v>0</v>
      </c>
      <c r="G14" s="355"/>
      <c r="I14" s="267"/>
      <c r="J14" s="274"/>
      <c r="K14" s="1">
        <f>F14-'- 51 -'!C14</f>
        <v>0</v>
      </c>
    </row>
    <row r="15" spans="1:11" ht="13.5" customHeight="1">
      <c r="A15" s="362" t="s">
        <v>219</v>
      </c>
      <c r="B15" s="363">
        <v>329847830</v>
      </c>
      <c r="C15" s="363">
        <v>47431340</v>
      </c>
      <c r="D15" s="363">
        <v>75297040</v>
      </c>
      <c r="E15" s="363">
        <f t="shared" si="0"/>
        <v>452576210</v>
      </c>
      <c r="F15" s="363">
        <f>'- 51 -'!C15</f>
        <v>7378858</v>
      </c>
      <c r="G15" s="364">
        <f t="shared" si="1"/>
        <v>16.304122569765653</v>
      </c>
      <c r="I15" s="267"/>
      <c r="J15" s="274"/>
      <c r="K15" s="1">
        <f>F15-'- 51 -'!C15</f>
        <v>0</v>
      </c>
    </row>
    <row r="16" spans="1:11" ht="13.5" customHeight="1">
      <c r="A16" s="23" t="s">
        <v>220</v>
      </c>
      <c r="B16" s="24">
        <v>54873590</v>
      </c>
      <c r="C16" s="24">
        <v>0</v>
      </c>
      <c r="D16" s="24">
        <v>26234620</v>
      </c>
      <c r="E16" s="24">
        <f t="shared" si="0"/>
        <v>81108210</v>
      </c>
      <c r="F16" s="24">
        <f>'- 51 -'!C16</f>
        <v>3435447</v>
      </c>
      <c r="G16" s="355">
        <v>22.9</v>
      </c>
      <c r="I16" s="267"/>
      <c r="J16" s="274"/>
      <c r="K16" s="1">
        <f>F16-'- 51 -'!C16</f>
        <v>0</v>
      </c>
    </row>
    <row r="17" spans="1:11" ht="13.5" customHeight="1">
      <c r="A17" s="362" t="s">
        <v>221</v>
      </c>
      <c r="B17" s="363">
        <v>89493690</v>
      </c>
      <c r="C17" s="363">
        <v>86206030</v>
      </c>
      <c r="D17" s="363">
        <v>142155210</v>
      </c>
      <c r="E17" s="363">
        <f t="shared" si="0"/>
        <v>317854930</v>
      </c>
      <c r="F17" s="363">
        <f>'- 51 -'!C17</f>
        <v>6381047</v>
      </c>
      <c r="G17" s="364">
        <f t="shared" si="1"/>
        <v>20.07534380542721</v>
      </c>
      <c r="J17" s="274"/>
      <c r="K17" s="1">
        <f>F17-'- 51 -'!C17</f>
        <v>0</v>
      </c>
    </row>
    <row r="18" spans="1:11" ht="13.5" customHeight="1">
      <c r="A18" s="23" t="s">
        <v>222</v>
      </c>
      <c r="B18" s="24">
        <v>69088020</v>
      </c>
      <c r="C18" s="24">
        <v>13645010</v>
      </c>
      <c r="D18" s="24">
        <v>43704930</v>
      </c>
      <c r="E18" s="24">
        <f t="shared" si="0"/>
        <v>126437960</v>
      </c>
      <c r="F18" s="24">
        <f>'- 51 -'!C18</f>
        <v>3287387</v>
      </c>
      <c r="G18" s="355">
        <f>(F18-H18)/E18*1000</f>
        <v>26.000000316360687</v>
      </c>
      <c r="I18" s="267"/>
      <c r="J18" s="274"/>
      <c r="K18" s="1">
        <f>F18-'- 51 -'!C18</f>
        <v>0</v>
      </c>
    </row>
    <row r="19" spans="1:11" ht="13.5" customHeight="1">
      <c r="A19" s="362" t="s">
        <v>223</v>
      </c>
      <c r="B19" s="363">
        <v>245135420</v>
      </c>
      <c r="C19" s="363">
        <v>84458930</v>
      </c>
      <c r="D19" s="363">
        <v>121186730</v>
      </c>
      <c r="E19" s="363">
        <f t="shared" si="0"/>
        <v>450781080</v>
      </c>
      <c r="F19" s="363">
        <f>'- 51 -'!C19</f>
        <v>9837000</v>
      </c>
      <c r="G19" s="364">
        <f t="shared" si="1"/>
        <v>21.822122614374145</v>
      </c>
      <c r="I19" s="267"/>
      <c r="J19" s="274"/>
      <c r="K19" s="1">
        <f>F19-'- 51 -'!C19</f>
        <v>0</v>
      </c>
    </row>
    <row r="20" spans="1:11" ht="13.5" customHeight="1">
      <c r="A20" s="23" t="s">
        <v>224</v>
      </c>
      <c r="B20" s="24">
        <v>535262460</v>
      </c>
      <c r="C20" s="24">
        <v>116924770</v>
      </c>
      <c r="D20" s="24">
        <v>193291660</v>
      </c>
      <c r="E20" s="24">
        <f t="shared" si="0"/>
        <v>845478890</v>
      </c>
      <c r="F20" s="24">
        <f>'- 51 -'!C20</f>
        <v>18648965</v>
      </c>
      <c r="G20" s="355">
        <f t="shared" si="1"/>
        <v>22.057280460308125</v>
      </c>
      <c r="I20" s="267"/>
      <c r="J20" s="274"/>
      <c r="K20" s="1">
        <f>F20-'- 51 -'!C20</f>
        <v>0</v>
      </c>
    </row>
    <row r="21" spans="1:11" ht="13.5" customHeight="1">
      <c r="A21" s="362" t="s">
        <v>225</v>
      </c>
      <c r="B21" s="363">
        <v>328952450</v>
      </c>
      <c r="C21" s="363">
        <v>98672460</v>
      </c>
      <c r="D21" s="363">
        <v>117478030</v>
      </c>
      <c r="E21" s="363">
        <f t="shared" si="0"/>
        <v>545102940</v>
      </c>
      <c r="F21" s="363">
        <f>'- 51 -'!C21</f>
        <v>11813507</v>
      </c>
      <c r="G21" s="364">
        <f t="shared" si="1"/>
        <v>21.672066197258083</v>
      </c>
      <c r="I21" s="267"/>
      <c r="J21" s="274"/>
      <c r="K21" s="1">
        <f>F21-'- 51 -'!C21</f>
        <v>0</v>
      </c>
    </row>
    <row r="22" spans="1:11" ht="13.5" customHeight="1">
      <c r="A22" s="23" t="s">
        <v>226</v>
      </c>
      <c r="B22" s="24">
        <v>89293610</v>
      </c>
      <c r="C22" s="24">
        <v>8691160</v>
      </c>
      <c r="D22" s="24">
        <v>54503870</v>
      </c>
      <c r="E22" s="24">
        <f t="shared" si="0"/>
        <v>152488640</v>
      </c>
      <c r="F22" s="24">
        <f>'- 51 -'!C22</f>
        <v>4112618</v>
      </c>
      <c r="G22" s="355">
        <f t="shared" si="1"/>
        <v>26.96999592887706</v>
      </c>
      <c r="I22" s="267"/>
      <c r="J22" s="274"/>
      <c r="K22" s="1">
        <f>F22-'- 51 -'!C22</f>
        <v>0</v>
      </c>
    </row>
    <row r="23" spans="1:11" ht="13.5" customHeight="1">
      <c r="A23" s="362" t="s">
        <v>227</v>
      </c>
      <c r="B23" s="363">
        <v>80587450</v>
      </c>
      <c r="C23" s="363">
        <v>56874160</v>
      </c>
      <c r="D23" s="363">
        <v>21074870</v>
      </c>
      <c r="E23" s="363">
        <f t="shared" si="0"/>
        <v>158536480</v>
      </c>
      <c r="F23" s="363">
        <f>'- 51 -'!C23</f>
        <v>3897750</v>
      </c>
      <c r="G23" s="364">
        <f t="shared" si="1"/>
        <v>24.585824032424586</v>
      </c>
      <c r="H23" s="276"/>
      <c r="I23" s="267"/>
      <c r="J23" s="274"/>
      <c r="K23" s="1">
        <f>H23*E23</f>
        <v>0</v>
      </c>
    </row>
    <row r="24" spans="1:11" ht="13.5" customHeight="1">
      <c r="A24" s="23" t="s">
        <v>228</v>
      </c>
      <c r="B24" s="24">
        <v>702951520</v>
      </c>
      <c r="C24" s="24">
        <v>35493710</v>
      </c>
      <c r="D24" s="24">
        <v>129275700</v>
      </c>
      <c r="E24" s="24">
        <f t="shared" si="0"/>
        <v>867720930</v>
      </c>
      <c r="F24" s="24">
        <f>'- 51 -'!C24</f>
        <v>19032190</v>
      </c>
      <c r="G24" s="355">
        <f t="shared" si="1"/>
        <v>21.933538009737763</v>
      </c>
      <c r="I24" s="267"/>
      <c r="J24" s="274"/>
      <c r="K24" s="1">
        <f>F24-'- 51 -'!C24</f>
        <v>0</v>
      </c>
    </row>
    <row r="25" spans="1:11" ht="13.5" customHeight="1">
      <c r="A25" s="362" t="s">
        <v>229</v>
      </c>
      <c r="B25" s="363">
        <v>2240770560</v>
      </c>
      <c r="C25" s="363">
        <v>6330390</v>
      </c>
      <c r="D25" s="363">
        <v>587112910</v>
      </c>
      <c r="E25" s="363">
        <f t="shared" si="0"/>
        <v>2834213860</v>
      </c>
      <c r="F25" s="363">
        <f>'- 51 -'!C25</f>
        <v>66522859</v>
      </c>
      <c r="G25" s="364">
        <f t="shared" si="1"/>
        <v>23.471361825885644</v>
      </c>
      <c r="I25" s="267"/>
      <c r="J25" s="274"/>
      <c r="K25" s="1">
        <f>F25-'- 51 -'!C25</f>
        <v>0</v>
      </c>
    </row>
    <row r="26" spans="1:11" ht="13.5" customHeight="1">
      <c r="A26" s="23" t="s">
        <v>230</v>
      </c>
      <c r="B26" s="24">
        <v>235001900</v>
      </c>
      <c r="C26" s="24">
        <v>135936420</v>
      </c>
      <c r="D26" s="24">
        <v>83610600</v>
      </c>
      <c r="E26" s="24">
        <f t="shared" si="0"/>
        <v>454548920</v>
      </c>
      <c r="F26" s="24">
        <f>'- 51 -'!C26</f>
        <v>11674380</v>
      </c>
      <c r="G26" s="355">
        <f t="shared" si="1"/>
        <v>25.683440189451993</v>
      </c>
      <c r="I26" s="267"/>
      <c r="J26" s="274"/>
      <c r="K26" s="1">
        <f>F26-'- 51 -'!C26</f>
        <v>0</v>
      </c>
    </row>
    <row r="27" spans="1:11" ht="13.5" customHeight="1">
      <c r="A27" s="362" t="s">
        <v>231</v>
      </c>
      <c r="B27" s="363">
        <v>142053300</v>
      </c>
      <c r="C27" s="363">
        <v>0</v>
      </c>
      <c r="D27" s="363">
        <v>66400680</v>
      </c>
      <c r="E27" s="363">
        <f t="shared" si="0"/>
        <v>208453980</v>
      </c>
      <c r="F27" s="363">
        <f>'- 51 -'!C27</f>
        <v>6954297</v>
      </c>
      <c r="G27" s="364">
        <f t="shared" si="1"/>
        <v>33.36130593428823</v>
      </c>
      <c r="I27" s="267"/>
      <c r="J27" s="274"/>
      <c r="K27" s="1">
        <f>F27-'- 51 -'!C27</f>
        <v>0</v>
      </c>
    </row>
    <row r="28" spans="1:11" ht="13.5" customHeight="1">
      <c r="A28" s="23" t="s">
        <v>232</v>
      </c>
      <c r="B28" s="24">
        <v>109591800</v>
      </c>
      <c r="C28" s="24">
        <v>144817700</v>
      </c>
      <c r="D28" s="24">
        <v>106439220</v>
      </c>
      <c r="E28" s="24">
        <f t="shared" si="0"/>
        <v>360848720</v>
      </c>
      <c r="F28" s="24">
        <f>'- 51 -'!C28</f>
        <v>7278340</v>
      </c>
      <c r="G28" s="355">
        <f t="shared" si="1"/>
        <v>20.170059076279944</v>
      </c>
      <c r="I28" s="267"/>
      <c r="J28" s="274"/>
      <c r="K28" s="1">
        <f>F28-'- 51 -'!C28</f>
        <v>0</v>
      </c>
    </row>
    <row r="29" spans="1:10" ht="13.5" customHeight="1">
      <c r="A29" s="362" t="s">
        <v>233</v>
      </c>
      <c r="B29" s="363">
        <v>2245626200</v>
      </c>
      <c r="C29" s="363">
        <v>4505670</v>
      </c>
      <c r="D29" s="363">
        <v>598304660</v>
      </c>
      <c r="E29" s="363">
        <f t="shared" si="0"/>
        <v>2848436530</v>
      </c>
      <c r="F29" s="363">
        <f>'- 51 -'!C29</f>
        <v>67955950</v>
      </c>
      <c r="G29" s="364">
        <f t="shared" si="1"/>
        <v>23.85728075183757</v>
      </c>
      <c r="I29" s="267"/>
      <c r="J29" s="274"/>
    </row>
    <row r="30" spans="1:11" ht="13.5" customHeight="1">
      <c r="A30" s="23" t="s">
        <v>234</v>
      </c>
      <c r="B30" s="24">
        <v>61991510</v>
      </c>
      <c r="C30" s="24">
        <v>83829350</v>
      </c>
      <c r="D30" s="24">
        <v>50155290</v>
      </c>
      <c r="E30" s="24">
        <f t="shared" si="0"/>
        <v>195976150</v>
      </c>
      <c r="F30" s="24">
        <f>'- 51 -'!C30</f>
        <v>4044394</v>
      </c>
      <c r="G30" s="355">
        <f t="shared" si="1"/>
        <v>20.637174472505965</v>
      </c>
      <c r="I30" s="267"/>
      <c r="J30" s="274"/>
      <c r="K30" s="1">
        <f>F30-'- 51 -'!C30</f>
        <v>0</v>
      </c>
    </row>
    <row r="31" spans="1:11" ht="13.5" customHeight="1">
      <c r="A31" s="362" t="s">
        <v>235</v>
      </c>
      <c r="B31" s="363">
        <v>261443520</v>
      </c>
      <c r="C31" s="363">
        <v>117124800</v>
      </c>
      <c r="D31" s="363">
        <v>199961400</v>
      </c>
      <c r="E31" s="363">
        <f t="shared" si="0"/>
        <v>578529720</v>
      </c>
      <c r="F31" s="363">
        <f>'- 51 -'!C31</f>
        <v>11720010</v>
      </c>
      <c r="G31" s="364">
        <f t="shared" si="1"/>
        <v>20.25826780342417</v>
      </c>
      <c r="I31" s="267"/>
      <c r="J31" s="274"/>
      <c r="K31" s="1">
        <f>F31-'- 51 -'!C31</f>
        <v>0</v>
      </c>
    </row>
    <row r="32" spans="1:11" ht="13.5" customHeight="1">
      <c r="A32" s="23" t="s">
        <v>236</v>
      </c>
      <c r="B32" s="24">
        <v>215405490</v>
      </c>
      <c r="C32" s="24">
        <v>207643660</v>
      </c>
      <c r="D32" s="24">
        <v>74634860</v>
      </c>
      <c r="E32" s="24">
        <f t="shared" si="0"/>
        <v>497684010</v>
      </c>
      <c r="F32" s="24">
        <f>'- 51 -'!C32</f>
        <v>9510663</v>
      </c>
      <c r="G32" s="355">
        <f t="shared" si="1"/>
        <v>19.10984240783625</v>
      </c>
      <c r="I32" s="267"/>
      <c r="J32" s="274"/>
      <c r="K32" s="1">
        <f>F32-'- 51 -'!C32</f>
        <v>0</v>
      </c>
    </row>
    <row r="33" spans="1:11" ht="13.5" customHeight="1">
      <c r="A33" s="362" t="s">
        <v>237</v>
      </c>
      <c r="B33" s="363">
        <v>136392300</v>
      </c>
      <c r="C33" s="363">
        <v>257127790</v>
      </c>
      <c r="D33" s="363">
        <v>87391290</v>
      </c>
      <c r="E33" s="363">
        <f t="shared" si="0"/>
        <v>480911380</v>
      </c>
      <c r="F33" s="363">
        <f>'- 51 -'!C33</f>
        <v>10341795</v>
      </c>
      <c r="G33" s="364">
        <f t="shared" si="1"/>
        <v>21.50457533360928</v>
      </c>
      <c r="I33" s="267"/>
      <c r="J33" s="274"/>
      <c r="K33" s="1">
        <f>F33-'- 51 -'!C33</f>
        <v>0</v>
      </c>
    </row>
    <row r="34" spans="1:11" ht="13.5" customHeight="1">
      <c r="A34" s="23" t="s">
        <v>238</v>
      </c>
      <c r="B34" s="24">
        <v>192162300</v>
      </c>
      <c r="C34" s="24">
        <v>170865960</v>
      </c>
      <c r="D34" s="24">
        <v>116913270</v>
      </c>
      <c r="E34" s="24">
        <f t="shared" si="0"/>
        <v>479941530</v>
      </c>
      <c r="F34" s="24">
        <f>'- 51 -'!C34</f>
        <v>10398817</v>
      </c>
      <c r="G34" s="355">
        <f t="shared" si="1"/>
        <v>21.66684137544838</v>
      </c>
      <c r="I34" s="267"/>
      <c r="J34" s="274"/>
      <c r="K34" s="1">
        <f>F34-'- 51 -'!C34</f>
        <v>0</v>
      </c>
    </row>
    <row r="35" spans="1:11" ht="13.5" customHeight="1">
      <c r="A35" s="362" t="s">
        <v>239</v>
      </c>
      <c r="B35" s="363">
        <v>2005995200</v>
      </c>
      <c r="C35" s="363">
        <v>5658400</v>
      </c>
      <c r="D35" s="363">
        <v>490893340</v>
      </c>
      <c r="E35" s="363">
        <f t="shared" si="0"/>
        <v>2502546940</v>
      </c>
      <c r="F35" s="363">
        <f>'- 51 -'!C35</f>
        <v>64487903</v>
      </c>
      <c r="G35" s="364">
        <f t="shared" si="1"/>
        <v>25.76890845452034</v>
      </c>
      <c r="I35" s="267"/>
      <c r="J35" s="274"/>
      <c r="K35" s="1">
        <f>F35-'- 51 -'!C35</f>
        <v>0</v>
      </c>
    </row>
    <row r="36" spans="1:11" ht="13.5" customHeight="1">
      <c r="A36" s="23" t="s">
        <v>240</v>
      </c>
      <c r="B36" s="24">
        <v>175319520</v>
      </c>
      <c r="C36" s="24">
        <v>88024410</v>
      </c>
      <c r="D36" s="24">
        <v>92197160</v>
      </c>
      <c r="E36" s="24">
        <f t="shared" si="0"/>
        <v>355541090</v>
      </c>
      <c r="F36" s="24">
        <f>'- 51 -'!C36</f>
        <v>7651406</v>
      </c>
      <c r="G36" s="355">
        <f t="shared" si="1"/>
        <v>21.520454921258185</v>
      </c>
      <c r="I36" s="267"/>
      <c r="J36" s="274"/>
      <c r="K36" s="1">
        <f>F36-'- 51 -'!C36</f>
        <v>0</v>
      </c>
    </row>
    <row r="37" spans="1:11" ht="13.5" customHeight="1">
      <c r="A37" s="362" t="s">
        <v>241</v>
      </c>
      <c r="B37" s="363">
        <v>463349580</v>
      </c>
      <c r="C37" s="363">
        <v>61641280</v>
      </c>
      <c r="D37" s="363">
        <v>89085580</v>
      </c>
      <c r="E37" s="363">
        <f t="shared" si="0"/>
        <v>614076440</v>
      </c>
      <c r="F37" s="363">
        <f>'- 51 -'!C37</f>
        <v>14966403</v>
      </c>
      <c r="G37" s="364">
        <f t="shared" si="1"/>
        <v>24.37221496398722</v>
      </c>
      <c r="I37" s="267"/>
      <c r="J37" s="274"/>
      <c r="K37" s="1">
        <f>F37-'- 51 -'!C37</f>
        <v>0</v>
      </c>
    </row>
    <row r="38" spans="1:11" ht="13.5" customHeight="1">
      <c r="A38" s="23" t="s">
        <v>242</v>
      </c>
      <c r="B38" s="24">
        <v>1021478490</v>
      </c>
      <c r="C38" s="24">
        <v>4779750</v>
      </c>
      <c r="D38" s="24">
        <v>186133190</v>
      </c>
      <c r="E38" s="24">
        <f t="shared" si="0"/>
        <v>1212391430</v>
      </c>
      <c r="F38" s="24">
        <f>'- 51 -'!C38</f>
        <v>33644153</v>
      </c>
      <c r="G38" s="355">
        <f t="shared" si="1"/>
        <v>27.750239870963128</v>
      </c>
      <c r="I38" s="267"/>
      <c r="J38" s="274"/>
      <c r="K38" s="1">
        <f>F38-'- 51 -'!C38</f>
        <v>0</v>
      </c>
    </row>
    <row r="39" spans="1:11" ht="13.5" customHeight="1">
      <c r="A39" s="362" t="s">
        <v>243</v>
      </c>
      <c r="B39" s="363">
        <v>107671280</v>
      </c>
      <c r="C39" s="363">
        <v>182686440</v>
      </c>
      <c r="D39" s="363">
        <v>89885750</v>
      </c>
      <c r="E39" s="363">
        <f t="shared" si="0"/>
        <v>380243470</v>
      </c>
      <c r="F39" s="363">
        <f>'- 51 -'!C39</f>
        <v>7803620</v>
      </c>
      <c r="G39" s="364">
        <f t="shared" si="1"/>
        <v>20.522692999829818</v>
      </c>
      <c r="I39" s="267"/>
      <c r="J39" s="274"/>
      <c r="K39" s="1">
        <f>F39-'- 51 -'!C39</f>
        <v>0</v>
      </c>
    </row>
    <row r="40" spans="1:11" ht="13.5" customHeight="1">
      <c r="A40" s="23" t="s">
        <v>244</v>
      </c>
      <c r="B40" s="24">
        <v>1154275760</v>
      </c>
      <c r="C40" s="24">
        <v>6469750</v>
      </c>
      <c r="D40" s="24">
        <v>712593500</v>
      </c>
      <c r="E40" s="24">
        <f t="shared" si="0"/>
        <v>1873339010</v>
      </c>
      <c r="F40" s="24">
        <f>'- 51 -'!C40</f>
        <v>42446720</v>
      </c>
      <c r="G40" s="355">
        <f t="shared" si="1"/>
        <v>22.65832279871223</v>
      </c>
      <c r="I40" s="267"/>
      <c r="J40" s="274"/>
      <c r="K40" s="1">
        <f>F40-'- 51 -'!C40</f>
        <v>0</v>
      </c>
    </row>
    <row r="41" spans="1:11" ht="13.5" customHeight="1">
      <c r="A41" s="362" t="s">
        <v>245</v>
      </c>
      <c r="B41" s="363">
        <v>707200690</v>
      </c>
      <c r="C41" s="363">
        <v>101121150</v>
      </c>
      <c r="D41" s="363">
        <v>195405590</v>
      </c>
      <c r="E41" s="363">
        <f t="shared" si="0"/>
        <v>1003727430</v>
      </c>
      <c r="F41" s="363">
        <f>'- 51 -'!C41</f>
        <v>24260161</v>
      </c>
      <c r="G41" s="364">
        <f t="shared" si="1"/>
        <v>24.170068760599676</v>
      </c>
      <c r="I41" s="267"/>
      <c r="J41" s="274"/>
      <c r="K41" s="1">
        <f>F41-'- 51 -'!C41</f>
        <v>0</v>
      </c>
    </row>
    <row r="42" spans="1:11" ht="13.5" customHeight="1">
      <c r="A42" s="23" t="s">
        <v>246</v>
      </c>
      <c r="B42" s="24">
        <v>114652330</v>
      </c>
      <c r="C42" s="24">
        <v>69029520</v>
      </c>
      <c r="D42" s="24">
        <v>54890730</v>
      </c>
      <c r="E42" s="24">
        <f t="shared" si="0"/>
        <v>238572580</v>
      </c>
      <c r="F42" s="24">
        <f>'- 51 -'!C42</f>
        <v>5992490</v>
      </c>
      <c r="G42" s="355">
        <f t="shared" si="1"/>
        <v>25.11810032821039</v>
      </c>
      <c r="I42" s="267"/>
      <c r="J42" s="274"/>
      <c r="K42" s="1">
        <f>F42-'- 51 -'!C42</f>
        <v>0</v>
      </c>
    </row>
    <row r="43" spans="1:11" ht="13.5" customHeight="1">
      <c r="A43" s="362" t="s">
        <v>247</v>
      </c>
      <c r="B43" s="363">
        <v>90330600</v>
      </c>
      <c r="C43" s="363">
        <v>93222570</v>
      </c>
      <c r="D43" s="363">
        <v>38053170</v>
      </c>
      <c r="E43" s="363">
        <f t="shared" si="0"/>
        <v>221606340</v>
      </c>
      <c r="F43" s="363">
        <f>'- 51 -'!C43</f>
        <v>4430514</v>
      </c>
      <c r="G43" s="364">
        <f t="shared" si="1"/>
        <v>19.99272222987844</v>
      </c>
      <c r="I43" s="267"/>
      <c r="J43" s="274"/>
      <c r="K43" s="1">
        <f>F43-'- 51 -'!C43</f>
        <v>0</v>
      </c>
    </row>
    <row r="44" spans="1:11" ht="13.5" customHeight="1">
      <c r="A44" s="23" t="s">
        <v>248</v>
      </c>
      <c r="B44" s="24">
        <v>46970360</v>
      </c>
      <c r="C44" s="24">
        <v>50050990</v>
      </c>
      <c r="D44" s="24">
        <v>11241330</v>
      </c>
      <c r="E44" s="24">
        <f t="shared" si="0"/>
        <v>108262680</v>
      </c>
      <c r="F44" s="24">
        <f>'- 51 -'!C44</f>
        <v>2711528</v>
      </c>
      <c r="G44" s="355">
        <f t="shared" si="1"/>
        <v>25.04582373168667</v>
      </c>
      <c r="K44" s="1">
        <f>F44-'- 51 -'!C44</f>
        <v>0</v>
      </c>
    </row>
    <row r="45" spans="1:11" ht="13.5" customHeight="1">
      <c r="A45" s="362" t="s">
        <v>249</v>
      </c>
      <c r="B45" s="363">
        <v>143258420</v>
      </c>
      <c r="C45" s="363">
        <v>30377720</v>
      </c>
      <c r="D45" s="363">
        <v>53684830</v>
      </c>
      <c r="E45" s="363">
        <f t="shared" si="0"/>
        <v>227320970</v>
      </c>
      <c r="F45" s="363">
        <f>'- 51 -'!C45</f>
        <v>5031867</v>
      </c>
      <c r="G45" s="364">
        <f t="shared" si="1"/>
        <v>22.135516138260364</v>
      </c>
      <c r="K45" s="1">
        <f>F45-'- 51 -'!C45</f>
        <v>0</v>
      </c>
    </row>
    <row r="46" spans="1:11" ht="13.5" customHeight="1">
      <c r="A46" s="23" t="s">
        <v>250</v>
      </c>
      <c r="B46" s="24">
        <v>2436242860</v>
      </c>
      <c r="C46" s="24">
        <v>836780</v>
      </c>
      <c r="D46" s="24">
        <v>2219075510</v>
      </c>
      <c r="E46" s="24">
        <f t="shared" si="0"/>
        <v>4656155150</v>
      </c>
      <c r="F46" s="24">
        <f>'- 51 -'!C46</f>
        <v>129768694</v>
      </c>
      <c r="G46" s="355">
        <f t="shared" si="1"/>
        <v>27.870354363084317</v>
      </c>
      <c r="K46" s="1">
        <f>F46-'- 51 -'!C46</f>
        <v>0</v>
      </c>
    </row>
    <row r="47" spans="1:11" ht="4.5" customHeight="1">
      <c r="A47"/>
      <c r="B47"/>
      <c r="C47"/>
      <c r="D47"/>
      <c r="E47"/>
      <c r="F47"/>
      <c r="G47"/>
      <c r="K47" s="1">
        <f>F47-'- 51 -'!C47</f>
        <v>0</v>
      </c>
    </row>
    <row r="48" spans="1:11" ht="13.5" customHeight="1">
      <c r="A48" s="365" t="s">
        <v>258</v>
      </c>
      <c r="B48" s="366">
        <f>SUM(B11:B46)</f>
        <v>17905695570</v>
      </c>
      <c r="C48" s="366">
        <f>SUM(C11:C46)</f>
        <v>2645005350</v>
      </c>
      <c r="D48" s="366">
        <f>SUM(D11:D46)</f>
        <v>7792233320</v>
      </c>
      <c r="E48" s="366">
        <f>SUM(E11:E46)</f>
        <v>28342934240</v>
      </c>
      <c r="F48" s="366">
        <f>SUM(F11:F46)</f>
        <v>679084141</v>
      </c>
      <c r="G48" s="367">
        <f>F48/E48*1000</f>
        <v>23.95955673642349</v>
      </c>
      <c r="K48" s="1">
        <f>F48-'- 51 -'!C48</f>
        <v>0</v>
      </c>
    </row>
    <row r="49" spans="1:7" ht="4.5" customHeight="1">
      <c r="A49" s="161"/>
      <c r="B49" s="178"/>
      <c r="C49" s="178"/>
      <c r="D49" s="178"/>
      <c r="E49" s="178"/>
      <c r="F49" s="178"/>
      <c r="G49"/>
    </row>
    <row r="50" spans="1:7" ht="13.5" customHeight="1">
      <c r="A50" s="23" t="s">
        <v>256</v>
      </c>
      <c r="B50" s="24">
        <v>26470130</v>
      </c>
      <c r="C50" s="24">
        <v>234960</v>
      </c>
      <c r="D50" s="24">
        <v>1912260</v>
      </c>
      <c r="E50" s="24">
        <f>SUM(B50:D50)</f>
        <v>28617350</v>
      </c>
      <c r="F50"/>
      <c r="G50"/>
    </row>
    <row r="51" spans="1:7" ht="13.5" customHeight="1">
      <c r="A51" s="362" t="s">
        <v>257</v>
      </c>
      <c r="B51" s="363">
        <v>10223120</v>
      </c>
      <c r="C51" s="363">
        <v>8886640</v>
      </c>
      <c r="D51" s="363">
        <v>31263590</v>
      </c>
      <c r="E51" s="363">
        <f>SUM(B51:D51)</f>
        <v>50373350</v>
      </c>
      <c r="F51"/>
      <c r="G51"/>
    </row>
    <row r="52" spans="1:7" ht="4.5" customHeight="1">
      <c r="A52" s="161"/>
      <c r="B52" s="178"/>
      <c r="C52" s="178"/>
      <c r="D52" s="178"/>
      <c r="E52" s="178"/>
      <c r="F52"/>
      <c r="G52"/>
    </row>
    <row r="53" spans="1:7" ht="13.5" customHeight="1">
      <c r="A53" s="365" t="s">
        <v>251</v>
      </c>
      <c r="B53" s="366">
        <f>SUM(B48,B50:B51)</f>
        <v>17942388820</v>
      </c>
      <c r="C53" s="366">
        <f>SUM(C48,C50:C51)</f>
        <v>2654126950</v>
      </c>
      <c r="D53" s="366">
        <f>SUM(D48,D50:D51)</f>
        <v>7825409170</v>
      </c>
      <c r="E53" s="366">
        <f>SUM(E48,E50:E51)</f>
        <v>28421924940</v>
      </c>
      <c r="F53"/>
      <c r="G53"/>
    </row>
    <row r="54" spans="1:7" ht="30" customHeight="1">
      <c r="A54" s="27"/>
      <c r="B54" s="27"/>
      <c r="C54" s="27"/>
      <c r="D54" s="27"/>
      <c r="E54" s="27"/>
      <c r="F54" s="27"/>
      <c r="G54" s="27"/>
    </row>
    <row r="55" spans="1:10" ht="15" customHeight="1">
      <c r="A55" s="503" t="s">
        <v>512</v>
      </c>
      <c r="B55" s="39"/>
      <c r="C55" s="39"/>
      <c r="D55" s="39"/>
      <c r="E55" s="39"/>
      <c r="F55" s="39"/>
      <c r="G55" s="39"/>
      <c r="H55" s="39"/>
      <c r="I55" s="39"/>
      <c r="J55" s="39"/>
    </row>
    <row r="56" spans="1:10" ht="12" customHeight="1">
      <c r="A56" s="1" t="s">
        <v>433</v>
      </c>
      <c r="B56" s="39"/>
      <c r="C56" s="39"/>
      <c r="D56" s="39"/>
      <c r="E56" s="39"/>
      <c r="F56" s="39"/>
      <c r="G56" s="39"/>
      <c r="H56" s="39"/>
      <c r="I56" s="39"/>
      <c r="J56" s="39"/>
    </row>
    <row r="57" spans="1:10" ht="12" customHeight="1">
      <c r="A57" s="251" t="s">
        <v>396</v>
      </c>
      <c r="B57" s="39"/>
      <c r="C57" s="39"/>
      <c r="D57" s="39"/>
      <c r="E57" s="39"/>
      <c r="F57" s="39"/>
      <c r="G57" s="39"/>
      <c r="H57" s="39"/>
      <c r="I57" s="39"/>
      <c r="J57" s="39"/>
    </row>
  </sheetData>
  <printOptions horizontalCentered="1"/>
  <pageMargins left="0.5" right="0.5" top="0.6" bottom="0" header="0.3" footer="0"/>
  <pageSetup fitToHeight="1" fitToWidth="1" horizontalDpi="600" verticalDpi="600" orientation="portrait" scale="10" r:id="rId1"/>
  <headerFooter alignWithMargins="0">
    <oddHeader>&amp;C&amp;"Arial,Bold"&amp;10&amp;A</oddHeader>
  </headerFooter>
</worksheet>
</file>

<file path=xl/worksheets/sheet43.xml><?xml version="1.0" encoding="utf-8"?>
<worksheet xmlns="http://schemas.openxmlformats.org/spreadsheetml/2006/main" xmlns:r="http://schemas.openxmlformats.org/officeDocument/2006/relationships">
  <sheetPr codeName="Sheet55"/>
  <dimension ref="A1:K52"/>
  <sheetViews>
    <sheetView showGridLines="0" showZeros="0" workbookViewId="0" topLeftCell="A1">
      <selection activeCell="A1" sqref="A1"/>
    </sheetView>
  </sheetViews>
  <sheetFormatPr defaultColWidth="13.66015625" defaultRowHeight="12"/>
  <cols>
    <col min="1" max="1" width="37.5" style="1" customWidth="1"/>
    <col min="2" max="2" width="22" style="1" customWidth="1"/>
    <col min="3" max="4" width="22.5" style="1" customWidth="1"/>
    <col min="5" max="5" width="13.66015625" style="1" customWidth="1"/>
    <col min="6" max="6" width="15.66015625" style="1" customWidth="1"/>
    <col min="7" max="16384" width="13.66015625" style="1" customWidth="1"/>
  </cols>
  <sheetData>
    <row r="1" ht="6.75" customHeight="1">
      <c r="A1" s="3"/>
    </row>
    <row r="2" spans="1:6" ht="15.75" customHeight="1">
      <c r="A2" s="569" t="s">
        <v>279</v>
      </c>
      <c r="B2" s="569"/>
      <c r="C2" s="569"/>
      <c r="D2" s="569"/>
      <c r="E2" s="569"/>
      <c r="F2" s="569"/>
    </row>
    <row r="3" spans="1:6" ht="15.75" customHeight="1">
      <c r="A3" s="570" t="str">
        <f>TAXYEAR</f>
        <v>FOR THE 2008 TAXATION YEAR</v>
      </c>
      <c r="B3" s="570"/>
      <c r="C3" s="570"/>
      <c r="D3" s="570"/>
      <c r="E3" s="570"/>
      <c r="F3" s="570"/>
    </row>
    <row r="4" spans="2:4" ht="15.75" customHeight="1">
      <c r="B4" s="4"/>
      <c r="C4" s="4"/>
      <c r="D4" s="4"/>
    </row>
    <row r="5" spans="2:4" ht="15.75" customHeight="1">
      <c r="B5" s="4"/>
      <c r="C5" s="4"/>
      <c r="D5" s="4"/>
    </row>
    <row r="6" spans="2:4" ht="15.75" customHeight="1">
      <c r="B6" s="4"/>
      <c r="C6" s="4"/>
      <c r="D6" s="4"/>
    </row>
    <row r="7" spans="2:4" ht="15.75" customHeight="1">
      <c r="B7" s="459"/>
      <c r="C7" s="528"/>
      <c r="D7" s="447"/>
    </row>
    <row r="8" spans="1:4" ht="15.75" customHeight="1">
      <c r="A8" s="17"/>
      <c r="B8" s="461" t="s">
        <v>550</v>
      </c>
      <c r="C8" s="438" t="s">
        <v>551</v>
      </c>
      <c r="D8" s="438" t="s">
        <v>552</v>
      </c>
    </row>
    <row r="9" spans="1:4" ht="15.75" customHeight="1">
      <c r="A9" s="19" t="s">
        <v>79</v>
      </c>
      <c r="B9" s="463" t="s">
        <v>131</v>
      </c>
      <c r="C9" s="381" t="s">
        <v>554</v>
      </c>
      <c r="D9" s="381" t="s">
        <v>131</v>
      </c>
    </row>
    <row r="10" spans="1:4" ht="4.5" customHeight="1">
      <c r="A10" s="22"/>
      <c r="B10" s="254"/>
      <c r="C10" s="254"/>
      <c r="D10" s="254"/>
    </row>
    <row r="11" spans="1:4" ht="13.5" customHeight="1">
      <c r="A11" s="362" t="s">
        <v>216</v>
      </c>
      <c r="B11" s="363">
        <v>5956560</v>
      </c>
      <c r="C11" s="529">
        <v>0</v>
      </c>
      <c r="D11" s="529">
        <v>5956560</v>
      </c>
    </row>
    <row r="12" spans="1:4" ht="13.5" customHeight="1">
      <c r="A12" s="23" t="s">
        <v>217</v>
      </c>
      <c r="B12" s="24">
        <v>10369177</v>
      </c>
      <c r="C12" s="530">
        <v>658783</v>
      </c>
      <c r="D12" s="530">
        <v>9710394</v>
      </c>
    </row>
    <row r="13" spans="1:4" ht="13.5" customHeight="1">
      <c r="A13" s="362" t="s">
        <v>218</v>
      </c>
      <c r="B13" s="363">
        <v>25995454</v>
      </c>
      <c r="C13" s="529">
        <v>0</v>
      </c>
      <c r="D13" s="529">
        <v>25995454</v>
      </c>
    </row>
    <row r="14" spans="1:4" ht="13.5" customHeight="1">
      <c r="A14" s="23" t="s">
        <v>254</v>
      </c>
      <c r="B14" s="24">
        <v>0</v>
      </c>
      <c r="C14" s="530">
        <v>0</v>
      </c>
      <c r="D14" s="530">
        <v>0</v>
      </c>
    </row>
    <row r="15" spans="1:4" ht="13.5" customHeight="1">
      <c r="A15" s="362" t="s">
        <v>219</v>
      </c>
      <c r="B15" s="363">
        <v>7740919</v>
      </c>
      <c r="C15" s="529">
        <v>362061</v>
      </c>
      <c r="D15" s="529">
        <v>7378858</v>
      </c>
    </row>
    <row r="16" spans="1:4" ht="13.5" customHeight="1">
      <c r="A16" s="23" t="s">
        <v>220</v>
      </c>
      <c r="B16" s="24">
        <v>3761502</v>
      </c>
      <c r="C16" s="530">
        <v>326055</v>
      </c>
      <c r="D16" s="530">
        <v>3435447</v>
      </c>
    </row>
    <row r="17" spans="1:4" ht="13.5" customHeight="1">
      <c r="A17" s="362" t="s">
        <v>221</v>
      </c>
      <c r="B17" s="363">
        <v>6381047</v>
      </c>
      <c r="C17" s="529">
        <v>0</v>
      </c>
      <c r="D17" s="529">
        <v>6381047</v>
      </c>
    </row>
    <row r="18" spans="1:4" ht="13.5" customHeight="1">
      <c r="A18" s="23" t="s">
        <v>222</v>
      </c>
      <c r="B18" s="24">
        <v>3287387</v>
      </c>
      <c r="C18" s="530">
        <v>0</v>
      </c>
      <c r="D18" s="530">
        <v>3287387</v>
      </c>
    </row>
    <row r="19" spans="1:4" ht="13.5" customHeight="1">
      <c r="A19" s="362" t="s">
        <v>223</v>
      </c>
      <c r="B19" s="363">
        <v>9837000</v>
      </c>
      <c r="C19" s="529">
        <v>0</v>
      </c>
      <c r="D19" s="529">
        <v>9837000</v>
      </c>
    </row>
    <row r="20" spans="1:4" ht="13.5" customHeight="1">
      <c r="A20" s="23" t="s">
        <v>224</v>
      </c>
      <c r="B20" s="24">
        <v>18648965</v>
      </c>
      <c r="C20" s="530">
        <v>0</v>
      </c>
      <c r="D20" s="530">
        <v>18648965</v>
      </c>
    </row>
    <row r="21" spans="1:4" ht="13.5" customHeight="1">
      <c r="A21" s="362" t="s">
        <v>225</v>
      </c>
      <c r="B21" s="363">
        <v>12124216</v>
      </c>
      <c r="C21" s="529">
        <v>310709</v>
      </c>
      <c r="D21" s="529">
        <v>11813507</v>
      </c>
    </row>
    <row r="22" spans="1:4" ht="13.5" customHeight="1">
      <c r="A22" s="23" t="s">
        <v>226</v>
      </c>
      <c r="B22" s="24">
        <v>4231559</v>
      </c>
      <c r="C22" s="530">
        <v>118941</v>
      </c>
      <c r="D22" s="530">
        <v>4112618</v>
      </c>
    </row>
    <row r="23" spans="1:4" ht="13.5" customHeight="1">
      <c r="A23" s="362" t="s">
        <v>227</v>
      </c>
      <c r="B23" s="363">
        <v>3897750</v>
      </c>
      <c r="C23" s="529">
        <v>0</v>
      </c>
      <c r="D23" s="529">
        <v>3897750</v>
      </c>
    </row>
    <row r="24" spans="1:4" ht="13.5" customHeight="1">
      <c r="A24" s="23" t="s">
        <v>228</v>
      </c>
      <c r="B24" s="24">
        <v>19509436</v>
      </c>
      <c r="C24" s="530">
        <v>477246</v>
      </c>
      <c r="D24" s="530">
        <v>19032190</v>
      </c>
    </row>
    <row r="25" spans="1:4" ht="13.5" customHeight="1">
      <c r="A25" s="362" t="s">
        <v>229</v>
      </c>
      <c r="B25" s="363">
        <v>69187020</v>
      </c>
      <c r="C25" s="529">
        <v>2664161</v>
      </c>
      <c r="D25" s="529">
        <v>66522859</v>
      </c>
    </row>
    <row r="26" spans="1:4" ht="13.5" customHeight="1">
      <c r="A26" s="23" t="s">
        <v>230</v>
      </c>
      <c r="B26" s="24">
        <v>11674380</v>
      </c>
      <c r="C26" s="530">
        <v>0</v>
      </c>
      <c r="D26" s="530">
        <v>11674380</v>
      </c>
    </row>
    <row r="27" spans="1:4" ht="13.5" customHeight="1">
      <c r="A27" s="362" t="s">
        <v>231</v>
      </c>
      <c r="B27" s="363">
        <v>7277401</v>
      </c>
      <c r="C27" s="529">
        <v>323104</v>
      </c>
      <c r="D27" s="529">
        <v>6954297</v>
      </c>
    </row>
    <row r="28" spans="1:4" ht="13.5" customHeight="1">
      <c r="A28" s="23" t="s">
        <v>232</v>
      </c>
      <c r="B28" s="24">
        <v>7451547</v>
      </c>
      <c r="C28" s="530">
        <v>173207</v>
      </c>
      <c r="D28" s="530">
        <v>7278340</v>
      </c>
    </row>
    <row r="29" spans="1:4" ht="13.5" customHeight="1">
      <c r="A29" s="362" t="s">
        <v>233</v>
      </c>
      <c r="B29" s="363">
        <v>67955950</v>
      </c>
      <c r="C29" s="529">
        <v>0</v>
      </c>
      <c r="D29" s="529">
        <v>67955950</v>
      </c>
    </row>
    <row r="30" spans="1:4" ht="13.5" customHeight="1">
      <c r="A30" s="23" t="s">
        <v>234</v>
      </c>
      <c r="B30" s="24">
        <v>4044394</v>
      </c>
      <c r="C30" s="530">
        <v>0</v>
      </c>
      <c r="D30" s="530">
        <v>4044394</v>
      </c>
    </row>
    <row r="31" spans="1:4" ht="13.5" customHeight="1">
      <c r="A31" s="362" t="s">
        <v>235</v>
      </c>
      <c r="B31" s="363">
        <v>12015060</v>
      </c>
      <c r="C31" s="529">
        <v>295050</v>
      </c>
      <c r="D31" s="529">
        <v>11720010</v>
      </c>
    </row>
    <row r="32" spans="1:4" ht="13.5" customHeight="1">
      <c r="A32" s="23" t="s">
        <v>236</v>
      </c>
      <c r="B32" s="24">
        <v>10028254</v>
      </c>
      <c r="C32" s="530">
        <v>517591</v>
      </c>
      <c r="D32" s="530">
        <v>9510663</v>
      </c>
    </row>
    <row r="33" spans="1:4" ht="13.5" customHeight="1">
      <c r="A33" s="362" t="s">
        <v>237</v>
      </c>
      <c r="B33" s="363">
        <v>10341795</v>
      </c>
      <c r="C33" s="529">
        <v>0</v>
      </c>
      <c r="D33" s="529">
        <v>10341795</v>
      </c>
    </row>
    <row r="34" spans="1:4" ht="13.5" customHeight="1">
      <c r="A34" s="23" t="s">
        <v>238</v>
      </c>
      <c r="B34" s="24">
        <v>10917154</v>
      </c>
      <c r="C34" s="530">
        <v>518337</v>
      </c>
      <c r="D34" s="530">
        <v>10398817</v>
      </c>
    </row>
    <row r="35" spans="1:4" ht="13.5" customHeight="1">
      <c r="A35" s="362" t="s">
        <v>239</v>
      </c>
      <c r="B35" s="363">
        <v>64487903</v>
      </c>
      <c r="C35" s="529">
        <v>0</v>
      </c>
      <c r="D35" s="529">
        <v>64487903</v>
      </c>
    </row>
    <row r="36" spans="1:4" ht="13.5" customHeight="1">
      <c r="A36" s="23" t="s">
        <v>240</v>
      </c>
      <c r="B36" s="24">
        <v>8035390</v>
      </c>
      <c r="C36" s="530">
        <v>383984</v>
      </c>
      <c r="D36" s="530">
        <v>7651406</v>
      </c>
    </row>
    <row r="37" spans="1:4" ht="13.5" customHeight="1">
      <c r="A37" s="362" t="s">
        <v>241</v>
      </c>
      <c r="B37" s="363">
        <v>15930503</v>
      </c>
      <c r="C37" s="529">
        <v>964100</v>
      </c>
      <c r="D37" s="529">
        <v>14966403</v>
      </c>
    </row>
    <row r="38" spans="1:4" ht="13.5" customHeight="1">
      <c r="A38" s="23" t="s">
        <v>242</v>
      </c>
      <c r="B38" s="24">
        <v>33644153</v>
      </c>
      <c r="C38" s="530">
        <v>0</v>
      </c>
      <c r="D38" s="530">
        <v>33644153</v>
      </c>
    </row>
    <row r="39" spans="1:4" ht="13.5" customHeight="1">
      <c r="A39" s="362" t="s">
        <v>243</v>
      </c>
      <c r="B39" s="363">
        <v>8210481</v>
      </c>
      <c r="C39" s="529">
        <v>406861</v>
      </c>
      <c r="D39" s="529">
        <v>7803620</v>
      </c>
    </row>
    <row r="40" spans="1:4" ht="13.5" customHeight="1">
      <c r="A40" s="23" t="s">
        <v>244</v>
      </c>
      <c r="B40" s="24">
        <v>42446720</v>
      </c>
      <c r="C40" s="530">
        <v>0</v>
      </c>
      <c r="D40" s="530">
        <v>42446720</v>
      </c>
    </row>
    <row r="41" spans="1:4" ht="13.5" customHeight="1">
      <c r="A41" s="362" t="s">
        <v>245</v>
      </c>
      <c r="B41" s="363">
        <v>25424485</v>
      </c>
      <c r="C41" s="529">
        <v>1164324</v>
      </c>
      <c r="D41" s="529">
        <v>24260161</v>
      </c>
    </row>
    <row r="42" spans="1:4" ht="13.5" customHeight="1">
      <c r="A42" s="23" t="s">
        <v>246</v>
      </c>
      <c r="B42" s="24">
        <v>5992490</v>
      </c>
      <c r="C42" s="530">
        <v>0</v>
      </c>
      <c r="D42" s="530">
        <v>5992490</v>
      </c>
    </row>
    <row r="43" spans="1:4" ht="13.5" customHeight="1">
      <c r="A43" s="362" t="s">
        <v>247</v>
      </c>
      <c r="B43" s="363">
        <v>4430514</v>
      </c>
      <c r="C43" s="529">
        <v>0</v>
      </c>
      <c r="D43" s="529">
        <v>4430514</v>
      </c>
    </row>
    <row r="44" spans="1:4" ht="13.5" customHeight="1">
      <c r="A44" s="23" t="s">
        <v>248</v>
      </c>
      <c r="B44" s="24">
        <v>2711528</v>
      </c>
      <c r="C44" s="530">
        <v>0</v>
      </c>
      <c r="D44" s="530">
        <v>2711528</v>
      </c>
    </row>
    <row r="45" spans="1:4" ht="13.5" customHeight="1">
      <c r="A45" s="362" t="s">
        <v>249</v>
      </c>
      <c r="B45" s="363">
        <v>5031867</v>
      </c>
      <c r="C45" s="529">
        <v>0</v>
      </c>
      <c r="D45" s="529">
        <v>5031867</v>
      </c>
    </row>
    <row r="46" spans="1:4" ht="13.5" customHeight="1">
      <c r="A46" s="23" t="s">
        <v>250</v>
      </c>
      <c r="B46" s="24">
        <v>131957087</v>
      </c>
      <c r="C46" s="530">
        <v>2188393</v>
      </c>
      <c r="D46" s="530">
        <v>129768694</v>
      </c>
    </row>
    <row r="47" spans="1:4" ht="4.5" customHeight="1">
      <c r="A47"/>
      <c r="B47"/>
      <c r="C47"/>
      <c r="D47"/>
    </row>
    <row r="48" spans="1:4" ht="13.5" customHeight="1">
      <c r="A48" s="365" t="s">
        <v>251</v>
      </c>
      <c r="B48" s="366">
        <v>690937048</v>
      </c>
      <c r="C48" s="366">
        <v>11852907</v>
      </c>
      <c r="D48" s="366">
        <v>679084141</v>
      </c>
    </row>
    <row r="49" spans="1:11" s="27" customFormat="1" ht="53.25" customHeight="1">
      <c r="A49" s="531"/>
      <c r="B49" s="531"/>
      <c r="C49" s="531"/>
      <c r="D49" s="531"/>
      <c r="G49" s="213"/>
      <c r="H49" s="213"/>
      <c r="I49" s="213"/>
      <c r="J49" s="213"/>
      <c r="K49" s="213"/>
    </row>
    <row r="50" spans="1:11" ht="15" customHeight="1">
      <c r="A50" s="40" t="s">
        <v>563</v>
      </c>
      <c r="G50" s="213"/>
      <c r="H50" s="213"/>
      <c r="I50" s="213"/>
      <c r="J50" s="213"/>
      <c r="K50" s="213"/>
    </row>
    <row r="51" ht="12" customHeight="1">
      <c r="A51" s="2" t="s">
        <v>564</v>
      </c>
    </row>
    <row r="52" ht="12" customHeight="1">
      <c r="A52" s="161"/>
    </row>
    <row r="53" ht="14.25" customHeight="1"/>
    <row r="54" ht="14.25" customHeight="1"/>
    <row r="55" ht="14.25" customHeight="1"/>
    <row r="56" ht="14.25" customHeight="1"/>
    <row r="57" ht="14.25" customHeight="1"/>
    <row r="58" ht="14.25" customHeight="1"/>
  </sheetData>
  <mergeCells count="2">
    <mergeCell ref="A2:F2"/>
    <mergeCell ref="A3:F3"/>
  </mergeCells>
  <printOptions horizontalCentered="1"/>
  <pageMargins left="0.5" right="0.511811023622047" top="0.590551181102362" bottom="0" header="0.31496062992126" footer="0"/>
  <pageSetup horizontalDpi="600" verticalDpi="600" orientation="portrait" scale="88" r:id="rId1"/>
  <headerFooter alignWithMargins="0">
    <oddHeader>&amp;C&amp;"Arial,Bold"&amp;10 &amp;A</oddHeader>
  </headerFooter>
</worksheet>
</file>

<file path=xl/worksheets/sheet44.xml><?xml version="1.0" encoding="utf-8"?>
<worksheet xmlns="http://schemas.openxmlformats.org/spreadsheetml/2006/main" xmlns:r="http://schemas.openxmlformats.org/officeDocument/2006/relationships">
  <sheetPr codeName="Sheet44">
    <pageSetUpPr fitToPage="1"/>
  </sheetPr>
  <dimension ref="A1:F52"/>
  <sheetViews>
    <sheetView showGridLines="0" showZeros="0" workbookViewId="0" topLeftCell="A1">
      <selection activeCell="A1" sqref="A1"/>
    </sheetView>
  </sheetViews>
  <sheetFormatPr defaultColWidth="15.83203125" defaultRowHeight="12"/>
  <cols>
    <col min="1" max="1" width="33.83203125" style="1" customWidth="1"/>
    <col min="2" max="3" width="21.83203125" style="1" customWidth="1"/>
    <col min="4" max="4" width="23.83203125" style="1" customWidth="1"/>
    <col min="5" max="5" width="3.83203125" style="1" customWidth="1"/>
    <col min="6" max="6" width="27.83203125" style="1" customWidth="1"/>
    <col min="7" max="16384" width="15.83203125" style="1" customWidth="1"/>
  </cols>
  <sheetData>
    <row r="1" ht="6.75" customHeight="1">
      <c r="A1" s="3"/>
    </row>
    <row r="2" spans="1:6" ht="15.75" customHeight="1">
      <c r="A2" s="43"/>
      <c r="B2" s="268" t="s">
        <v>279</v>
      </c>
      <c r="C2" s="281"/>
      <c r="D2" s="281"/>
      <c r="E2" s="282"/>
      <c r="F2" s="282"/>
    </row>
    <row r="3" spans="1:6" ht="15.75" customHeight="1">
      <c r="A3" s="47"/>
      <c r="B3" s="270" t="str">
        <f>TAXYEAR</f>
        <v>FOR THE 2008 TAXATION YEAR</v>
      </c>
      <c r="C3" s="283"/>
      <c r="D3" s="283"/>
      <c r="E3" s="284"/>
      <c r="F3" s="284"/>
    </row>
    <row r="4" spans="2:6" ht="15.75" customHeight="1">
      <c r="B4" s="4"/>
      <c r="C4" s="4"/>
      <c r="D4" s="4"/>
      <c r="E4" s="4"/>
      <c r="F4" s="4"/>
    </row>
    <row r="5" spans="2:6" ht="15.75" customHeight="1">
      <c r="B5" s="4"/>
      <c r="C5" s="4"/>
      <c r="D5" s="4"/>
      <c r="E5" s="4"/>
      <c r="F5" s="4"/>
    </row>
    <row r="6" spans="2:6" ht="15.75" customHeight="1">
      <c r="B6" s="4"/>
      <c r="C6" s="4"/>
      <c r="D6" s="4"/>
      <c r="E6" s="4"/>
      <c r="F6" s="4"/>
    </row>
    <row r="7" spans="2:6" ht="15.75" customHeight="1">
      <c r="B7" s="459" t="s">
        <v>76</v>
      </c>
      <c r="C7" s="460"/>
      <c r="D7" s="460"/>
      <c r="E7" s="4"/>
      <c r="F7" s="447" t="s">
        <v>110</v>
      </c>
    </row>
    <row r="8" spans="1:6" ht="15.75" customHeight="1">
      <c r="A8" s="17"/>
      <c r="B8" s="461" t="s">
        <v>132</v>
      </c>
      <c r="C8" s="462"/>
      <c r="D8" s="462"/>
      <c r="E8" s="4"/>
      <c r="F8" s="438" t="s">
        <v>59</v>
      </c>
    </row>
    <row r="9" spans="1:6" ht="15.75" customHeight="1">
      <c r="A9" s="19" t="s">
        <v>79</v>
      </c>
      <c r="B9" s="463" t="s">
        <v>131</v>
      </c>
      <c r="C9" s="464" t="s">
        <v>143</v>
      </c>
      <c r="D9" s="464" t="s">
        <v>54</v>
      </c>
      <c r="E9" s="4"/>
      <c r="F9" s="381" t="s">
        <v>360</v>
      </c>
    </row>
    <row r="10" spans="1:6" ht="4.5" customHeight="1">
      <c r="A10" s="22"/>
      <c r="B10" s="254"/>
      <c r="C10" s="254"/>
      <c r="D10" s="254"/>
      <c r="E10" s="254"/>
      <c r="F10" s="254"/>
    </row>
    <row r="11" spans="1:6" ht="13.5" customHeight="1">
      <c r="A11" s="362" t="s">
        <v>216</v>
      </c>
      <c r="B11" s="363">
        <f>'- 46 -'!C11</f>
        <v>1281234.3</v>
      </c>
      <c r="C11" s="363">
        <v>5956560</v>
      </c>
      <c r="D11" s="363">
        <f aca="true" t="shared" si="0" ref="D11:D46">SUM(B11,C11)</f>
        <v>7237794.3</v>
      </c>
      <c r="F11" s="363">
        <v>206644</v>
      </c>
    </row>
    <row r="12" spans="1:6" ht="13.5" customHeight="1">
      <c r="A12" s="23" t="s">
        <v>217</v>
      </c>
      <c r="B12" s="24">
        <f>'- 46 -'!C12</f>
        <v>1393877.7552</v>
      </c>
      <c r="C12" s="24">
        <v>9710394</v>
      </c>
      <c r="D12" s="24">
        <f t="shared" si="0"/>
        <v>11104271.7552</v>
      </c>
      <c r="F12" s="24">
        <v>164457</v>
      </c>
    </row>
    <row r="13" spans="1:6" ht="13.5" customHeight="1">
      <c r="A13" s="362" t="s">
        <v>218</v>
      </c>
      <c r="B13" s="363">
        <f>'- 46 -'!C13</f>
        <v>8001474.0888</v>
      </c>
      <c r="C13" s="363">
        <v>25995454</v>
      </c>
      <c r="D13" s="363">
        <f t="shared" si="0"/>
        <v>33996928.0888</v>
      </c>
      <c r="F13" s="363">
        <v>195902</v>
      </c>
    </row>
    <row r="14" spans="1:6" ht="13.5" customHeight="1">
      <c r="A14" s="23" t="s">
        <v>254</v>
      </c>
      <c r="B14" s="24">
        <f>'- 46 -'!C14</f>
        <v>0</v>
      </c>
      <c r="C14" s="24">
        <v>0</v>
      </c>
      <c r="D14" s="24">
        <f t="shared" si="0"/>
        <v>0</v>
      </c>
      <c r="F14" s="24">
        <v>169691</v>
      </c>
    </row>
    <row r="15" spans="1:6" ht="13.5" customHeight="1">
      <c r="A15" s="362" t="s">
        <v>219</v>
      </c>
      <c r="B15" s="363">
        <f>'- 46 -'!C15</f>
        <v>1210776.4032</v>
      </c>
      <c r="C15" s="363">
        <v>7378858</v>
      </c>
      <c r="D15" s="363">
        <f t="shared" si="0"/>
        <v>8589634.4032</v>
      </c>
      <c r="F15" s="363">
        <v>280320</v>
      </c>
    </row>
    <row r="16" spans="1:6" ht="13.5" customHeight="1">
      <c r="A16" s="23" t="s">
        <v>220</v>
      </c>
      <c r="B16" s="24">
        <f>'- 46 -'!C16</f>
        <v>421852.68960000004</v>
      </c>
      <c r="C16" s="24">
        <v>3435447</v>
      </c>
      <c r="D16" s="24">
        <f t="shared" si="0"/>
        <v>3857299.6896</v>
      </c>
      <c r="F16" s="24">
        <v>107540</v>
      </c>
    </row>
    <row r="17" spans="1:6" ht="13.5" customHeight="1">
      <c r="A17" s="362" t="s">
        <v>221</v>
      </c>
      <c r="B17" s="363">
        <f>'- 46 -'!C17</f>
        <v>2285855.7768</v>
      </c>
      <c r="C17" s="363">
        <v>6381047</v>
      </c>
      <c r="D17" s="363">
        <f t="shared" si="0"/>
        <v>8666902.7768</v>
      </c>
      <c r="F17" s="363">
        <v>232520</v>
      </c>
    </row>
    <row r="18" spans="1:6" ht="13.5" customHeight="1">
      <c r="A18" s="23" t="s">
        <v>222</v>
      </c>
      <c r="B18" s="24">
        <f>'- 46 -'!C18</f>
        <v>702775.2744</v>
      </c>
      <c r="C18" s="24">
        <v>3287387</v>
      </c>
      <c r="D18" s="24">
        <f t="shared" si="0"/>
        <v>3990162.2744</v>
      </c>
      <c r="F18" s="24">
        <v>46060</v>
      </c>
    </row>
    <row r="19" spans="1:6" ht="13.5" customHeight="1">
      <c r="A19" s="362" t="s">
        <v>223</v>
      </c>
      <c r="B19" s="363">
        <f>'- 46 -'!C19</f>
        <v>1948682.6184</v>
      </c>
      <c r="C19" s="363">
        <v>9837000</v>
      </c>
      <c r="D19" s="363">
        <f t="shared" si="0"/>
        <v>11785682.6184</v>
      </c>
      <c r="F19" s="363">
        <v>126103</v>
      </c>
    </row>
    <row r="20" spans="1:6" ht="13.5" customHeight="1">
      <c r="A20" s="23" t="s">
        <v>224</v>
      </c>
      <c r="B20" s="24">
        <f>'- 46 -'!C20</f>
        <v>3108129.8928</v>
      </c>
      <c r="C20" s="24">
        <v>18648965</v>
      </c>
      <c r="D20" s="24">
        <f t="shared" si="0"/>
        <v>21757094.8928</v>
      </c>
      <c r="F20" s="24">
        <v>118851</v>
      </c>
    </row>
    <row r="21" spans="1:6" ht="13.5" customHeight="1">
      <c r="A21" s="362" t="s">
        <v>225</v>
      </c>
      <c r="B21" s="363">
        <f>'- 46 -'!C21</f>
        <v>1889046.7224</v>
      </c>
      <c r="C21" s="363">
        <v>11813507</v>
      </c>
      <c r="D21" s="363">
        <f t="shared" si="0"/>
        <v>13702553.7224</v>
      </c>
      <c r="F21" s="363">
        <v>169140</v>
      </c>
    </row>
    <row r="22" spans="1:6" ht="13.5" customHeight="1">
      <c r="A22" s="23" t="s">
        <v>226</v>
      </c>
      <c r="B22" s="24">
        <f>'- 46 -'!C22</f>
        <v>876422.2296000001</v>
      </c>
      <c r="C22" s="24">
        <v>4112618</v>
      </c>
      <c r="D22" s="24">
        <f t="shared" si="0"/>
        <v>4989040.2296</v>
      </c>
      <c r="F22" s="24">
        <v>94932</v>
      </c>
    </row>
    <row r="23" spans="1:6" ht="13.5" customHeight="1">
      <c r="A23" s="362" t="s">
        <v>227</v>
      </c>
      <c r="B23" s="363">
        <f>'- 46 -'!C23</f>
        <v>338883.9096</v>
      </c>
      <c r="C23" s="363">
        <v>3897750</v>
      </c>
      <c r="D23" s="363">
        <f t="shared" si="0"/>
        <v>4236633.9096</v>
      </c>
      <c r="F23" s="363">
        <v>132191</v>
      </c>
    </row>
    <row r="24" spans="1:6" ht="13.5" customHeight="1">
      <c r="A24" s="23" t="s">
        <v>228</v>
      </c>
      <c r="B24" s="24">
        <f>'- 46 -'!C24</f>
        <v>2078753.256</v>
      </c>
      <c r="C24" s="24">
        <v>19032190</v>
      </c>
      <c r="D24" s="24">
        <f t="shared" si="0"/>
        <v>21110943.256</v>
      </c>
      <c r="F24" s="24">
        <v>193451</v>
      </c>
    </row>
    <row r="25" spans="1:6" ht="13.5" customHeight="1">
      <c r="A25" s="362" t="s">
        <v>229</v>
      </c>
      <c r="B25" s="363">
        <f>'- 46 -'!C25</f>
        <v>9440775.5928</v>
      </c>
      <c r="C25" s="363">
        <v>66522859</v>
      </c>
      <c r="D25" s="363">
        <f t="shared" si="0"/>
        <v>75963634.5928</v>
      </c>
      <c r="F25" s="363">
        <v>175677</v>
      </c>
    </row>
    <row r="26" spans="1:6" ht="13.5" customHeight="1">
      <c r="A26" s="23" t="s">
        <v>230</v>
      </c>
      <c r="B26" s="24">
        <f>'- 46 -'!C26</f>
        <v>1344458.448</v>
      </c>
      <c r="C26" s="24">
        <v>11674380</v>
      </c>
      <c r="D26" s="24">
        <f t="shared" si="0"/>
        <v>13018838.448</v>
      </c>
      <c r="F26" s="24">
        <v>150732</v>
      </c>
    </row>
    <row r="27" spans="1:6" ht="13.5" customHeight="1">
      <c r="A27" s="362" t="s">
        <v>231</v>
      </c>
      <c r="B27" s="363">
        <f>'- 46 -'!C27</f>
        <v>1067722.9344000001</v>
      </c>
      <c r="C27" s="363">
        <v>6954297</v>
      </c>
      <c r="D27" s="363">
        <f t="shared" si="0"/>
        <v>8022019.9344</v>
      </c>
      <c r="F27" s="363">
        <v>78340</v>
      </c>
    </row>
    <row r="28" spans="1:6" ht="13.5" customHeight="1">
      <c r="A28" s="23" t="s">
        <v>232</v>
      </c>
      <c r="B28" s="24">
        <f>'- 46 -'!C28</f>
        <v>1711542.6576</v>
      </c>
      <c r="C28" s="24">
        <v>7278340</v>
      </c>
      <c r="D28" s="24">
        <f t="shared" si="0"/>
        <v>8989882.6576</v>
      </c>
      <c r="F28" s="24">
        <v>192532</v>
      </c>
    </row>
    <row r="29" spans="1:6" ht="13.5" customHeight="1">
      <c r="A29" s="362" t="s">
        <v>233</v>
      </c>
      <c r="B29" s="363">
        <f>'- 46 -'!C29</f>
        <v>9620738.9328</v>
      </c>
      <c r="C29" s="363">
        <v>67955950</v>
      </c>
      <c r="D29" s="363">
        <f t="shared" si="0"/>
        <v>77576688.9328</v>
      </c>
      <c r="F29" s="363">
        <v>224253</v>
      </c>
    </row>
    <row r="30" spans="1:6" ht="13.5" customHeight="1">
      <c r="A30" s="23" t="s">
        <v>234</v>
      </c>
      <c r="B30" s="24">
        <f>'- 46 -'!C30</f>
        <v>806497.0632</v>
      </c>
      <c r="C30" s="24">
        <v>4044394</v>
      </c>
      <c r="D30" s="24">
        <f t="shared" si="0"/>
        <v>4850891.0632</v>
      </c>
      <c r="F30" s="24">
        <v>162811</v>
      </c>
    </row>
    <row r="31" spans="1:6" ht="13.5" customHeight="1">
      <c r="A31" s="362" t="s">
        <v>235</v>
      </c>
      <c r="B31" s="363">
        <f>'- 46 -'!C31</f>
        <v>3215379.312</v>
      </c>
      <c r="C31" s="363">
        <v>11720010</v>
      </c>
      <c r="D31" s="363">
        <f t="shared" si="0"/>
        <v>14935389.311999999</v>
      </c>
      <c r="F31" s="363">
        <v>179507</v>
      </c>
    </row>
    <row r="32" spans="1:6" ht="13.5" customHeight="1">
      <c r="A32" s="23" t="s">
        <v>236</v>
      </c>
      <c r="B32" s="24">
        <f>'- 46 -'!C32</f>
        <v>1200128.5488</v>
      </c>
      <c r="C32" s="24">
        <v>9510663</v>
      </c>
      <c r="D32" s="24">
        <f t="shared" si="0"/>
        <v>10710791.548799999</v>
      </c>
      <c r="F32" s="24">
        <v>213278</v>
      </c>
    </row>
    <row r="33" spans="1:6" ht="13.5" customHeight="1">
      <c r="A33" s="362" t="s">
        <v>237</v>
      </c>
      <c r="B33" s="363">
        <f>'- 46 -'!C33</f>
        <v>1405251.9432</v>
      </c>
      <c r="C33" s="363">
        <v>10341795</v>
      </c>
      <c r="D33" s="363">
        <f t="shared" si="0"/>
        <v>11747046.9432</v>
      </c>
      <c r="F33" s="363">
        <v>186520</v>
      </c>
    </row>
    <row r="34" spans="1:6" ht="13.5" customHeight="1">
      <c r="A34" s="23" t="s">
        <v>238</v>
      </c>
      <c r="B34" s="24">
        <f>'- 46 -'!C34</f>
        <v>1879965.3816</v>
      </c>
      <c r="C34" s="24">
        <v>10398817</v>
      </c>
      <c r="D34" s="24">
        <f t="shared" si="0"/>
        <v>12278782.3816</v>
      </c>
      <c r="F34" s="24">
        <v>202883</v>
      </c>
    </row>
    <row r="35" spans="1:6" ht="13.5" customHeight="1">
      <c r="A35" s="362" t="s">
        <v>239</v>
      </c>
      <c r="B35" s="363">
        <f>'- 46 -'!C35</f>
        <v>7893564.9072</v>
      </c>
      <c r="C35" s="363">
        <v>64487903</v>
      </c>
      <c r="D35" s="363">
        <f t="shared" si="0"/>
        <v>72381467.9072</v>
      </c>
      <c r="F35" s="363">
        <v>151644</v>
      </c>
    </row>
    <row r="36" spans="1:6" ht="13.5" customHeight="1">
      <c r="A36" s="23" t="s">
        <v>240</v>
      </c>
      <c r="B36" s="24">
        <f>'- 46 -'!C36</f>
        <v>1482530.3328</v>
      </c>
      <c r="C36" s="24">
        <v>7651406</v>
      </c>
      <c r="D36" s="24">
        <f t="shared" si="0"/>
        <v>9133936.3328</v>
      </c>
      <c r="F36" s="24">
        <v>194541</v>
      </c>
    </row>
    <row r="37" spans="1:6" ht="13.5" customHeight="1">
      <c r="A37" s="362" t="s">
        <v>241</v>
      </c>
      <c r="B37" s="363">
        <f>'- 46 -'!C37</f>
        <v>1432496.1264</v>
      </c>
      <c r="C37" s="363">
        <v>14966403</v>
      </c>
      <c r="D37" s="363">
        <f t="shared" si="0"/>
        <v>16398899.1264</v>
      </c>
      <c r="F37" s="363">
        <v>126528</v>
      </c>
    </row>
    <row r="38" spans="1:6" ht="13.5" customHeight="1">
      <c r="A38" s="23" t="s">
        <v>242</v>
      </c>
      <c r="B38" s="24">
        <f>'- 46 -'!C38</f>
        <v>2993021.6952</v>
      </c>
      <c r="C38" s="24">
        <v>33644153</v>
      </c>
      <c r="D38" s="24">
        <f t="shared" si="0"/>
        <v>36637174.695199996</v>
      </c>
      <c r="F38" s="24">
        <v>137631</v>
      </c>
    </row>
    <row r="39" spans="1:6" ht="13.5" customHeight="1">
      <c r="A39" s="362" t="s">
        <v>243</v>
      </c>
      <c r="B39" s="363">
        <f>'- 46 -'!C39</f>
        <v>1445362.86</v>
      </c>
      <c r="C39" s="363">
        <v>7803620</v>
      </c>
      <c r="D39" s="363">
        <f t="shared" si="0"/>
        <v>9248982.86</v>
      </c>
      <c r="F39" s="363">
        <v>229754</v>
      </c>
    </row>
    <row r="40" spans="1:6" ht="13.5" customHeight="1">
      <c r="A40" s="23" t="s">
        <v>244</v>
      </c>
      <c r="B40" s="24">
        <f>'- 46 -'!C40</f>
        <v>11458503.48</v>
      </c>
      <c r="C40" s="24">
        <v>42446720</v>
      </c>
      <c r="D40" s="24">
        <f t="shared" si="0"/>
        <v>53905223.480000004</v>
      </c>
      <c r="F40" s="24">
        <v>222547</v>
      </c>
    </row>
    <row r="41" spans="1:6" ht="13.5" customHeight="1">
      <c r="A41" s="362" t="s">
        <v>245</v>
      </c>
      <c r="B41" s="363">
        <f>'- 46 -'!C41</f>
        <v>3142121.8872</v>
      </c>
      <c r="C41" s="363">
        <v>24260161</v>
      </c>
      <c r="D41" s="363">
        <f t="shared" si="0"/>
        <v>27402282.8872</v>
      </c>
      <c r="F41" s="363">
        <v>202632</v>
      </c>
    </row>
    <row r="42" spans="1:6" ht="13.5" customHeight="1">
      <c r="A42" s="23" t="s">
        <v>246</v>
      </c>
      <c r="B42" s="24">
        <f>'- 46 -'!C42</f>
        <v>882642.9384</v>
      </c>
      <c r="C42" s="24">
        <v>5992490</v>
      </c>
      <c r="D42" s="24">
        <f t="shared" si="0"/>
        <v>6875132.9384</v>
      </c>
      <c r="F42" s="24">
        <v>146895</v>
      </c>
    </row>
    <row r="43" spans="1:6" ht="13.5" customHeight="1">
      <c r="A43" s="362" t="s">
        <v>247</v>
      </c>
      <c r="B43" s="363">
        <f>'- 46 -'!C43</f>
        <v>611894.9736</v>
      </c>
      <c r="C43" s="363">
        <v>4430514</v>
      </c>
      <c r="D43" s="363">
        <f t="shared" si="0"/>
        <v>5042408.9736</v>
      </c>
      <c r="F43" s="363">
        <v>206337</v>
      </c>
    </row>
    <row r="44" spans="1:6" ht="13.5" customHeight="1">
      <c r="A44" s="23" t="s">
        <v>248</v>
      </c>
      <c r="B44" s="24">
        <f>'- 46 -'!C44</f>
        <v>180760.5864</v>
      </c>
      <c r="C44" s="24">
        <v>2711528</v>
      </c>
      <c r="D44" s="24">
        <f t="shared" si="0"/>
        <v>2892288.5864</v>
      </c>
      <c r="F44" s="24">
        <v>127245</v>
      </c>
    </row>
    <row r="45" spans="1:6" ht="13.5" customHeight="1">
      <c r="A45" s="362" t="s">
        <v>249</v>
      </c>
      <c r="B45" s="363">
        <f>'- 46 -'!C45</f>
        <v>863252.0664</v>
      </c>
      <c r="C45" s="363">
        <v>5031867</v>
      </c>
      <c r="D45" s="363">
        <f t="shared" si="0"/>
        <v>5895119.0664</v>
      </c>
      <c r="F45" s="363">
        <v>149731</v>
      </c>
    </row>
    <row r="46" spans="1:6" ht="13.5" customHeight="1">
      <c r="A46" s="23" t="s">
        <v>250</v>
      </c>
      <c r="B46" s="24">
        <f>'- 46 -'!C46</f>
        <v>35682734.2008</v>
      </c>
      <c r="C46" s="24">
        <v>129768694</v>
      </c>
      <c r="D46" s="24">
        <f t="shared" si="0"/>
        <v>165451428.2008</v>
      </c>
      <c r="F46" s="24">
        <v>159963</v>
      </c>
    </row>
    <row r="47" spans="1:6" ht="4.5" customHeight="1">
      <c r="A47"/>
      <c r="B47"/>
      <c r="C47"/>
      <c r="D47"/>
      <c r="F47"/>
    </row>
    <row r="48" spans="1:6" ht="13.5" customHeight="1">
      <c r="A48" s="365" t="s">
        <v>251</v>
      </c>
      <c r="B48" s="366">
        <f>SUM(B11:B46)</f>
        <v>125299111.7856</v>
      </c>
      <c r="C48" s="366">
        <f>SUM(C11:C46)</f>
        <v>679084141</v>
      </c>
      <c r="D48" s="366">
        <f>SUM(D11:D46)</f>
        <v>804383252.7856002</v>
      </c>
      <c r="F48" s="366">
        <v>168779</v>
      </c>
    </row>
    <row r="49" spans="1:6" ht="49.5" customHeight="1">
      <c r="A49" s="285" t="s">
        <v>3</v>
      </c>
      <c r="B49" s="27"/>
      <c r="C49" s="27"/>
      <c r="D49" s="27"/>
      <c r="E49" s="27"/>
      <c r="F49" s="27"/>
    </row>
    <row r="50" ht="15" customHeight="1">
      <c r="A50" s="40" t="s">
        <v>373</v>
      </c>
    </row>
    <row r="51" ht="12" customHeight="1">
      <c r="A51" s="2" t="s">
        <v>374</v>
      </c>
    </row>
    <row r="52" ht="12" customHeight="1">
      <c r="A52" s="161" t="s">
        <v>375</v>
      </c>
    </row>
    <row r="53" ht="14.25" customHeight="1"/>
    <row r="54" ht="14.25" customHeight="1"/>
    <row r="55" ht="14.25" customHeight="1"/>
    <row r="56" ht="14.25" customHeight="1"/>
    <row r="57" ht="14.25" customHeight="1"/>
    <row r="58" ht="14.25" customHeight="1"/>
  </sheetData>
  <printOptions horizontalCentered="1"/>
  <pageMargins left="0.5118110236220472" right="0.5118110236220472" top="0.5905511811023623" bottom="0" header="0.31496062992125984" footer="0"/>
  <pageSetup fitToHeight="1" fitToWidth="1" horizontalDpi="600" verticalDpi="600" orientation="portrait" scale="10"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sheetPr codeName="Sheet45">
    <pageSetUpPr fitToPage="1"/>
  </sheetPr>
  <dimension ref="A1:F56"/>
  <sheetViews>
    <sheetView showGridLines="0" showZeros="0" workbookViewId="0" topLeftCell="A1">
      <selection activeCell="A2" sqref="A2"/>
    </sheetView>
  </sheetViews>
  <sheetFormatPr defaultColWidth="19.83203125" defaultRowHeight="12"/>
  <cols>
    <col min="1" max="1" width="32.83203125" style="1" customWidth="1"/>
    <col min="2" max="2" width="21.83203125" style="1" customWidth="1"/>
    <col min="3" max="3" width="18.83203125" style="1" customWidth="1"/>
    <col min="4" max="5" width="19.83203125" style="1" customWidth="1"/>
    <col min="6" max="16384" width="19.83203125" style="1" customWidth="1"/>
  </cols>
  <sheetData>
    <row r="1" spans="1:6" ht="6.75" customHeight="1">
      <c r="A1" s="3"/>
      <c r="B1" s="3"/>
      <c r="C1" s="3"/>
      <c r="D1" s="3"/>
      <c r="E1" s="3"/>
      <c r="F1" s="3"/>
    </row>
    <row r="2" spans="1:6" ht="15.75" customHeight="1">
      <c r="A2" s="307"/>
      <c r="B2" s="317" t="str">
        <f>REVYEAR</f>
        <v> ANALYSIS OF OPERATING FUND REVENUE: 2008/2009 BUDGET</v>
      </c>
      <c r="C2" s="318"/>
      <c r="D2" s="312"/>
      <c r="E2" s="312"/>
      <c r="F2" s="257" t="s">
        <v>187</v>
      </c>
    </row>
    <row r="3" spans="1:6" ht="15.75" customHeight="1">
      <c r="A3" s="252"/>
      <c r="B3" s="3"/>
      <c r="C3" s="3"/>
      <c r="D3" s="3"/>
      <c r="E3" s="3"/>
      <c r="F3" s="3"/>
    </row>
    <row r="4" spans="2:6" ht="15.75" customHeight="1">
      <c r="B4" s="442" t="s">
        <v>327</v>
      </c>
      <c r="C4" s="371"/>
      <c r="D4" s="371"/>
      <c r="E4" s="371"/>
      <c r="F4" s="370"/>
    </row>
    <row r="5" spans="2:6" ht="15.75" customHeight="1">
      <c r="B5" s="465" t="s">
        <v>208</v>
      </c>
      <c r="C5" s="437"/>
      <c r="D5" s="382"/>
      <c r="E5" s="382"/>
      <c r="F5" s="372"/>
    </row>
    <row r="6" spans="2:6" ht="15.75" customHeight="1">
      <c r="B6" s="139" t="s">
        <v>95</v>
      </c>
      <c r="C6" s="135"/>
      <c r="D6" s="135"/>
      <c r="E6" s="283"/>
      <c r="F6" s="321"/>
    </row>
    <row r="7" spans="2:6" ht="15.75" customHeight="1">
      <c r="B7" s="259"/>
      <c r="C7" s="32"/>
      <c r="D7" s="32"/>
      <c r="E7" s="32"/>
      <c r="F7" s="32"/>
    </row>
    <row r="8" spans="1:6" ht="15.75" customHeight="1">
      <c r="A8" s="104"/>
      <c r="B8" s="311" t="s">
        <v>204</v>
      </c>
      <c r="C8" s="261" t="s">
        <v>214</v>
      </c>
      <c r="D8" s="261" t="s">
        <v>183</v>
      </c>
      <c r="E8" s="261" t="s">
        <v>184</v>
      </c>
      <c r="F8" s="261" t="s">
        <v>112</v>
      </c>
    </row>
    <row r="9" spans="1:6" ht="15.75" customHeight="1">
      <c r="A9" s="35" t="s">
        <v>79</v>
      </c>
      <c r="B9" s="242" t="s">
        <v>363</v>
      </c>
      <c r="C9" s="121" t="s">
        <v>366</v>
      </c>
      <c r="D9" s="121" t="s">
        <v>149</v>
      </c>
      <c r="E9" s="121" t="s">
        <v>22</v>
      </c>
      <c r="F9" s="121" t="s">
        <v>135</v>
      </c>
    </row>
    <row r="10" spans="1:6" ht="4.5" customHeight="1">
      <c r="A10" s="37"/>
      <c r="D10" s="3"/>
      <c r="E10" s="3"/>
      <c r="F10" s="3"/>
    </row>
    <row r="11" spans="1:6" ht="13.5" customHeight="1">
      <c r="A11" s="362" t="s">
        <v>216</v>
      </c>
      <c r="B11" s="363">
        <v>2773531</v>
      </c>
      <c r="C11" s="363">
        <v>175104</v>
      </c>
      <c r="D11" s="363">
        <v>86358</v>
      </c>
      <c r="E11" s="363">
        <v>64769</v>
      </c>
      <c r="F11" s="363">
        <v>132416</v>
      </c>
    </row>
    <row r="12" spans="1:6" ht="13.5" customHeight="1">
      <c r="A12" s="23" t="s">
        <v>217</v>
      </c>
      <c r="B12" s="24">
        <v>4410903</v>
      </c>
      <c r="C12" s="24">
        <v>408427</v>
      </c>
      <c r="D12" s="24">
        <v>137340</v>
      </c>
      <c r="E12" s="24">
        <v>103005</v>
      </c>
      <c r="F12" s="24">
        <v>210588</v>
      </c>
    </row>
    <row r="13" spans="1:6" ht="13.5" customHeight="1">
      <c r="A13" s="362" t="s">
        <v>218</v>
      </c>
      <c r="B13" s="363">
        <v>12901300</v>
      </c>
      <c r="C13" s="363">
        <v>81900</v>
      </c>
      <c r="D13" s="363">
        <v>401700</v>
      </c>
      <c r="E13" s="363">
        <v>301300</v>
      </c>
      <c r="F13" s="363">
        <v>615900</v>
      </c>
    </row>
    <row r="14" spans="1:6" ht="13.5" customHeight="1">
      <c r="A14" s="23" t="s">
        <v>254</v>
      </c>
      <c r="B14" s="24">
        <v>8822770</v>
      </c>
      <c r="C14" s="24">
        <v>778166</v>
      </c>
      <c r="D14" s="24">
        <v>274710</v>
      </c>
      <c r="E14" s="24">
        <v>206033</v>
      </c>
      <c r="F14" s="24">
        <v>421222</v>
      </c>
    </row>
    <row r="15" spans="1:6" ht="13.5" customHeight="1">
      <c r="A15" s="362" t="s">
        <v>219</v>
      </c>
      <c r="B15" s="363">
        <v>3122318</v>
      </c>
      <c r="C15" s="363">
        <v>236762</v>
      </c>
      <c r="D15" s="363">
        <v>97218</v>
      </c>
      <c r="E15" s="363">
        <v>72914</v>
      </c>
      <c r="F15" s="363">
        <v>149068</v>
      </c>
    </row>
    <row r="16" spans="1:6" ht="13.5" customHeight="1">
      <c r="A16" s="23" t="s">
        <v>220</v>
      </c>
      <c r="B16" s="24">
        <v>1998492</v>
      </c>
      <c r="C16" s="24">
        <v>0</v>
      </c>
      <c r="D16" s="24">
        <v>62226</v>
      </c>
      <c r="E16" s="24">
        <v>46670</v>
      </c>
      <c r="F16" s="24">
        <v>95413</v>
      </c>
    </row>
    <row r="17" spans="1:6" ht="13.5" customHeight="1">
      <c r="A17" s="362" t="s">
        <v>221</v>
      </c>
      <c r="B17" s="363">
        <v>2587383</v>
      </c>
      <c r="C17" s="363">
        <v>299060</v>
      </c>
      <c r="D17" s="363">
        <v>80562</v>
      </c>
      <c r="E17" s="363">
        <v>60422</v>
      </c>
      <c r="F17" s="363">
        <v>123528</v>
      </c>
    </row>
    <row r="18" spans="1:6" ht="13.5" customHeight="1">
      <c r="A18" s="23" t="s">
        <v>222</v>
      </c>
      <c r="B18" s="24">
        <v>4949114</v>
      </c>
      <c r="C18" s="24">
        <v>1114921</v>
      </c>
      <c r="D18" s="24">
        <v>154098</v>
      </c>
      <c r="E18" s="24">
        <v>115574</v>
      </c>
      <c r="F18" s="24">
        <v>236284</v>
      </c>
    </row>
    <row r="19" spans="1:6" ht="13.5" customHeight="1">
      <c r="A19" s="362" t="s">
        <v>223</v>
      </c>
      <c r="B19" s="363">
        <v>6957819</v>
      </c>
      <c r="C19" s="363">
        <v>231887</v>
      </c>
      <c r="D19" s="363">
        <v>216642</v>
      </c>
      <c r="E19" s="363">
        <v>162482</v>
      </c>
      <c r="F19" s="363">
        <v>332184</v>
      </c>
    </row>
    <row r="20" spans="1:6" ht="13.5" customHeight="1">
      <c r="A20" s="23" t="s">
        <v>224</v>
      </c>
      <c r="B20" s="24">
        <v>13395901</v>
      </c>
      <c r="C20" s="24">
        <v>234210</v>
      </c>
      <c r="D20" s="24">
        <v>419832</v>
      </c>
      <c r="E20" s="24">
        <v>314874</v>
      </c>
      <c r="F20" s="24">
        <v>643742</v>
      </c>
    </row>
    <row r="21" spans="1:6" ht="13.5" customHeight="1">
      <c r="A21" s="362" t="s">
        <v>225</v>
      </c>
      <c r="B21" s="363">
        <v>5847289</v>
      </c>
      <c r="C21" s="363">
        <v>455926</v>
      </c>
      <c r="D21" s="363">
        <v>182064</v>
      </c>
      <c r="E21" s="363">
        <v>136548</v>
      </c>
      <c r="F21" s="363">
        <v>279165</v>
      </c>
    </row>
    <row r="22" spans="1:6" ht="13.5" customHeight="1">
      <c r="A22" s="23" t="s">
        <v>226</v>
      </c>
      <c r="B22" s="24">
        <v>3010938</v>
      </c>
      <c r="C22" s="24">
        <v>21538</v>
      </c>
      <c r="D22" s="24">
        <v>93750</v>
      </c>
      <c r="E22" s="24">
        <v>70313</v>
      </c>
      <c r="F22" s="24">
        <v>143750</v>
      </c>
    </row>
    <row r="23" spans="1:6" ht="13.5" customHeight="1">
      <c r="A23" s="362" t="s">
        <v>227</v>
      </c>
      <c r="B23" s="363">
        <v>2237632</v>
      </c>
      <c r="C23" s="363">
        <v>404991</v>
      </c>
      <c r="D23" s="363">
        <v>69672</v>
      </c>
      <c r="E23" s="363">
        <v>52254</v>
      </c>
      <c r="F23" s="363">
        <v>106830</v>
      </c>
    </row>
    <row r="24" spans="1:6" ht="13.5" customHeight="1">
      <c r="A24" s="23" t="s">
        <v>228</v>
      </c>
      <c r="B24" s="24">
        <v>8534876</v>
      </c>
      <c r="C24" s="24">
        <v>382520</v>
      </c>
      <c r="D24" s="24">
        <v>265746</v>
      </c>
      <c r="E24" s="24">
        <v>199310</v>
      </c>
      <c r="F24" s="24">
        <v>407477</v>
      </c>
    </row>
    <row r="25" spans="1:6" ht="13.5" customHeight="1">
      <c r="A25" s="362" t="s">
        <v>229</v>
      </c>
      <c r="B25" s="363">
        <v>27448959</v>
      </c>
      <c r="C25" s="363">
        <v>0</v>
      </c>
      <c r="D25" s="363">
        <v>854664</v>
      </c>
      <c r="E25" s="363">
        <v>640998</v>
      </c>
      <c r="F25" s="363">
        <v>1310485</v>
      </c>
    </row>
    <row r="26" spans="1:6" ht="13.5" customHeight="1">
      <c r="A26" s="23" t="s">
        <v>230</v>
      </c>
      <c r="B26" s="24">
        <v>5906640</v>
      </c>
      <c r="C26" s="24">
        <v>581370</v>
      </c>
      <c r="D26" s="24">
        <v>183912</v>
      </c>
      <c r="E26" s="24">
        <v>137934</v>
      </c>
      <c r="F26" s="24">
        <v>281998</v>
      </c>
    </row>
    <row r="27" spans="1:6" ht="13.5" customHeight="1">
      <c r="A27" s="362" t="s">
        <v>231</v>
      </c>
      <c r="B27" s="363">
        <v>6032859</v>
      </c>
      <c r="C27" s="363">
        <v>0</v>
      </c>
      <c r="D27" s="363">
        <v>187842</v>
      </c>
      <c r="E27" s="363">
        <v>140882</v>
      </c>
      <c r="F27" s="363">
        <v>288024</v>
      </c>
    </row>
    <row r="28" spans="1:6" ht="13.5" customHeight="1">
      <c r="A28" s="23" t="s">
        <v>232</v>
      </c>
      <c r="B28" s="24">
        <v>3236204</v>
      </c>
      <c r="C28" s="24">
        <v>568884</v>
      </c>
      <c r="D28" s="24">
        <v>100764</v>
      </c>
      <c r="E28" s="24">
        <v>75573</v>
      </c>
      <c r="F28" s="24">
        <v>154505</v>
      </c>
    </row>
    <row r="29" spans="1:6" ht="13.5" customHeight="1">
      <c r="A29" s="362" t="s">
        <v>233</v>
      </c>
      <c r="B29" s="363">
        <v>23816371</v>
      </c>
      <c r="C29" s="363">
        <v>0</v>
      </c>
      <c r="D29" s="363">
        <v>741558</v>
      </c>
      <c r="E29" s="363">
        <v>556169</v>
      </c>
      <c r="F29" s="363">
        <v>1137056</v>
      </c>
    </row>
    <row r="30" spans="1:6" ht="13.5" customHeight="1">
      <c r="A30" s="23" t="s">
        <v>234</v>
      </c>
      <c r="B30" s="24">
        <v>2303729</v>
      </c>
      <c r="C30" s="24">
        <v>312390</v>
      </c>
      <c r="D30" s="24">
        <v>71730</v>
      </c>
      <c r="E30" s="24">
        <v>53798</v>
      </c>
      <c r="F30" s="24">
        <v>109986</v>
      </c>
    </row>
    <row r="31" spans="1:6" ht="13.5" customHeight="1">
      <c r="A31" s="362" t="s">
        <v>235</v>
      </c>
      <c r="B31" s="363">
        <v>6131714</v>
      </c>
      <c r="C31" s="363">
        <v>182767</v>
      </c>
      <c r="D31" s="363">
        <v>190920</v>
      </c>
      <c r="E31" s="363">
        <v>143190</v>
      </c>
      <c r="F31" s="363">
        <v>292744</v>
      </c>
    </row>
    <row r="32" spans="1:6" ht="13.5" customHeight="1">
      <c r="A32" s="23" t="s">
        <v>236</v>
      </c>
      <c r="B32" s="24">
        <v>4222828</v>
      </c>
      <c r="C32" s="24">
        <v>633816</v>
      </c>
      <c r="D32" s="24">
        <v>131484</v>
      </c>
      <c r="E32" s="24">
        <v>98613</v>
      </c>
      <c r="F32" s="24">
        <v>201609</v>
      </c>
    </row>
    <row r="33" spans="1:6" ht="13.5" customHeight="1">
      <c r="A33" s="362" t="s">
        <v>237</v>
      </c>
      <c r="B33" s="363">
        <v>4253082</v>
      </c>
      <c r="C33" s="363">
        <v>867904</v>
      </c>
      <c r="D33" s="363">
        <v>132426</v>
      </c>
      <c r="E33" s="363">
        <v>99320</v>
      </c>
      <c r="F33" s="363">
        <v>203053</v>
      </c>
    </row>
    <row r="34" spans="1:6" ht="13.5" customHeight="1">
      <c r="A34" s="23" t="s">
        <v>238</v>
      </c>
      <c r="B34" s="24">
        <v>3888686</v>
      </c>
      <c r="C34" s="24">
        <v>542973</v>
      </c>
      <c r="D34" s="24">
        <v>121080</v>
      </c>
      <c r="E34" s="24">
        <v>90810</v>
      </c>
      <c r="F34" s="24">
        <v>185656</v>
      </c>
    </row>
    <row r="35" spans="1:6" ht="13.5" customHeight="1">
      <c r="A35" s="362" t="s">
        <v>239</v>
      </c>
      <c r="B35" s="363">
        <v>31593936</v>
      </c>
      <c r="C35" s="363">
        <v>0</v>
      </c>
      <c r="D35" s="363">
        <v>983724</v>
      </c>
      <c r="E35" s="363">
        <v>737793</v>
      </c>
      <c r="F35" s="363">
        <v>1508377</v>
      </c>
    </row>
    <row r="36" spans="1:6" ht="13.5" customHeight="1">
      <c r="A36" s="23" t="s">
        <v>240</v>
      </c>
      <c r="B36" s="24">
        <v>3417342</v>
      </c>
      <c r="C36" s="24">
        <v>385550</v>
      </c>
      <c r="D36" s="24">
        <v>106404</v>
      </c>
      <c r="E36" s="24">
        <v>79803</v>
      </c>
      <c r="F36" s="24">
        <v>163153</v>
      </c>
    </row>
    <row r="37" spans="1:6" ht="13.5" customHeight="1">
      <c r="A37" s="362" t="s">
        <v>241</v>
      </c>
      <c r="B37" s="363">
        <v>6674550</v>
      </c>
      <c r="C37" s="363">
        <v>502087</v>
      </c>
      <c r="D37" s="363">
        <v>207822</v>
      </c>
      <c r="E37" s="363">
        <v>155867</v>
      </c>
      <c r="F37" s="363">
        <v>318660</v>
      </c>
    </row>
    <row r="38" spans="1:6" ht="13.5" customHeight="1">
      <c r="A38" s="23" t="s">
        <v>242</v>
      </c>
      <c r="B38" s="24">
        <v>16756807</v>
      </c>
      <c r="C38" s="24">
        <v>0</v>
      </c>
      <c r="D38" s="24">
        <v>521748</v>
      </c>
      <c r="E38" s="24">
        <v>391311</v>
      </c>
      <c r="F38" s="24">
        <v>800014</v>
      </c>
    </row>
    <row r="39" spans="1:6" ht="13.5" customHeight="1">
      <c r="A39" s="362" t="s">
        <v>243</v>
      </c>
      <c r="B39" s="363">
        <v>3157004</v>
      </c>
      <c r="C39" s="363">
        <v>521686</v>
      </c>
      <c r="D39" s="363">
        <v>98298</v>
      </c>
      <c r="E39" s="363">
        <v>73724</v>
      </c>
      <c r="F39" s="363">
        <v>150724</v>
      </c>
    </row>
    <row r="40" spans="1:6" ht="13.5" customHeight="1">
      <c r="A40" s="23" t="s">
        <v>244</v>
      </c>
      <c r="B40" s="24">
        <v>16290280</v>
      </c>
      <c r="C40" s="24">
        <v>0</v>
      </c>
      <c r="D40" s="24">
        <v>507222</v>
      </c>
      <c r="E40" s="24">
        <v>380417</v>
      </c>
      <c r="F40" s="24">
        <v>777740</v>
      </c>
    </row>
    <row r="41" spans="1:6" ht="13.5" customHeight="1">
      <c r="A41" s="362" t="s">
        <v>245</v>
      </c>
      <c r="B41" s="363">
        <v>8856107</v>
      </c>
      <c r="C41" s="363">
        <v>514330</v>
      </c>
      <c r="D41" s="363">
        <v>275748</v>
      </c>
      <c r="E41" s="363">
        <v>206811</v>
      </c>
      <c r="F41" s="363">
        <v>422814</v>
      </c>
    </row>
    <row r="42" spans="1:6" ht="13.5" customHeight="1">
      <c r="A42" s="23" t="s">
        <v>246</v>
      </c>
      <c r="B42" s="24">
        <v>3164519</v>
      </c>
      <c r="C42" s="24">
        <v>317185</v>
      </c>
      <c r="D42" s="24">
        <v>98532</v>
      </c>
      <c r="E42" s="24">
        <v>73899</v>
      </c>
      <c r="F42" s="24">
        <v>151082</v>
      </c>
    </row>
    <row r="43" spans="1:6" ht="13.5" customHeight="1">
      <c r="A43" s="362" t="s">
        <v>247</v>
      </c>
      <c r="B43" s="363">
        <v>1999070</v>
      </c>
      <c r="C43" s="363">
        <v>220483</v>
      </c>
      <c r="D43" s="363">
        <v>62244</v>
      </c>
      <c r="E43" s="363">
        <v>46683</v>
      </c>
      <c r="F43" s="363">
        <v>95441</v>
      </c>
    </row>
    <row r="44" spans="1:6" ht="13.5" customHeight="1">
      <c r="A44" s="23" t="s">
        <v>248</v>
      </c>
      <c r="B44" s="24">
        <v>1503445</v>
      </c>
      <c r="C44" s="24">
        <v>316051</v>
      </c>
      <c r="D44" s="24">
        <v>46812</v>
      </c>
      <c r="E44" s="24">
        <v>35109</v>
      </c>
      <c r="F44" s="24">
        <v>71778</v>
      </c>
    </row>
    <row r="45" spans="1:6" ht="13.5" customHeight="1">
      <c r="A45" s="362" t="s">
        <v>249</v>
      </c>
      <c r="B45" s="363">
        <v>2928077</v>
      </c>
      <c r="C45" s="363">
        <v>21834</v>
      </c>
      <c r="D45" s="363">
        <v>91170</v>
      </c>
      <c r="E45" s="363">
        <v>68378</v>
      </c>
      <c r="F45" s="363">
        <v>139794</v>
      </c>
    </row>
    <row r="46" spans="1:6" ht="13.5" customHeight="1">
      <c r="A46" s="23" t="s">
        <v>250</v>
      </c>
      <c r="B46" s="24">
        <v>57257011</v>
      </c>
      <c r="C46" s="24">
        <v>0</v>
      </c>
      <c r="D46" s="24">
        <v>1782780</v>
      </c>
      <c r="E46" s="24">
        <v>1337085</v>
      </c>
      <c r="F46" s="24">
        <v>2733596</v>
      </c>
    </row>
    <row r="47" spans="1:6" ht="4.5" customHeight="1">
      <c r="A47"/>
      <c r="B47"/>
      <c r="C47"/>
      <c r="D47"/>
      <c r="E47"/>
      <c r="F47"/>
    </row>
    <row r="48" spans="1:6" ht="13.5" customHeight="1">
      <c r="A48" s="365" t="s">
        <v>251</v>
      </c>
      <c r="B48" s="366">
        <f>SUM(B11:B46)</f>
        <v>322389486</v>
      </c>
      <c r="C48" s="366">
        <f>SUM(C11:C46)</f>
        <v>11314722</v>
      </c>
      <c r="D48" s="366">
        <f>SUM(D11:D46)</f>
        <v>10040802</v>
      </c>
      <c r="E48" s="366">
        <f>SUM(E11:E46)</f>
        <v>7530635</v>
      </c>
      <c r="F48" s="366">
        <f>SUM(F11:F46)</f>
        <v>15395856</v>
      </c>
    </row>
    <row r="49" spans="1:6" ht="4.5" customHeight="1">
      <c r="A49" s="25" t="s">
        <v>3</v>
      </c>
      <c r="B49" s="26"/>
      <c r="C49" s="26"/>
      <c r="D49" s="26"/>
      <c r="E49" s="26"/>
      <c r="F49" s="26"/>
    </row>
    <row r="50" spans="1:6" ht="14.25" customHeight="1">
      <c r="A50" s="23" t="s">
        <v>252</v>
      </c>
      <c r="B50" s="24">
        <v>197703</v>
      </c>
      <c r="C50" s="24">
        <v>0</v>
      </c>
      <c r="D50" s="24">
        <v>12810</v>
      </c>
      <c r="E50" s="24">
        <v>9608</v>
      </c>
      <c r="F50" s="24">
        <v>19642</v>
      </c>
    </row>
    <row r="51" spans="1:6" ht="13.5" customHeight="1">
      <c r="A51" s="362" t="s">
        <v>253</v>
      </c>
      <c r="B51" s="363">
        <v>0</v>
      </c>
      <c r="C51" s="363">
        <v>0</v>
      </c>
      <c r="D51" s="363">
        <v>0</v>
      </c>
      <c r="E51" s="363">
        <v>0</v>
      </c>
      <c r="F51" s="363">
        <v>0</v>
      </c>
    </row>
    <row r="52" spans="1:6" ht="49.5" customHeight="1">
      <c r="A52" s="27"/>
      <c r="B52" s="27"/>
      <c r="C52" s="27"/>
      <c r="D52" s="27"/>
      <c r="E52" s="27"/>
      <c r="F52" s="27"/>
    </row>
    <row r="53" spans="1:6" ht="15" customHeight="1">
      <c r="A53" s="128" t="s">
        <v>514</v>
      </c>
      <c r="C53" s="39"/>
      <c r="D53" s="39"/>
      <c r="E53" s="39"/>
      <c r="F53" s="39"/>
    </row>
    <row r="54" spans="1:6" ht="12" customHeight="1">
      <c r="A54" s="128" t="s">
        <v>390</v>
      </c>
      <c r="C54" s="39"/>
      <c r="D54" s="39"/>
      <c r="E54" s="39"/>
      <c r="F54" s="39"/>
    </row>
    <row r="55" spans="1:6" ht="14.25" customHeight="1">
      <c r="A55" s="39"/>
      <c r="C55" s="39"/>
      <c r="D55" s="39"/>
      <c r="E55" s="39"/>
      <c r="F55" s="39"/>
    </row>
    <row r="56" spans="3:6" ht="14.25" customHeight="1">
      <c r="C56" s="117"/>
      <c r="D56" s="117"/>
      <c r="E56" s="117"/>
      <c r="F56" s="117"/>
    </row>
    <row r="57" ht="14.25" customHeight="1"/>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10"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sheetPr codeName="Sheet451">
    <pageSetUpPr fitToPage="1"/>
  </sheetPr>
  <dimension ref="A1:K56"/>
  <sheetViews>
    <sheetView showGridLines="0" showZeros="0" workbookViewId="0" topLeftCell="A1">
      <selection activeCell="A3" sqref="A3"/>
    </sheetView>
  </sheetViews>
  <sheetFormatPr defaultColWidth="19.83203125" defaultRowHeight="12"/>
  <cols>
    <col min="1" max="1" width="29.83203125" style="1" customWidth="1"/>
    <col min="2" max="2" width="15.83203125" style="1" customWidth="1"/>
    <col min="3" max="3" width="17.83203125" style="1" customWidth="1"/>
    <col min="4" max="4" width="18.83203125" style="1" customWidth="1"/>
    <col min="5" max="5" width="14.83203125" style="1" customWidth="1"/>
    <col min="6" max="7" width="17.83203125" style="1" customWidth="1"/>
    <col min="8" max="16384" width="19.83203125" style="1" customWidth="1"/>
  </cols>
  <sheetData>
    <row r="1" spans="1:7" ht="6.75" customHeight="1">
      <c r="A1" s="3"/>
      <c r="B1" s="3"/>
      <c r="C1" s="3"/>
      <c r="D1" s="3"/>
      <c r="E1" s="3"/>
      <c r="F1" s="3"/>
      <c r="G1" s="3"/>
    </row>
    <row r="2" spans="1:7" ht="15.75" customHeight="1">
      <c r="A2" s="307"/>
      <c r="B2" s="317" t="str">
        <f>REVYEAR</f>
        <v> ANALYSIS OF OPERATING FUND REVENUE: 2008/2009 BUDGET</v>
      </c>
      <c r="C2" s="318"/>
      <c r="D2" s="312"/>
      <c r="E2" s="312"/>
      <c r="F2" s="319"/>
      <c r="G2" s="257" t="s">
        <v>188</v>
      </c>
    </row>
    <row r="3" spans="1:7" ht="15.75" customHeight="1">
      <c r="A3" s="252"/>
      <c r="B3" s="252"/>
      <c r="C3" s="3"/>
      <c r="D3" s="3"/>
      <c r="E3" s="3"/>
      <c r="F3" s="3"/>
      <c r="G3" s="3"/>
    </row>
    <row r="4" spans="2:7" ht="15.75" customHeight="1">
      <c r="B4" s="442" t="s">
        <v>327</v>
      </c>
      <c r="C4" s="371"/>
      <c r="D4" s="371"/>
      <c r="E4" s="371"/>
      <c r="F4" s="371"/>
      <c r="G4" s="370"/>
    </row>
    <row r="5" spans="2:7" ht="15.75" customHeight="1">
      <c r="B5" s="465" t="s">
        <v>207</v>
      </c>
      <c r="C5" s="437"/>
      <c r="D5" s="437"/>
      <c r="E5" s="437"/>
      <c r="F5" s="382"/>
      <c r="G5" s="474"/>
    </row>
    <row r="6" spans="2:7" ht="15.75" customHeight="1">
      <c r="B6" s="310" t="s">
        <v>95</v>
      </c>
      <c r="C6" s="135"/>
      <c r="D6" s="135"/>
      <c r="E6" s="135"/>
      <c r="F6" s="135"/>
      <c r="G6" s="140"/>
    </row>
    <row r="7" spans="2:7" ht="15.75" customHeight="1">
      <c r="B7" s="259"/>
      <c r="C7" s="32"/>
      <c r="D7" s="32"/>
      <c r="E7" s="32"/>
      <c r="F7" s="32"/>
      <c r="G7" s="259" t="s">
        <v>54</v>
      </c>
    </row>
    <row r="8" spans="1:7" ht="15.75" customHeight="1">
      <c r="A8" s="104"/>
      <c r="B8" s="311" t="s">
        <v>406</v>
      </c>
      <c r="C8" s="261" t="s">
        <v>111</v>
      </c>
      <c r="D8" s="261" t="s">
        <v>113</v>
      </c>
      <c r="E8" s="261" t="s">
        <v>498</v>
      </c>
      <c r="F8" s="320"/>
      <c r="G8" s="261" t="s">
        <v>114</v>
      </c>
    </row>
    <row r="9" spans="1:7" ht="15.75" customHeight="1">
      <c r="A9" s="35" t="s">
        <v>79</v>
      </c>
      <c r="B9" s="242" t="s">
        <v>135</v>
      </c>
      <c r="C9" s="121" t="s">
        <v>134</v>
      </c>
      <c r="D9" s="121" t="s">
        <v>136</v>
      </c>
      <c r="E9" s="121" t="s">
        <v>76</v>
      </c>
      <c r="F9" s="121" t="s">
        <v>133</v>
      </c>
      <c r="G9" s="121" t="s">
        <v>132</v>
      </c>
    </row>
    <row r="10" spans="1:7" ht="4.5" customHeight="1">
      <c r="A10" s="37"/>
      <c r="B10" s="3"/>
      <c r="F10" s="3"/>
      <c r="G10" s="3"/>
    </row>
    <row r="11" spans="1:7" ht="13.5" customHeight="1">
      <c r="A11" s="362" t="s">
        <v>216</v>
      </c>
      <c r="B11" s="363">
        <v>449187</v>
      </c>
      <c r="C11" s="363">
        <v>118023</v>
      </c>
      <c r="D11" s="363">
        <v>81208</v>
      </c>
      <c r="E11" s="363">
        <v>17290</v>
      </c>
      <c r="F11" s="363">
        <v>829350</v>
      </c>
      <c r="G11" s="363">
        <f>SUM('- 52 -'!B11:F11,B11:F11)</f>
        <v>4727236</v>
      </c>
    </row>
    <row r="12" spans="1:7" ht="13.5" customHeight="1">
      <c r="A12" s="23" t="s">
        <v>217</v>
      </c>
      <c r="B12" s="24">
        <v>736717</v>
      </c>
      <c r="C12" s="24">
        <v>187698</v>
      </c>
      <c r="D12" s="24">
        <v>120884</v>
      </c>
      <c r="E12" s="24">
        <v>25550</v>
      </c>
      <c r="F12" s="24">
        <v>1208115</v>
      </c>
      <c r="G12" s="24">
        <f>SUM('- 52 -'!B12:F12,B12:F12)</f>
        <v>7549227</v>
      </c>
    </row>
    <row r="13" spans="1:7" ht="13.5" customHeight="1">
      <c r="A13" s="362" t="s">
        <v>218</v>
      </c>
      <c r="B13" s="363">
        <v>2361800</v>
      </c>
      <c r="C13" s="363">
        <v>549000</v>
      </c>
      <c r="D13" s="363">
        <v>350600</v>
      </c>
      <c r="E13" s="363">
        <v>85700</v>
      </c>
      <c r="F13" s="363">
        <v>3045500</v>
      </c>
      <c r="G13" s="363">
        <f>SUM('- 52 -'!B13:F13,B13:F13)</f>
        <v>20694700</v>
      </c>
    </row>
    <row r="14" spans="1:7" ht="13.5" customHeight="1">
      <c r="A14" s="23" t="s">
        <v>254</v>
      </c>
      <c r="B14" s="24">
        <v>1454234</v>
      </c>
      <c r="C14" s="24">
        <v>375437</v>
      </c>
      <c r="D14" s="24">
        <v>210758</v>
      </c>
      <c r="E14" s="24">
        <v>46480</v>
      </c>
      <c r="F14" s="24">
        <v>2488050</v>
      </c>
      <c r="G14" s="24">
        <f>SUM('- 52 -'!B14:F14,B14:F14)</f>
        <v>15077860</v>
      </c>
    </row>
    <row r="15" spans="1:7" ht="13.5" customHeight="1">
      <c r="A15" s="362" t="s">
        <v>219</v>
      </c>
      <c r="B15" s="363">
        <v>520963</v>
      </c>
      <c r="C15" s="363">
        <v>132865</v>
      </c>
      <c r="D15" s="363">
        <v>78192</v>
      </c>
      <c r="E15" s="363">
        <v>21210</v>
      </c>
      <c r="F15" s="363">
        <v>860985</v>
      </c>
      <c r="G15" s="363">
        <f>SUM('- 52 -'!B15:F15,B15:F15)</f>
        <v>5292495</v>
      </c>
    </row>
    <row r="16" spans="1:7" ht="13.5" customHeight="1">
      <c r="A16" s="23" t="s">
        <v>220</v>
      </c>
      <c r="B16" s="24">
        <v>329006</v>
      </c>
      <c r="C16" s="24">
        <v>85042</v>
      </c>
      <c r="D16" s="24">
        <v>67892</v>
      </c>
      <c r="E16" s="24">
        <v>17220</v>
      </c>
      <c r="F16" s="24">
        <v>620730</v>
      </c>
      <c r="G16" s="24">
        <f>SUM('- 52 -'!B16:F16,B16:F16)</f>
        <v>3322691</v>
      </c>
    </row>
    <row r="17" spans="1:7" ht="13.5" customHeight="1">
      <c r="A17" s="362" t="s">
        <v>221</v>
      </c>
      <c r="B17" s="363">
        <v>447135</v>
      </c>
      <c r="C17" s="363">
        <v>110101</v>
      </c>
      <c r="D17" s="363">
        <v>76764</v>
      </c>
      <c r="E17" s="363">
        <v>16520</v>
      </c>
      <c r="F17" s="363">
        <v>924255</v>
      </c>
      <c r="G17" s="363">
        <f>SUM('- 52 -'!B17:F17,B17:F17)</f>
        <v>4725730</v>
      </c>
    </row>
    <row r="18" spans="1:7" ht="13.5" customHeight="1">
      <c r="A18" s="23" t="s">
        <v>222</v>
      </c>
      <c r="B18" s="24">
        <v>1314419</v>
      </c>
      <c r="C18" s="24">
        <v>210601</v>
      </c>
      <c r="D18" s="24">
        <v>119390</v>
      </c>
      <c r="E18" s="24">
        <v>15330</v>
      </c>
      <c r="F18" s="24">
        <v>4048741</v>
      </c>
      <c r="G18" s="24">
        <f>SUM('- 52 -'!B18:F18,B18:F18)</f>
        <v>12278472</v>
      </c>
    </row>
    <row r="19" spans="1:7" ht="13.5" customHeight="1">
      <c r="A19" s="362" t="s">
        <v>223</v>
      </c>
      <c r="B19" s="363">
        <v>1179434</v>
      </c>
      <c r="C19" s="363">
        <v>296077</v>
      </c>
      <c r="D19" s="363">
        <v>191414</v>
      </c>
      <c r="E19" s="363">
        <v>35140</v>
      </c>
      <c r="F19" s="363">
        <v>1268820</v>
      </c>
      <c r="G19" s="363">
        <f>SUM('- 52 -'!B19:F19,B19:F19)</f>
        <v>10871899</v>
      </c>
    </row>
    <row r="20" spans="1:7" ht="13.5" customHeight="1">
      <c r="A20" s="23" t="s">
        <v>224</v>
      </c>
      <c r="B20" s="24">
        <v>2230133</v>
      </c>
      <c r="C20" s="24">
        <v>573770</v>
      </c>
      <c r="D20" s="24">
        <v>321021</v>
      </c>
      <c r="E20" s="24">
        <v>73430</v>
      </c>
      <c r="F20" s="24">
        <v>2318760</v>
      </c>
      <c r="G20" s="24">
        <f>SUM('- 52 -'!B20:F20,B20:F20)</f>
        <v>20525673</v>
      </c>
    </row>
    <row r="21" spans="1:7" ht="13.5" customHeight="1">
      <c r="A21" s="362" t="s">
        <v>225</v>
      </c>
      <c r="B21" s="363">
        <v>955000</v>
      </c>
      <c r="C21" s="363">
        <v>248821</v>
      </c>
      <c r="D21" s="363">
        <f>176917-39130</f>
        <v>137787</v>
      </c>
      <c r="E21" s="363">
        <v>39130</v>
      </c>
      <c r="F21" s="363">
        <v>1542420</v>
      </c>
      <c r="G21" s="363">
        <f>SUM('- 52 -'!B21:F21,B21:F21)</f>
        <v>9824150</v>
      </c>
    </row>
    <row r="22" spans="1:7" ht="13.5" customHeight="1">
      <c r="A22" s="23" t="s">
        <v>226</v>
      </c>
      <c r="B22" s="24">
        <v>600640</v>
      </c>
      <c r="C22" s="24">
        <v>128125</v>
      </c>
      <c r="D22" s="24">
        <v>94688</v>
      </c>
      <c r="E22" s="24">
        <v>15890</v>
      </c>
      <c r="F22" s="24">
        <v>965295</v>
      </c>
      <c r="G22" s="24">
        <f>SUM('- 52 -'!B22:F22,B22:F22)</f>
        <v>5144927</v>
      </c>
    </row>
    <row r="23" spans="1:7" ht="13.5" customHeight="1">
      <c r="A23" s="362" t="s">
        <v>227</v>
      </c>
      <c r="B23" s="363">
        <v>404808</v>
      </c>
      <c r="C23" s="363">
        <v>95218</v>
      </c>
      <c r="D23" s="363">
        <v>68415</v>
      </c>
      <c r="E23" s="363">
        <v>14490</v>
      </c>
      <c r="F23" s="363">
        <v>704606</v>
      </c>
      <c r="G23" s="363">
        <f>SUM('- 52 -'!B23:F23,B23:F23)</f>
        <v>4158916</v>
      </c>
    </row>
    <row r="24" spans="1:7" ht="13.5" customHeight="1">
      <c r="A24" s="23" t="s">
        <v>228</v>
      </c>
      <c r="B24" s="24">
        <v>1410653</v>
      </c>
      <c r="C24" s="24">
        <v>363186</v>
      </c>
      <c r="D24" s="24">
        <v>201135</v>
      </c>
      <c r="E24" s="24">
        <v>57470</v>
      </c>
      <c r="F24" s="24">
        <v>2073375</v>
      </c>
      <c r="G24" s="24">
        <f>SUM('- 52 -'!B24:F24,B24:F24)</f>
        <v>13895748</v>
      </c>
    </row>
    <row r="25" spans="1:7" ht="13.5" customHeight="1">
      <c r="A25" s="362" t="s">
        <v>229</v>
      </c>
      <c r="B25" s="363">
        <v>4677950</v>
      </c>
      <c r="C25" s="363">
        <v>1168041</v>
      </c>
      <c r="D25" s="363">
        <v>646587</v>
      </c>
      <c r="E25" s="363">
        <v>188580</v>
      </c>
      <c r="F25" s="363">
        <v>6499710</v>
      </c>
      <c r="G25" s="363">
        <f>SUM('- 52 -'!B25:F25,B25:F25)</f>
        <v>43435974</v>
      </c>
    </row>
    <row r="26" spans="1:7" ht="13.5" customHeight="1">
      <c r="A26" s="23" t="s">
        <v>230</v>
      </c>
      <c r="B26" s="24">
        <v>1070462</v>
      </c>
      <c r="C26" s="24">
        <v>251346</v>
      </c>
      <c r="D26" s="24">
        <v>160884</v>
      </c>
      <c r="E26" s="24">
        <v>38780</v>
      </c>
      <c r="F26" s="24">
        <v>2330939</v>
      </c>
      <c r="G26" s="24">
        <f>SUM('- 52 -'!B26:F26,B26:F26)</f>
        <v>10944265</v>
      </c>
    </row>
    <row r="27" spans="1:7" ht="13.5" customHeight="1">
      <c r="A27" s="362" t="s">
        <v>231</v>
      </c>
      <c r="B27" s="363">
        <v>1384404</v>
      </c>
      <c r="C27" s="363">
        <v>256717</v>
      </c>
      <c r="D27" s="363">
        <v>181012</v>
      </c>
      <c r="E27" s="363">
        <v>34720</v>
      </c>
      <c r="F27" s="363">
        <v>1321830</v>
      </c>
      <c r="G27" s="363">
        <f>SUM('- 52 -'!B27:F27,B27:F27)</f>
        <v>9828290</v>
      </c>
    </row>
    <row r="28" spans="1:7" ht="13.5" customHeight="1">
      <c r="A28" s="23" t="s">
        <v>232</v>
      </c>
      <c r="B28" s="24">
        <v>551385</v>
      </c>
      <c r="C28" s="24">
        <v>137711</v>
      </c>
      <c r="D28" s="24">
        <v>92252</v>
      </c>
      <c r="E28" s="24">
        <v>22820</v>
      </c>
      <c r="F28" s="24">
        <v>1258409</v>
      </c>
      <c r="G28" s="24">
        <f>SUM('- 52 -'!B28:F28,B28:F28)</f>
        <v>6198507</v>
      </c>
    </row>
    <row r="29" spans="1:7" ht="13.5" customHeight="1">
      <c r="A29" s="362" t="s">
        <v>233</v>
      </c>
      <c r="B29" s="363">
        <v>3828934</v>
      </c>
      <c r="C29" s="363">
        <v>1013463</v>
      </c>
      <c r="D29" s="363">
        <v>560573</v>
      </c>
      <c r="E29" s="363">
        <v>170870</v>
      </c>
      <c r="F29" s="363">
        <v>5029965</v>
      </c>
      <c r="G29" s="363">
        <f>SUM('- 52 -'!B29:F29,B29:F29)</f>
        <v>36854959</v>
      </c>
    </row>
    <row r="30" spans="1:7" ht="13.5" customHeight="1">
      <c r="A30" s="23" t="s">
        <v>234</v>
      </c>
      <c r="B30" s="24">
        <v>390763</v>
      </c>
      <c r="C30" s="24">
        <v>98031</v>
      </c>
      <c r="D30" s="24">
        <v>69993</v>
      </c>
      <c r="E30" s="24">
        <v>13860</v>
      </c>
      <c r="F30" s="24">
        <v>807975</v>
      </c>
      <c r="G30" s="24">
        <f>SUM('- 52 -'!B30:F30,B30:F30)</f>
        <v>4232255</v>
      </c>
    </row>
    <row r="31" spans="1:7" ht="13.5" customHeight="1">
      <c r="A31" s="362" t="s">
        <v>235</v>
      </c>
      <c r="B31" s="363">
        <v>1069337</v>
      </c>
      <c r="C31" s="363">
        <v>260924</v>
      </c>
      <c r="D31" s="363">
        <v>145058</v>
      </c>
      <c r="E31" s="363">
        <v>36820</v>
      </c>
      <c r="F31" s="363">
        <v>1792080</v>
      </c>
      <c r="G31" s="363">
        <f>SUM('- 52 -'!B31:F31,B31:F31)</f>
        <v>10245554</v>
      </c>
    </row>
    <row r="32" spans="1:7" ht="13.5" customHeight="1">
      <c r="A32" s="23" t="s">
        <v>236</v>
      </c>
      <c r="B32" s="24">
        <v>687327</v>
      </c>
      <c r="C32" s="24">
        <v>179695</v>
      </c>
      <c r="D32" s="24">
        <v>100465</v>
      </c>
      <c r="E32" s="24">
        <v>23520</v>
      </c>
      <c r="F32" s="24">
        <v>1414570</v>
      </c>
      <c r="G32" s="24">
        <f>SUM('- 52 -'!B32:F32,B32:F32)</f>
        <v>7693927</v>
      </c>
    </row>
    <row r="33" spans="1:7" ht="13.5" customHeight="1">
      <c r="A33" s="362" t="s">
        <v>237</v>
      </c>
      <c r="B33" s="363">
        <v>713251</v>
      </c>
      <c r="C33" s="363">
        <v>180982</v>
      </c>
      <c r="D33" s="363">
        <v>116527</v>
      </c>
      <c r="E33" s="363">
        <v>27930</v>
      </c>
      <c r="F33" s="363">
        <v>1779337</v>
      </c>
      <c r="G33" s="363">
        <f>SUM('- 52 -'!B33:F33,B33:F33)</f>
        <v>8373812</v>
      </c>
    </row>
    <row r="34" spans="1:7" ht="13.5" customHeight="1">
      <c r="A34" s="23" t="s">
        <v>238</v>
      </c>
      <c r="B34" s="24">
        <v>659436</v>
      </c>
      <c r="C34" s="24">
        <v>165476</v>
      </c>
      <c r="D34" s="24">
        <v>93702</v>
      </c>
      <c r="E34" s="24">
        <v>26390</v>
      </c>
      <c r="F34" s="24">
        <v>1244880</v>
      </c>
      <c r="G34" s="24">
        <f>SUM('- 52 -'!B34:F34,B34:F34)</f>
        <v>7019089</v>
      </c>
    </row>
    <row r="35" spans="1:7" ht="13.5" customHeight="1">
      <c r="A35" s="362" t="s">
        <v>239</v>
      </c>
      <c r="B35" s="363">
        <v>5290227</v>
      </c>
      <c r="C35" s="363">
        <v>1344423</v>
      </c>
      <c r="D35" s="363">
        <v>741763</v>
      </c>
      <c r="E35" s="363">
        <v>226401</v>
      </c>
      <c r="F35" s="363">
        <v>7071705</v>
      </c>
      <c r="G35" s="363">
        <f>SUM('- 52 -'!B35:F35,B35:F35)</f>
        <v>49498349</v>
      </c>
    </row>
    <row r="36" spans="1:7" ht="13.5" customHeight="1">
      <c r="A36" s="23" t="s">
        <v>240</v>
      </c>
      <c r="B36" s="24">
        <v>568370</v>
      </c>
      <c r="C36" s="24">
        <v>145419</v>
      </c>
      <c r="D36" s="24">
        <v>96576</v>
      </c>
      <c r="E36" s="24">
        <v>23100</v>
      </c>
      <c r="F36" s="24">
        <v>1175625</v>
      </c>
      <c r="G36" s="24">
        <f>SUM('- 52 -'!B36:F36,B36:F36)</f>
        <v>6161342</v>
      </c>
    </row>
    <row r="37" spans="1:7" ht="13.5" customHeight="1">
      <c r="A37" s="362" t="s">
        <v>241</v>
      </c>
      <c r="B37" s="363">
        <v>1138802</v>
      </c>
      <c r="C37" s="363">
        <v>284023</v>
      </c>
      <c r="D37" s="363">
        <v>158859</v>
      </c>
      <c r="E37" s="363">
        <v>40894</v>
      </c>
      <c r="F37" s="363">
        <v>1661265</v>
      </c>
      <c r="G37" s="363">
        <f>SUM('- 52 -'!B37:F37,B37:F37)</f>
        <v>11142829</v>
      </c>
    </row>
    <row r="38" spans="1:7" ht="13.5" customHeight="1">
      <c r="A38" s="23" t="s">
        <v>242</v>
      </c>
      <c r="B38" s="24">
        <v>2893593</v>
      </c>
      <c r="C38" s="24">
        <v>713056</v>
      </c>
      <c r="D38" s="24">
        <v>396876</v>
      </c>
      <c r="E38" s="24">
        <v>106750</v>
      </c>
      <c r="F38" s="24">
        <v>3184875</v>
      </c>
      <c r="G38" s="24">
        <f>SUM('- 52 -'!B38:F38,B38:F38)</f>
        <v>25765030</v>
      </c>
    </row>
    <row r="39" spans="1:7" ht="13.5" customHeight="1">
      <c r="A39" s="362" t="s">
        <v>243</v>
      </c>
      <c r="B39" s="363">
        <v>510673</v>
      </c>
      <c r="C39" s="363">
        <v>134341</v>
      </c>
      <c r="D39" s="363">
        <v>90362</v>
      </c>
      <c r="E39" s="363">
        <v>19110</v>
      </c>
      <c r="F39" s="363">
        <v>1038825</v>
      </c>
      <c r="G39" s="363">
        <f>SUM('- 52 -'!B39:F39,B39:F39)</f>
        <v>5794747</v>
      </c>
    </row>
    <row r="40" spans="1:7" ht="13.5" customHeight="1">
      <c r="A40" s="23" t="s">
        <v>244</v>
      </c>
      <c r="B40" s="24">
        <v>2756412</v>
      </c>
      <c r="C40" s="24">
        <v>693203</v>
      </c>
      <c r="D40" s="24">
        <v>383379</v>
      </c>
      <c r="E40" s="24">
        <v>105700</v>
      </c>
      <c r="F40" s="24">
        <v>4241655</v>
      </c>
      <c r="G40" s="24">
        <f>SUM('- 52 -'!B40:F40,B40:F40)</f>
        <v>26136008</v>
      </c>
    </row>
    <row r="41" spans="1:7" ht="13.5" customHeight="1">
      <c r="A41" s="362" t="s">
        <v>245</v>
      </c>
      <c r="B41" s="363">
        <v>1474088</v>
      </c>
      <c r="C41" s="363">
        <v>376856</v>
      </c>
      <c r="D41" s="363">
        <v>241742</v>
      </c>
      <c r="E41" s="363">
        <v>48440</v>
      </c>
      <c r="F41" s="363">
        <v>2168280</v>
      </c>
      <c r="G41" s="363">
        <f>SUM('- 52 -'!B41:F41,B41:F41)</f>
        <v>14585216</v>
      </c>
    </row>
    <row r="42" spans="1:7" ht="13.5" customHeight="1">
      <c r="A42" s="23" t="s">
        <v>246</v>
      </c>
      <c r="B42" s="24">
        <v>542415</v>
      </c>
      <c r="C42" s="24">
        <v>134660</v>
      </c>
      <c r="D42" s="24">
        <v>98752</v>
      </c>
      <c r="E42" s="24">
        <v>20881</v>
      </c>
      <c r="F42" s="24">
        <v>1064475</v>
      </c>
      <c r="G42" s="24">
        <f>SUM('- 52 -'!B42:F42,B42:F42)</f>
        <v>5666400</v>
      </c>
    </row>
    <row r="43" spans="1:7" ht="13.5" customHeight="1">
      <c r="A43" s="362" t="s">
        <v>247</v>
      </c>
      <c r="B43" s="363">
        <v>331496</v>
      </c>
      <c r="C43" s="363">
        <v>85067</v>
      </c>
      <c r="D43" s="363">
        <v>62720</v>
      </c>
      <c r="E43" s="363">
        <v>15470</v>
      </c>
      <c r="F43" s="363">
        <v>601065</v>
      </c>
      <c r="G43" s="363">
        <f>SUM('- 52 -'!B43:F43,B43:F43)</f>
        <v>3519739</v>
      </c>
    </row>
    <row r="44" spans="1:7" ht="13.5" customHeight="1">
      <c r="A44" s="23" t="s">
        <v>248</v>
      </c>
      <c r="B44" s="24">
        <v>328115</v>
      </c>
      <c r="C44" s="24">
        <v>63976</v>
      </c>
      <c r="D44" s="24">
        <v>50889</v>
      </c>
      <c r="E44" s="24">
        <v>7140</v>
      </c>
      <c r="F44" s="24">
        <v>570064</v>
      </c>
      <c r="G44" s="24">
        <f>SUM('- 52 -'!B44:F44,B44:F44)</f>
        <v>2993379</v>
      </c>
    </row>
    <row r="45" spans="1:7" ht="13.5" customHeight="1">
      <c r="A45" s="362" t="s">
        <v>249</v>
      </c>
      <c r="B45" s="363">
        <v>477441</v>
      </c>
      <c r="C45" s="363">
        <v>124599</v>
      </c>
      <c r="D45" s="363">
        <v>84897</v>
      </c>
      <c r="E45" s="363">
        <v>21077</v>
      </c>
      <c r="F45" s="363">
        <v>553185</v>
      </c>
      <c r="G45" s="363">
        <f>SUM('- 52 -'!B45:F45,B45:F45)</f>
        <v>4510452</v>
      </c>
    </row>
    <row r="46" spans="1:7" ht="13.5" customHeight="1">
      <c r="A46" s="23" t="s">
        <v>250</v>
      </c>
      <c r="B46" s="24">
        <v>15610806</v>
      </c>
      <c r="C46" s="24">
        <v>2436466</v>
      </c>
      <c r="D46" s="24">
        <v>1349677</v>
      </c>
      <c r="E46" s="24">
        <v>355810</v>
      </c>
      <c r="F46" s="24">
        <v>14698305</v>
      </c>
      <c r="G46" s="24">
        <f>SUM('- 52 -'!B46:F46,B46:F46)</f>
        <v>97561536</v>
      </c>
    </row>
    <row r="47" spans="1:7" ht="4.5" customHeight="1">
      <c r="A47"/>
      <c r="B47"/>
      <c r="C47"/>
      <c r="D47"/>
      <c r="E47"/>
      <c r="F47"/>
      <c r="G47"/>
    </row>
    <row r="48" spans="1:7" ht="13.5" customHeight="1">
      <c r="A48" s="365" t="s">
        <v>251</v>
      </c>
      <c r="B48" s="366">
        <f aca="true" t="shared" si="0" ref="B48:G48">SUM(B11:B46)</f>
        <v>61349816</v>
      </c>
      <c r="C48" s="366">
        <f t="shared" si="0"/>
        <v>13722439</v>
      </c>
      <c r="D48" s="366">
        <f t="shared" si="0"/>
        <v>8043693</v>
      </c>
      <c r="E48" s="366">
        <f t="shared" si="0"/>
        <v>2055913</v>
      </c>
      <c r="F48" s="366">
        <f t="shared" si="0"/>
        <v>84408021</v>
      </c>
      <c r="G48" s="366">
        <f t="shared" si="0"/>
        <v>536251383</v>
      </c>
    </row>
    <row r="49" spans="1:7" ht="4.5" customHeight="1">
      <c r="A49" s="25" t="s">
        <v>3</v>
      </c>
      <c r="B49" s="26"/>
      <c r="C49" s="26"/>
      <c r="D49" s="26"/>
      <c r="E49" s="26"/>
      <c r="F49" s="26"/>
      <c r="G49" s="26"/>
    </row>
    <row r="50" spans="1:7" ht="14.25" customHeight="1">
      <c r="A50" s="23" t="s">
        <v>252</v>
      </c>
      <c r="B50" s="24">
        <v>66416</v>
      </c>
      <c r="C50" s="24">
        <v>17507</v>
      </c>
      <c r="D50" s="24">
        <v>24821</v>
      </c>
      <c r="E50" s="24">
        <v>3570</v>
      </c>
      <c r="F50" s="24">
        <v>232560</v>
      </c>
      <c r="G50" s="24">
        <f>SUM('- 52 -'!B50:F50,B50:F50)</f>
        <v>584637</v>
      </c>
    </row>
    <row r="51" spans="1:7" ht="13.5" customHeight="1">
      <c r="A51" s="362" t="s">
        <v>253</v>
      </c>
      <c r="B51" s="363">
        <v>0</v>
      </c>
      <c r="C51" s="363">
        <v>0</v>
      </c>
      <c r="D51" s="363">
        <v>0</v>
      </c>
      <c r="E51" s="363">
        <v>0</v>
      </c>
      <c r="F51" s="363">
        <v>0</v>
      </c>
      <c r="G51" s="363">
        <f>SUM('- 52 -'!B51:F51,B51:F51)</f>
        <v>0</v>
      </c>
    </row>
    <row r="52" spans="1:11" ht="49.5" customHeight="1">
      <c r="A52"/>
      <c r="B52"/>
      <c r="C52"/>
      <c r="D52"/>
      <c r="E52"/>
      <c r="F52"/>
      <c r="G52"/>
      <c r="H52"/>
      <c r="I52"/>
      <c r="J52"/>
      <c r="K52"/>
    </row>
    <row r="53" spans="1:11" ht="15" customHeight="1">
      <c r="A53"/>
      <c r="B53"/>
      <c r="C53"/>
      <c r="D53"/>
      <c r="E53"/>
      <c r="F53"/>
      <c r="G53"/>
      <c r="H53"/>
      <c r="I53"/>
      <c r="J53"/>
      <c r="K53"/>
    </row>
    <row r="54" spans="1:11" ht="14.25" customHeight="1">
      <c r="A54"/>
      <c r="B54"/>
      <c r="C54"/>
      <c r="D54"/>
      <c r="E54"/>
      <c r="F54"/>
      <c r="G54"/>
      <c r="H54"/>
      <c r="I54"/>
      <c r="J54"/>
      <c r="K54"/>
    </row>
    <row r="55" spans="1:7" ht="14.25" customHeight="1">
      <c r="A55" s="39"/>
      <c r="B55" s="39"/>
      <c r="D55" s="39"/>
      <c r="E55" s="39"/>
      <c r="F55" s="39"/>
      <c r="G55" s="39"/>
    </row>
    <row r="56" spans="4:7" ht="14.25" customHeight="1">
      <c r="D56" s="117"/>
      <c r="E56" s="117"/>
      <c r="F56" s="117"/>
      <c r="G56" s="117"/>
    </row>
    <row r="57" ht="14.25" customHeight="1"/>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10"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sheetPr codeName="Sheet47">
    <pageSetUpPr fitToPage="1"/>
  </sheetPr>
  <dimension ref="A1:F57"/>
  <sheetViews>
    <sheetView showGridLines="0" showZeros="0" workbookViewId="0" topLeftCell="A1">
      <selection activeCell="A1" sqref="A1"/>
    </sheetView>
  </sheetViews>
  <sheetFormatPr defaultColWidth="19.83203125" defaultRowHeight="1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ustomWidth="1"/>
  </cols>
  <sheetData>
    <row r="1" spans="1:6" ht="6.75" customHeight="1">
      <c r="A1" s="3"/>
      <c r="B1" s="3"/>
      <c r="C1" s="3"/>
      <c r="D1" s="3"/>
      <c r="E1" s="3"/>
      <c r="F1" s="3"/>
    </row>
    <row r="2" spans="1:6" ht="15.75" customHeight="1">
      <c r="A2" s="307"/>
      <c r="B2" s="75" t="str">
        <f>REVYEAR</f>
        <v> ANALYSIS OF OPERATING FUND REVENUE: 2008/2009 BUDGET</v>
      </c>
      <c r="C2" s="308"/>
      <c r="D2" s="312"/>
      <c r="E2" s="312"/>
      <c r="F2" s="257" t="s">
        <v>189</v>
      </c>
    </row>
    <row r="3" spans="1:6" ht="15.75" customHeight="1">
      <c r="A3" s="252"/>
      <c r="B3" s="252"/>
      <c r="C3" s="3"/>
      <c r="D3" s="3"/>
      <c r="E3" s="3"/>
      <c r="F3" s="3"/>
    </row>
    <row r="4" spans="2:6" ht="15.75" customHeight="1">
      <c r="B4" s="442" t="s">
        <v>327</v>
      </c>
      <c r="C4" s="371"/>
      <c r="D4" s="370"/>
      <c r="E4" s="370"/>
      <c r="F4" s="370"/>
    </row>
    <row r="5" spans="2:6" ht="15.75" customHeight="1">
      <c r="B5" s="465" t="s">
        <v>207</v>
      </c>
      <c r="C5" s="437"/>
      <c r="D5" s="474"/>
      <c r="E5" s="474"/>
      <c r="F5" s="474"/>
    </row>
    <row r="6" spans="2:6" ht="15.75" customHeight="1">
      <c r="B6" s="310" t="s">
        <v>96</v>
      </c>
      <c r="C6" s="135"/>
      <c r="D6" s="135"/>
      <c r="E6" s="134"/>
      <c r="F6" s="195"/>
    </row>
    <row r="7" spans="2:6" ht="15.75" customHeight="1">
      <c r="B7" s="259"/>
      <c r="C7" s="259"/>
      <c r="D7" s="259" t="s">
        <v>176</v>
      </c>
      <c r="E7" s="259" t="s">
        <v>407</v>
      </c>
      <c r="F7" s="259" t="s">
        <v>192</v>
      </c>
    </row>
    <row r="8" spans="1:6" ht="15.75" customHeight="1">
      <c r="A8" s="104"/>
      <c r="B8" s="311" t="s">
        <v>23</v>
      </c>
      <c r="C8" s="261" t="s">
        <v>109</v>
      </c>
      <c r="D8" s="261" t="s">
        <v>22</v>
      </c>
      <c r="E8" s="261" t="s">
        <v>408</v>
      </c>
      <c r="F8" s="261" t="s">
        <v>193</v>
      </c>
    </row>
    <row r="9" spans="1:6" ht="15.75" customHeight="1">
      <c r="A9" s="35" t="s">
        <v>79</v>
      </c>
      <c r="B9" s="313" t="s">
        <v>178</v>
      </c>
      <c r="C9" s="121" t="s">
        <v>365</v>
      </c>
      <c r="D9" s="121" t="s">
        <v>76</v>
      </c>
      <c r="E9" s="121" t="s">
        <v>83</v>
      </c>
      <c r="F9" s="121" t="s">
        <v>199</v>
      </c>
    </row>
    <row r="10" spans="1:5" ht="4.5" customHeight="1">
      <c r="A10" s="37"/>
      <c r="B10" s="3"/>
      <c r="C10" s="3"/>
      <c r="D10" s="3"/>
      <c r="E10" s="3"/>
    </row>
    <row r="11" spans="1:6" ht="13.5" customHeight="1">
      <c r="A11" s="362" t="s">
        <v>216</v>
      </c>
      <c r="B11" s="363">
        <v>748418</v>
      </c>
      <c r="C11" s="363">
        <v>657025</v>
      </c>
      <c r="D11" s="363">
        <v>32725</v>
      </c>
      <c r="E11" s="363">
        <v>55645</v>
      </c>
      <c r="F11" s="363">
        <v>13000</v>
      </c>
    </row>
    <row r="12" spans="1:6" ht="13.5" customHeight="1">
      <c r="A12" s="23" t="s">
        <v>217</v>
      </c>
      <c r="B12" s="24">
        <v>1315736</v>
      </c>
      <c r="C12" s="24">
        <v>1479095</v>
      </c>
      <c r="D12" s="24">
        <v>161398</v>
      </c>
      <c r="E12" s="24">
        <v>186225</v>
      </c>
      <c r="F12" s="24">
        <v>39000</v>
      </c>
    </row>
    <row r="13" spans="1:6" ht="13.5" customHeight="1">
      <c r="A13" s="362" t="s">
        <v>218</v>
      </c>
      <c r="B13" s="363">
        <v>877200</v>
      </c>
      <c r="C13" s="363">
        <v>3616200</v>
      </c>
      <c r="D13" s="363">
        <v>533800</v>
      </c>
      <c r="E13" s="363">
        <v>155900</v>
      </c>
      <c r="F13" s="363">
        <v>293000</v>
      </c>
    </row>
    <row r="14" spans="1:6" ht="13.5" customHeight="1">
      <c r="A14" s="23" t="s">
        <v>254</v>
      </c>
      <c r="B14" s="24">
        <v>2834388</v>
      </c>
      <c r="C14" s="24">
        <v>2224876</v>
      </c>
      <c r="D14" s="24">
        <v>32616</v>
      </c>
      <c r="E14" s="24">
        <v>114125</v>
      </c>
      <c r="F14" s="24">
        <v>251000</v>
      </c>
    </row>
    <row r="15" spans="1:6" ht="13.5" customHeight="1">
      <c r="A15" s="362" t="s">
        <v>219</v>
      </c>
      <c r="B15" s="363">
        <v>938484</v>
      </c>
      <c r="C15" s="363">
        <v>951947</v>
      </c>
      <c r="D15" s="363">
        <v>83655</v>
      </c>
      <c r="E15" s="363">
        <v>28150</v>
      </c>
      <c r="F15" s="363">
        <v>85000</v>
      </c>
    </row>
    <row r="16" spans="1:6" ht="13.5" customHeight="1">
      <c r="A16" s="23" t="s">
        <v>220</v>
      </c>
      <c r="B16" s="24">
        <v>111414</v>
      </c>
      <c r="C16" s="24">
        <v>765241</v>
      </c>
      <c r="D16" s="24">
        <v>35035</v>
      </c>
      <c r="E16" s="24">
        <v>0</v>
      </c>
      <c r="F16" s="24">
        <v>77500</v>
      </c>
    </row>
    <row r="17" spans="1:6" ht="13.5" customHeight="1">
      <c r="A17" s="362" t="s">
        <v>221</v>
      </c>
      <c r="B17" s="363">
        <v>930742</v>
      </c>
      <c r="C17" s="363">
        <v>712530</v>
      </c>
      <c r="D17" s="363">
        <v>79145</v>
      </c>
      <c r="E17" s="363">
        <v>30600</v>
      </c>
      <c r="F17" s="363">
        <v>13000</v>
      </c>
    </row>
    <row r="18" spans="1:6" ht="13.5" customHeight="1">
      <c r="A18" s="23" t="s">
        <v>222</v>
      </c>
      <c r="B18" s="24">
        <v>1442038</v>
      </c>
      <c r="C18" s="24">
        <v>1800601</v>
      </c>
      <c r="D18" s="24">
        <v>66935</v>
      </c>
      <c r="E18" s="24">
        <v>0</v>
      </c>
      <c r="F18" s="24">
        <v>635024</v>
      </c>
    </row>
    <row r="19" spans="1:6" ht="13.5" customHeight="1">
      <c r="A19" s="362" t="s">
        <v>223</v>
      </c>
      <c r="B19" s="363">
        <v>1240321</v>
      </c>
      <c r="C19" s="363">
        <v>1479209</v>
      </c>
      <c r="D19" s="363">
        <v>252725</v>
      </c>
      <c r="E19" s="363">
        <v>652550</v>
      </c>
      <c r="F19" s="363">
        <v>6500</v>
      </c>
    </row>
    <row r="20" spans="1:6" ht="13.5" customHeight="1">
      <c r="A20" s="23" t="s">
        <v>224</v>
      </c>
      <c r="B20" s="24">
        <v>2468379</v>
      </c>
      <c r="C20" s="24">
        <v>3192459</v>
      </c>
      <c r="D20" s="24">
        <v>520575</v>
      </c>
      <c r="E20" s="24">
        <v>942500</v>
      </c>
      <c r="F20" s="24">
        <v>78000</v>
      </c>
    </row>
    <row r="21" spans="1:6" ht="13.5" customHeight="1">
      <c r="A21" s="362" t="s">
        <v>225</v>
      </c>
      <c r="B21" s="363">
        <v>1347543</v>
      </c>
      <c r="C21" s="363">
        <v>1844764</v>
      </c>
      <c r="D21" s="363">
        <v>116710</v>
      </c>
      <c r="E21" s="363">
        <v>51350</v>
      </c>
      <c r="F21" s="363">
        <v>91000</v>
      </c>
    </row>
    <row r="22" spans="1:6" ht="13.5" customHeight="1">
      <c r="A22" s="23" t="s">
        <v>226</v>
      </c>
      <c r="B22" s="24">
        <v>323246</v>
      </c>
      <c r="C22" s="24">
        <v>1410117</v>
      </c>
      <c r="D22" s="24">
        <v>35145</v>
      </c>
      <c r="E22" s="24">
        <v>0</v>
      </c>
      <c r="F22" s="24">
        <v>130000</v>
      </c>
    </row>
    <row r="23" spans="1:6" ht="13.5" customHeight="1">
      <c r="A23" s="362" t="s">
        <v>227</v>
      </c>
      <c r="B23" s="363">
        <v>1081847</v>
      </c>
      <c r="C23" s="363">
        <v>934388</v>
      </c>
      <c r="D23" s="363">
        <v>62810</v>
      </c>
      <c r="E23" s="363">
        <v>19800</v>
      </c>
      <c r="F23" s="363">
        <v>77500</v>
      </c>
    </row>
    <row r="24" spans="1:6" ht="13.5" customHeight="1">
      <c r="A24" s="23" t="s">
        <v>228</v>
      </c>
      <c r="B24" s="24">
        <v>1832113</v>
      </c>
      <c r="C24" s="24">
        <v>2956177</v>
      </c>
      <c r="D24" s="24">
        <v>462468</v>
      </c>
      <c r="E24" s="24">
        <v>8850</v>
      </c>
      <c r="F24" s="24">
        <v>255500</v>
      </c>
    </row>
    <row r="25" spans="1:6" ht="13.5" customHeight="1">
      <c r="A25" s="362" t="s">
        <v>229</v>
      </c>
      <c r="B25" s="363">
        <v>1056982</v>
      </c>
      <c r="C25" s="363">
        <v>7527808</v>
      </c>
      <c r="D25" s="363">
        <v>657498</v>
      </c>
      <c r="E25" s="363">
        <v>509175</v>
      </c>
      <c r="F25" s="363">
        <v>514000</v>
      </c>
    </row>
    <row r="26" spans="1:6" ht="13.5" customHeight="1">
      <c r="A26" s="23" t="s">
        <v>230</v>
      </c>
      <c r="B26" s="24">
        <v>1657161</v>
      </c>
      <c r="C26" s="24">
        <v>1887538</v>
      </c>
      <c r="D26" s="24">
        <v>247363</v>
      </c>
      <c r="E26" s="24">
        <v>7200</v>
      </c>
      <c r="F26" s="24">
        <v>143500</v>
      </c>
    </row>
    <row r="27" spans="1:6" ht="13.5" customHeight="1">
      <c r="A27" s="362" t="s">
        <v>231</v>
      </c>
      <c r="B27" s="363">
        <v>43952</v>
      </c>
      <c r="C27" s="363">
        <v>1769701</v>
      </c>
      <c r="D27" s="363">
        <v>238893</v>
      </c>
      <c r="E27" s="363">
        <v>0</v>
      </c>
      <c r="F27" s="363">
        <v>306000</v>
      </c>
    </row>
    <row r="28" spans="1:6" ht="13.5" customHeight="1">
      <c r="A28" s="23" t="s">
        <v>232</v>
      </c>
      <c r="B28" s="24">
        <v>1514070</v>
      </c>
      <c r="C28" s="24">
        <v>773563</v>
      </c>
      <c r="D28" s="24">
        <v>70675</v>
      </c>
      <c r="E28" s="24">
        <v>17450</v>
      </c>
      <c r="F28" s="24">
        <v>55500</v>
      </c>
    </row>
    <row r="29" spans="1:6" ht="13.5" customHeight="1">
      <c r="A29" s="362" t="s">
        <v>233</v>
      </c>
      <c r="B29" s="363">
        <v>725806</v>
      </c>
      <c r="C29" s="363">
        <v>7220231</v>
      </c>
      <c r="D29" s="363">
        <v>174406</v>
      </c>
      <c r="E29" s="363">
        <v>502690</v>
      </c>
      <c r="F29" s="363">
        <v>208500</v>
      </c>
    </row>
    <row r="30" spans="1:6" ht="13.5" customHeight="1">
      <c r="A30" s="23" t="s">
        <v>234</v>
      </c>
      <c r="B30" s="24">
        <v>860454</v>
      </c>
      <c r="C30" s="24">
        <v>709092</v>
      </c>
      <c r="D30" s="24">
        <v>34045</v>
      </c>
      <c r="E30" s="24">
        <v>41750</v>
      </c>
      <c r="F30" s="24">
        <v>39500</v>
      </c>
    </row>
    <row r="31" spans="1:6" ht="13.5" customHeight="1">
      <c r="A31" s="362" t="s">
        <v>235</v>
      </c>
      <c r="B31" s="363">
        <v>884905</v>
      </c>
      <c r="C31" s="363">
        <v>2107406</v>
      </c>
      <c r="D31" s="363">
        <v>185240</v>
      </c>
      <c r="E31" s="363">
        <v>75200</v>
      </c>
      <c r="F31" s="363">
        <v>233000</v>
      </c>
    </row>
    <row r="32" spans="1:6" ht="13.5" customHeight="1">
      <c r="A32" s="23" t="s">
        <v>236</v>
      </c>
      <c r="B32" s="24">
        <v>1344649</v>
      </c>
      <c r="C32" s="24">
        <v>882629</v>
      </c>
      <c r="D32" s="24">
        <v>116243</v>
      </c>
      <c r="E32" s="24">
        <v>107550</v>
      </c>
      <c r="F32" s="24">
        <v>84500</v>
      </c>
    </row>
    <row r="33" spans="1:6" ht="13.5" customHeight="1">
      <c r="A33" s="362" t="s">
        <v>237</v>
      </c>
      <c r="B33" s="363">
        <v>1558722</v>
      </c>
      <c r="C33" s="363">
        <v>891079</v>
      </c>
      <c r="D33" s="363">
        <v>60583</v>
      </c>
      <c r="E33" s="363">
        <v>92325</v>
      </c>
      <c r="F33" s="363">
        <v>32500</v>
      </c>
    </row>
    <row r="34" spans="1:6" ht="13.5" customHeight="1">
      <c r="A34" s="23" t="s">
        <v>238</v>
      </c>
      <c r="B34" s="24">
        <v>1381331</v>
      </c>
      <c r="C34" s="24">
        <v>875607</v>
      </c>
      <c r="D34" s="24">
        <v>94161</v>
      </c>
      <c r="E34" s="24">
        <v>53300</v>
      </c>
      <c r="F34" s="24">
        <v>65000</v>
      </c>
    </row>
    <row r="35" spans="1:6" ht="13.5" customHeight="1">
      <c r="A35" s="362" t="s">
        <v>239</v>
      </c>
      <c r="B35" s="363">
        <v>1724371</v>
      </c>
      <c r="C35" s="363">
        <v>8580913</v>
      </c>
      <c r="D35" s="363">
        <v>997563</v>
      </c>
      <c r="E35" s="363">
        <v>324760</v>
      </c>
      <c r="F35" s="363">
        <v>520000</v>
      </c>
    </row>
    <row r="36" spans="1:6" ht="13.5" customHeight="1">
      <c r="A36" s="23" t="s">
        <v>240</v>
      </c>
      <c r="B36" s="24">
        <v>1049825</v>
      </c>
      <c r="C36" s="24">
        <v>794942</v>
      </c>
      <c r="D36" s="24">
        <v>28820</v>
      </c>
      <c r="E36" s="24">
        <v>29800</v>
      </c>
      <c r="F36" s="24">
        <v>59000</v>
      </c>
    </row>
    <row r="37" spans="1:6" ht="13.5" customHeight="1">
      <c r="A37" s="362" t="s">
        <v>241</v>
      </c>
      <c r="B37" s="363">
        <v>1501247</v>
      </c>
      <c r="C37" s="363">
        <v>2851353</v>
      </c>
      <c r="D37" s="363">
        <v>94270</v>
      </c>
      <c r="E37" s="363">
        <v>165350</v>
      </c>
      <c r="F37" s="363">
        <v>169000</v>
      </c>
    </row>
    <row r="38" spans="1:6" ht="13.5" customHeight="1">
      <c r="A38" s="23" t="s">
        <v>242</v>
      </c>
      <c r="B38" s="24">
        <v>947461</v>
      </c>
      <c r="C38" s="24">
        <v>4831170</v>
      </c>
      <c r="D38" s="24">
        <v>336738</v>
      </c>
      <c r="E38" s="24">
        <v>447440</v>
      </c>
      <c r="F38" s="24">
        <v>270000</v>
      </c>
    </row>
    <row r="39" spans="1:6" ht="13.5" customHeight="1">
      <c r="A39" s="362" t="s">
        <v>243</v>
      </c>
      <c r="B39" s="363">
        <v>1233963</v>
      </c>
      <c r="C39" s="363">
        <v>684954</v>
      </c>
      <c r="D39" s="363">
        <v>41085</v>
      </c>
      <c r="E39" s="363">
        <v>32100</v>
      </c>
      <c r="F39" s="363">
        <v>13000</v>
      </c>
    </row>
    <row r="40" spans="1:6" ht="13.5" customHeight="1">
      <c r="A40" s="23" t="s">
        <v>244</v>
      </c>
      <c r="B40" s="24">
        <v>602677</v>
      </c>
      <c r="C40" s="24">
        <v>4977952</v>
      </c>
      <c r="D40" s="24">
        <v>547388</v>
      </c>
      <c r="E40" s="24">
        <v>151190</v>
      </c>
      <c r="F40" s="24">
        <v>266000</v>
      </c>
    </row>
    <row r="41" spans="1:6" ht="13.5" customHeight="1">
      <c r="A41" s="362" t="s">
        <v>245</v>
      </c>
      <c r="B41" s="363">
        <v>3021714</v>
      </c>
      <c r="C41" s="363">
        <v>3005551</v>
      </c>
      <c r="D41" s="363">
        <v>161425</v>
      </c>
      <c r="E41" s="363">
        <v>132500</v>
      </c>
      <c r="F41" s="363">
        <v>162500</v>
      </c>
    </row>
    <row r="42" spans="1:6" ht="13.5" customHeight="1">
      <c r="A42" s="23" t="s">
        <v>246</v>
      </c>
      <c r="B42" s="24">
        <v>1150092</v>
      </c>
      <c r="C42" s="24">
        <v>1079722</v>
      </c>
      <c r="D42" s="24">
        <v>198770</v>
      </c>
      <c r="E42" s="24">
        <v>4900</v>
      </c>
      <c r="F42" s="24">
        <v>124000</v>
      </c>
    </row>
    <row r="43" spans="1:6" ht="13.5" customHeight="1">
      <c r="A43" s="362" t="s">
        <v>247</v>
      </c>
      <c r="B43" s="363">
        <v>642013</v>
      </c>
      <c r="C43" s="363">
        <v>566662</v>
      </c>
      <c r="D43" s="363">
        <v>40150</v>
      </c>
      <c r="E43" s="363">
        <v>25400</v>
      </c>
      <c r="F43" s="363">
        <v>13000</v>
      </c>
    </row>
    <row r="44" spans="1:6" ht="13.5" customHeight="1">
      <c r="A44" s="23" t="s">
        <v>248</v>
      </c>
      <c r="B44" s="24">
        <v>808519</v>
      </c>
      <c r="C44" s="24">
        <v>498186</v>
      </c>
      <c r="D44" s="24">
        <v>31130</v>
      </c>
      <c r="E44" s="24">
        <v>17000</v>
      </c>
      <c r="F44" s="24">
        <v>91000</v>
      </c>
    </row>
    <row r="45" spans="1:6" ht="13.5" customHeight="1">
      <c r="A45" s="362" t="s">
        <v>249</v>
      </c>
      <c r="B45" s="363">
        <v>432491</v>
      </c>
      <c r="C45" s="363">
        <v>672177</v>
      </c>
      <c r="D45" s="363">
        <v>123090</v>
      </c>
      <c r="E45" s="363">
        <v>128400</v>
      </c>
      <c r="F45" s="363">
        <v>13000</v>
      </c>
    </row>
    <row r="46" spans="1:6" ht="13.5" customHeight="1">
      <c r="A46" s="23" t="s">
        <v>250</v>
      </c>
      <c r="B46" s="24">
        <v>1461130</v>
      </c>
      <c r="C46" s="24">
        <v>16365351</v>
      </c>
      <c r="D46" s="24">
        <v>1524876</v>
      </c>
      <c r="E46" s="24">
        <v>2502510</v>
      </c>
      <c r="F46" s="24">
        <v>1859000</v>
      </c>
    </row>
    <row r="47" spans="1:6" ht="4.5" customHeight="1">
      <c r="A47"/>
      <c r="B47"/>
      <c r="C47"/>
      <c r="D47"/>
      <c r="E47"/>
      <c r="F47"/>
    </row>
    <row r="48" spans="1:6" ht="13.5" customHeight="1">
      <c r="A48" s="365" t="s">
        <v>251</v>
      </c>
      <c r="B48" s="366">
        <f>SUM(B11:B46)</f>
        <v>43095404</v>
      </c>
      <c r="C48" s="366">
        <f>SUM(C11:C46)</f>
        <v>93578216</v>
      </c>
      <c r="D48" s="366">
        <f>SUM(D11:D46)</f>
        <v>8480154</v>
      </c>
      <c r="E48" s="366">
        <f>SUM(E11:E46)</f>
        <v>7613685</v>
      </c>
      <c r="F48" s="366">
        <f>SUM(F11:F46)</f>
        <v>7286524</v>
      </c>
    </row>
    <row r="49" spans="1:6" ht="4.5" customHeight="1">
      <c r="A49" s="25" t="s">
        <v>3</v>
      </c>
      <c r="B49" s="26"/>
      <c r="C49" s="26"/>
      <c r="D49" s="26"/>
      <c r="E49" s="26"/>
      <c r="F49" s="26"/>
    </row>
    <row r="50" spans="1:6" ht="14.25" customHeight="1">
      <c r="A50" s="23" t="s">
        <v>252</v>
      </c>
      <c r="B50" s="24">
        <v>1976</v>
      </c>
      <c r="C50" s="24">
        <v>195817</v>
      </c>
      <c r="D50" s="24">
        <v>4125</v>
      </c>
      <c r="E50" s="24">
        <v>0</v>
      </c>
      <c r="F50" s="24">
        <v>6500</v>
      </c>
    </row>
    <row r="51" spans="1:6" ht="13.5" customHeight="1">
      <c r="A51" s="362" t="s">
        <v>253</v>
      </c>
      <c r="B51" s="363">
        <v>0</v>
      </c>
      <c r="C51" s="363">
        <v>0</v>
      </c>
      <c r="D51" s="363">
        <v>0</v>
      </c>
      <c r="E51" s="363">
        <v>0</v>
      </c>
      <c r="F51" s="363">
        <v>0</v>
      </c>
    </row>
    <row r="52" spans="1:6" ht="49.5" customHeight="1">
      <c r="A52" s="27"/>
      <c r="B52" s="27"/>
      <c r="C52" s="27"/>
      <c r="D52" s="27"/>
      <c r="E52" s="27"/>
      <c r="F52" s="27"/>
    </row>
    <row r="53" spans="1:6" ht="15" customHeight="1">
      <c r="A53" s="128" t="s">
        <v>391</v>
      </c>
      <c r="B53" s="280"/>
      <c r="C53" s="39"/>
      <c r="D53" s="39"/>
      <c r="E53" s="39"/>
      <c r="F53" s="39"/>
    </row>
    <row r="54" spans="1:6" ht="12" customHeight="1">
      <c r="A54" s="341" t="s">
        <v>516</v>
      </c>
      <c r="B54" s="39"/>
      <c r="C54" s="39"/>
      <c r="D54" s="39"/>
      <c r="E54" s="39"/>
      <c r="F54" s="315"/>
    </row>
    <row r="55" spans="1:6" ht="12" customHeight="1">
      <c r="A55" s="1" t="s">
        <v>515</v>
      </c>
      <c r="C55" s="39"/>
      <c r="D55" s="39"/>
      <c r="E55" s="39"/>
      <c r="F55" s="39"/>
    </row>
    <row r="56" spans="1:6" ht="14.25" customHeight="1">
      <c r="A56" s="314"/>
      <c r="B56" s="39"/>
      <c r="C56" s="316"/>
      <c r="D56" s="39"/>
      <c r="E56" s="39"/>
      <c r="F56" s="39"/>
    </row>
    <row r="57" ht="14.25" customHeight="1">
      <c r="A57" s="39"/>
    </row>
    <row r="58" ht="14.25" customHeight="1"/>
  </sheetData>
  <printOptions horizontalCentered="1"/>
  <pageMargins left="0.5118110236220472" right="0.5118110236220472" top="0.5905511811023623" bottom="0" header="0.31496062992125984" footer="0"/>
  <pageSetup fitToHeight="1" fitToWidth="1" horizontalDpi="600" verticalDpi="600" orientation="portrait" scale="10"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sheetPr codeName="Sheet46">
    <pageSetUpPr fitToPage="1"/>
  </sheetPr>
  <dimension ref="A1:F57"/>
  <sheetViews>
    <sheetView showGridLines="0" showZeros="0" workbookViewId="0" topLeftCell="A1">
      <selection activeCell="A1" sqref="A1"/>
    </sheetView>
  </sheetViews>
  <sheetFormatPr defaultColWidth="19.83203125" defaultRowHeight="1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ustomWidth="1"/>
  </cols>
  <sheetData>
    <row r="1" spans="1:6" ht="6.75" customHeight="1">
      <c r="A1" s="3"/>
      <c r="B1" s="3"/>
      <c r="C1" s="3"/>
      <c r="D1" s="3"/>
      <c r="E1" s="3"/>
      <c r="F1" s="3"/>
    </row>
    <row r="2" spans="1:6" ht="15.75" customHeight="1">
      <c r="A2" s="307"/>
      <c r="B2" s="75" t="str">
        <f>REVYEAR</f>
        <v> ANALYSIS OF OPERATING FUND REVENUE: 2008/2009 BUDGET</v>
      </c>
      <c r="C2" s="308"/>
      <c r="D2" s="308"/>
      <c r="E2" s="308"/>
      <c r="F2" s="257" t="s">
        <v>190</v>
      </c>
    </row>
    <row r="3" spans="1:6" ht="15.75" customHeight="1">
      <c r="A3" s="252"/>
      <c r="B3" s="3"/>
      <c r="C3" s="3"/>
      <c r="D3" s="3"/>
      <c r="E3" s="3"/>
      <c r="F3" s="3"/>
    </row>
    <row r="4" spans="2:6" ht="15.75" customHeight="1">
      <c r="B4" s="442" t="s">
        <v>327</v>
      </c>
      <c r="C4" s="357"/>
      <c r="D4" s="357"/>
      <c r="E4" s="371"/>
      <c r="F4" s="370"/>
    </row>
    <row r="5" spans="2:6" ht="15.75" customHeight="1">
      <c r="B5" s="465" t="s">
        <v>207</v>
      </c>
      <c r="C5" s="451"/>
      <c r="D5" s="451"/>
      <c r="E5" s="437"/>
      <c r="F5" s="474"/>
    </row>
    <row r="6" spans="2:6" ht="15.75" customHeight="1">
      <c r="B6" s="310" t="s">
        <v>96</v>
      </c>
      <c r="C6" s="134"/>
      <c r="D6" s="134"/>
      <c r="E6" s="195"/>
      <c r="F6" s="195"/>
    </row>
    <row r="7" spans="2:6" ht="15.75" customHeight="1">
      <c r="B7" s="259" t="s">
        <v>69</v>
      </c>
      <c r="C7" s="259" t="s">
        <v>185</v>
      </c>
      <c r="D7" s="259" t="s">
        <v>185</v>
      </c>
      <c r="E7" s="32"/>
      <c r="F7" s="259" t="s">
        <v>54</v>
      </c>
    </row>
    <row r="8" spans="1:6" ht="15.75" customHeight="1">
      <c r="A8" s="104"/>
      <c r="B8" s="311" t="s">
        <v>83</v>
      </c>
      <c r="C8" s="261" t="s">
        <v>409</v>
      </c>
      <c r="D8" s="261" t="s">
        <v>195</v>
      </c>
      <c r="E8" s="261" t="s">
        <v>44</v>
      </c>
      <c r="F8" s="261" t="s">
        <v>115</v>
      </c>
    </row>
    <row r="9" spans="1:6" ht="15.75" customHeight="1">
      <c r="A9" s="35" t="s">
        <v>79</v>
      </c>
      <c r="B9" s="242" t="s">
        <v>194</v>
      </c>
      <c r="C9" s="121" t="s">
        <v>136</v>
      </c>
      <c r="D9" s="121" t="s">
        <v>186</v>
      </c>
      <c r="E9" s="121" t="s">
        <v>364</v>
      </c>
      <c r="F9" s="121" t="s">
        <v>132</v>
      </c>
    </row>
    <row r="10" spans="1:6" ht="4.5" customHeight="1">
      <c r="A10" s="37"/>
      <c r="B10" s="3"/>
      <c r="C10" s="3"/>
      <c r="D10" s="3"/>
      <c r="E10" s="3"/>
      <c r="F10" s="3"/>
    </row>
    <row r="11" spans="1:6" ht="13.5" customHeight="1">
      <c r="A11" s="362" t="s">
        <v>216</v>
      </c>
      <c r="B11" s="363">
        <v>5100</v>
      </c>
      <c r="C11" s="363">
        <v>14575</v>
      </c>
      <c r="D11" s="363">
        <v>47700</v>
      </c>
      <c r="E11" s="363">
        <v>108626</v>
      </c>
      <c r="F11" s="363">
        <f>SUM('- 54 -'!B11:F11,B11:E11)</f>
        <v>1682814</v>
      </c>
    </row>
    <row r="12" spans="1:6" ht="13.5" customHeight="1">
      <c r="A12" s="23" t="s">
        <v>217</v>
      </c>
      <c r="B12" s="24">
        <v>18952</v>
      </c>
      <c r="C12" s="24">
        <v>23650</v>
      </c>
      <c r="D12" s="24">
        <v>77400</v>
      </c>
      <c r="E12" s="24">
        <v>97006</v>
      </c>
      <c r="F12" s="24">
        <f>SUM('- 54 -'!B12:F12,B12:E12)</f>
        <v>3398462</v>
      </c>
    </row>
    <row r="13" spans="1:6" ht="13.5" customHeight="1">
      <c r="A13" s="362" t="s">
        <v>218</v>
      </c>
      <c r="B13" s="363">
        <v>133400</v>
      </c>
      <c r="C13" s="363">
        <v>74400</v>
      </c>
      <c r="D13" s="363">
        <v>243400</v>
      </c>
      <c r="E13" s="363">
        <v>95600</v>
      </c>
      <c r="F13" s="363">
        <f>SUM('- 54 -'!B13:F13,B13:E13)</f>
        <v>6022900</v>
      </c>
    </row>
    <row r="14" spans="1:6" ht="13.5" customHeight="1">
      <c r="A14" s="23" t="s">
        <v>254</v>
      </c>
      <c r="B14" s="24">
        <v>1280000</v>
      </c>
      <c r="C14" s="24">
        <v>50188</v>
      </c>
      <c r="D14" s="24">
        <v>164250</v>
      </c>
      <c r="E14" s="24">
        <v>464309</v>
      </c>
      <c r="F14" s="24">
        <f>SUM('- 54 -'!B14:F14,B14:E14)</f>
        <v>7415752</v>
      </c>
    </row>
    <row r="15" spans="1:6" ht="13.5" customHeight="1">
      <c r="A15" s="362" t="s">
        <v>219</v>
      </c>
      <c r="B15" s="363">
        <v>6300</v>
      </c>
      <c r="C15" s="363">
        <v>15675</v>
      </c>
      <c r="D15" s="363">
        <v>51300</v>
      </c>
      <c r="E15" s="363">
        <v>117510</v>
      </c>
      <c r="F15" s="363">
        <f>SUM('- 54 -'!B15:F15,B15:E15)</f>
        <v>2278021</v>
      </c>
    </row>
    <row r="16" spans="1:6" ht="13.5" customHeight="1">
      <c r="A16" s="23" t="s">
        <v>220</v>
      </c>
      <c r="B16" s="24">
        <v>28800</v>
      </c>
      <c r="C16" s="24">
        <v>11413</v>
      </c>
      <c r="D16" s="24">
        <v>37350</v>
      </c>
      <c r="E16" s="24">
        <v>673883</v>
      </c>
      <c r="F16" s="24">
        <f>SUM('- 54 -'!B16:F16,B16:E16)</f>
        <v>1740636</v>
      </c>
    </row>
    <row r="17" spans="1:6" ht="13.5" customHeight="1">
      <c r="A17" s="362" t="s">
        <v>221</v>
      </c>
      <c r="B17" s="363">
        <v>6800</v>
      </c>
      <c r="C17" s="363">
        <v>12788</v>
      </c>
      <c r="D17" s="363">
        <v>40950</v>
      </c>
      <c r="E17" s="363">
        <v>128615</v>
      </c>
      <c r="F17" s="363">
        <f>SUM('- 54 -'!B17:F17,B17:E17)</f>
        <v>1955170</v>
      </c>
    </row>
    <row r="18" spans="1:6" ht="13.5" customHeight="1">
      <c r="A18" s="23" t="s">
        <v>222</v>
      </c>
      <c r="B18" s="24">
        <v>900</v>
      </c>
      <c r="C18" s="24">
        <v>27638</v>
      </c>
      <c r="D18" s="24">
        <v>145675</v>
      </c>
      <c r="E18" s="24">
        <v>2283166</v>
      </c>
      <c r="F18" s="24">
        <f>SUM('- 54 -'!B18:F18,B18:E18)</f>
        <v>6401977</v>
      </c>
    </row>
    <row r="19" spans="1:6" ht="13.5" customHeight="1">
      <c r="A19" s="362" t="s">
        <v>223</v>
      </c>
      <c r="B19" s="363">
        <v>4000</v>
      </c>
      <c r="C19" s="363">
        <v>39050</v>
      </c>
      <c r="D19" s="363">
        <v>127800</v>
      </c>
      <c r="E19" s="363">
        <v>612155</v>
      </c>
      <c r="F19" s="363">
        <f>SUM('- 54 -'!B19:F19,B19:E19)</f>
        <v>4414310</v>
      </c>
    </row>
    <row r="20" spans="1:6" ht="13.5" customHeight="1">
      <c r="A20" s="23" t="s">
        <v>224</v>
      </c>
      <c r="B20" s="24">
        <v>30000</v>
      </c>
      <c r="C20" s="24">
        <v>73150</v>
      </c>
      <c r="D20" s="24">
        <v>239400</v>
      </c>
      <c r="E20" s="24">
        <v>585836</v>
      </c>
      <c r="F20" s="24">
        <f>SUM('- 54 -'!B20:F20,B20:E20)</f>
        <v>8130299</v>
      </c>
    </row>
    <row r="21" spans="1:6" ht="13.5" customHeight="1">
      <c r="A21" s="362" t="s">
        <v>225</v>
      </c>
      <c r="B21" s="363">
        <v>14000</v>
      </c>
      <c r="C21" s="363">
        <v>27363</v>
      </c>
      <c r="D21" s="363">
        <v>89550</v>
      </c>
      <c r="E21" s="363">
        <v>310083</v>
      </c>
      <c r="F21" s="363">
        <f>SUM('- 54 -'!B21:F21,B21:E21)</f>
        <v>3892363</v>
      </c>
    </row>
    <row r="22" spans="1:6" ht="13.5" customHeight="1">
      <c r="A22" s="23" t="s">
        <v>226</v>
      </c>
      <c r="B22" s="24">
        <v>44500</v>
      </c>
      <c r="C22" s="24">
        <v>15950</v>
      </c>
      <c r="D22" s="24">
        <v>62200</v>
      </c>
      <c r="E22" s="24">
        <v>1021085</v>
      </c>
      <c r="F22" s="24">
        <f>SUM('- 54 -'!B22:F22,B22:E22)</f>
        <v>3042243</v>
      </c>
    </row>
    <row r="23" spans="1:6" ht="13.5" customHeight="1">
      <c r="A23" s="362" t="s">
        <v>227</v>
      </c>
      <c r="B23" s="363">
        <v>6200</v>
      </c>
      <c r="C23" s="363">
        <v>11963</v>
      </c>
      <c r="D23" s="363">
        <v>39150</v>
      </c>
      <c r="E23" s="363">
        <v>256782</v>
      </c>
      <c r="F23" s="363">
        <f>SUM('- 54 -'!B23:F23,B23:E23)</f>
        <v>2490440</v>
      </c>
    </row>
    <row r="24" spans="1:6" ht="13.5" customHeight="1">
      <c r="A24" s="23" t="s">
        <v>228</v>
      </c>
      <c r="B24" s="24">
        <v>110000</v>
      </c>
      <c r="C24" s="24">
        <v>39325</v>
      </c>
      <c r="D24" s="24">
        <v>184700</v>
      </c>
      <c r="E24" s="24">
        <v>170409</v>
      </c>
      <c r="F24" s="24">
        <f>SUM('- 54 -'!B24:F24,B24:E24)</f>
        <v>6019542</v>
      </c>
    </row>
    <row r="25" spans="1:6" ht="13.5" customHeight="1">
      <c r="A25" s="362" t="s">
        <v>229</v>
      </c>
      <c r="B25" s="363">
        <v>992800</v>
      </c>
      <c r="C25" s="363">
        <v>135988</v>
      </c>
      <c r="D25" s="363">
        <v>445050</v>
      </c>
      <c r="E25" s="363">
        <v>370778</v>
      </c>
      <c r="F25" s="363">
        <f>SUM('- 54 -'!B25:F25,B25:E25)</f>
        <v>12210079</v>
      </c>
    </row>
    <row r="26" spans="1:6" ht="13.5" customHeight="1">
      <c r="A26" s="23" t="s">
        <v>230</v>
      </c>
      <c r="B26" s="24">
        <v>44500</v>
      </c>
      <c r="C26" s="24">
        <v>31213</v>
      </c>
      <c r="D26" s="24">
        <v>158150</v>
      </c>
      <c r="E26" s="24">
        <v>192602</v>
      </c>
      <c r="F26" s="24">
        <f>SUM('- 54 -'!B26:F26,B26:E26)</f>
        <v>4369227</v>
      </c>
    </row>
    <row r="27" spans="1:6" ht="13.5" customHeight="1">
      <c r="A27" s="362" t="s">
        <v>231</v>
      </c>
      <c r="B27" s="363">
        <v>82000</v>
      </c>
      <c r="C27" s="363">
        <v>30388</v>
      </c>
      <c r="D27" s="363">
        <v>109450</v>
      </c>
      <c r="E27" s="363">
        <v>2042645</v>
      </c>
      <c r="F27" s="363">
        <f>SUM('- 54 -'!B27:F27,B27:E27)</f>
        <v>4623029</v>
      </c>
    </row>
    <row r="28" spans="1:6" ht="13.5" customHeight="1">
      <c r="A28" s="23" t="s">
        <v>232</v>
      </c>
      <c r="B28" s="24">
        <v>6700</v>
      </c>
      <c r="C28" s="24">
        <v>12650</v>
      </c>
      <c r="D28" s="24">
        <v>41400</v>
      </c>
      <c r="E28" s="24">
        <v>397264</v>
      </c>
      <c r="F28" s="24">
        <f>SUM('- 54 -'!B28:F28,B28:E28)</f>
        <v>2889272</v>
      </c>
    </row>
    <row r="29" spans="1:6" ht="13.5" customHeight="1">
      <c r="A29" s="362" t="s">
        <v>233</v>
      </c>
      <c r="B29" s="363">
        <v>534000</v>
      </c>
      <c r="C29" s="363">
        <v>103675</v>
      </c>
      <c r="D29" s="363">
        <v>339300</v>
      </c>
      <c r="E29" s="363">
        <v>468175</v>
      </c>
      <c r="F29" s="363">
        <f>SUM('- 54 -'!B29:F29,B29:E29)</f>
        <v>10276783</v>
      </c>
    </row>
    <row r="30" spans="1:6" ht="13.5" customHeight="1">
      <c r="A30" s="23" t="s">
        <v>234</v>
      </c>
      <c r="B30" s="24">
        <v>4550</v>
      </c>
      <c r="C30" s="24">
        <v>12788</v>
      </c>
      <c r="D30" s="24">
        <v>41850</v>
      </c>
      <c r="E30" s="24">
        <v>77689</v>
      </c>
      <c r="F30" s="24">
        <f>SUM('- 54 -'!B30:F30,B30:E30)</f>
        <v>1821718</v>
      </c>
    </row>
    <row r="31" spans="1:6" ht="13.5" customHeight="1">
      <c r="A31" s="362" t="s">
        <v>235</v>
      </c>
      <c r="B31" s="363">
        <v>46500</v>
      </c>
      <c r="C31" s="363">
        <v>28325</v>
      </c>
      <c r="D31" s="363">
        <v>92700</v>
      </c>
      <c r="E31" s="363">
        <v>105912</v>
      </c>
      <c r="F31" s="363">
        <f>SUM('- 54 -'!B31:F31,B31:E31)</f>
        <v>3759188</v>
      </c>
    </row>
    <row r="32" spans="1:6" ht="13.5" customHeight="1">
      <c r="A32" s="23" t="s">
        <v>236</v>
      </c>
      <c r="B32" s="24">
        <v>40000</v>
      </c>
      <c r="C32" s="24">
        <v>21588</v>
      </c>
      <c r="D32" s="24">
        <v>70650</v>
      </c>
      <c r="E32" s="24">
        <v>184305</v>
      </c>
      <c r="F32" s="24">
        <f>SUM('- 54 -'!B32:F32,B32:E32)</f>
        <v>2852114</v>
      </c>
    </row>
    <row r="33" spans="1:6" ht="13.5" customHeight="1">
      <c r="A33" s="362" t="s">
        <v>237</v>
      </c>
      <c r="B33" s="363">
        <v>35300</v>
      </c>
      <c r="C33" s="363">
        <v>20075</v>
      </c>
      <c r="D33" s="363">
        <v>65700</v>
      </c>
      <c r="E33" s="363">
        <v>380020</v>
      </c>
      <c r="F33" s="363">
        <f>SUM('- 54 -'!B33:F33,B33:E33)</f>
        <v>3136304</v>
      </c>
    </row>
    <row r="34" spans="1:6" ht="13.5" customHeight="1">
      <c r="A34" s="23" t="s">
        <v>238</v>
      </c>
      <c r="B34" s="24">
        <v>68700</v>
      </c>
      <c r="C34" s="24">
        <v>17050</v>
      </c>
      <c r="D34" s="24">
        <v>55800</v>
      </c>
      <c r="E34" s="24">
        <v>116672</v>
      </c>
      <c r="F34" s="24">
        <f>SUM('- 54 -'!B34:F34,B34:E34)</f>
        <v>2727621</v>
      </c>
    </row>
    <row r="35" spans="1:6" ht="13.5" customHeight="1">
      <c r="A35" s="362" t="s">
        <v>239</v>
      </c>
      <c r="B35" s="363">
        <v>625500</v>
      </c>
      <c r="C35" s="363">
        <v>139975</v>
      </c>
      <c r="D35" s="363">
        <v>570100</v>
      </c>
      <c r="E35" s="363">
        <v>763418</v>
      </c>
      <c r="F35" s="363">
        <f>SUM('- 54 -'!B35:F35,B35:E35)</f>
        <v>14246600</v>
      </c>
    </row>
    <row r="36" spans="1:6" ht="13.5" customHeight="1">
      <c r="A36" s="23" t="s">
        <v>240</v>
      </c>
      <c r="B36" s="24">
        <v>7000</v>
      </c>
      <c r="C36" s="24">
        <v>15263</v>
      </c>
      <c r="D36" s="24">
        <v>49950</v>
      </c>
      <c r="E36" s="24">
        <v>274943</v>
      </c>
      <c r="F36" s="24">
        <f>SUM('- 54 -'!B36:F36,B36:E36)</f>
        <v>2309543</v>
      </c>
    </row>
    <row r="37" spans="1:6" ht="13.5" customHeight="1">
      <c r="A37" s="362" t="s">
        <v>241</v>
      </c>
      <c r="B37" s="363">
        <v>265250</v>
      </c>
      <c r="C37" s="363">
        <v>37538</v>
      </c>
      <c r="D37" s="363">
        <v>122850</v>
      </c>
      <c r="E37" s="363">
        <v>180074</v>
      </c>
      <c r="F37" s="363">
        <f>SUM('- 54 -'!B37:F37,B37:E37)</f>
        <v>5386932</v>
      </c>
    </row>
    <row r="38" spans="1:6" ht="13.5" customHeight="1">
      <c r="A38" s="23" t="s">
        <v>242</v>
      </c>
      <c r="B38" s="24">
        <v>282500</v>
      </c>
      <c r="C38" s="24">
        <v>82775</v>
      </c>
      <c r="D38" s="24">
        <v>270900</v>
      </c>
      <c r="E38" s="24">
        <v>148810</v>
      </c>
      <c r="F38" s="24">
        <f>SUM('- 54 -'!B38:F38,B38:E38)</f>
        <v>7617794</v>
      </c>
    </row>
    <row r="39" spans="1:6" ht="13.5" customHeight="1">
      <c r="A39" s="362" t="s">
        <v>243</v>
      </c>
      <c r="B39" s="363">
        <v>6700</v>
      </c>
      <c r="C39" s="363">
        <v>15400</v>
      </c>
      <c r="D39" s="363">
        <v>106400</v>
      </c>
      <c r="E39" s="363">
        <v>160091</v>
      </c>
      <c r="F39" s="363">
        <f>SUM('- 54 -'!B39:F39,B39:E39)</f>
        <v>2293693</v>
      </c>
    </row>
    <row r="40" spans="1:6" ht="13.5" customHeight="1">
      <c r="A40" s="23" t="s">
        <v>244</v>
      </c>
      <c r="B40" s="24">
        <v>312000</v>
      </c>
      <c r="C40" s="24">
        <v>71363</v>
      </c>
      <c r="D40" s="24">
        <v>345550</v>
      </c>
      <c r="E40" s="24">
        <v>501679</v>
      </c>
      <c r="F40" s="24">
        <f>SUM('- 54 -'!B40:F40,B40:E40)</f>
        <v>7775799</v>
      </c>
    </row>
    <row r="41" spans="1:6" ht="13.5" customHeight="1">
      <c r="A41" s="362" t="s">
        <v>245</v>
      </c>
      <c r="B41" s="363">
        <v>130800</v>
      </c>
      <c r="C41" s="363">
        <v>41388</v>
      </c>
      <c r="D41" s="363">
        <v>135450</v>
      </c>
      <c r="E41" s="363">
        <v>203410</v>
      </c>
      <c r="F41" s="363">
        <f>SUM('- 54 -'!B41:F41,B41:E41)</f>
        <v>6994738</v>
      </c>
    </row>
    <row r="42" spans="1:6" ht="13.5" customHeight="1">
      <c r="A42" s="23" t="s">
        <v>246</v>
      </c>
      <c r="B42" s="24">
        <v>17800</v>
      </c>
      <c r="C42" s="24">
        <v>15675</v>
      </c>
      <c r="D42" s="24">
        <v>51300</v>
      </c>
      <c r="E42" s="24">
        <v>103486</v>
      </c>
      <c r="F42" s="24">
        <f>SUM('- 54 -'!B42:F42,B42:E42)</f>
        <v>2745745</v>
      </c>
    </row>
    <row r="43" spans="1:6" ht="13.5" customHeight="1">
      <c r="A43" s="362" t="s">
        <v>247</v>
      </c>
      <c r="B43" s="363">
        <v>2100</v>
      </c>
      <c r="C43" s="363">
        <v>7150</v>
      </c>
      <c r="D43" s="363">
        <v>23400</v>
      </c>
      <c r="E43" s="363">
        <v>205848</v>
      </c>
      <c r="F43" s="363">
        <f>SUM('- 54 -'!B43:F43,B43:E43)</f>
        <v>1525723</v>
      </c>
    </row>
    <row r="44" spans="1:6" ht="13.5" customHeight="1">
      <c r="A44" s="23" t="s">
        <v>248</v>
      </c>
      <c r="B44" s="24">
        <v>14200</v>
      </c>
      <c r="C44" s="24">
        <v>6050</v>
      </c>
      <c r="D44" s="24">
        <v>19800</v>
      </c>
      <c r="E44" s="24">
        <v>101168</v>
      </c>
      <c r="F44" s="24">
        <f>SUM('- 54 -'!B44:F44,B44:E44)</f>
        <v>1587053</v>
      </c>
    </row>
    <row r="45" spans="1:6" ht="13.5" customHeight="1">
      <c r="A45" s="362" t="s">
        <v>249</v>
      </c>
      <c r="B45" s="363">
        <v>39800</v>
      </c>
      <c r="C45" s="363">
        <v>16088</v>
      </c>
      <c r="D45" s="363">
        <v>52650</v>
      </c>
      <c r="E45" s="363">
        <v>91511</v>
      </c>
      <c r="F45" s="363">
        <f>SUM('- 54 -'!B45:F45,B45:E45)</f>
        <v>1569207</v>
      </c>
    </row>
    <row r="46" spans="1:6" ht="13.5" customHeight="1">
      <c r="A46" s="23" t="s">
        <v>250</v>
      </c>
      <c r="B46" s="24">
        <v>706400</v>
      </c>
      <c r="C46" s="24">
        <v>296450</v>
      </c>
      <c r="D46" s="24">
        <v>1462000</v>
      </c>
      <c r="E46" s="24">
        <v>545328</v>
      </c>
      <c r="F46" s="24">
        <f>SUM('- 54 -'!B46:F46,B46:E46)</f>
        <v>26723045</v>
      </c>
    </row>
    <row r="47" spans="1:6" ht="4.5" customHeight="1">
      <c r="A47"/>
      <c r="B47"/>
      <c r="C47"/>
      <c r="D47"/>
      <c r="E47"/>
      <c r="F47"/>
    </row>
    <row r="48" spans="1:6" ht="13.5" customHeight="1">
      <c r="A48" s="365" t="s">
        <v>251</v>
      </c>
      <c r="B48" s="366">
        <f>SUM(B11:B46)</f>
        <v>5954052</v>
      </c>
      <c r="C48" s="366">
        <f>SUM(C11:C46)</f>
        <v>1595983</v>
      </c>
      <c r="D48" s="366">
        <f>SUM(D11:D46)</f>
        <v>6181225</v>
      </c>
      <c r="E48" s="366">
        <f>SUM(E11:E46)</f>
        <v>14540893</v>
      </c>
      <c r="F48" s="366">
        <f>SUM(F11:F46)</f>
        <v>188326136</v>
      </c>
    </row>
    <row r="49" spans="1:6" ht="4.5" customHeight="1">
      <c r="A49" s="25" t="s">
        <v>3</v>
      </c>
      <c r="B49" s="26"/>
      <c r="C49" s="26"/>
      <c r="D49" s="26"/>
      <c r="E49" s="26"/>
      <c r="F49" s="26"/>
    </row>
    <row r="50" spans="1:6" ht="14.25" customHeight="1">
      <c r="A50" s="23" t="s">
        <v>252</v>
      </c>
      <c r="B50" s="24">
        <v>1000</v>
      </c>
      <c r="C50" s="24">
        <v>5500</v>
      </c>
      <c r="D50" s="24">
        <v>4950</v>
      </c>
      <c r="E50" s="24">
        <v>41985</v>
      </c>
      <c r="F50" s="24">
        <f>SUM('- 54 -'!B50:F50,B50:E50)</f>
        <v>261853</v>
      </c>
    </row>
    <row r="51" spans="1:6" ht="13.5" customHeight="1">
      <c r="A51" s="362" t="s">
        <v>253</v>
      </c>
      <c r="B51" s="363">
        <v>0</v>
      </c>
      <c r="C51" s="363">
        <v>0</v>
      </c>
      <c r="D51" s="363">
        <v>0</v>
      </c>
      <c r="E51" s="363">
        <v>700</v>
      </c>
      <c r="F51" s="363">
        <f>SUM('- 54 -'!B51:F51,B51:E51)</f>
        <v>700</v>
      </c>
    </row>
    <row r="52" spans="1:6" ht="49.5" customHeight="1">
      <c r="A52" s="27"/>
      <c r="B52" s="27"/>
      <c r="C52" s="27"/>
      <c r="D52" s="27"/>
      <c r="E52" s="27"/>
      <c r="F52" s="27"/>
    </row>
    <row r="53" spans="1:6" ht="15" customHeight="1">
      <c r="A53" s="128" t="s">
        <v>445</v>
      </c>
      <c r="E53" s="39"/>
      <c r="F53" s="39"/>
    </row>
    <row r="54" spans="1:6" ht="14.25" customHeight="1">
      <c r="A54" s="39"/>
      <c r="E54" s="39"/>
      <c r="F54" s="39"/>
    </row>
    <row r="55" spans="2:6" ht="14.25" customHeight="1">
      <c r="B55" s="39"/>
      <c r="C55" s="39"/>
      <c r="D55" s="39"/>
      <c r="E55" s="39"/>
      <c r="F55" s="39"/>
    </row>
    <row r="56" spans="5:6" ht="14.25" customHeight="1">
      <c r="E56" s="117"/>
      <c r="F56" s="117"/>
    </row>
    <row r="57" spans="2:6" ht="14.25" customHeight="1">
      <c r="B57" s="117"/>
      <c r="C57" s="117"/>
      <c r="D57" s="117"/>
      <c r="E57" s="117"/>
      <c r="F57" s="117"/>
    </row>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10"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sheetPr codeName="Sheet48">
    <pageSetUpPr fitToPage="1"/>
  </sheetPr>
  <dimension ref="A1:G60"/>
  <sheetViews>
    <sheetView showGridLines="0" showZeros="0" workbookViewId="0" topLeftCell="A1">
      <selection activeCell="A2" sqref="A2"/>
    </sheetView>
  </sheetViews>
  <sheetFormatPr defaultColWidth="23.83203125" defaultRowHeight="12"/>
  <cols>
    <col min="1" max="1" width="28.83203125" style="1" customWidth="1"/>
    <col min="2" max="3" width="16.83203125" style="1" customWidth="1"/>
    <col min="4" max="4" width="19.83203125" style="1" customWidth="1"/>
    <col min="5" max="6" width="15.83203125" style="1" customWidth="1"/>
    <col min="7" max="7" width="18.83203125" style="1" customWidth="1"/>
    <col min="8" max="16384" width="23.83203125" style="1" customWidth="1"/>
  </cols>
  <sheetData>
    <row r="1" spans="1:7" ht="6.75" customHeight="1">
      <c r="A1" s="3"/>
      <c r="B1" s="3"/>
      <c r="C1" s="3"/>
      <c r="D1" s="3"/>
      <c r="E1" s="3"/>
      <c r="F1" s="3"/>
      <c r="G1" s="3"/>
    </row>
    <row r="2" spans="1:7" ht="15.75" customHeight="1">
      <c r="A2" s="307"/>
      <c r="B2" s="75" t="str">
        <f>REVYEAR</f>
        <v> ANALYSIS OF OPERATING FUND REVENUE: 2008/2009 BUDGET</v>
      </c>
      <c r="C2" s="75"/>
      <c r="D2" s="308"/>
      <c r="E2" s="308"/>
      <c r="F2" s="308"/>
      <c r="G2" s="257" t="s">
        <v>191</v>
      </c>
    </row>
    <row r="3" spans="1:7" ht="15.75" customHeight="1">
      <c r="A3" s="252"/>
      <c r="B3" s="309"/>
      <c r="C3" s="309"/>
      <c r="D3" s="309"/>
      <c r="E3" s="309"/>
      <c r="F3" s="309"/>
      <c r="G3" s="309"/>
    </row>
    <row r="4" ht="15.75" customHeight="1"/>
    <row r="5" spans="2:7" ht="15.75" customHeight="1">
      <c r="B5" s="442" t="s">
        <v>327</v>
      </c>
      <c r="C5" s="475"/>
      <c r="D5" s="475"/>
      <c r="E5" s="475"/>
      <c r="F5" s="371"/>
      <c r="G5" s="370"/>
    </row>
    <row r="6" spans="2:7" ht="15.75" customHeight="1">
      <c r="B6" s="465" t="s">
        <v>207</v>
      </c>
      <c r="C6" s="476"/>
      <c r="D6" s="476"/>
      <c r="E6" s="476"/>
      <c r="F6" s="437"/>
      <c r="G6" s="474"/>
    </row>
    <row r="7" spans="2:7" ht="15.75" customHeight="1">
      <c r="B7" s="259"/>
      <c r="C7" s="259" t="s">
        <v>408</v>
      </c>
      <c r="D7" s="259" t="s">
        <v>443</v>
      </c>
      <c r="E7" s="259"/>
      <c r="F7" s="259" t="s">
        <v>44</v>
      </c>
      <c r="G7" s="258" t="s">
        <v>209</v>
      </c>
    </row>
    <row r="8" spans="1:7" ht="15.75" customHeight="1">
      <c r="A8" s="32"/>
      <c r="B8" s="261" t="s">
        <v>215</v>
      </c>
      <c r="C8" s="261" t="s">
        <v>215</v>
      </c>
      <c r="D8" s="261" t="s">
        <v>444</v>
      </c>
      <c r="E8" s="261" t="s">
        <v>499</v>
      </c>
      <c r="F8" s="261" t="s">
        <v>116</v>
      </c>
      <c r="G8" s="260" t="s">
        <v>210</v>
      </c>
    </row>
    <row r="9" spans="1:7" ht="15.75" customHeight="1">
      <c r="A9" s="120" t="s">
        <v>79</v>
      </c>
      <c r="B9" s="121" t="s">
        <v>363</v>
      </c>
      <c r="C9" s="121" t="s">
        <v>366</v>
      </c>
      <c r="D9" s="121" t="s">
        <v>447</v>
      </c>
      <c r="E9" s="121" t="s">
        <v>519</v>
      </c>
      <c r="F9" s="121" t="s">
        <v>520</v>
      </c>
      <c r="G9" s="116" t="s">
        <v>116</v>
      </c>
    </row>
    <row r="10" spans="1:7" ht="4.5" customHeight="1">
      <c r="A10" s="37"/>
      <c r="B10" s="3"/>
      <c r="C10" s="3"/>
      <c r="D10" s="3"/>
      <c r="E10" s="3"/>
      <c r="F10" s="3"/>
      <c r="G10" s="3"/>
    </row>
    <row r="11" spans="1:7" ht="13.5" customHeight="1">
      <c r="A11" s="362" t="s">
        <v>216</v>
      </c>
      <c r="B11" s="363">
        <v>418824</v>
      </c>
      <c r="C11" s="363">
        <v>0</v>
      </c>
      <c r="D11" s="363">
        <v>0</v>
      </c>
      <c r="E11" s="363">
        <v>52216</v>
      </c>
      <c r="F11" s="363">
        <v>88300</v>
      </c>
      <c r="G11" s="363">
        <f>SUM('- 53 -'!G11,'- 55 -'!F11,B11:F11)</f>
        <v>6969390</v>
      </c>
    </row>
    <row r="12" spans="1:7" ht="13.5" customHeight="1">
      <c r="A12" s="23" t="s">
        <v>217</v>
      </c>
      <c r="B12" s="24">
        <v>1957742</v>
      </c>
      <c r="C12" s="24">
        <v>119528</v>
      </c>
      <c r="D12" s="24">
        <v>0</v>
      </c>
      <c r="E12" s="24">
        <v>0</v>
      </c>
      <c r="F12" s="24">
        <v>137700</v>
      </c>
      <c r="G12" s="24">
        <f>SUM('- 53 -'!G12,'- 55 -'!F12,B12:F12)</f>
        <v>13162659</v>
      </c>
    </row>
    <row r="13" spans="1:7" ht="13.5" customHeight="1">
      <c r="A13" s="362" t="s">
        <v>218</v>
      </c>
      <c r="B13" s="363">
        <v>2608700</v>
      </c>
      <c r="C13" s="363">
        <v>0</v>
      </c>
      <c r="D13" s="363">
        <v>0</v>
      </c>
      <c r="E13" s="363">
        <v>0</v>
      </c>
      <c r="F13" s="363">
        <v>278700</v>
      </c>
      <c r="G13" s="363">
        <f>SUM('- 53 -'!G13,'- 55 -'!F13,B13:F13)</f>
        <v>29605000</v>
      </c>
    </row>
    <row r="14" spans="1:7" ht="13.5" customHeight="1">
      <c r="A14" s="23" t="s">
        <v>254</v>
      </c>
      <c r="B14" s="24">
        <v>5271754</v>
      </c>
      <c r="C14" s="24">
        <v>0</v>
      </c>
      <c r="D14" s="24">
        <v>0</v>
      </c>
      <c r="E14" s="24">
        <v>0</v>
      </c>
      <c r="F14" s="24">
        <v>214760</v>
      </c>
      <c r="G14" s="24">
        <f>SUM('- 53 -'!G14,'- 55 -'!F14,B14:F14)</f>
        <v>27980126</v>
      </c>
    </row>
    <row r="15" spans="1:7" ht="13.5" customHeight="1">
      <c r="A15" s="362" t="s">
        <v>219</v>
      </c>
      <c r="B15" s="363">
        <v>0</v>
      </c>
      <c r="C15" s="363">
        <v>0</v>
      </c>
      <c r="D15" s="363">
        <v>0</v>
      </c>
      <c r="E15" s="363">
        <v>0</v>
      </c>
      <c r="F15" s="363">
        <v>83760</v>
      </c>
      <c r="G15" s="363">
        <f>SUM('- 53 -'!G15,'- 55 -'!F15,B15:F15)</f>
        <v>7654276</v>
      </c>
    </row>
    <row r="16" spans="1:7" ht="13.5" customHeight="1">
      <c r="A16" s="23" t="s">
        <v>220</v>
      </c>
      <c r="B16" s="24">
        <v>1476855</v>
      </c>
      <c r="C16" s="24">
        <v>0</v>
      </c>
      <c r="D16" s="24">
        <v>0</v>
      </c>
      <c r="E16" s="24">
        <v>0</v>
      </c>
      <c r="F16" s="24">
        <v>61960</v>
      </c>
      <c r="G16" s="24">
        <f>SUM('- 53 -'!G16,'- 55 -'!F16,B16:F16)</f>
        <v>6602142</v>
      </c>
    </row>
    <row r="17" spans="1:7" ht="13.5" customHeight="1">
      <c r="A17" s="362" t="s">
        <v>221</v>
      </c>
      <c r="B17" s="363">
        <v>61789</v>
      </c>
      <c r="C17" s="363">
        <v>0</v>
      </c>
      <c r="D17" s="363">
        <v>0</v>
      </c>
      <c r="E17" s="363">
        <v>91117</v>
      </c>
      <c r="F17" s="363">
        <v>108300</v>
      </c>
      <c r="G17" s="363">
        <f>SUM('- 53 -'!G17,'- 55 -'!F17,B17:F17)</f>
        <v>6942106</v>
      </c>
    </row>
    <row r="18" spans="1:7" ht="13.5" customHeight="1">
      <c r="A18" s="23" t="s">
        <v>222</v>
      </c>
      <c r="B18" s="24">
        <v>8069801</v>
      </c>
      <c r="C18" s="24">
        <v>4250879</v>
      </c>
      <c r="D18" s="24">
        <v>0</v>
      </c>
      <c r="E18" s="24">
        <v>0</v>
      </c>
      <c r="F18" s="24">
        <v>387740</v>
      </c>
      <c r="G18" s="24">
        <f>SUM('- 53 -'!G18,'- 55 -'!F18,B18:F18)</f>
        <v>31388869</v>
      </c>
    </row>
    <row r="19" spans="1:7" ht="13.5" customHeight="1">
      <c r="A19" s="362" t="s">
        <v>223</v>
      </c>
      <c r="B19" s="363">
        <v>2787504</v>
      </c>
      <c r="C19" s="363">
        <v>0</v>
      </c>
      <c r="D19" s="363">
        <v>0</v>
      </c>
      <c r="E19" s="363">
        <v>0</v>
      </c>
      <c r="F19" s="363">
        <v>103040</v>
      </c>
      <c r="G19" s="363">
        <f>SUM('- 53 -'!G19,'- 55 -'!F19,B19:F19)</f>
        <v>18176753</v>
      </c>
    </row>
    <row r="20" spans="1:7" ht="13.5" customHeight="1">
      <c r="A20" s="23" t="s">
        <v>224</v>
      </c>
      <c r="B20" s="24">
        <v>6138215</v>
      </c>
      <c r="C20" s="24">
        <v>0</v>
      </c>
      <c r="D20" s="24">
        <v>0</v>
      </c>
      <c r="E20" s="24">
        <v>0</v>
      </c>
      <c r="F20" s="24">
        <v>233220</v>
      </c>
      <c r="G20" s="24">
        <f>SUM('- 53 -'!G20,'- 55 -'!F20,B20:F20)</f>
        <v>35027407</v>
      </c>
    </row>
    <row r="21" spans="1:7" ht="13.5" customHeight="1">
      <c r="A21" s="362" t="s">
        <v>225</v>
      </c>
      <c r="B21" s="363">
        <v>2157377</v>
      </c>
      <c r="C21" s="363">
        <v>0</v>
      </c>
      <c r="D21" s="363">
        <v>0</v>
      </c>
      <c r="E21" s="363">
        <v>0</v>
      </c>
      <c r="F21" s="363">
        <v>159060</v>
      </c>
      <c r="G21" s="363">
        <f>SUM('- 53 -'!G21,'- 55 -'!F21,B21:F21)</f>
        <v>16032950</v>
      </c>
    </row>
    <row r="22" spans="1:7" ht="13.5" customHeight="1">
      <c r="A22" s="23" t="s">
        <v>226</v>
      </c>
      <c r="B22" s="24">
        <v>1990956</v>
      </c>
      <c r="C22" s="24">
        <v>396470</v>
      </c>
      <c r="D22" s="24">
        <v>0</v>
      </c>
      <c r="E22" s="24">
        <v>0</v>
      </c>
      <c r="F22" s="24">
        <v>79620</v>
      </c>
      <c r="G22" s="24">
        <f>SUM('- 53 -'!G22,'- 55 -'!F22,B22:F22)</f>
        <v>10654216</v>
      </c>
    </row>
    <row r="23" spans="1:7" ht="13.5" customHeight="1">
      <c r="A23" s="362" t="s">
        <v>227</v>
      </c>
      <c r="B23" s="363">
        <v>1243736</v>
      </c>
      <c r="C23" s="363">
        <v>63415</v>
      </c>
      <c r="D23" s="363">
        <v>0</v>
      </c>
      <c r="E23" s="363">
        <v>0</v>
      </c>
      <c r="F23" s="363">
        <v>91920</v>
      </c>
      <c r="G23" s="363">
        <f>SUM('- 53 -'!G23,'- 55 -'!F23,B23:F23)</f>
        <v>8048427</v>
      </c>
    </row>
    <row r="24" spans="1:7" ht="13.5" customHeight="1">
      <c r="A24" s="23" t="s">
        <v>228</v>
      </c>
      <c r="B24" s="24">
        <v>2108959</v>
      </c>
      <c r="C24" s="24">
        <v>0</v>
      </c>
      <c r="D24" s="24">
        <v>0</v>
      </c>
      <c r="E24" s="24">
        <v>0</v>
      </c>
      <c r="F24" s="24">
        <v>228660</v>
      </c>
      <c r="G24" s="24">
        <f>SUM('- 53 -'!G24,'- 55 -'!F24,B24:F24)</f>
        <v>22252909</v>
      </c>
    </row>
    <row r="25" spans="1:7" ht="13.5" customHeight="1">
      <c r="A25" s="362" t="s">
        <v>229</v>
      </c>
      <c r="B25" s="363">
        <v>9803399</v>
      </c>
      <c r="C25" s="363">
        <v>0</v>
      </c>
      <c r="D25" s="363">
        <v>143962</v>
      </c>
      <c r="E25" s="363">
        <v>0</v>
      </c>
      <c r="F25" s="363">
        <v>556580</v>
      </c>
      <c r="G25" s="363">
        <f>SUM('- 53 -'!G25,'- 55 -'!F25,B25:F25)</f>
        <v>66149994</v>
      </c>
    </row>
    <row r="26" spans="1:7" ht="13.5" customHeight="1">
      <c r="A26" s="23" t="s">
        <v>230</v>
      </c>
      <c r="B26" s="24">
        <v>2746433</v>
      </c>
      <c r="C26" s="24">
        <v>90910</v>
      </c>
      <c r="D26" s="24">
        <v>137462</v>
      </c>
      <c r="E26" s="24">
        <v>0</v>
      </c>
      <c r="F26" s="24">
        <v>291720</v>
      </c>
      <c r="G26" s="24">
        <f>SUM('- 53 -'!G26,'- 55 -'!F26,B26:F26)</f>
        <v>18580017</v>
      </c>
    </row>
    <row r="27" spans="1:7" ht="13.5" customHeight="1">
      <c r="A27" s="362" t="s">
        <v>231</v>
      </c>
      <c r="B27" s="363">
        <v>6295736</v>
      </c>
      <c r="C27" s="363">
        <v>3213692</v>
      </c>
      <c r="D27" s="363">
        <v>0</v>
      </c>
      <c r="E27" s="363">
        <v>0</v>
      </c>
      <c r="F27" s="363">
        <v>116740</v>
      </c>
      <c r="G27" s="363">
        <f>SUM('- 53 -'!G27,'- 55 -'!F27,B27:F27)</f>
        <v>24077487</v>
      </c>
    </row>
    <row r="28" spans="1:7" ht="13.5" customHeight="1">
      <c r="A28" s="23" t="s">
        <v>232</v>
      </c>
      <c r="B28" s="24">
        <v>801514</v>
      </c>
      <c r="C28" s="24">
        <v>0</v>
      </c>
      <c r="D28" s="24">
        <v>0</v>
      </c>
      <c r="E28" s="24">
        <v>0</v>
      </c>
      <c r="F28" s="24">
        <v>147640</v>
      </c>
      <c r="G28" s="24">
        <f>SUM('- 53 -'!G28,'- 55 -'!F28,B28:F28)</f>
        <v>10036933</v>
      </c>
    </row>
    <row r="29" spans="1:7" ht="13.5" customHeight="1">
      <c r="A29" s="362" t="s">
        <v>233</v>
      </c>
      <c r="B29" s="363">
        <v>2009946</v>
      </c>
      <c r="C29" s="363">
        <v>0</v>
      </c>
      <c r="D29" s="363">
        <v>0</v>
      </c>
      <c r="E29" s="363">
        <v>649315</v>
      </c>
      <c r="F29" s="363">
        <v>414480</v>
      </c>
      <c r="G29" s="363">
        <f>SUM('- 53 -'!G29,'- 55 -'!F29,B29:F29)</f>
        <v>50205483</v>
      </c>
    </row>
    <row r="30" spans="1:7" ht="13.5" customHeight="1">
      <c r="A30" s="23" t="s">
        <v>234</v>
      </c>
      <c r="B30" s="24">
        <v>832429</v>
      </c>
      <c r="C30" s="24">
        <v>0</v>
      </c>
      <c r="D30" s="24">
        <v>0</v>
      </c>
      <c r="E30" s="24">
        <v>45072</v>
      </c>
      <c r="F30" s="24">
        <v>94880</v>
      </c>
      <c r="G30" s="24">
        <f>SUM('- 53 -'!G30,'- 55 -'!F30,B30:F30)</f>
        <v>7026354</v>
      </c>
    </row>
    <row r="31" spans="1:7" ht="13.5" customHeight="1">
      <c r="A31" s="362" t="s">
        <v>235</v>
      </c>
      <c r="B31" s="363">
        <v>1734439</v>
      </c>
      <c r="C31" s="363">
        <v>0</v>
      </c>
      <c r="D31" s="363">
        <v>0</v>
      </c>
      <c r="E31" s="363">
        <v>16269</v>
      </c>
      <c r="F31" s="363">
        <v>165680</v>
      </c>
      <c r="G31" s="363">
        <f>SUM('- 53 -'!G31,'- 55 -'!F31,B31:F31)</f>
        <v>15921130</v>
      </c>
    </row>
    <row r="32" spans="1:7" ht="13.5" customHeight="1">
      <c r="A32" s="23" t="s">
        <v>236</v>
      </c>
      <c r="B32" s="24">
        <v>560911</v>
      </c>
      <c r="C32" s="24">
        <v>0</v>
      </c>
      <c r="D32" s="24">
        <v>0</v>
      </c>
      <c r="E32" s="24">
        <v>0</v>
      </c>
      <c r="F32" s="24">
        <v>169180</v>
      </c>
      <c r="G32" s="24">
        <f>SUM('- 53 -'!G32,'- 55 -'!F32,B32:F32)</f>
        <v>11276132</v>
      </c>
    </row>
    <row r="33" spans="1:7" ht="13.5" customHeight="1">
      <c r="A33" s="362" t="s">
        <v>237</v>
      </c>
      <c r="B33" s="363">
        <v>1205425</v>
      </c>
      <c r="C33" s="363">
        <v>0</v>
      </c>
      <c r="D33" s="363">
        <v>49070</v>
      </c>
      <c r="E33" s="363">
        <v>266344</v>
      </c>
      <c r="F33" s="363">
        <v>196740</v>
      </c>
      <c r="G33" s="363">
        <f>SUM('- 53 -'!G33,'- 55 -'!F33,B33:F33)</f>
        <v>13227695</v>
      </c>
    </row>
    <row r="34" spans="1:7" ht="13.5" customHeight="1">
      <c r="A34" s="23" t="s">
        <v>238</v>
      </c>
      <c r="B34" s="24">
        <v>723725</v>
      </c>
      <c r="C34" s="24">
        <v>0</v>
      </c>
      <c r="D34" s="24">
        <v>19217</v>
      </c>
      <c r="E34" s="24">
        <v>279369</v>
      </c>
      <c r="F34" s="24">
        <v>128660</v>
      </c>
      <c r="G34" s="24">
        <f>SUM('- 53 -'!G34,'- 55 -'!F34,B34:F34)</f>
        <v>10897681</v>
      </c>
    </row>
    <row r="35" spans="1:7" ht="13.5" customHeight="1">
      <c r="A35" s="362" t="s">
        <v>239</v>
      </c>
      <c r="B35" s="363">
        <v>15629633</v>
      </c>
      <c r="C35" s="363">
        <v>3379451</v>
      </c>
      <c r="D35" s="363">
        <v>0</v>
      </c>
      <c r="E35" s="363">
        <v>0</v>
      </c>
      <c r="F35" s="363">
        <v>669740</v>
      </c>
      <c r="G35" s="363">
        <f>SUM('- 53 -'!G35,'- 55 -'!F35,B35:F35)</f>
        <v>83423773</v>
      </c>
    </row>
    <row r="36" spans="1:7" ht="13.5" customHeight="1">
      <c r="A36" s="23" t="s">
        <v>240</v>
      </c>
      <c r="B36" s="24">
        <v>858866</v>
      </c>
      <c r="C36" s="24">
        <v>0</v>
      </c>
      <c r="D36" s="24">
        <v>0</v>
      </c>
      <c r="E36" s="24">
        <v>78413</v>
      </c>
      <c r="F36" s="24">
        <v>129020</v>
      </c>
      <c r="G36" s="24">
        <f>SUM('- 53 -'!G36,'- 55 -'!F36,B36:F36)</f>
        <v>9537184</v>
      </c>
    </row>
    <row r="37" spans="1:7" ht="13.5" customHeight="1">
      <c r="A37" s="362" t="s">
        <v>241</v>
      </c>
      <c r="B37" s="363">
        <v>3845091</v>
      </c>
      <c r="C37" s="363">
        <v>0</v>
      </c>
      <c r="D37" s="363">
        <v>0</v>
      </c>
      <c r="E37" s="363">
        <v>0</v>
      </c>
      <c r="F37" s="363">
        <v>146240</v>
      </c>
      <c r="G37" s="363">
        <f>SUM('- 53 -'!G37,'- 55 -'!F37,B37:F37)</f>
        <v>20521092</v>
      </c>
    </row>
    <row r="38" spans="1:7" ht="13.5" customHeight="1">
      <c r="A38" s="23" t="s">
        <v>242</v>
      </c>
      <c r="B38" s="24">
        <v>9773475</v>
      </c>
      <c r="C38" s="24">
        <v>3293691</v>
      </c>
      <c r="D38" s="24">
        <v>0</v>
      </c>
      <c r="E38" s="24">
        <v>0</v>
      </c>
      <c r="F38" s="24">
        <v>276920</v>
      </c>
      <c r="G38" s="24">
        <f>SUM('- 53 -'!G38,'- 55 -'!F38,B38:F38)</f>
        <v>46726910</v>
      </c>
    </row>
    <row r="39" spans="1:7" ht="13.5" customHeight="1">
      <c r="A39" s="362" t="s">
        <v>243</v>
      </c>
      <c r="B39" s="363">
        <v>137957</v>
      </c>
      <c r="C39" s="363">
        <v>0</v>
      </c>
      <c r="D39" s="363">
        <v>16085</v>
      </c>
      <c r="E39" s="363">
        <v>248687</v>
      </c>
      <c r="F39" s="363">
        <v>110760</v>
      </c>
      <c r="G39" s="363">
        <f>SUM('- 53 -'!G39,'- 55 -'!F39,B39:F39)</f>
        <v>8601929</v>
      </c>
    </row>
    <row r="40" spans="1:7" ht="13.5" customHeight="1">
      <c r="A40" s="23" t="s">
        <v>244</v>
      </c>
      <c r="B40" s="24">
        <v>1377191</v>
      </c>
      <c r="C40" s="24">
        <v>0</v>
      </c>
      <c r="D40" s="24">
        <v>0</v>
      </c>
      <c r="E40" s="24">
        <v>489824</v>
      </c>
      <c r="F40" s="24">
        <v>461940</v>
      </c>
      <c r="G40" s="24">
        <f>SUM('- 53 -'!G40,'- 55 -'!F40,B40:F40)</f>
        <v>36240762</v>
      </c>
    </row>
    <row r="41" spans="1:7" ht="13.5" customHeight="1">
      <c r="A41" s="362" t="s">
        <v>245</v>
      </c>
      <c r="B41" s="363">
        <v>2067588</v>
      </c>
      <c r="C41" s="363">
        <v>0</v>
      </c>
      <c r="D41" s="363">
        <v>0</v>
      </c>
      <c r="E41" s="363">
        <v>0</v>
      </c>
      <c r="F41" s="363">
        <v>214780</v>
      </c>
      <c r="G41" s="363">
        <f>SUM('- 53 -'!G41,'- 55 -'!F41,B41:F41)</f>
        <v>23862322</v>
      </c>
    </row>
    <row r="42" spans="1:7" ht="13.5" customHeight="1">
      <c r="A42" s="23" t="s">
        <v>246</v>
      </c>
      <c r="B42" s="24">
        <v>1492204</v>
      </c>
      <c r="C42" s="24">
        <v>426911</v>
      </c>
      <c r="D42" s="24">
        <v>0</v>
      </c>
      <c r="E42" s="24">
        <v>0</v>
      </c>
      <c r="F42" s="24">
        <v>136180</v>
      </c>
      <c r="G42" s="24">
        <f>SUM('- 53 -'!G42,'- 55 -'!F42,B42:F42)</f>
        <v>10467440</v>
      </c>
    </row>
    <row r="43" spans="1:7" ht="13.5" customHeight="1">
      <c r="A43" s="362" t="s">
        <v>247</v>
      </c>
      <c r="B43" s="363">
        <v>341126</v>
      </c>
      <c r="C43" s="363">
        <v>0</v>
      </c>
      <c r="D43" s="363">
        <v>0</v>
      </c>
      <c r="E43" s="363">
        <v>175026</v>
      </c>
      <c r="F43" s="363">
        <v>60860</v>
      </c>
      <c r="G43" s="363">
        <f>SUM('- 53 -'!G43,'- 55 -'!F43,B43:F43)</f>
        <v>5622474</v>
      </c>
    </row>
    <row r="44" spans="1:7" ht="13.5" customHeight="1">
      <c r="A44" s="23" t="s">
        <v>248</v>
      </c>
      <c r="B44" s="24">
        <v>893058</v>
      </c>
      <c r="C44" s="24">
        <v>74090</v>
      </c>
      <c r="D44" s="24">
        <v>0</v>
      </c>
      <c r="E44" s="24">
        <v>0</v>
      </c>
      <c r="F44" s="24">
        <v>70940</v>
      </c>
      <c r="G44" s="24">
        <f>SUM('- 53 -'!G44,'- 55 -'!F44,B44:F44)</f>
        <v>5618520</v>
      </c>
    </row>
    <row r="45" spans="1:7" ht="13.5" customHeight="1">
      <c r="A45" s="362" t="s">
        <v>249</v>
      </c>
      <c r="B45" s="363">
        <v>1166068</v>
      </c>
      <c r="C45" s="363">
        <v>0</v>
      </c>
      <c r="D45" s="363">
        <v>0</v>
      </c>
      <c r="E45" s="363">
        <v>0</v>
      </c>
      <c r="F45" s="363">
        <v>46240</v>
      </c>
      <c r="G45" s="363">
        <f>SUM('- 53 -'!G45,'- 55 -'!F45,B45:F45)</f>
        <v>7291967</v>
      </c>
    </row>
    <row r="46" spans="1:7" ht="13.5" customHeight="1">
      <c r="A46" s="23" t="s">
        <v>250</v>
      </c>
      <c r="B46" s="24">
        <v>27054870</v>
      </c>
      <c r="C46" s="24">
        <v>3064364</v>
      </c>
      <c r="D46" s="24">
        <v>0</v>
      </c>
      <c r="E46" s="24">
        <v>0</v>
      </c>
      <c r="F46" s="24">
        <v>1339860</v>
      </c>
      <c r="G46" s="24">
        <f>SUM('- 53 -'!G46,'- 55 -'!F46,B46:F46)</f>
        <v>155743675</v>
      </c>
    </row>
    <row r="47" spans="1:7" ht="4.5" customHeight="1">
      <c r="A47"/>
      <c r="B47"/>
      <c r="C47"/>
      <c r="D47"/>
      <c r="E47"/>
      <c r="F47"/>
      <c r="G47"/>
    </row>
    <row r="48" spans="1:7" ht="13.5" customHeight="1">
      <c r="A48" s="365" t="s">
        <v>251</v>
      </c>
      <c r="B48" s="366">
        <f aca="true" t="shared" si="0" ref="B48:G48">SUM(B11:B46)</f>
        <v>127643296</v>
      </c>
      <c r="C48" s="366">
        <f t="shared" si="0"/>
        <v>18373401</v>
      </c>
      <c r="D48" s="366">
        <f t="shared" si="0"/>
        <v>365796</v>
      </c>
      <c r="E48" s="366">
        <f t="shared" si="0"/>
        <v>2391652</v>
      </c>
      <c r="F48" s="366">
        <f t="shared" si="0"/>
        <v>8202520</v>
      </c>
      <c r="G48" s="366">
        <f t="shared" si="0"/>
        <v>881554184</v>
      </c>
    </row>
    <row r="49" spans="1:7" ht="4.5" customHeight="1">
      <c r="A49" s="25" t="s">
        <v>3</v>
      </c>
      <c r="B49" s="26"/>
      <c r="C49" s="26"/>
      <c r="D49" s="26"/>
      <c r="E49" s="26"/>
      <c r="F49" s="26"/>
      <c r="G49" s="26"/>
    </row>
    <row r="50" spans="1:7" ht="14.25" customHeight="1">
      <c r="A50" s="23" t="s">
        <v>252</v>
      </c>
      <c r="B50" s="24">
        <v>0</v>
      </c>
      <c r="C50" s="24">
        <v>0</v>
      </c>
      <c r="D50" s="24">
        <v>0</v>
      </c>
      <c r="E50" s="24">
        <v>0</v>
      </c>
      <c r="F50" s="24">
        <v>0</v>
      </c>
      <c r="G50" s="24">
        <f>SUM('- 53 -'!G50,'- 55 -'!F50,B50:F50)</f>
        <v>846490</v>
      </c>
    </row>
    <row r="51" spans="1:7" ht="13.5" customHeight="1">
      <c r="A51" s="362" t="s">
        <v>253</v>
      </c>
      <c r="B51" s="363">
        <v>0</v>
      </c>
      <c r="C51" s="363">
        <v>0</v>
      </c>
      <c r="D51" s="363">
        <v>0</v>
      </c>
      <c r="E51" s="363">
        <v>0</v>
      </c>
      <c r="F51" s="363">
        <v>0</v>
      </c>
      <c r="G51" s="363">
        <f>SUM('- 53 -'!G51,'- 55 -'!F51,B51:F51)</f>
        <v>700</v>
      </c>
    </row>
    <row r="52" spans="1:7" ht="49.5" customHeight="1">
      <c r="A52" s="27"/>
      <c r="B52" s="27"/>
      <c r="C52" s="27"/>
      <c r="D52" s="27"/>
      <c r="E52" s="27"/>
      <c r="F52" s="27"/>
      <c r="G52" s="27"/>
    </row>
    <row r="53" spans="1:7" ht="15" customHeight="1">
      <c r="A53" s="330" t="s">
        <v>376</v>
      </c>
      <c r="B53" s="39"/>
      <c r="C53" s="39"/>
      <c r="D53" s="39"/>
      <c r="E53" s="39"/>
      <c r="F53" s="39"/>
      <c r="G53" s="39"/>
    </row>
    <row r="54" spans="1:7" ht="12" customHeight="1">
      <c r="A54" s="161" t="s">
        <v>377</v>
      </c>
      <c r="B54" s="39"/>
      <c r="C54" s="39"/>
      <c r="D54" s="39"/>
      <c r="E54" s="39"/>
      <c r="F54" s="39"/>
      <c r="G54" s="39"/>
    </row>
    <row r="55" spans="1:7" ht="12" customHeight="1">
      <c r="A55" s="330" t="s">
        <v>449</v>
      </c>
      <c r="B55" s="39"/>
      <c r="C55" s="39"/>
      <c r="D55" s="39"/>
      <c r="E55" s="39"/>
      <c r="F55" s="39"/>
      <c r="G55" s="39"/>
    </row>
    <row r="56" spans="1:7" ht="12" customHeight="1">
      <c r="A56" s="505" t="s">
        <v>517</v>
      </c>
      <c r="B56" s="39"/>
      <c r="C56" s="39"/>
      <c r="D56" s="39"/>
      <c r="E56" s="39"/>
      <c r="F56" s="39"/>
      <c r="G56" s="39"/>
    </row>
    <row r="57" spans="1:7" ht="12" customHeight="1">
      <c r="A57" s="251" t="s">
        <v>448</v>
      </c>
      <c r="B57" s="39"/>
      <c r="C57" s="39"/>
      <c r="D57" s="39"/>
      <c r="E57" s="39"/>
      <c r="F57" s="39"/>
      <c r="G57" s="39"/>
    </row>
    <row r="58" spans="1:7" ht="12" customHeight="1">
      <c r="A58" s="40" t="s">
        <v>547</v>
      </c>
      <c r="B58" s="39"/>
      <c r="C58" s="39"/>
      <c r="D58" s="39"/>
      <c r="E58" s="39"/>
      <c r="F58" s="39"/>
      <c r="G58" s="39"/>
    </row>
    <row r="59" spans="1:7" ht="12" customHeight="1">
      <c r="A59" s="40" t="s">
        <v>548</v>
      </c>
      <c r="B59" s="39"/>
      <c r="C59" s="39"/>
      <c r="D59" s="39"/>
      <c r="E59" s="39"/>
      <c r="F59" s="39"/>
      <c r="G59" s="39"/>
    </row>
    <row r="60" ht="12" customHeight="1">
      <c r="A60" s="40" t="s">
        <v>518</v>
      </c>
    </row>
    <row r="61" ht="14.25" customHeight="1"/>
  </sheetData>
  <printOptions horizontalCentered="1"/>
  <pageMargins left="0.5118110236220472" right="0.5118110236220472" top="0.5905511811023623" bottom="0" header="0.31496062992125984" footer="0"/>
  <pageSetup fitToHeight="1" fitToWidth="1" horizontalDpi="600" verticalDpi="600" orientation="portrait" scale="10"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4"/>
  <sheetViews>
    <sheetView showGridLines="0" showZeros="0" workbookViewId="0" topLeftCell="A1">
      <selection activeCell="A2" sqref="A2"/>
    </sheetView>
  </sheetViews>
  <sheetFormatPr defaultColWidth="15.83203125" defaultRowHeight="12"/>
  <cols>
    <col min="1" max="1" width="32.83203125" style="1" customWidth="1"/>
    <col min="2" max="3" width="19.83203125" style="1" customWidth="1"/>
    <col min="4" max="4" width="21.83203125" style="1" customWidth="1"/>
    <col min="5" max="5" width="1.83203125" style="1" customWidth="1"/>
    <col min="6" max="7" width="18.83203125" style="1" customWidth="1"/>
    <col min="8" max="16384" width="15.83203125" style="1" customWidth="1"/>
  </cols>
  <sheetData>
    <row r="1" spans="1:6" ht="6.75" customHeight="1">
      <c r="A1" s="3"/>
      <c r="B1" s="3"/>
      <c r="C1" s="3"/>
      <c r="D1" s="3"/>
      <c r="E1" s="4"/>
      <c r="F1" s="4"/>
    </row>
    <row r="2" spans="1:7" ht="15.75" customHeight="1">
      <c r="A2" s="43"/>
      <c r="B2" s="5" t="s">
        <v>6</v>
      </c>
      <c r="C2" s="6"/>
      <c r="D2" s="6"/>
      <c r="E2" s="6"/>
      <c r="F2" s="108"/>
      <c r="G2" s="119" t="s">
        <v>8</v>
      </c>
    </row>
    <row r="3" spans="1:7" ht="15.75" customHeight="1">
      <c r="A3" s="47"/>
      <c r="B3" s="7" t="str">
        <f>STATDATE</f>
        <v>ESTIMATE SEPTEMBER 30,2008</v>
      </c>
      <c r="C3" s="8"/>
      <c r="D3" s="8"/>
      <c r="E3" s="8"/>
      <c r="F3" s="110"/>
      <c r="G3" s="110"/>
    </row>
    <row r="4" spans="5:6" ht="15.75" customHeight="1">
      <c r="E4" s="4"/>
      <c r="F4" s="4"/>
    </row>
    <row r="5" ht="15.75" customHeight="1"/>
    <row r="6" spans="2:6" ht="15.75" customHeight="1">
      <c r="B6" s="553" t="s">
        <v>49</v>
      </c>
      <c r="C6" s="554"/>
      <c r="D6" s="500" t="s">
        <v>451</v>
      </c>
      <c r="F6" s="551" t="s">
        <v>54</v>
      </c>
    </row>
    <row r="7" spans="2:6" ht="15.75" customHeight="1">
      <c r="B7" s="555"/>
      <c r="C7" s="556"/>
      <c r="D7" s="509" t="s">
        <v>135</v>
      </c>
      <c r="F7" s="552"/>
    </row>
    <row r="8" spans="1:6" ht="15.75" customHeight="1">
      <c r="A8" s="32"/>
      <c r="B8" s="14" t="s">
        <v>176</v>
      </c>
      <c r="C8" s="241"/>
      <c r="D8" s="11" t="s">
        <v>109</v>
      </c>
      <c r="E8" s="14"/>
      <c r="F8" s="113" t="s">
        <v>452</v>
      </c>
    </row>
    <row r="9" spans="1:6" ht="15.75" customHeight="1">
      <c r="A9" s="120" t="s">
        <v>79</v>
      </c>
      <c r="B9" s="116" t="s">
        <v>22</v>
      </c>
      <c r="C9" s="116" t="s">
        <v>54</v>
      </c>
      <c r="D9" s="508" t="s">
        <v>466</v>
      </c>
      <c r="E9" s="122"/>
      <c r="F9" s="116" t="s">
        <v>164</v>
      </c>
    </row>
    <row r="10" spans="1:5" ht="4.5" customHeight="1">
      <c r="A10" s="37"/>
      <c r="B10" s="68"/>
      <c r="C10" s="37"/>
      <c r="E10" s="123"/>
    </row>
    <row r="11" spans="1:6" ht="13.5" customHeight="1">
      <c r="A11" s="362" t="s">
        <v>216</v>
      </c>
      <c r="B11" s="389">
        <v>0</v>
      </c>
      <c r="C11" s="389">
        <f>SUM('- 6 -'!B11:H11,B11)</f>
        <v>1385</v>
      </c>
      <c r="D11" s="389">
        <v>28</v>
      </c>
      <c r="E11" s="124"/>
      <c r="F11" s="389">
        <f>C11+D11</f>
        <v>1413</v>
      </c>
    </row>
    <row r="12" spans="1:6" ht="13.5" customHeight="1">
      <c r="A12" s="23" t="s">
        <v>217</v>
      </c>
      <c r="B12" s="69">
        <v>75</v>
      </c>
      <c r="C12" s="69">
        <f>SUM('- 6 -'!B12:H12,B12)</f>
        <v>2313</v>
      </c>
      <c r="D12" s="69">
        <v>0</v>
      </c>
      <c r="E12" s="124"/>
      <c r="F12" s="69">
        <f aca="true" t="shared" si="0" ref="F12:F46">C12+D12</f>
        <v>2313</v>
      </c>
    </row>
    <row r="13" spans="1:6" ht="13.5" customHeight="1">
      <c r="A13" s="362" t="s">
        <v>218</v>
      </c>
      <c r="B13" s="389">
        <v>370.97142857142853</v>
      </c>
      <c r="C13" s="389">
        <f>SUM('- 6 -'!B13:H13,B13)</f>
        <v>6576.471428571429</v>
      </c>
      <c r="D13" s="389">
        <v>198</v>
      </c>
      <c r="E13" s="124"/>
      <c r="F13" s="389">
        <f t="shared" si="0"/>
        <v>6774.471428571429</v>
      </c>
    </row>
    <row r="14" spans="1:6" ht="13.5" customHeight="1">
      <c r="A14" s="23" t="s">
        <v>254</v>
      </c>
      <c r="B14" s="69">
        <v>0</v>
      </c>
      <c r="C14" s="69">
        <f>SUM('- 6 -'!B14:H14,B14)</f>
        <v>4725</v>
      </c>
      <c r="D14" s="69">
        <v>110</v>
      </c>
      <c r="E14" s="124"/>
      <c r="F14" s="69">
        <f t="shared" si="0"/>
        <v>4835</v>
      </c>
    </row>
    <row r="15" spans="1:6" ht="13.5" customHeight="1">
      <c r="A15" s="362" t="s">
        <v>219</v>
      </c>
      <c r="B15" s="389">
        <v>0</v>
      </c>
      <c r="C15" s="389">
        <f>SUM('- 6 -'!B15:H15,B15)</f>
        <v>1598.5</v>
      </c>
      <c r="D15" s="389">
        <v>0</v>
      </c>
      <c r="E15" s="124"/>
      <c r="F15" s="389">
        <f t="shared" si="0"/>
        <v>1598.5</v>
      </c>
    </row>
    <row r="16" spans="1:6" ht="13.5" customHeight="1">
      <c r="A16" s="23" t="s">
        <v>220</v>
      </c>
      <c r="B16" s="69">
        <v>11</v>
      </c>
      <c r="C16" s="69">
        <f>SUM('- 6 -'!B16:H16,B16)</f>
        <v>1072</v>
      </c>
      <c r="D16" s="69">
        <v>4.5</v>
      </c>
      <c r="E16" s="124"/>
      <c r="F16" s="69">
        <f t="shared" si="0"/>
        <v>1076.5</v>
      </c>
    </row>
    <row r="17" spans="1:6" ht="13.5" customHeight="1">
      <c r="A17" s="362" t="s">
        <v>221</v>
      </c>
      <c r="B17" s="389">
        <v>30</v>
      </c>
      <c r="C17" s="389">
        <f>SUM('- 6 -'!B17:H17,B17)</f>
        <v>1379</v>
      </c>
      <c r="D17" s="389">
        <v>0</v>
      </c>
      <c r="E17" s="124"/>
      <c r="F17" s="389">
        <f t="shared" si="0"/>
        <v>1379</v>
      </c>
    </row>
    <row r="18" spans="1:6" ht="13.5" customHeight="1">
      <c r="A18" s="23" t="s">
        <v>222</v>
      </c>
      <c r="B18" s="69">
        <v>0</v>
      </c>
      <c r="C18" s="69">
        <f>SUM('- 6 -'!B18:H18,B18)</f>
        <v>5813.6</v>
      </c>
      <c r="D18" s="69">
        <v>0</v>
      </c>
      <c r="E18" s="124"/>
      <c r="F18" s="69">
        <f t="shared" si="0"/>
        <v>5813.6</v>
      </c>
    </row>
    <row r="19" spans="1:6" ht="13.5" customHeight="1">
      <c r="A19" s="362" t="s">
        <v>223</v>
      </c>
      <c r="B19" s="389">
        <v>131</v>
      </c>
      <c r="C19" s="389">
        <f>SUM('- 6 -'!B19:H19,B19)</f>
        <v>3785</v>
      </c>
      <c r="D19" s="389">
        <v>31</v>
      </c>
      <c r="E19" s="124"/>
      <c r="F19" s="389">
        <f t="shared" si="0"/>
        <v>3816</v>
      </c>
    </row>
    <row r="20" spans="1:6" ht="13.5" customHeight="1">
      <c r="A20" s="23" t="s">
        <v>224</v>
      </c>
      <c r="B20" s="69">
        <v>440.7142857142857</v>
      </c>
      <c r="C20" s="69">
        <f>SUM('- 6 -'!B20:H20,B20)</f>
        <v>7147</v>
      </c>
      <c r="D20" s="69">
        <v>33</v>
      </c>
      <c r="E20" s="124"/>
      <c r="F20" s="69">
        <f t="shared" si="0"/>
        <v>7180</v>
      </c>
    </row>
    <row r="21" spans="1:6" ht="13.5" customHeight="1">
      <c r="A21" s="362" t="s">
        <v>225</v>
      </c>
      <c r="B21" s="389">
        <v>0</v>
      </c>
      <c r="C21" s="389">
        <f>SUM('- 6 -'!B21:H21,B21)</f>
        <v>2934.8</v>
      </c>
      <c r="D21" s="389">
        <v>40.7</v>
      </c>
      <c r="E21" s="124"/>
      <c r="F21" s="389">
        <f t="shared" si="0"/>
        <v>2975.5</v>
      </c>
    </row>
    <row r="22" spans="1:6" ht="13.5" customHeight="1">
      <c r="A22" s="23" t="s">
        <v>226</v>
      </c>
      <c r="B22" s="69">
        <v>10</v>
      </c>
      <c r="C22" s="69">
        <f>SUM('- 6 -'!B22:H22,B22)</f>
        <v>1598</v>
      </c>
      <c r="D22" s="69">
        <v>97</v>
      </c>
      <c r="E22" s="124"/>
      <c r="F22" s="69">
        <f t="shared" si="0"/>
        <v>1695</v>
      </c>
    </row>
    <row r="23" spans="1:6" ht="13.5" customHeight="1">
      <c r="A23" s="362" t="s">
        <v>227</v>
      </c>
      <c r="B23" s="389">
        <v>38</v>
      </c>
      <c r="C23" s="389">
        <f>SUM('- 6 -'!B23:H23,B23)</f>
        <v>1303</v>
      </c>
      <c r="D23" s="389">
        <v>0</v>
      </c>
      <c r="E23" s="124"/>
      <c r="F23" s="389">
        <f t="shared" si="0"/>
        <v>1303</v>
      </c>
    </row>
    <row r="24" spans="1:6" ht="13.5" customHeight="1">
      <c r="A24" s="23" t="s">
        <v>228</v>
      </c>
      <c r="B24" s="69">
        <v>357</v>
      </c>
      <c r="C24" s="69">
        <f>SUM('- 6 -'!B24:H24,B24)</f>
        <v>4407</v>
      </c>
      <c r="D24" s="69">
        <v>19</v>
      </c>
      <c r="E24" s="124"/>
      <c r="F24" s="69">
        <f t="shared" si="0"/>
        <v>4426</v>
      </c>
    </row>
    <row r="25" spans="1:6" ht="13.5" customHeight="1">
      <c r="A25" s="362" t="s">
        <v>229</v>
      </c>
      <c r="B25" s="389">
        <v>200</v>
      </c>
      <c r="C25" s="389">
        <f>SUM('- 6 -'!B25:H25,B25)</f>
        <v>13979</v>
      </c>
      <c r="D25" s="389">
        <v>205</v>
      </c>
      <c r="E25" s="124"/>
      <c r="F25" s="389">
        <f t="shared" si="0"/>
        <v>14184</v>
      </c>
    </row>
    <row r="26" spans="1:6" ht="13.5" customHeight="1">
      <c r="A26" s="23" t="s">
        <v>230</v>
      </c>
      <c r="B26" s="69">
        <v>158</v>
      </c>
      <c r="C26" s="69">
        <f>SUM('- 6 -'!B26:H26,B26)</f>
        <v>3116</v>
      </c>
      <c r="D26" s="69">
        <v>15</v>
      </c>
      <c r="E26" s="124"/>
      <c r="F26" s="69">
        <f t="shared" si="0"/>
        <v>3131</v>
      </c>
    </row>
    <row r="27" spans="1:6" ht="13.5" customHeight="1">
      <c r="A27" s="362" t="s">
        <v>231</v>
      </c>
      <c r="B27" s="389">
        <v>159.64</v>
      </c>
      <c r="C27" s="389">
        <f>SUM('- 6 -'!B27:H27,B27)</f>
        <v>3131.04</v>
      </c>
      <c r="D27" s="389">
        <v>90</v>
      </c>
      <c r="E27" s="124"/>
      <c r="F27" s="389">
        <f t="shared" si="0"/>
        <v>3221.04</v>
      </c>
    </row>
    <row r="28" spans="1:6" ht="13.5" customHeight="1">
      <c r="A28" s="23" t="s">
        <v>232</v>
      </c>
      <c r="B28" s="69">
        <v>0</v>
      </c>
      <c r="C28" s="69">
        <f>SUM('- 6 -'!B28:H28,B28)</f>
        <v>1761</v>
      </c>
      <c r="D28" s="69">
        <v>0</v>
      </c>
      <c r="E28" s="124"/>
      <c r="F28" s="69">
        <f t="shared" si="0"/>
        <v>1761</v>
      </c>
    </row>
    <row r="29" spans="1:6" ht="13.5" customHeight="1">
      <c r="A29" s="362" t="s">
        <v>233</v>
      </c>
      <c r="B29" s="389">
        <v>0</v>
      </c>
      <c r="C29" s="389">
        <f>SUM('- 6 -'!B29:H29,B29)</f>
        <v>12102.5</v>
      </c>
      <c r="D29" s="389">
        <v>58</v>
      </c>
      <c r="E29" s="124"/>
      <c r="F29" s="389">
        <f t="shared" si="0"/>
        <v>12160.5</v>
      </c>
    </row>
    <row r="30" spans="1:6" ht="13.5" customHeight="1">
      <c r="A30" s="23" t="s">
        <v>234</v>
      </c>
      <c r="B30" s="69">
        <v>0</v>
      </c>
      <c r="C30" s="69">
        <f>SUM('- 6 -'!B30:H30,B30)</f>
        <v>1177</v>
      </c>
      <c r="D30" s="69">
        <v>0</v>
      </c>
      <c r="E30" s="124"/>
      <c r="F30" s="69">
        <f t="shared" si="0"/>
        <v>1177</v>
      </c>
    </row>
    <row r="31" spans="1:6" ht="13.5" customHeight="1">
      <c r="A31" s="362" t="s">
        <v>235</v>
      </c>
      <c r="B31" s="389">
        <v>85</v>
      </c>
      <c r="C31" s="389">
        <f>SUM('- 6 -'!B31:H31,B31)</f>
        <v>3094.8</v>
      </c>
      <c r="D31" s="389">
        <v>180</v>
      </c>
      <c r="E31" s="124"/>
      <c r="F31" s="389">
        <f t="shared" si="0"/>
        <v>3274.8</v>
      </c>
    </row>
    <row r="32" spans="1:6" ht="13.5" customHeight="1">
      <c r="A32" s="23" t="s">
        <v>236</v>
      </c>
      <c r="B32" s="69">
        <v>140</v>
      </c>
      <c r="C32" s="69">
        <f>SUM('- 6 -'!B32:H32,B32)</f>
        <v>2194</v>
      </c>
      <c r="D32" s="69">
        <v>0</v>
      </c>
      <c r="E32" s="124"/>
      <c r="F32" s="69">
        <f t="shared" si="0"/>
        <v>2194</v>
      </c>
    </row>
    <row r="33" spans="1:6" ht="13.5" customHeight="1">
      <c r="A33" s="362" t="s">
        <v>237</v>
      </c>
      <c r="B33" s="389">
        <v>29.9</v>
      </c>
      <c r="C33" s="389">
        <f>SUM('- 6 -'!B33:H33,B33)</f>
        <v>2176</v>
      </c>
      <c r="D33" s="389">
        <v>0</v>
      </c>
      <c r="E33" s="124"/>
      <c r="F33" s="389">
        <f t="shared" si="0"/>
        <v>2176</v>
      </c>
    </row>
    <row r="34" spans="1:6" ht="13.5" customHeight="1">
      <c r="A34" s="23" t="s">
        <v>238</v>
      </c>
      <c r="B34" s="69">
        <v>30</v>
      </c>
      <c r="C34" s="69">
        <f>SUM('- 6 -'!B34:H34,B34)</f>
        <v>2015.5</v>
      </c>
      <c r="D34" s="69">
        <v>9.5</v>
      </c>
      <c r="E34" s="124"/>
      <c r="F34" s="69">
        <f t="shared" si="0"/>
        <v>2025</v>
      </c>
    </row>
    <row r="35" spans="1:6" ht="13.5" customHeight="1">
      <c r="A35" s="362" t="s">
        <v>239</v>
      </c>
      <c r="B35" s="389">
        <v>593</v>
      </c>
      <c r="C35" s="389">
        <f>SUM('- 6 -'!B35:H35,B35)</f>
        <v>16149</v>
      </c>
      <c r="D35" s="389">
        <v>172</v>
      </c>
      <c r="E35" s="124"/>
      <c r="F35" s="389">
        <f t="shared" si="0"/>
        <v>16321</v>
      </c>
    </row>
    <row r="36" spans="1:6" ht="13.5" customHeight="1">
      <c r="A36" s="23" t="s">
        <v>240</v>
      </c>
      <c r="B36" s="69">
        <v>12.3</v>
      </c>
      <c r="C36" s="69">
        <f>SUM('- 6 -'!B36:H36,B36)</f>
        <v>1828.2</v>
      </c>
      <c r="D36" s="69">
        <v>9.8</v>
      </c>
      <c r="E36" s="124"/>
      <c r="F36" s="69">
        <f t="shared" si="0"/>
        <v>1838</v>
      </c>
    </row>
    <row r="37" spans="1:6" ht="13.5" customHeight="1">
      <c r="A37" s="362" t="s">
        <v>241</v>
      </c>
      <c r="B37" s="389">
        <v>0</v>
      </c>
      <c r="C37" s="389">
        <f>SUM('- 6 -'!B37:H37,B37)</f>
        <v>3464.5</v>
      </c>
      <c r="D37" s="389">
        <v>0</v>
      </c>
      <c r="E37" s="124"/>
      <c r="F37" s="389">
        <f t="shared" si="0"/>
        <v>3464.5</v>
      </c>
    </row>
    <row r="38" spans="1:6" ht="13.5" customHeight="1">
      <c r="A38" s="23" t="s">
        <v>242</v>
      </c>
      <c r="B38" s="69">
        <v>115</v>
      </c>
      <c r="C38" s="69">
        <f>SUM('- 6 -'!B38:H38,B38)</f>
        <v>8780</v>
      </c>
      <c r="D38" s="69">
        <v>17</v>
      </c>
      <c r="E38" s="124"/>
      <c r="F38" s="69">
        <f t="shared" si="0"/>
        <v>8797</v>
      </c>
    </row>
    <row r="39" spans="1:6" ht="13.5" customHeight="1">
      <c r="A39" s="362" t="s">
        <v>243</v>
      </c>
      <c r="B39" s="389">
        <v>0</v>
      </c>
      <c r="C39" s="389">
        <f>SUM('- 6 -'!B39:H39,B39)</f>
        <v>1633</v>
      </c>
      <c r="D39" s="389">
        <v>0</v>
      </c>
      <c r="E39" s="124"/>
      <c r="F39" s="389">
        <f t="shared" si="0"/>
        <v>1633</v>
      </c>
    </row>
    <row r="40" spans="1:6" ht="13.5" customHeight="1">
      <c r="A40" s="23" t="s">
        <v>244</v>
      </c>
      <c r="B40" s="69">
        <v>519.7</v>
      </c>
      <c r="C40" s="69">
        <f>SUM('- 6 -'!B40:H40,B40)</f>
        <v>8342.6</v>
      </c>
      <c r="D40" s="69">
        <v>14</v>
      </c>
      <c r="E40" s="124"/>
      <c r="F40" s="69">
        <f t="shared" si="0"/>
        <v>8356.6</v>
      </c>
    </row>
    <row r="41" spans="1:6" ht="13.5" customHeight="1">
      <c r="A41" s="362" t="s">
        <v>245</v>
      </c>
      <c r="B41" s="389">
        <v>0</v>
      </c>
      <c r="C41" s="389">
        <f>SUM('- 6 -'!B41:H41,B41)</f>
        <v>4577</v>
      </c>
      <c r="D41" s="389">
        <v>52</v>
      </c>
      <c r="E41" s="124"/>
      <c r="F41" s="389">
        <f t="shared" si="0"/>
        <v>4629</v>
      </c>
    </row>
    <row r="42" spans="1:6" ht="13.5" customHeight="1">
      <c r="A42" s="23" t="s">
        <v>246</v>
      </c>
      <c r="B42" s="69">
        <v>144</v>
      </c>
      <c r="C42" s="69">
        <f>SUM('- 6 -'!B42:H42,B42)</f>
        <v>1628</v>
      </c>
      <c r="D42" s="69">
        <v>0</v>
      </c>
      <c r="E42" s="124"/>
      <c r="F42" s="69">
        <f t="shared" si="0"/>
        <v>1628</v>
      </c>
    </row>
    <row r="43" spans="1:6" ht="13.5" customHeight="1">
      <c r="A43" s="362" t="s">
        <v>247</v>
      </c>
      <c r="B43" s="389">
        <v>0</v>
      </c>
      <c r="C43" s="389">
        <f>SUM('- 6 -'!B43:H43,B43)</f>
        <v>1004.5</v>
      </c>
      <c r="D43" s="389">
        <v>0</v>
      </c>
      <c r="E43" s="124"/>
      <c r="F43" s="389">
        <f t="shared" si="0"/>
        <v>1004.5</v>
      </c>
    </row>
    <row r="44" spans="1:6" ht="13.5" customHeight="1">
      <c r="A44" s="23" t="s">
        <v>248</v>
      </c>
      <c r="B44" s="69">
        <v>0</v>
      </c>
      <c r="C44" s="69">
        <f>SUM('- 6 -'!B44:H44,B44)</f>
        <v>780</v>
      </c>
      <c r="D44" s="69">
        <v>0</v>
      </c>
      <c r="E44" s="124"/>
      <c r="F44" s="69">
        <f t="shared" si="0"/>
        <v>780</v>
      </c>
    </row>
    <row r="45" spans="1:6" ht="13.5" customHeight="1">
      <c r="A45" s="362" t="s">
        <v>249</v>
      </c>
      <c r="B45" s="389">
        <v>45</v>
      </c>
      <c r="C45" s="389">
        <f>SUM('- 6 -'!B45:H45,B45)</f>
        <v>1512</v>
      </c>
      <c r="D45" s="389">
        <v>8</v>
      </c>
      <c r="E45" s="124"/>
      <c r="F45" s="389">
        <f t="shared" si="0"/>
        <v>1520</v>
      </c>
    </row>
    <row r="46" spans="1:6" ht="13.5" customHeight="1">
      <c r="A46" s="23" t="s">
        <v>250</v>
      </c>
      <c r="B46" s="69">
        <v>546.5</v>
      </c>
      <c r="C46" s="69">
        <f>SUM('- 6 -'!B46:H46,B46)</f>
        <v>29153</v>
      </c>
      <c r="D46" s="69">
        <v>1238</v>
      </c>
      <c r="E46" s="124"/>
      <c r="F46" s="69">
        <f t="shared" si="0"/>
        <v>30391</v>
      </c>
    </row>
    <row r="47" spans="1:7" ht="4.5" customHeight="1">
      <c r="A47"/>
      <c r="B47"/>
      <c r="C47"/>
      <c r="D47"/>
      <c r="E47"/>
      <c r="F47"/>
      <c r="G47"/>
    </row>
    <row r="48" spans="1:6" ht="13.5" customHeight="1">
      <c r="A48" s="365" t="s">
        <v>251</v>
      </c>
      <c r="B48" s="390">
        <f>SUM(B11:B46)</f>
        <v>4241.725714285714</v>
      </c>
      <c r="C48" s="390">
        <f>SUM(C11:C46)</f>
        <v>169636.01142857142</v>
      </c>
      <c r="D48" s="390">
        <f>SUM(D11:D46)</f>
        <v>2629.5</v>
      </c>
      <c r="E48" s="125"/>
      <c r="F48" s="390">
        <f>SUM(F11:F46)</f>
        <v>172265.51142857142</v>
      </c>
    </row>
    <row r="49" spans="1:6" ht="4.5" customHeight="1">
      <c r="A49" s="25" t="s">
        <v>3</v>
      </c>
      <c r="B49" s="72"/>
      <c r="C49" s="72"/>
      <c r="D49" s="72"/>
      <c r="E49" s="123"/>
      <c r="F49" s="72"/>
    </row>
    <row r="50" spans="1:6" ht="13.5" customHeight="1">
      <c r="A50" s="23" t="s">
        <v>252</v>
      </c>
      <c r="B50" s="69">
        <v>0</v>
      </c>
      <c r="C50" s="69">
        <f>SUM('- 6 -'!B50:H50,B50)</f>
        <v>213.5</v>
      </c>
      <c r="D50" s="69">
        <v>0</v>
      </c>
      <c r="E50" s="124"/>
      <c r="F50" s="69">
        <f>C50+D50</f>
        <v>213.5</v>
      </c>
    </row>
    <row r="51" spans="1:6" ht="13.5" customHeight="1">
      <c r="A51" s="362" t="s">
        <v>253</v>
      </c>
      <c r="B51" s="389">
        <v>587</v>
      </c>
      <c r="C51" s="389">
        <f>SUM('- 6 -'!B51:H51,B51)</f>
        <v>624</v>
      </c>
      <c r="D51" s="389">
        <v>0</v>
      </c>
      <c r="E51" s="124"/>
      <c r="F51" s="389">
        <f>C51+D51</f>
        <v>624</v>
      </c>
    </row>
    <row r="52" spans="1:7" ht="49.5" customHeight="1">
      <c r="A52"/>
      <c r="B52"/>
      <c r="C52"/>
      <c r="D52"/>
      <c r="E52"/>
      <c r="F52"/>
      <c r="G52"/>
    </row>
    <row r="53" spans="1:7" ht="15" customHeight="1">
      <c r="A53"/>
      <c r="B53"/>
      <c r="C53"/>
      <c r="D53"/>
      <c r="E53"/>
      <c r="F53"/>
      <c r="G53"/>
    </row>
    <row r="54" spans="1:7" ht="12" customHeight="1">
      <c r="A54"/>
      <c r="B54"/>
      <c r="C54"/>
      <c r="D54"/>
      <c r="E54"/>
      <c r="F54"/>
      <c r="G54"/>
    </row>
    <row r="55" ht="14.25" customHeight="1"/>
    <row r="56" ht="14.25" customHeight="1"/>
    <row r="57" ht="14.25" customHeight="1"/>
    <row r="58" ht="14.25" customHeight="1"/>
    <row r="59" ht="14.25" customHeight="1"/>
  </sheetData>
  <mergeCells count="2">
    <mergeCell ref="F6:F7"/>
    <mergeCell ref="B6:C7"/>
  </mergeCells>
  <printOptions horizontalCentered="1"/>
  <pageMargins left="0.5" right="0.5" top="0.6" bottom="0" header="0.3" footer="0"/>
  <pageSetup fitToHeight="1" fitToWidth="1" horizontalDpi="600" verticalDpi="600" orientation="portrait"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sheetPr codeName="Sheet611">
    <pageSetUpPr fitToPage="1"/>
  </sheetPr>
  <dimension ref="A1:H64"/>
  <sheetViews>
    <sheetView showGridLines="0" showZeros="0" workbookViewId="0" topLeftCell="A1">
      <selection activeCell="A1" sqref="A1"/>
    </sheetView>
  </sheetViews>
  <sheetFormatPr defaultColWidth="14.83203125" defaultRowHeight="12"/>
  <cols>
    <col min="1" max="1" width="26.83203125" style="1" customWidth="1"/>
    <col min="2" max="2" width="15.83203125" style="1" customWidth="1"/>
    <col min="3" max="3" width="17.83203125" style="1" customWidth="1"/>
    <col min="4" max="4" width="19.83203125" style="1" customWidth="1"/>
    <col min="5" max="6" width="18.83203125" style="1" customWidth="1"/>
    <col min="7" max="7" width="16.83203125" style="1" customWidth="1"/>
    <col min="8" max="16384" width="14.83203125" style="1" customWidth="1"/>
  </cols>
  <sheetData>
    <row r="1" spans="1:4" ht="6.75" customHeight="1">
      <c r="A1" s="3"/>
      <c r="B1" s="4"/>
      <c r="C1" s="4"/>
      <c r="D1" s="4"/>
    </row>
    <row r="2" spans="1:7" ht="18" customHeight="1">
      <c r="A2" s="288"/>
      <c r="B2" s="288" t="s">
        <v>527</v>
      </c>
      <c r="C2" s="514"/>
      <c r="D2" s="514"/>
      <c r="E2" s="514"/>
      <c r="F2" s="514"/>
      <c r="G2" s="515" t="s">
        <v>315</v>
      </c>
    </row>
    <row r="3" spans="1:7" ht="3.75" customHeight="1">
      <c r="A3" s="289"/>
      <c r="B3" s="290"/>
      <c r="C3" s="290"/>
      <c r="D3" s="290"/>
      <c r="E3" s="290"/>
      <c r="F3" s="290"/>
      <c r="G3" s="303"/>
    </row>
    <row r="4" spans="1:7" ht="15" customHeight="1">
      <c r="A4" s="304"/>
      <c r="B4" s="477" t="s">
        <v>528</v>
      </c>
      <c r="C4" s="478"/>
      <c r="D4" s="478"/>
      <c r="E4" s="478"/>
      <c r="F4" s="478"/>
      <c r="G4" s="479"/>
    </row>
    <row r="5" spans="1:7" ht="13.5" customHeight="1">
      <c r="A5" s="296"/>
      <c r="B5" s="298"/>
      <c r="C5" s="298"/>
      <c r="D5" s="298"/>
      <c r="E5" s="298"/>
      <c r="F5" s="298" t="s">
        <v>439</v>
      </c>
      <c r="G5" s="298"/>
    </row>
    <row r="6" spans="1:7" ht="13.5" customHeight="1">
      <c r="A6" s="296"/>
      <c r="B6" s="298"/>
      <c r="C6" s="298" t="s">
        <v>262</v>
      </c>
      <c r="D6" s="298"/>
      <c r="E6" s="298"/>
      <c r="F6" s="298" t="s">
        <v>167</v>
      </c>
      <c r="G6" s="298"/>
    </row>
    <row r="7" spans="1:7" ht="13.5" customHeight="1">
      <c r="A7" s="296"/>
      <c r="B7" s="298"/>
      <c r="C7" s="298" t="s">
        <v>267</v>
      </c>
      <c r="D7" s="298"/>
      <c r="E7" s="298" t="s">
        <v>261</v>
      </c>
      <c r="F7" s="298" t="s">
        <v>271</v>
      </c>
      <c r="G7" s="298"/>
    </row>
    <row r="8" spans="1:7" ht="13.5" customHeight="1">
      <c r="A8" s="296"/>
      <c r="B8" s="298" t="s">
        <v>169</v>
      </c>
      <c r="C8" s="298" t="s">
        <v>136</v>
      </c>
      <c r="D8" s="298" t="s">
        <v>23</v>
      </c>
      <c r="E8" s="298" t="s">
        <v>52</v>
      </c>
      <c r="F8" s="298" t="s">
        <v>268</v>
      </c>
      <c r="G8" s="298" t="s">
        <v>54</v>
      </c>
    </row>
    <row r="9" spans="1:7" ht="13.5" customHeight="1">
      <c r="A9" s="17"/>
      <c r="B9" s="298" t="s">
        <v>263</v>
      </c>
      <c r="C9" s="298" t="s">
        <v>264</v>
      </c>
      <c r="D9" s="298" t="s">
        <v>265</v>
      </c>
      <c r="E9" s="298" t="s">
        <v>266</v>
      </c>
      <c r="F9" s="298" t="s">
        <v>269</v>
      </c>
      <c r="G9" s="298" t="s">
        <v>270</v>
      </c>
    </row>
    <row r="10" spans="1:7" ht="13.5" customHeight="1">
      <c r="A10" s="19" t="s">
        <v>79</v>
      </c>
      <c r="B10" s="480" t="s">
        <v>324</v>
      </c>
      <c r="C10" s="480" t="s">
        <v>328</v>
      </c>
      <c r="D10" s="480" t="s">
        <v>329</v>
      </c>
      <c r="E10" s="305" t="s">
        <v>523</v>
      </c>
      <c r="F10" s="305" t="s">
        <v>260</v>
      </c>
      <c r="G10" s="305" t="s">
        <v>260</v>
      </c>
    </row>
    <row r="11" spans="1:8" ht="4.5" customHeight="1">
      <c r="A11" s="22"/>
      <c r="C11" s="278"/>
      <c r="D11" s="254"/>
      <c r="E11" s="3"/>
      <c r="H11" s="213"/>
    </row>
    <row r="12" spans="1:8" ht="13.5" customHeight="1">
      <c r="A12" s="362" t="s">
        <v>216</v>
      </c>
      <c r="B12" s="363">
        <v>520098</v>
      </c>
      <c r="C12" s="363">
        <v>0</v>
      </c>
      <c r="D12" s="363">
        <v>51061</v>
      </c>
      <c r="E12" s="363">
        <v>49588</v>
      </c>
      <c r="F12" s="363">
        <v>-20900</v>
      </c>
      <c r="G12" s="363">
        <f>SUM(B12:F12)</f>
        <v>599847</v>
      </c>
      <c r="H12" s="538"/>
    </row>
    <row r="13" spans="1:8" ht="13.5" customHeight="1">
      <c r="A13" s="23" t="s">
        <v>217</v>
      </c>
      <c r="B13" s="24">
        <v>880959</v>
      </c>
      <c r="C13" s="24">
        <v>0</v>
      </c>
      <c r="D13" s="24">
        <v>65933</v>
      </c>
      <c r="E13" s="24">
        <v>65705</v>
      </c>
      <c r="F13" s="24">
        <v>-33680</v>
      </c>
      <c r="G13" s="24">
        <f aca="true" t="shared" si="0" ref="G13:G47">SUM(B13:F13)</f>
        <v>978917</v>
      </c>
      <c r="H13" s="539"/>
    </row>
    <row r="14" spans="1:8" ht="13.5" customHeight="1">
      <c r="A14" s="362" t="s">
        <v>218</v>
      </c>
      <c r="B14" s="363">
        <v>1973100</v>
      </c>
      <c r="C14" s="363">
        <v>0</v>
      </c>
      <c r="D14" s="363">
        <v>157700</v>
      </c>
      <c r="E14" s="363">
        <v>200900</v>
      </c>
      <c r="F14" s="363">
        <v>-54500</v>
      </c>
      <c r="G14" s="363">
        <f t="shared" si="0"/>
        <v>2277200</v>
      </c>
      <c r="H14" s="538"/>
    </row>
    <row r="15" spans="1:8" ht="13.5" customHeight="1">
      <c r="A15" s="23" t="s">
        <v>254</v>
      </c>
      <c r="B15" s="24"/>
      <c r="C15" s="24"/>
      <c r="D15" s="24"/>
      <c r="E15" s="24"/>
      <c r="F15" s="24"/>
      <c r="G15" s="24"/>
      <c r="H15" s="539"/>
    </row>
    <row r="16" spans="1:8" ht="13.5" customHeight="1">
      <c r="A16" s="362" t="s">
        <v>219</v>
      </c>
      <c r="B16" s="363">
        <v>636130</v>
      </c>
      <c r="C16" s="363">
        <v>0</v>
      </c>
      <c r="D16" s="363">
        <v>61455</v>
      </c>
      <c r="E16" s="363">
        <v>61655</v>
      </c>
      <c r="F16" s="363">
        <v>-22000</v>
      </c>
      <c r="G16" s="363">
        <f t="shared" si="0"/>
        <v>737240</v>
      </c>
      <c r="H16" s="538"/>
    </row>
    <row r="17" spans="1:8" ht="13.5" customHeight="1">
      <c r="A17" s="23" t="s">
        <v>220</v>
      </c>
      <c r="B17" s="24">
        <v>575791</v>
      </c>
      <c r="C17" s="24">
        <v>0</v>
      </c>
      <c r="D17" s="24">
        <v>0</v>
      </c>
      <c r="E17" s="24">
        <v>53020</v>
      </c>
      <c r="F17" s="24">
        <v>-21000</v>
      </c>
      <c r="G17" s="24">
        <f t="shared" si="0"/>
        <v>607811</v>
      </c>
      <c r="H17" s="539"/>
    </row>
    <row r="18" spans="1:8" ht="13.5" customHeight="1">
      <c r="A18" s="362" t="s">
        <v>221</v>
      </c>
      <c r="B18" s="363">
        <v>601475</v>
      </c>
      <c r="C18" s="363">
        <v>0</v>
      </c>
      <c r="D18" s="363">
        <v>49270</v>
      </c>
      <c r="E18" s="363">
        <v>82820</v>
      </c>
      <c r="F18" s="363">
        <v>-23200</v>
      </c>
      <c r="G18" s="363">
        <f t="shared" si="0"/>
        <v>710365</v>
      </c>
      <c r="H18" s="538"/>
    </row>
    <row r="19" spans="1:8" ht="13.5" customHeight="1">
      <c r="A19" s="23" t="s">
        <v>222</v>
      </c>
      <c r="B19" s="24"/>
      <c r="C19" s="24"/>
      <c r="D19" s="24"/>
      <c r="E19" s="24"/>
      <c r="F19" s="24"/>
      <c r="G19" s="24"/>
      <c r="H19" s="539"/>
    </row>
    <row r="20" spans="1:8" ht="13.5" customHeight="1">
      <c r="A20" s="362" t="s">
        <v>223</v>
      </c>
      <c r="B20" s="363">
        <v>988910</v>
      </c>
      <c r="C20" s="363">
        <v>0</v>
      </c>
      <c r="D20" s="363">
        <v>34500</v>
      </c>
      <c r="E20" s="363">
        <v>83125</v>
      </c>
      <c r="F20" s="363">
        <v>-30000</v>
      </c>
      <c r="G20" s="363">
        <f t="shared" si="0"/>
        <v>1076535</v>
      </c>
      <c r="H20" s="538"/>
    </row>
    <row r="21" spans="1:8" ht="13.5" customHeight="1">
      <c r="A21" s="23" t="s">
        <v>224</v>
      </c>
      <c r="B21" s="24">
        <v>1561753</v>
      </c>
      <c r="C21" s="24">
        <v>15804</v>
      </c>
      <c r="D21" s="24">
        <v>164152</v>
      </c>
      <c r="E21" s="24">
        <v>108762</v>
      </c>
      <c r="F21" s="24">
        <v>-56000</v>
      </c>
      <c r="G21" s="24">
        <f t="shared" si="0"/>
        <v>1794471</v>
      </c>
      <c r="H21" s="539"/>
    </row>
    <row r="22" spans="1:8" ht="13.5" customHeight="1">
      <c r="A22" s="362" t="s">
        <v>225</v>
      </c>
      <c r="B22" s="363">
        <v>1039000</v>
      </c>
      <c r="C22" s="363">
        <v>0</v>
      </c>
      <c r="D22" s="363">
        <v>125000</v>
      </c>
      <c r="E22" s="363">
        <v>150000</v>
      </c>
      <c r="F22" s="363">
        <v>-35000</v>
      </c>
      <c r="G22" s="363">
        <f t="shared" si="0"/>
        <v>1279000</v>
      </c>
      <c r="H22" s="538"/>
    </row>
    <row r="23" spans="1:8" ht="13.5" customHeight="1">
      <c r="A23" s="23" t="s">
        <v>226</v>
      </c>
      <c r="B23" s="24">
        <v>634110</v>
      </c>
      <c r="C23" s="24">
        <v>6000</v>
      </c>
      <c r="D23" s="24">
        <v>71410</v>
      </c>
      <c r="E23" s="24">
        <v>73260</v>
      </c>
      <c r="F23" s="24">
        <v>-25000</v>
      </c>
      <c r="G23" s="24">
        <f t="shared" si="0"/>
        <v>759780</v>
      </c>
      <c r="H23" s="539"/>
    </row>
    <row r="24" spans="1:8" ht="13.5" customHeight="1">
      <c r="A24" s="362" t="s">
        <v>227</v>
      </c>
      <c r="B24" s="363">
        <v>442450</v>
      </c>
      <c r="C24" s="363">
        <v>0</v>
      </c>
      <c r="D24" s="363">
        <v>53700</v>
      </c>
      <c r="E24" s="363">
        <v>50100</v>
      </c>
      <c r="F24" s="363">
        <v>-23000</v>
      </c>
      <c r="G24" s="363">
        <f t="shared" si="0"/>
        <v>523250</v>
      </c>
      <c r="H24" s="538"/>
    </row>
    <row r="25" spans="1:8" ht="13.5" customHeight="1">
      <c r="A25" s="23" t="s">
        <v>228</v>
      </c>
      <c r="B25" s="24">
        <v>1424550</v>
      </c>
      <c r="C25" s="24">
        <v>0</v>
      </c>
      <c r="D25" s="24">
        <v>141560</v>
      </c>
      <c r="E25" s="24">
        <v>178390</v>
      </c>
      <c r="F25" s="24">
        <v>-46400</v>
      </c>
      <c r="G25" s="24">
        <f t="shared" si="0"/>
        <v>1698100</v>
      </c>
      <c r="H25" s="539"/>
    </row>
    <row r="26" spans="1:8" ht="13.5" customHeight="1">
      <c r="A26" s="362" t="s">
        <v>229</v>
      </c>
      <c r="B26" s="363">
        <v>4308700</v>
      </c>
      <c r="C26" s="363">
        <v>116391</v>
      </c>
      <c r="D26" s="363">
        <v>264835</v>
      </c>
      <c r="E26" s="363">
        <v>584231</v>
      </c>
      <c r="F26" s="363">
        <v>-175234</v>
      </c>
      <c r="G26" s="363">
        <f t="shared" si="0"/>
        <v>5098923</v>
      </c>
      <c r="H26" s="538"/>
    </row>
    <row r="27" spans="1:8" ht="13.5" customHeight="1">
      <c r="A27" s="23" t="s">
        <v>230</v>
      </c>
      <c r="B27" s="24">
        <v>1002677</v>
      </c>
      <c r="C27" s="24">
        <v>12374</v>
      </c>
      <c r="D27" s="24">
        <v>147941</v>
      </c>
      <c r="E27" s="24">
        <v>132182</v>
      </c>
      <c r="F27" s="24">
        <v>-40000</v>
      </c>
      <c r="G27" s="24">
        <f t="shared" si="0"/>
        <v>1255174</v>
      </c>
      <c r="H27" s="539"/>
    </row>
    <row r="28" spans="1:8" ht="13.5" customHeight="1">
      <c r="A28" s="362" t="s">
        <v>231</v>
      </c>
      <c r="B28" s="363">
        <v>1491680</v>
      </c>
      <c r="C28" s="363">
        <v>148750</v>
      </c>
      <c r="D28" s="363">
        <v>0</v>
      </c>
      <c r="E28" s="363">
        <v>173128</v>
      </c>
      <c r="F28" s="363">
        <v>-54000</v>
      </c>
      <c r="G28" s="363">
        <f t="shared" si="0"/>
        <v>1759558</v>
      </c>
      <c r="H28" s="538"/>
    </row>
    <row r="29" spans="1:8" ht="13.5" customHeight="1">
      <c r="A29" s="23" t="s">
        <v>232</v>
      </c>
      <c r="B29" s="24">
        <v>711827</v>
      </c>
      <c r="C29" s="24">
        <v>0</v>
      </c>
      <c r="D29" s="24">
        <v>50944</v>
      </c>
      <c r="E29" s="24">
        <v>48504</v>
      </c>
      <c r="F29" s="24">
        <v>-12000</v>
      </c>
      <c r="G29" s="24">
        <f t="shared" si="0"/>
        <v>799275</v>
      </c>
      <c r="H29" s="539"/>
    </row>
    <row r="30" spans="1:8" ht="13.5" customHeight="1">
      <c r="A30" s="362" t="s">
        <v>233</v>
      </c>
      <c r="B30" s="363">
        <v>4026068</v>
      </c>
      <c r="C30" s="363">
        <v>315653</v>
      </c>
      <c r="D30" s="363">
        <v>211846</v>
      </c>
      <c r="E30" s="363">
        <v>725563</v>
      </c>
      <c r="F30" s="363">
        <v>-666133</v>
      </c>
      <c r="G30" s="363">
        <f t="shared" si="0"/>
        <v>4612997</v>
      </c>
      <c r="H30" s="538"/>
    </row>
    <row r="31" spans="1:8" ht="13.5" customHeight="1">
      <c r="A31" s="23" t="s">
        <v>234</v>
      </c>
      <c r="B31" s="24">
        <v>439467</v>
      </c>
      <c r="C31" s="24">
        <v>0</v>
      </c>
      <c r="D31" s="24">
        <v>48783</v>
      </c>
      <c r="E31" s="24">
        <v>48783</v>
      </c>
      <c r="F31" s="24">
        <v>-20000</v>
      </c>
      <c r="G31" s="24">
        <f t="shared" si="0"/>
        <v>517033</v>
      </c>
      <c r="H31" s="539"/>
    </row>
    <row r="32" spans="1:8" ht="13.5" customHeight="1">
      <c r="A32" s="362" t="s">
        <v>235</v>
      </c>
      <c r="B32" s="363">
        <v>920222</v>
      </c>
      <c r="C32" s="363">
        <v>0</v>
      </c>
      <c r="D32" s="363">
        <v>64592</v>
      </c>
      <c r="E32" s="363">
        <v>195133</v>
      </c>
      <c r="F32" s="363">
        <v>-40000</v>
      </c>
      <c r="G32" s="363">
        <f t="shared" si="0"/>
        <v>1139947</v>
      </c>
      <c r="H32" s="538"/>
    </row>
    <row r="33" spans="1:8" ht="13.5" customHeight="1">
      <c r="A33" s="23" t="s">
        <v>236</v>
      </c>
      <c r="B33" s="24">
        <v>938350</v>
      </c>
      <c r="C33" s="24">
        <v>0</v>
      </c>
      <c r="D33" s="24">
        <v>52650</v>
      </c>
      <c r="E33" s="24">
        <v>52900</v>
      </c>
      <c r="F33" s="24">
        <v>-30000</v>
      </c>
      <c r="G33" s="24">
        <f t="shared" si="0"/>
        <v>1013900</v>
      </c>
      <c r="H33" s="539"/>
    </row>
    <row r="34" spans="1:8" ht="13.5" customHeight="1">
      <c r="A34" s="362" t="s">
        <v>237</v>
      </c>
      <c r="B34" s="363">
        <v>911900</v>
      </c>
      <c r="C34" s="363">
        <v>32400</v>
      </c>
      <c r="D34" s="363">
        <v>47300</v>
      </c>
      <c r="E34" s="363">
        <v>66100</v>
      </c>
      <c r="F34" s="363">
        <v>-82000</v>
      </c>
      <c r="G34" s="363">
        <f t="shared" si="0"/>
        <v>975700</v>
      </c>
      <c r="H34" s="538"/>
    </row>
    <row r="35" spans="1:8" ht="13.5" customHeight="1">
      <c r="A35" s="23" t="s">
        <v>238</v>
      </c>
      <c r="B35" s="24">
        <v>904361</v>
      </c>
      <c r="C35" s="24">
        <v>5857</v>
      </c>
      <c r="D35" s="24">
        <v>48377</v>
      </c>
      <c r="E35" s="24">
        <v>55554</v>
      </c>
      <c r="F35" s="24">
        <v>-35100</v>
      </c>
      <c r="G35" s="24">
        <f t="shared" si="0"/>
        <v>979049</v>
      </c>
      <c r="H35" s="539"/>
    </row>
    <row r="36" spans="1:8" ht="13.5" customHeight="1">
      <c r="A36" s="362" t="s">
        <v>239</v>
      </c>
      <c r="B36" s="363">
        <v>4399630</v>
      </c>
      <c r="C36" s="363">
        <v>319000</v>
      </c>
      <c r="D36" s="363">
        <v>307600</v>
      </c>
      <c r="E36" s="363">
        <v>672350</v>
      </c>
      <c r="F36" s="363">
        <v>-50000</v>
      </c>
      <c r="G36" s="363">
        <f t="shared" si="0"/>
        <v>5648580</v>
      </c>
      <c r="H36" s="538"/>
    </row>
    <row r="37" spans="1:8" ht="13.5" customHeight="1">
      <c r="A37" s="23" t="s">
        <v>240</v>
      </c>
      <c r="B37" s="24">
        <v>771950</v>
      </c>
      <c r="C37" s="24">
        <v>36555</v>
      </c>
      <c r="D37" s="24">
        <v>49815</v>
      </c>
      <c r="E37" s="24">
        <v>50485</v>
      </c>
      <c r="F37" s="24">
        <v>-28000</v>
      </c>
      <c r="G37" s="24">
        <f t="shared" si="0"/>
        <v>880805</v>
      </c>
      <c r="H37" s="539"/>
    </row>
    <row r="38" spans="1:8" ht="13.5" customHeight="1">
      <c r="A38" s="362" t="s">
        <v>241</v>
      </c>
      <c r="B38" s="363">
        <v>1161569</v>
      </c>
      <c r="C38" s="363">
        <v>42405</v>
      </c>
      <c r="D38" s="363">
        <v>136546</v>
      </c>
      <c r="E38" s="363">
        <v>100988</v>
      </c>
      <c r="F38" s="363">
        <v>-32000</v>
      </c>
      <c r="G38" s="363">
        <f t="shared" si="0"/>
        <v>1409508</v>
      </c>
      <c r="H38" s="538"/>
    </row>
    <row r="39" spans="1:8" ht="13.5" customHeight="1">
      <c r="A39" s="23" t="s">
        <v>242</v>
      </c>
      <c r="B39" s="24">
        <v>2495595</v>
      </c>
      <c r="C39" s="24">
        <v>66273</v>
      </c>
      <c r="D39" s="24">
        <v>222378</v>
      </c>
      <c r="E39" s="24">
        <v>362706</v>
      </c>
      <c r="F39" s="24">
        <v>-36000</v>
      </c>
      <c r="G39" s="24">
        <f t="shared" si="0"/>
        <v>3110952</v>
      </c>
      <c r="H39" s="539"/>
    </row>
    <row r="40" spans="1:8" ht="13.5" customHeight="1">
      <c r="A40" s="362" t="s">
        <v>243</v>
      </c>
      <c r="B40" s="363">
        <v>671075</v>
      </c>
      <c r="C40" s="363">
        <v>0</v>
      </c>
      <c r="D40" s="363">
        <v>63590</v>
      </c>
      <c r="E40" s="363">
        <v>61500</v>
      </c>
      <c r="F40" s="363">
        <v>0</v>
      </c>
      <c r="G40" s="363">
        <f t="shared" si="0"/>
        <v>796165</v>
      </c>
      <c r="H40" s="538"/>
    </row>
    <row r="41" spans="1:8" ht="13.5" customHeight="1">
      <c r="A41" s="23" t="s">
        <v>244</v>
      </c>
      <c r="B41" s="24">
        <v>3075971</v>
      </c>
      <c r="C41" s="24">
        <v>0</v>
      </c>
      <c r="D41" s="24">
        <v>106276</v>
      </c>
      <c r="E41" s="24">
        <v>264840</v>
      </c>
      <c r="F41" s="24">
        <v>-251479</v>
      </c>
      <c r="G41" s="24">
        <f t="shared" si="0"/>
        <v>3195608</v>
      </c>
      <c r="H41" s="539"/>
    </row>
    <row r="42" spans="1:8" ht="13.5" customHeight="1">
      <c r="A42" s="362" t="s">
        <v>245</v>
      </c>
      <c r="B42" s="363">
        <v>1990137</v>
      </c>
      <c r="C42" s="363">
        <v>23584</v>
      </c>
      <c r="D42" s="363">
        <v>314223</v>
      </c>
      <c r="E42" s="363">
        <v>146655</v>
      </c>
      <c r="F42" s="363">
        <v>-251000</v>
      </c>
      <c r="G42" s="363">
        <f t="shared" si="0"/>
        <v>2223599</v>
      </c>
      <c r="H42" s="538"/>
    </row>
    <row r="43" spans="1:8" ht="13.5" customHeight="1">
      <c r="A43" s="23" t="s">
        <v>246</v>
      </c>
      <c r="B43" s="24">
        <v>702483</v>
      </c>
      <c r="C43" s="24">
        <v>0</v>
      </c>
      <c r="D43" s="24">
        <v>72936</v>
      </c>
      <c r="E43" s="24">
        <v>57470</v>
      </c>
      <c r="F43" s="24">
        <v>-30047</v>
      </c>
      <c r="G43" s="24">
        <f t="shared" si="0"/>
        <v>802842</v>
      </c>
      <c r="H43" s="539"/>
    </row>
    <row r="44" spans="1:8" ht="13.5" customHeight="1">
      <c r="A44" s="362" t="s">
        <v>247</v>
      </c>
      <c r="B44" s="363">
        <v>515540</v>
      </c>
      <c r="C44" s="363">
        <v>0</v>
      </c>
      <c r="D44" s="363">
        <v>12645</v>
      </c>
      <c r="E44" s="363">
        <v>43043</v>
      </c>
      <c r="F44" s="363">
        <v>-16000</v>
      </c>
      <c r="G44" s="363">
        <f t="shared" si="0"/>
        <v>555228</v>
      </c>
      <c r="H44" s="538"/>
    </row>
    <row r="45" spans="1:8" ht="13.5" customHeight="1">
      <c r="A45" s="23" t="s">
        <v>248</v>
      </c>
      <c r="B45" s="24">
        <v>365913</v>
      </c>
      <c r="C45" s="24">
        <v>0</v>
      </c>
      <c r="D45" s="24">
        <v>23212</v>
      </c>
      <c r="E45" s="24">
        <v>21412</v>
      </c>
      <c r="F45" s="24">
        <v>-14000</v>
      </c>
      <c r="G45" s="24">
        <f t="shared" si="0"/>
        <v>396537</v>
      </c>
      <c r="H45" s="539"/>
    </row>
    <row r="46" spans="1:8" ht="13.5" customHeight="1">
      <c r="A46" s="362" t="s">
        <v>249</v>
      </c>
      <c r="B46" s="363">
        <v>487000</v>
      </c>
      <c r="C46" s="363">
        <v>24428</v>
      </c>
      <c r="D46" s="363">
        <v>20392</v>
      </c>
      <c r="E46" s="363">
        <v>44415</v>
      </c>
      <c r="F46" s="363">
        <v>-18001</v>
      </c>
      <c r="G46" s="363">
        <f t="shared" si="0"/>
        <v>558234</v>
      </c>
      <c r="H46" s="538"/>
    </row>
    <row r="47" spans="1:8" ht="13.5" customHeight="1">
      <c r="A47" s="23" t="s">
        <v>250</v>
      </c>
      <c r="B47" s="24">
        <v>8640400</v>
      </c>
      <c r="C47" s="24">
        <v>175400</v>
      </c>
      <c r="D47" s="24">
        <v>218200</v>
      </c>
      <c r="E47" s="24">
        <v>1004200</v>
      </c>
      <c r="F47" s="24">
        <v>-160000</v>
      </c>
      <c r="G47" s="24">
        <f t="shared" si="0"/>
        <v>9878200</v>
      </c>
      <c r="H47" s="539"/>
    </row>
    <row r="48" spans="1:8" ht="4.5" customHeight="1">
      <c r="A48"/>
      <c r="B48"/>
      <c r="C48"/>
      <c r="D48"/>
      <c r="E48"/>
      <c r="F48"/>
      <c r="G48"/>
      <c r="H48" s="123"/>
    </row>
    <row r="49" spans="1:8" ht="13.5" customHeight="1">
      <c r="A49" s="365" t="s">
        <v>251</v>
      </c>
      <c r="B49" s="366">
        <f aca="true" t="shared" si="1" ref="B49:G49">SUM(B12:B47)</f>
        <v>52210841</v>
      </c>
      <c r="C49" s="366">
        <f t="shared" si="1"/>
        <v>1340874</v>
      </c>
      <c r="D49" s="366">
        <f t="shared" si="1"/>
        <v>3460822</v>
      </c>
      <c r="E49" s="366">
        <f t="shared" si="1"/>
        <v>6069467</v>
      </c>
      <c r="F49" s="366">
        <f t="shared" si="1"/>
        <v>-2431674</v>
      </c>
      <c r="G49" s="366">
        <f t="shared" si="1"/>
        <v>60650330</v>
      </c>
      <c r="H49" s="541"/>
    </row>
    <row r="50" spans="1:8" ht="4.5" customHeight="1">
      <c r="A50" s="25" t="s">
        <v>3</v>
      </c>
      <c r="B50" s="26"/>
      <c r="C50" s="26"/>
      <c r="D50" s="26"/>
      <c r="E50" s="26"/>
      <c r="F50" s="26"/>
      <c r="G50" s="26"/>
      <c r="H50" s="540"/>
    </row>
    <row r="51" spans="1:8" ht="13.5" customHeight="1">
      <c r="A51" s="23" t="s">
        <v>252</v>
      </c>
      <c r="B51" s="24">
        <v>111443</v>
      </c>
      <c r="C51" s="24">
        <v>0</v>
      </c>
      <c r="D51" s="24">
        <v>0</v>
      </c>
      <c r="E51" s="24">
        <v>4871</v>
      </c>
      <c r="F51" s="24"/>
      <c r="G51" s="24">
        <f>SUM(B51:F51)</f>
        <v>116314</v>
      </c>
      <c r="H51" s="539"/>
    </row>
    <row r="52" spans="1:8" ht="13.5" customHeight="1">
      <c r="A52" s="362" t="s">
        <v>320</v>
      </c>
      <c r="B52" s="363"/>
      <c r="C52" s="363"/>
      <c r="D52" s="363"/>
      <c r="E52" s="363"/>
      <c r="F52" s="363"/>
      <c r="G52" s="363"/>
      <c r="H52" s="538"/>
    </row>
    <row r="53" spans="1:8" ht="12" customHeight="1">
      <c r="A53" s="27"/>
      <c r="B53" s="27"/>
      <c r="C53" s="27"/>
      <c r="D53" s="27"/>
      <c r="E53" s="27"/>
      <c r="F53" s="27"/>
      <c r="G53" s="27"/>
      <c r="H53" s="213"/>
    </row>
    <row r="54" spans="1:7" ht="14.25" customHeight="1">
      <c r="A54" s="331" t="s">
        <v>522</v>
      </c>
      <c r="B54" s="306"/>
      <c r="C54" s="306"/>
      <c r="D54" s="306"/>
      <c r="E54" s="306"/>
      <c r="F54" s="306"/>
      <c r="G54" s="306"/>
    </row>
    <row r="55" spans="1:7" ht="12" customHeight="1">
      <c r="A55" s="301" t="s">
        <v>397</v>
      </c>
      <c r="B55" s="306"/>
      <c r="C55" s="306"/>
      <c r="D55" s="306"/>
      <c r="E55" s="306"/>
      <c r="F55" s="306"/>
      <c r="G55" s="306"/>
    </row>
    <row r="56" spans="1:4" ht="12" customHeight="1">
      <c r="A56" s="28" t="s">
        <v>399</v>
      </c>
      <c r="B56" s="39"/>
      <c r="C56" s="39"/>
      <c r="D56" s="39"/>
    </row>
    <row r="57" spans="1:4" ht="12" customHeight="1">
      <c r="A57" s="28" t="s">
        <v>379</v>
      </c>
      <c r="B57" s="39"/>
      <c r="C57" s="39"/>
      <c r="D57" s="39"/>
    </row>
    <row r="58" spans="1:4" ht="12" customHeight="1">
      <c r="A58" s="166" t="s">
        <v>521</v>
      </c>
      <c r="B58" s="39"/>
      <c r="C58" s="39"/>
      <c r="D58" s="39"/>
    </row>
    <row r="59" spans="1:4" ht="12" customHeight="1">
      <c r="A59" s="166" t="s">
        <v>544</v>
      </c>
      <c r="B59" s="39"/>
      <c r="C59" s="39"/>
      <c r="D59" s="39"/>
    </row>
    <row r="60" spans="1:4" ht="12" customHeight="1">
      <c r="A60" s="166" t="s">
        <v>543</v>
      </c>
      <c r="B60" s="39"/>
      <c r="C60" s="39"/>
      <c r="D60" s="39"/>
    </row>
    <row r="61" spans="1:4" ht="12" customHeight="1">
      <c r="A61" s="331" t="s">
        <v>524</v>
      </c>
      <c r="B61" s="39"/>
      <c r="C61" s="39"/>
      <c r="D61" s="39"/>
    </row>
    <row r="62" ht="12" customHeight="1">
      <c r="A62" s="331" t="s">
        <v>378</v>
      </c>
    </row>
    <row r="63" ht="12" customHeight="1">
      <c r="A63" s="331" t="s">
        <v>525</v>
      </c>
    </row>
    <row r="64" ht="12" customHeight="1">
      <c r="A64" s="331" t="s">
        <v>526</v>
      </c>
    </row>
  </sheetData>
  <printOptions horizontalCentered="1"/>
  <pageMargins left="0.5118110236220472" right="0.5118110236220472" top="0.5905511811023623" bottom="0" header="0.31496062992125984" footer="0"/>
  <pageSetup fitToHeight="1" fitToWidth="1" horizontalDpi="600" verticalDpi="600" orientation="portrait" scale="10"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sheetPr codeName="Sheet6111">
    <pageSetUpPr fitToPage="1"/>
  </sheetPr>
  <dimension ref="A1:H60"/>
  <sheetViews>
    <sheetView showGridLines="0" showZeros="0" workbookViewId="0" topLeftCell="A1">
      <selection activeCell="A1" sqref="A1"/>
    </sheetView>
  </sheetViews>
  <sheetFormatPr defaultColWidth="14.83203125" defaultRowHeight="12"/>
  <cols>
    <col min="1" max="1" width="26.83203125" style="1" customWidth="1"/>
    <col min="2" max="2" width="16.83203125" style="1" customWidth="1"/>
    <col min="3" max="3" width="17.83203125" style="1" customWidth="1"/>
    <col min="4" max="4" width="18.83203125" style="1" customWidth="1"/>
    <col min="5" max="5" width="16.83203125" style="1" customWidth="1"/>
    <col min="6" max="7" width="18.83203125" style="1" customWidth="1"/>
    <col min="8" max="16384" width="14.83203125" style="1" customWidth="1"/>
  </cols>
  <sheetData>
    <row r="1" spans="1:4" ht="6.75" customHeight="1">
      <c r="A1" s="3"/>
      <c r="B1" s="4"/>
      <c r="C1" s="4"/>
      <c r="D1" s="4"/>
    </row>
    <row r="2" spans="1:7" ht="19.5" customHeight="1">
      <c r="A2" s="288"/>
      <c r="B2" s="288" t="s">
        <v>570</v>
      </c>
      <c r="C2" s="514"/>
      <c r="D2" s="514"/>
      <c r="E2" s="514"/>
      <c r="F2" s="514"/>
      <c r="G2" s="516" t="s">
        <v>316</v>
      </c>
    </row>
    <row r="3" spans="1:7" ht="19.5" customHeight="1">
      <c r="A3" s="5"/>
      <c r="B3" s="289"/>
      <c r="C3" s="290"/>
      <c r="D3" s="290"/>
      <c r="E3" s="290"/>
      <c r="F3" s="290"/>
      <c r="G3" s="291"/>
    </row>
    <row r="4" spans="1:7" ht="15.75" customHeight="1">
      <c r="A4" s="292"/>
      <c r="B4" s="293" t="s">
        <v>319</v>
      </c>
      <c r="C4" s="294"/>
      <c r="D4" s="294"/>
      <c r="E4" s="294"/>
      <c r="F4" s="294"/>
      <c r="G4" s="295"/>
    </row>
    <row r="5" spans="1:7" ht="13.5" customHeight="1">
      <c r="A5" s="296"/>
      <c r="B5" s="297"/>
      <c r="C5" s="297"/>
      <c r="D5" s="297"/>
      <c r="E5" s="297"/>
      <c r="F5" s="297"/>
      <c r="G5" s="297"/>
    </row>
    <row r="6" spans="1:7" ht="13.5" customHeight="1">
      <c r="A6" s="296"/>
      <c r="B6" s="279"/>
      <c r="C6" s="279"/>
      <c r="D6" s="279"/>
      <c r="E6" s="279"/>
      <c r="F6" s="279"/>
      <c r="G6" s="279" t="s">
        <v>54</v>
      </c>
    </row>
    <row r="7" spans="1:7" ht="13.5" customHeight="1">
      <c r="A7" s="296"/>
      <c r="B7" s="298"/>
      <c r="C7" s="148"/>
      <c r="D7" s="298"/>
      <c r="E7" s="298"/>
      <c r="F7" s="298"/>
      <c r="G7" s="298" t="s">
        <v>270</v>
      </c>
    </row>
    <row r="8" spans="1:7" ht="13.5" customHeight="1">
      <c r="A8" s="296"/>
      <c r="B8" s="298" t="s">
        <v>54</v>
      </c>
      <c r="C8" s="298" t="s">
        <v>273</v>
      </c>
      <c r="D8" s="298" t="s">
        <v>276</v>
      </c>
      <c r="E8" s="298"/>
      <c r="F8" s="298" t="s">
        <v>54</v>
      </c>
      <c r="G8" s="299" t="s">
        <v>260</v>
      </c>
    </row>
    <row r="9" spans="1:7" ht="13.5" customHeight="1">
      <c r="A9" s="296"/>
      <c r="B9" s="298" t="s">
        <v>105</v>
      </c>
      <c r="C9" s="298" t="s">
        <v>92</v>
      </c>
      <c r="D9" s="298" t="s">
        <v>277</v>
      </c>
      <c r="E9" s="298" t="s">
        <v>317</v>
      </c>
      <c r="F9" s="298" t="s">
        <v>270</v>
      </c>
      <c r="G9" s="298" t="s">
        <v>275</v>
      </c>
    </row>
    <row r="10" spans="1:7" ht="13.5" customHeight="1">
      <c r="A10" s="17"/>
      <c r="B10" s="299" t="s">
        <v>260</v>
      </c>
      <c r="C10" s="298" t="s">
        <v>274</v>
      </c>
      <c r="D10" s="299" t="s">
        <v>272</v>
      </c>
      <c r="E10" s="299" t="s">
        <v>177</v>
      </c>
      <c r="F10" s="299" t="s">
        <v>260</v>
      </c>
      <c r="G10" s="299" t="s">
        <v>177</v>
      </c>
    </row>
    <row r="11" spans="1:7" ht="13.5" customHeight="1">
      <c r="A11" s="19" t="s">
        <v>79</v>
      </c>
      <c r="B11" s="300" t="s">
        <v>318</v>
      </c>
      <c r="C11" s="300" t="s">
        <v>128</v>
      </c>
      <c r="D11" s="300" t="s">
        <v>362</v>
      </c>
      <c r="E11" s="300" t="s">
        <v>114</v>
      </c>
      <c r="F11" s="300" t="s">
        <v>529</v>
      </c>
      <c r="G11" s="300" t="s">
        <v>114</v>
      </c>
    </row>
    <row r="12" spans="1:5" ht="4.5" customHeight="1">
      <c r="A12" s="22"/>
      <c r="C12" s="278"/>
      <c r="D12" s="254"/>
      <c r="E12" s="3"/>
    </row>
    <row r="13" spans="1:8" ht="13.5" customHeight="1">
      <c r="A13" s="362" t="s">
        <v>216</v>
      </c>
      <c r="B13" s="363">
        <f>'- 3 -'!B11</f>
        <v>13426790</v>
      </c>
      <c r="C13" s="363">
        <v>205000</v>
      </c>
      <c r="D13" s="363">
        <v>0</v>
      </c>
      <c r="E13" s="363">
        <f>SUM(B13:D13)</f>
        <v>13631790</v>
      </c>
      <c r="F13" s="363">
        <f>'- 57 -'!G12</f>
        <v>599847</v>
      </c>
      <c r="G13" s="364">
        <f>F13/E13*100</f>
        <v>4.400353878690913</v>
      </c>
      <c r="H13" s="533"/>
    </row>
    <row r="14" spans="1:8" ht="13.5" customHeight="1">
      <c r="A14" s="23" t="s">
        <v>217</v>
      </c>
      <c r="B14" s="24">
        <f>'- 3 -'!B12</f>
        <v>25305709</v>
      </c>
      <c r="C14" s="24">
        <v>588650</v>
      </c>
      <c r="D14" s="24">
        <v>-512509</v>
      </c>
      <c r="E14" s="24">
        <f aca="true" t="shared" si="0" ref="E14:E48">SUM(B14:D14)</f>
        <v>25381850</v>
      </c>
      <c r="F14" s="24">
        <f>'- 57 -'!G13</f>
        <v>978917</v>
      </c>
      <c r="G14" s="355">
        <f>F14/E14*100</f>
        <v>3.8567598500503313</v>
      </c>
      <c r="H14" s="534"/>
    </row>
    <row r="15" spans="1:8" ht="13.5" customHeight="1">
      <c r="A15" s="362" t="s">
        <v>218</v>
      </c>
      <c r="B15" s="363">
        <f>'- 3 -'!B13</f>
        <v>58961300</v>
      </c>
      <c r="C15" s="363">
        <v>354500</v>
      </c>
      <c r="D15" s="363">
        <v>0</v>
      </c>
      <c r="E15" s="363">
        <f t="shared" si="0"/>
        <v>59315800</v>
      </c>
      <c r="F15" s="363">
        <f>'- 57 -'!G14</f>
        <v>2277200</v>
      </c>
      <c r="G15" s="364">
        <f>F15/E15*100</f>
        <v>3.839112007256077</v>
      </c>
      <c r="H15" s="533"/>
    </row>
    <row r="16" spans="1:8" ht="13.5" customHeight="1">
      <c r="A16" s="23" t="s">
        <v>254</v>
      </c>
      <c r="B16" s="24"/>
      <c r="C16" s="24"/>
      <c r="D16" s="24"/>
      <c r="E16" s="24"/>
      <c r="F16" s="24"/>
      <c r="G16" s="481" t="s">
        <v>173</v>
      </c>
      <c r="H16" s="535"/>
    </row>
    <row r="17" spans="1:8" ht="13.5" customHeight="1">
      <c r="A17" s="362" t="s">
        <v>219</v>
      </c>
      <c r="B17" s="363">
        <f>'- 3 -'!B15</f>
        <v>16396997</v>
      </c>
      <c r="C17" s="363">
        <v>103979</v>
      </c>
      <c r="D17" s="363">
        <v>0</v>
      </c>
      <c r="E17" s="363">
        <f t="shared" si="0"/>
        <v>16500976</v>
      </c>
      <c r="F17" s="363">
        <f>'- 57 -'!G16</f>
        <v>737240</v>
      </c>
      <c r="G17" s="364">
        <f>F17/E17*100</f>
        <v>4.467856931614227</v>
      </c>
      <c r="H17" s="533"/>
    </row>
    <row r="18" spans="1:8" ht="13.5" customHeight="1">
      <c r="A18" s="23" t="s">
        <v>220</v>
      </c>
      <c r="B18" s="24">
        <f>'- 3 -'!B16</f>
        <v>11402297</v>
      </c>
      <c r="C18" s="24">
        <v>0</v>
      </c>
      <c r="D18" s="24">
        <v>-82500</v>
      </c>
      <c r="E18" s="24">
        <f t="shared" si="0"/>
        <v>11319797</v>
      </c>
      <c r="F18" s="24">
        <f>'- 57 -'!G17</f>
        <v>607811</v>
      </c>
      <c r="G18" s="355">
        <f>F18/E18*100</f>
        <v>5.3694514133071465</v>
      </c>
      <c r="H18" s="534"/>
    </row>
    <row r="19" spans="1:8" ht="13.5" customHeight="1">
      <c r="A19" s="362" t="s">
        <v>221</v>
      </c>
      <c r="B19" s="363">
        <f>'- 3 -'!B17</f>
        <v>14869475</v>
      </c>
      <c r="C19" s="363">
        <v>235000</v>
      </c>
      <c r="D19" s="363">
        <v>0</v>
      </c>
      <c r="E19" s="363">
        <f t="shared" si="0"/>
        <v>15104475</v>
      </c>
      <c r="F19" s="363">
        <f>'- 57 -'!G18</f>
        <v>710365</v>
      </c>
      <c r="G19" s="364">
        <f>F19/E19*100</f>
        <v>4.703010200619353</v>
      </c>
      <c r="H19" s="533"/>
    </row>
    <row r="20" spans="1:8" ht="13.5" customHeight="1">
      <c r="A20" s="23" t="s">
        <v>222</v>
      </c>
      <c r="B20" s="24"/>
      <c r="C20" s="24"/>
      <c r="D20" s="24"/>
      <c r="E20" s="24"/>
      <c r="F20" s="24"/>
      <c r="G20" s="481" t="s">
        <v>173</v>
      </c>
      <c r="H20" s="535"/>
    </row>
    <row r="21" spans="1:8" ht="13.5" customHeight="1">
      <c r="A21" s="362" t="s">
        <v>223</v>
      </c>
      <c r="B21" s="363">
        <f>'- 3 -'!B19</f>
        <v>29147035</v>
      </c>
      <c r="C21" s="363">
        <v>830000</v>
      </c>
      <c r="D21" s="363">
        <v>0</v>
      </c>
      <c r="E21" s="363">
        <f t="shared" si="0"/>
        <v>29977035</v>
      </c>
      <c r="F21" s="363">
        <f>'- 57 -'!G20</f>
        <v>1076535</v>
      </c>
      <c r="G21" s="364">
        <f aca="true" t="shared" si="1" ref="G21:G48">F21/E21*100</f>
        <v>3.5911990628826365</v>
      </c>
      <c r="H21" s="533"/>
    </row>
    <row r="22" spans="1:8" ht="13.5" customHeight="1">
      <c r="A22" s="23" t="s">
        <v>224</v>
      </c>
      <c r="B22" s="24">
        <f>'- 3 -'!B20</f>
        <v>55737247.506031975</v>
      </c>
      <c r="C22" s="24">
        <v>929100</v>
      </c>
      <c r="D22" s="24">
        <v>0</v>
      </c>
      <c r="E22" s="24">
        <f t="shared" si="0"/>
        <v>56666347.506031975</v>
      </c>
      <c r="F22" s="24">
        <f>'- 57 -'!G21</f>
        <v>1794471</v>
      </c>
      <c r="G22" s="355">
        <f t="shared" si="1"/>
        <v>3.1667313652233955</v>
      </c>
      <c r="H22" s="534"/>
    </row>
    <row r="23" spans="1:8" ht="13.5" customHeight="1">
      <c r="A23" s="362" t="s">
        <v>225</v>
      </c>
      <c r="B23" s="363">
        <f>'- 3 -'!B21</f>
        <v>28890000</v>
      </c>
      <c r="C23" s="363">
        <v>575000</v>
      </c>
      <c r="D23" s="363">
        <v>0</v>
      </c>
      <c r="E23" s="363">
        <f t="shared" si="0"/>
        <v>29465000</v>
      </c>
      <c r="F23" s="363">
        <f>'- 57 -'!G22</f>
        <v>1279000</v>
      </c>
      <c r="G23" s="364">
        <f t="shared" si="1"/>
        <v>4.340743254708976</v>
      </c>
      <c r="H23" s="533"/>
    </row>
    <row r="24" spans="1:8" ht="13.5" customHeight="1">
      <c r="A24" s="23" t="s">
        <v>226</v>
      </c>
      <c r="B24" s="24">
        <f>'- 3 -'!B22</f>
        <v>16051846</v>
      </c>
      <c r="C24" s="24">
        <v>158000</v>
      </c>
      <c r="D24" s="24">
        <v>-455000</v>
      </c>
      <c r="E24" s="24">
        <f t="shared" si="0"/>
        <v>15754846</v>
      </c>
      <c r="F24" s="24">
        <f>'- 57 -'!G23</f>
        <v>759780</v>
      </c>
      <c r="G24" s="355">
        <f t="shared" si="1"/>
        <v>4.822516195969164</v>
      </c>
      <c r="H24" s="534"/>
    </row>
    <row r="25" spans="1:8" ht="13.5" customHeight="1">
      <c r="A25" s="362" t="s">
        <v>227</v>
      </c>
      <c r="B25" s="363">
        <f>'- 3 -'!B23</f>
        <v>13297276</v>
      </c>
      <c r="C25" s="363">
        <v>231000</v>
      </c>
      <c r="D25" s="363">
        <v>-239000</v>
      </c>
      <c r="E25" s="363">
        <f t="shared" si="0"/>
        <v>13289276</v>
      </c>
      <c r="F25" s="363">
        <f>'- 57 -'!G24</f>
        <v>523250</v>
      </c>
      <c r="G25" s="364">
        <f t="shared" si="1"/>
        <v>3.9373853022542384</v>
      </c>
      <c r="H25" s="533"/>
    </row>
    <row r="26" spans="1:8" ht="13.5" customHeight="1">
      <c r="A26" s="23" t="s">
        <v>228</v>
      </c>
      <c r="B26" s="24">
        <f>'- 3 -'!B24</f>
        <v>44635944</v>
      </c>
      <c r="C26" s="24">
        <v>400477</v>
      </c>
      <c r="D26" s="24">
        <v>-321195</v>
      </c>
      <c r="E26" s="24">
        <f t="shared" si="0"/>
        <v>44715226</v>
      </c>
      <c r="F26" s="24">
        <f>'- 57 -'!G25</f>
        <v>1698100</v>
      </c>
      <c r="G26" s="355">
        <f t="shared" si="1"/>
        <v>3.797587873088241</v>
      </c>
      <c r="H26" s="534"/>
    </row>
    <row r="27" spans="1:8" ht="13.5" customHeight="1">
      <c r="A27" s="362" t="s">
        <v>229</v>
      </c>
      <c r="B27" s="363">
        <f>'- 3 -'!B25</f>
        <v>135488722</v>
      </c>
      <c r="C27" s="363">
        <v>381130</v>
      </c>
      <c r="D27" s="363">
        <v>0</v>
      </c>
      <c r="E27" s="363">
        <f t="shared" si="0"/>
        <v>135869852</v>
      </c>
      <c r="F27" s="363">
        <f>'- 57 -'!G26</f>
        <v>5098923</v>
      </c>
      <c r="G27" s="364">
        <f t="shared" si="1"/>
        <v>3.752799406891236</v>
      </c>
      <c r="H27" s="533"/>
    </row>
    <row r="28" spans="1:8" ht="13.5" customHeight="1">
      <c r="A28" s="23" t="s">
        <v>230</v>
      </c>
      <c r="B28" s="24">
        <f>'- 3 -'!B26</f>
        <v>32441394</v>
      </c>
      <c r="C28" s="24">
        <v>505056</v>
      </c>
      <c r="D28" s="24">
        <v>-121981</v>
      </c>
      <c r="E28" s="24">
        <f t="shared" si="0"/>
        <v>32824469</v>
      </c>
      <c r="F28" s="24">
        <f>'- 57 -'!G27</f>
        <v>1255174</v>
      </c>
      <c r="G28" s="355">
        <f t="shared" si="1"/>
        <v>3.8238973492610038</v>
      </c>
      <c r="H28" s="534"/>
    </row>
    <row r="29" spans="1:8" ht="13.5" customHeight="1">
      <c r="A29" s="362" t="s">
        <v>231</v>
      </c>
      <c r="B29" s="363">
        <f>'- 3 -'!B27</f>
        <v>35291546</v>
      </c>
      <c r="C29" s="363">
        <v>0</v>
      </c>
      <c r="D29" s="363">
        <v>0</v>
      </c>
      <c r="E29" s="363">
        <f t="shared" si="0"/>
        <v>35291546</v>
      </c>
      <c r="F29" s="363">
        <f>'- 57 -'!G28</f>
        <v>1759558</v>
      </c>
      <c r="G29" s="364">
        <f t="shared" si="1"/>
        <v>4.985777613709527</v>
      </c>
      <c r="H29" s="533"/>
    </row>
    <row r="30" spans="1:8" ht="13.5" customHeight="1">
      <c r="A30" s="23" t="s">
        <v>232</v>
      </c>
      <c r="B30" s="24">
        <f>'- 3 -'!B28</f>
        <v>18689881</v>
      </c>
      <c r="C30" s="24">
        <v>85000</v>
      </c>
      <c r="D30" s="24">
        <v>0</v>
      </c>
      <c r="E30" s="24">
        <f t="shared" si="0"/>
        <v>18774881</v>
      </c>
      <c r="F30" s="24">
        <f>'- 57 -'!G29</f>
        <v>799275</v>
      </c>
      <c r="G30" s="355">
        <f t="shared" si="1"/>
        <v>4.25715081762702</v>
      </c>
      <c r="H30" s="534"/>
    </row>
    <row r="31" spans="1:8" ht="13.5" customHeight="1">
      <c r="A31" s="362" t="s">
        <v>233</v>
      </c>
      <c r="B31" s="363">
        <f>'- 3 -'!B29</f>
        <v>124889014</v>
      </c>
      <c r="C31" s="363">
        <v>147500</v>
      </c>
      <c r="D31" s="363">
        <v>0</v>
      </c>
      <c r="E31" s="363">
        <f t="shared" si="0"/>
        <v>125036514</v>
      </c>
      <c r="F31" s="363">
        <f>'- 57 -'!G30</f>
        <v>4612997</v>
      </c>
      <c r="G31" s="364">
        <f t="shared" si="1"/>
        <v>3.6893199053837984</v>
      </c>
      <c r="H31" s="533"/>
    </row>
    <row r="32" spans="1:8" ht="13.5" customHeight="1">
      <c r="A32" s="23" t="s">
        <v>234</v>
      </c>
      <c r="B32" s="24">
        <f>'- 3 -'!B30</f>
        <v>11444142</v>
      </c>
      <c r="C32" s="24">
        <v>100000</v>
      </c>
      <c r="D32" s="24">
        <v>0</v>
      </c>
      <c r="E32" s="24">
        <f t="shared" si="0"/>
        <v>11544142</v>
      </c>
      <c r="F32" s="24">
        <f>'- 57 -'!G31</f>
        <v>517033</v>
      </c>
      <c r="G32" s="355">
        <f t="shared" si="1"/>
        <v>4.478747749291372</v>
      </c>
      <c r="H32" s="534"/>
    </row>
    <row r="33" spans="1:8" ht="13.5" customHeight="1">
      <c r="A33" s="362" t="s">
        <v>235</v>
      </c>
      <c r="B33" s="363">
        <f>'- 3 -'!B31</f>
        <v>29593233</v>
      </c>
      <c r="C33" s="363">
        <v>331000</v>
      </c>
      <c r="D33" s="363">
        <v>-350000</v>
      </c>
      <c r="E33" s="363">
        <f t="shared" si="0"/>
        <v>29574233</v>
      </c>
      <c r="F33" s="363">
        <f>'- 57 -'!G32</f>
        <v>1139947</v>
      </c>
      <c r="G33" s="364">
        <f t="shared" si="1"/>
        <v>3.8545276896952827</v>
      </c>
      <c r="H33" s="533"/>
    </row>
    <row r="34" spans="1:8" ht="13.5" customHeight="1">
      <c r="A34" s="23" t="s">
        <v>236</v>
      </c>
      <c r="B34" s="24">
        <f>'- 3 -'!B32</f>
        <v>22107222</v>
      </c>
      <c r="C34" s="24">
        <v>301500</v>
      </c>
      <c r="D34" s="24">
        <v>-231750</v>
      </c>
      <c r="E34" s="24">
        <f t="shared" si="0"/>
        <v>22176972</v>
      </c>
      <c r="F34" s="24">
        <f>'- 57 -'!G33</f>
        <v>1013900</v>
      </c>
      <c r="G34" s="355">
        <f t="shared" si="1"/>
        <v>4.571859494614504</v>
      </c>
      <c r="H34" s="534"/>
    </row>
    <row r="35" spans="1:8" ht="13.5" customHeight="1">
      <c r="A35" s="362" t="s">
        <v>237</v>
      </c>
      <c r="B35" s="363">
        <f>'- 3 -'!B33</f>
        <v>23123500</v>
      </c>
      <c r="C35" s="363">
        <v>401375</v>
      </c>
      <c r="D35" s="363">
        <v>0</v>
      </c>
      <c r="E35" s="363">
        <f t="shared" si="0"/>
        <v>23524875</v>
      </c>
      <c r="F35" s="363">
        <f>'- 57 -'!G34</f>
        <v>975700</v>
      </c>
      <c r="G35" s="364">
        <f t="shared" si="1"/>
        <v>4.1475246946051785</v>
      </c>
      <c r="H35" s="533"/>
    </row>
    <row r="36" spans="1:8" ht="13.5" customHeight="1">
      <c r="A36" s="23" t="s">
        <v>238</v>
      </c>
      <c r="B36" s="24">
        <f>'- 3 -'!B34</f>
        <v>20979370</v>
      </c>
      <c r="C36" s="24">
        <v>408091</v>
      </c>
      <c r="D36" s="24">
        <v>0</v>
      </c>
      <c r="E36" s="24">
        <f t="shared" si="0"/>
        <v>21387461</v>
      </c>
      <c r="F36" s="24">
        <f>'- 57 -'!G35</f>
        <v>979049</v>
      </c>
      <c r="G36" s="355">
        <f t="shared" si="1"/>
        <v>4.577677546670921</v>
      </c>
      <c r="H36" s="534"/>
    </row>
    <row r="37" spans="1:8" ht="13.5" customHeight="1">
      <c r="A37" s="362" t="s">
        <v>239</v>
      </c>
      <c r="B37" s="363">
        <f>'- 3 -'!B35</f>
        <v>151006146</v>
      </c>
      <c r="C37" s="363">
        <v>1471700</v>
      </c>
      <c r="D37" s="363">
        <v>0</v>
      </c>
      <c r="E37" s="363">
        <f t="shared" si="0"/>
        <v>152477846</v>
      </c>
      <c r="F37" s="363">
        <f>'- 57 -'!G36</f>
        <v>5648580</v>
      </c>
      <c r="G37" s="364">
        <f t="shared" si="1"/>
        <v>3.7045250494947313</v>
      </c>
      <c r="H37" s="533"/>
    </row>
    <row r="38" spans="1:8" ht="13.5" customHeight="1">
      <c r="A38" s="23" t="s">
        <v>240</v>
      </c>
      <c r="B38" s="24">
        <f>'- 3 -'!B36</f>
        <v>19364880</v>
      </c>
      <c r="C38" s="24">
        <v>235000</v>
      </c>
      <c r="D38" s="24">
        <v>0</v>
      </c>
      <c r="E38" s="24">
        <f t="shared" si="0"/>
        <v>19599880</v>
      </c>
      <c r="F38" s="24">
        <f>'- 57 -'!G37</f>
        <v>880805</v>
      </c>
      <c r="G38" s="355">
        <f t="shared" si="1"/>
        <v>4.4939305750851535</v>
      </c>
      <c r="H38" s="534"/>
    </row>
    <row r="39" spans="1:8" ht="13.5" customHeight="1">
      <c r="A39" s="362" t="s">
        <v>241</v>
      </c>
      <c r="B39" s="363">
        <f>'- 3 -'!B37</f>
        <v>33565237</v>
      </c>
      <c r="C39" s="363">
        <v>507747</v>
      </c>
      <c r="D39" s="363">
        <v>0</v>
      </c>
      <c r="E39" s="363">
        <f t="shared" si="0"/>
        <v>34072984</v>
      </c>
      <c r="F39" s="363">
        <f>'- 57 -'!G38</f>
        <v>1409508</v>
      </c>
      <c r="G39" s="364">
        <f t="shared" si="1"/>
        <v>4.1367319046667586</v>
      </c>
      <c r="H39" s="533"/>
    </row>
    <row r="40" spans="1:8" ht="13.5" customHeight="1">
      <c r="A40" s="23" t="s">
        <v>242</v>
      </c>
      <c r="B40" s="24">
        <f>'- 3 -'!B38</f>
        <v>84433395</v>
      </c>
      <c r="C40" s="24">
        <v>1599005</v>
      </c>
      <c r="D40" s="24">
        <v>-289794</v>
      </c>
      <c r="E40" s="24">
        <f t="shared" si="0"/>
        <v>85742606</v>
      </c>
      <c r="F40" s="24">
        <f>'- 57 -'!G39</f>
        <v>3110952</v>
      </c>
      <c r="G40" s="355">
        <f t="shared" si="1"/>
        <v>3.6282452156865865</v>
      </c>
      <c r="H40" s="534"/>
    </row>
    <row r="41" spans="1:8" ht="13.5" customHeight="1">
      <c r="A41" s="362" t="s">
        <v>243</v>
      </c>
      <c r="B41" s="363">
        <f>'- 3 -'!B39</f>
        <v>17318804</v>
      </c>
      <c r="C41" s="363">
        <v>260000</v>
      </c>
      <c r="D41" s="363">
        <v>0</v>
      </c>
      <c r="E41" s="363">
        <f t="shared" si="0"/>
        <v>17578804</v>
      </c>
      <c r="F41" s="363">
        <f>'- 57 -'!G40</f>
        <v>796165</v>
      </c>
      <c r="G41" s="364">
        <f t="shared" si="1"/>
        <v>4.529119273415871</v>
      </c>
      <c r="H41" s="533"/>
    </row>
    <row r="42" spans="1:8" ht="13.5" customHeight="1">
      <c r="A42" s="23" t="s">
        <v>244</v>
      </c>
      <c r="B42" s="24">
        <f>'- 3 -'!B40</f>
        <v>84735113</v>
      </c>
      <c r="C42" s="24">
        <v>1483222</v>
      </c>
      <c r="D42" s="24">
        <v>0</v>
      </c>
      <c r="E42" s="24">
        <f t="shared" si="0"/>
        <v>86218335</v>
      </c>
      <c r="F42" s="24">
        <f>'- 57 -'!G41</f>
        <v>3195608</v>
      </c>
      <c r="G42" s="355">
        <f t="shared" si="1"/>
        <v>3.7064134908195574</v>
      </c>
      <c r="H42" s="534"/>
    </row>
    <row r="43" spans="1:8" ht="13.5" customHeight="1">
      <c r="A43" s="362" t="s">
        <v>245</v>
      </c>
      <c r="B43" s="363">
        <f>'- 3 -'!B41</f>
        <v>51827219</v>
      </c>
      <c r="C43" s="363">
        <v>788488</v>
      </c>
      <c r="D43" s="363">
        <v>-975450</v>
      </c>
      <c r="E43" s="363">
        <f t="shared" si="0"/>
        <v>51640257</v>
      </c>
      <c r="F43" s="363">
        <f>'- 57 -'!G42</f>
        <v>2223599</v>
      </c>
      <c r="G43" s="364">
        <f t="shared" si="1"/>
        <v>4.305941002578666</v>
      </c>
      <c r="H43" s="533"/>
    </row>
    <row r="44" spans="1:8" ht="13.5" customHeight="1">
      <c r="A44" s="23" t="s">
        <v>246</v>
      </c>
      <c r="B44" s="24">
        <f>'- 3 -'!B42</f>
        <v>17731208</v>
      </c>
      <c r="C44" s="24">
        <v>207472</v>
      </c>
      <c r="D44" s="24">
        <v>0</v>
      </c>
      <c r="E44" s="24">
        <f t="shared" si="0"/>
        <v>17938680</v>
      </c>
      <c r="F44" s="24">
        <f>'- 57 -'!G43</f>
        <v>802842</v>
      </c>
      <c r="G44" s="355">
        <f t="shared" si="1"/>
        <v>4.475479801189385</v>
      </c>
      <c r="H44" s="534"/>
    </row>
    <row r="45" spans="1:8" ht="13.5" customHeight="1">
      <c r="A45" s="362" t="s">
        <v>247</v>
      </c>
      <c r="B45" s="363">
        <f>'- 3 -'!B43</f>
        <v>10337728</v>
      </c>
      <c r="C45" s="363">
        <v>160000</v>
      </c>
      <c r="D45" s="363">
        <v>-143000</v>
      </c>
      <c r="E45" s="363">
        <f t="shared" si="0"/>
        <v>10354728</v>
      </c>
      <c r="F45" s="363">
        <f>'- 57 -'!G44</f>
        <v>555228</v>
      </c>
      <c r="G45" s="364">
        <f t="shared" si="1"/>
        <v>5.362072282342907</v>
      </c>
      <c r="H45" s="533"/>
    </row>
    <row r="46" spans="1:8" ht="13.5" customHeight="1">
      <c r="A46" s="23" t="s">
        <v>248</v>
      </c>
      <c r="B46" s="24">
        <f>'- 3 -'!B44</f>
        <v>8635533</v>
      </c>
      <c r="C46" s="24">
        <v>90589</v>
      </c>
      <c r="D46" s="24">
        <v>0</v>
      </c>
      <c r="E46" s="24">
        <f t="shared" si="0"/>
        <v>8726122</v>
      </c>
      <c r="F46" s="24">
        <f>'- 57 -'!G45</f>
        <v>396537</v>
      </c>
      <c r="G46" s="355">
        <f t="shared" si="1"/>
        <v>4.544252303600614</v>
      </c>
      <c r="H46" s="534"/>
    </row>
    <row r="47" spans="1:8" ht="13.5" customHeight="1">
      <c r="A47" s="362" t="s">
        <v>249</v>
      </c>
      <c r="B47" s="363">
        <f>'- 3 -'!B45</f>
        <v>13174363</v>
      </c>
      <c r="C47" s="363">
        <v>187746</v>
      </c>
      <c r="D47" s="363">
        <v>-371675</v>
      </c>
      <c r="E47" s="363">
        <f>SUM(B47:D47)</f>
        <v>12990434</v>
      </c>
      <c r="F47" s="363">
        <f>'- 57 -'!G46</f>
        <v>558234</v>
      </c>
      <c r="G47" s="364">
        <f>F47/E47*100</f>
        <v>4.2972698217780865</v>
      </c>
      <c r="H47" s="533"/>
    </row>
    <row r="48" spans="1:8" ht="13.5" customHeight="1">
      <c r="A48" s="23" t="s">
        <v>250</v>
      </c>
      <c r="B48" s="24">
        <f>'- 3 -'!B46</f>
        <v>308493200</v>
      </c>
      <c r="C48" s="24">
        <v>445000</v>
      </c>
      <c r="D48" s="24">
        <v>-540000</v>
      </c>
      <c r="E48" s="24">
        <f t="shared" si="0"/>
        <v>308398200</v>
      </c>
      <c r="F48" s="24">
        <f>'- 57 -'!G47</f>
        <v>9878200</v>
      </c>
      <c r="G48" s="355">
        <f t="shared" si="1"/>
        <v>3.203066684565604</v>
      </c>
      <c r="H48" s="534"/>
    </row>
    <row r="49" spans="1:8" ht="4.5" customHeight="1">
      <c r="A49"/>
      <c r="B49"/>
      <c r="C49"/>
      <c r="D49"/>
      <c r="E49"/>
      <c r="F49"/>
      <c r="G49"/>
      <c r="H49" s="536"/>
    </row>
    <row r="50" spans="1:8" ht="14.25" customHeight="1">
      <c r="A50" s="365" t="s">
        <v>251</v>
      </c>
      <c r="B50" s="366">
        <f>SUM(B13:B48)</f>
        <v>1582792766.506032</v>
      </c>
      <c r="C50" s="366">
        <f>SUM(C13:C48)</f>
        <v>14707327</v>
      </c>
      <c r="D50" s="366">
        <f>SUM(D13:D48)</f>
        <v>-4633854</v>
      </c>
      <c r="E50" s="366">
        <f>SUM(E13:E48)</f>
        <v>1592866239.506032</v>
      </c>
      <c r="F50" s="366">
        <f>SUM(F13:F48)</f>
        <v>60650330</v>
      </c>
      <c r="G50" s="367">
        <f>F50/E50*100</f>
        <v>3.8076222909218314</v>
      </c>
      <c r="H50" s="537"/>
    </row>
    <row r="51" spans="1:8" ht="4.5" customHeight="1">
      <c r="A51" s="25" t="s">
        <v>3</v>
      </c>
      <c r="B51" s="26"/>
      <c r="C51" s="26"/>
      <c r="D51" s="26"/>
      <c r="E51" s="26"/>
      <c r="F51" s="26"/>
      <c r="G51" s="353"/>
      <c r="H51" s="536"/>
    </row>
    <row r="52" spans="1:8" ht="14.25" customHeight="1">
      <c r="A52" s="23" t="s">
        <v>252</v>
      </c>
      <c r="B52" s="24">
        <f>'- 3 -'!B50</f>
        <v>2841863</v>
      </c>
      <c r="C52" s="24">
        <v>107000</v>
      </c>
      <c r="D52" s="24">
        <v>0</v>
      </c>
      <c r="E52" s="24">
        <f>SUM(B52:D52)</f>
        <v>2948863</v>
      </c>
      <c r="F52" s="24">
        <f>'- 57 -'!G51</f>
        <v>116314</v>
      </c>
      <c r="G52" s="355">
        <f>F52/E52*100</f>
        <v>3.9443677105379256</v>
      </c>
      <c r="H52" s="534"/>
    </row>
    <row r="53" spans="1:8" ht="14.25" customHeight="1">
      <c r="A53" s="362" t="s">
        <v>320</v>
      </c>
      <c r="B53" s="363"/>
      <c r="C53" s="363"/>
      <c r="D53" s="363"/>
      <c r="E53" s="363"/>
      <c r="F53" s="363"/>
      <c r="G53" s="482" t="s">
        <v>173</v>
      </c>
      <c r="H53" s="329"/>
    </row>
    <row r="54" spans="1:7" ht="14.25" customHeight="1">
      <c r="A54" s="27"/>
      <c r="B54" s="27"/>
      <c r="C54" s="27"/>
      <c r="D54" s="27"/>
      <c r="E54" s="27"/>
      <c r="F54" s="27"/>
      <c r="G54" s="27"/>
    </row>
    <row r="55" spans="1:7" ht="14.25" customHeight="1">
      <c r="A55" s="331" t="s">
        <v>400</v>
      </c>
      <c r="B55" s="302"/>
      <c r="C55" s="302"/>
      <c r="D55" s="302"/>
      <c r="E55" s="213"/>
      <c r="F55" s="213"/>
      <c r="G55" s="213"/>
    </row>
    <row r="56" spans="1:4" ht="12" customHeight="1">
      <c r="A56" s="39" t="s">
        <v>401</v>
      </c>
      <c r="B56" s="39"/>
      <c r="C56" s="39"/>
      <c r="D56" s="39"/>
    </row>
    <row r="57" spans="1:4" ht="14.25" customHeight="1">
      <c r="A57" s="39"/>
      <c r="B57" s="39"/>
      <c r="C57" s="39"/>
      <c r="D57" s="39"/>
    </row>
    <row r="58" spans="1:4" ht="14.25" customHeight="1">
      <c r="A58" s="39"/>
      <c r="B58" s="39"/>
      <c r="C58" s="39"/>
      <c r="D58" s="39"/>
    </row>
    <row r="59" spans="1:4" ht="14.25" customHeight="1">
      <c r="A59" s="39"/>
      <c r="B59" s="39"/>
      <c r="C59" s="39"/>
      <c r="D59" s="39"/>
    </row>
    <row r="60" ht="12">
      <c r="A60" s="39"/>
    </row>
  </sheetData>
  <printOptions horizontalCentered="1"/>
  <pageMargins left="0.5118110236220472" right="0.5118110236220472" top="0.5905511811023623" bottom="0" header="0.31496062992125984" footer="0"/>
  <pageSetup fitToHeight="1" fitToWidth="1" horizontalDpi="600" verticalDpi="600" orientation="portrait" scale="10"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sheetPr codeName="Sheet61">
    <pageSetUpPr fitToPage="1"/>
  </sheetPr>
  <dimension ref="A1:I56"/>
  <sheetViews>
    <sheetView showGridLines="0" showZeros="0" workbookViewId="0" topLeftCell="A1">
      <selection activeCell="A1" sqref="A1"/>
    </sheetView>
  </sheetViews>
  <sheetFormatPr defaultColWidth="19.83203125" defaultRowHeight="12"/>
  <cols>
    <col min="1" max="1" width="30.83203125" style="1" customWidth="1"/>
    <col min="2" max="9" width="12.83203125" style="1" customWidth="1"/>
    <col min="10" max="16384" width="19.83203125" style="1" customWidth="1"/>
  </cols>
  <sheetData>
    <row r="1" spans="1:6" ht="6.75" customHeight="1">
      <c r="A1" s="3"/>
      <c r="B1" s="4"/>
      <c r="C1" s="4"/>
      <c r="D1" s="4"/>
      <c r="E1" s="4"/>
      <c r="F1" s="4"/>
    </row>
    <row r="2" spans="1:9" ht="15.75" customHeight="1">
      <c r="A2" s="5" t="s">
        <v>181</v>
      </c>
      <c r="B2" s="6"/>
      <c r="C2" s="6"/>
      <c r="D2" s="6"/>
      <c r="E2" s="6"/>
      <c r="F2" s="6"/>
      <c r="G2" s="6"/>
      <c r="H2" s="6"/>
      <c r="I2" s="6"/>
    </row>
    <row r="3" spans="1:9" ht="15.75" customHeight="1">
      <c r="A3" s="48" t="str">
        <f>B9&amp;" AND "&amp;C9&amp;" BUDGET"</f>
        <v>2007/08 AND 2008/09 BUDGET</v>
      </c>
      <c r="B3" s="50"/>
      <c r="C3" s="50"/>
      <c r="D3" s="8"/>
      <c r="E3" s="8"/>
      <c r="F3" s="8"/>
      <c r="G3" s="8"/>
      <c r="H3" s="8"/>
      <c r="I3" s="8"/>
    </row>
    <row r="4" spans="2:6" ht="15.75" customHeight="1">
      <c r="B4" s="30"/>
      <c r="C4" s="30"/>
      <c r="D4" s="4"/>
      <c r="E4" s="4"/>
      <c r="F4" s="4"/>
    </row>
    <row r="5" spans="2:6" ht="15.75" customHeight="1">
      <c r="B5" s="286"/>
      <c r="C5" s="286"/>
      <c r="D5" s="4"/>
      <c r="E5" s="4"/>
      <c r="F5" s="4"/>
    </row>
    <row r="6" spans="2:9" ht="15.75" customHeight="1">
      <c r="B6" s="466" t="s">
        <v>105</v>
      </c>
      <c r="C6" s="467"/>
      <c r="D6" s="468"/>
      <c r="E6" s="469"/>
      <c r="F6" s="466" t="s">
        <v>110</v>
      </c>
      <c r="G6" s="467"/>
      <c r="H6" s="468"/>
      <c r="I6" s="469"/>
    </row>
    <row r="7" spans="2:9" ht="15.75" customHeight="1">
      <c r="B7" s="470" t="s">
        <v>177</v>
      </c>
      <c r="C7" s="471"/>
      <c r="D7" s="470" t="s">
        <v>0</v>
      </c>
      <c r="E7" s="471"/>
      <c r="F7" s="470" t="s">
        <v>180</v>
      </c>
      <c r="G7" s="471"/>
      <c r="H7" s="470" t="s">
        <v>143</v>
      </c>
      <c r="I7" s="471"/>
    </row>
    <row r="8" spans="1:9" ht="15.75" customHeight="1">
      <c r="A8" s="104"/>
      <c r="B8" s="472" t="s">
        <v>361</v>
      </c>
      <c r="C8" s="473"/>
      <c r="D8" s="472" t="s">
        <v>1</v>
      </c>
      <c r="E8" s="473"/>
      <c r="F8" s="472" t="s">
        <v>82</v>
      </c>
      <c r="G8" s="473"/>
      <c r="H8" s="472" t="s">
        <v>280</v>
      </c>
      <c r="I8" s="473"/>
    </row>
    <row r="9" spans="1:9" ht="18" customHeight="1">
      <c r="A9" s="35" t="s">
        <v>79</v>
      </c>
      <c r="B9" s="287" t="s">
        <v>462</v>
      </c>
      <c r="C9" s="287" t="s">
        <v>503</v>
      </c>
      <c r="D9" s="287" t="s">
        <v>462</v>
      </c>
      <c r="E9" s="287" t="s">
        <v>504</v>
      </c>
      <c r="F9" s="287" t="s">
        <v>461</v>
      </c>
      <c r="G9" s="287" t="s">
        <v>505</v>
      </c>
      <c r="H9" s="287" t="s">
        <v>461</v>
      </c>
      <c r="I9" s="287" t="s">
        <v>507</v>
      </c>
    </row>
    <row r="10" spans="1:8" ht="4.5" customHeight="1">
      <c r="A10" s="37"/>
      <c r="D10" s="278"/>
      <c r="E10" s="278"/>
      <c r="F10" s="254"/>
      <c r="G10" s="3"/>
      <c r="H10" s="3"/>
    </row>
    <row r="11" spans="1:9" ht="13.5" customHeight="1">
      <c r="A11" s="362" t="s">
        <v>216</v>
      </c>
      <c r="B11" s="363">
        <f>'- 4 -'!C11</f>
        <v>8788</v>
      </c>
      <c r="C11" s="363">
        <f>'- 4 -'!E11</f>
        <v>9462</v>
      </c>
      <c r="D11" s="389">
        <v>14.371798734558602</v>
      </c>
      <c r="E11" s="389">
        <f>'- 9 -'!C11</f>
        <v>13.829891357541353</v>
      </c>
      <c r="F11" s="363">
        <v>198375</v>
      </c>
      <c r="G11" s="363">
        <f>'- 51 -'!F11</f>
        <v>206644</v>
      </c>
      <c r="H11" s="389">
        <v>19.054193129216788</v>
      </c>
      <c r="I11" s="389">
        <f>'- 48 -'!G11</f>
        <v>20.014780513672918</v>
      </c>
    </row>
    <row r="12" spans="1:9" ht="13.5" customHeight="1">
      <c r="A12" s="23" t="s">
        <v>217</v>
      </c>
      <c r="B12" s="24">
        <f>'- 4 -'!C12</f>
        <v>9689</v>
      </c>
      <c r="C12" s="24">
        <f>'- 4 -'!E12</f>
        <v>10629</v>
      </c>
      <c r="D12" s="69">
        <v>14.012552055839054</v>
      </c>
      <c r="E12" s="69">
        <f>'- 9 -'!C12</f>
        <v>13.350649350649348</v>
      </c>
      <c r="F12" s="24">
        <v>163199</v>
      </c>
      <c r="G12" s="24">
        <f>'- 51 -'!F12</f>
        <v>164457</v>
      </c>
      <c r="H12" s="69">
        <v>25.500003569456236</v>
      </c>
      <c r="I12" s="69">
        <f>'- 48 -'!G12</f>
        <v>25.500007011560882</v>
      </c>
    </row>
    <row r="13" spans="1:9" ht="13.5" customHeight="1">
      <c r="A13" s="362" t="s">
        <v>218</v>
      </c>
      <c r="B13" s="363">
        <f>'- 4 -'!C13</f>
        <v>8222</v>
      </c>
      <c r="C13" s="363">
        <f>'- 4 -'!E13</f>
        <v>8666</v>
      </c>
      <c r="D13" s="389">
        <v>14.68656963461618</v>
      </c>
      <c r="E13" s="389">
        <f>'- 9 -'!C13</f>
        <v>14.267451726067623</v>
      </c>
      <c r="F13" s="363">
        <v>190551</v>
      </c>
      <c r="G13" s="363">
        <f>'- 51 -'!F13</f>
        <v>195902</v>
      </c>
      <c r="H13" s="389">
        <v>18.228514685922857</v>
      </c>
      <c r="I13" s="389">
        <f>'- 48 -'!G13</f>
        <v>19.499828641544212</v>
      </c>
    </row>
    <row r="14" spans="1:9" ht="13.5" customHeight="1">
      <c r="A14" s="23" t="s">
        <v>254</v>
      </c>
      <c r="B14" s="24">
        <f>'- 4 -'!C14</f>
        <v>11122</v>
      </c>
      <c r="C14" s="24">
        <f>'- 4 -'!E14</f>
        <v>11640</v>
      </c>
      <c r="D14" s="69">
        <v>13.144551273170595</v>
      </c>
      <c r="E14" s="69">
        <f>'- 9 -'!C14</f>
        <v>13.094818947539473</v>
      </c>
      <c r="F14" s="24">
        <v>164548</v>
      </c>
      <c r="G14" s="24">
        <f>'- 51 -'!F14</f>
        <v>169691</v>
      </c>
      <c r="H14" s="69">
        <v>0</v>
      </c>
      <c r="I14" s="69">
        <f>'- 48 -'!G14</f>
        <v>0</v>
      </c>
    </row>
    <row r="15" spans="1:9" ht="13.5" customHeight="1">
      <c r="A15" s="362" t="s">
        <v>219</v>
      </c>
      <c r="B15" s="363">
        <f>'- 4 -'!C15</f>
        <v>9437</v>
      </c>
      <c r="C15" s="363">
        <f>'- 4 -'!E15</f>
        <v>10068</v>
      </c>
      <c r="D15" s="389">
        <v>14.507157837147806</v>
      </c>
      <c r="E15" s="389">
        <f>'- 9 -'!C15</f>
        <v>14.333751793400285</v>
      </c>
      <c r="F15" s="363">
        <v>276051</v>
      </c>
      <c r="G15" s="363">
        <f>'- 51 -'!F15</f>
        <v>280320</v>
      </c>
      <c r="H15" s="389">
        <v>16.300311689954906</v>
      </c>
      <c r="I15" s="389">
        <f>'- 48 -'!G15</f>
        <v>16.304122569765653</v>
      </c>
    </row>
    <row r="16" spans="1:9" ht="13.5" customHeight="1">
      <c r="A16" s="23" t="s">
        <v>220</v>
      </c>
      <c r="B16" s="24">
        <f>'- 4 -'!C16</f>
        <v>9407</v>
      </c>
      <c r="C16" s="24">
        <f>'- 4 -'!E16</f>
        <v>10505</v>
      </c>
      <c r="D16" s="69">
        <v>15.068313189700472</v>
      </c>
      <c r="E16" s="69">
        <f>'- 9 -'!C16</f>
        <v>14.183135704874834</v>
      </c>
      <c r="F16" s="24">
        <v>101797</v>
      </c>
      <c r="G16" s="24">
        <f>'- 51 -'!F16</f>
        <v>107540</v>
      </c>
      <c r="H16" s="69">
        <v>22.911982852152875</v>
      </c>
      <c r="I16" s="69">
        <f>'- 48 -'!G16</f>
        <v>22.9</v>
      </c>
    </row>
    <row r="17" spans="1:9" ht="13.5" customHeight="1">
      <c r="A17" s="362" t="s">
        <v>221</v>
      </c>
      <c r="B17" s="363">
        <f>'- 4 -'!C17</f>
        <v>9895</v>
      </c>
      <c r="C17" s="363">
        <f>'- 4 -'!E17</f>
        <v>10608</v>
      </c>
      <c r="D17" s="389">
        <v>14.068479355488419</v>
      </c>
      <c r="E17" s="389">
        <f>'- 9 -'!C17</f>
        <v>13.978712620375063</v>
      </c>
      <c r="F17" s="363">
        <v>220735</v>
      </c>
      <c r="G17" s="363">
        <f>'- 51 -'!F17</f>
        <v>232520</v>
      </c>
      <c r="H17" s="389">
        <v>18.730923540746854</v>
      </c>
      <c r="I17" s="389">
        <f>'- 48 -'!G17</f>
        <v>20.07534380542721</v>
      </c>
    </row>
    <row r="18" spans="1:9" ht="13.5" customHeight="1">
      <c r="A18" s="23" t="s">
        <v>222</v>
      </c>
      <c r="B18" s="24">
        <f>'- 4 -'!C18</f>
        <v>15200</v>
      </c>
      <c r="C18" s="24">
        <f>'- 4 -'!E18</f>
        <v>16589</v>
      </c>
      <c r="D18" s="69">
        <v>12.592371617302367</v>
      </c>
      <c r="E18" s="69">
        <f>'- 9 -'!C18</f>
        <v>12.283378055737499</v>
      </c>
      <c r="F18" s="24">
        <v>44355</v>
      </c>
      <c r="G18" s="24">
        <f>'- 51 -'!F18</f>
        <v>46060</v>
      </c>
      <c r="H18" s="69">
        <v>26.000002874776186</v>
      </c>
      <c r="I18" s="69">
        <f>'- 48 -'!G18</f>
        <v>26.000000316360687</v>
      </c>
    </row>
    <row r="19" spans="1:9" ht="13.5" customHeight="1">
      <c r="A19" s="362" t="s">
        <v>223</v>
      </c>
      <c r="B19" s="363">
        <f>'- 4 -'!C19</f>
        <v>7241</v>
      </c>
      <c r="C19" s="363">
        <f>'- 4 -'!E19</f>
        <v>7589</v>
      </c>
      <c r="D19" s="389">
        <v>14.74353628023353</v>
      </c>
      <c r="E19" s="389">
        <f>'- 9 -'!C19</f>
        <v>15.18805970149254</v>
      </c>
      <c r="F19" s="363">
        <v>129732</v>
      </c>
      <c r="G19" s="363">
        <f>'- 51 -'!F19</f>
        <v>126103</v>
      </c>
      <c r="H19" s="389">
        <v>20.87789389087793</v>
      </c>
      <c r="I19" s="389">
        <f>'- 48 -'!G19</f>
        <v>21.822122614374145</v>
      </c>
    </row>
    <row r="20" spans="1:9" ht="13.5" customHeight="1">
      <c r="A20" s="23" t="s">
        <v>224</v>
      </c>
      <c r="B20" s="24">
        <f>'- 4 -'!C20</f>
        <v>7201</v>
      </c>
      <c r="C20" s="24">
        <f>'- 4 -'!E20</f>
        <v>7684</v>
      </c>
      <c r="D20" s="69">
        <v>16.864483356534056</v>
      </c>
      <c r="E20" s="69">
        <f>'- 9 -'!C20</f>
        <v>16.994082840236686</v>
      </c>
      <c r="F20" s="24">
        <v>116370</v>
      </c>
      <c r="G20" s="24">
        <f>'- 51 -'!F20</f>
        <v>118851</v>
      </c>
      <c r="H20" s="69">
        <v>21.55727936621946</v>
      </c>
      <c r="I20" s="69">
        <f>'- 48 -'!G20</f>
        <v>22.057280460308125</v>
      </c>
    </row>
    <row r="21" spans="1:9" ht="13.5" customHeight="1">
      <c r="A21" s="362" t="s">
        <v>225</v>
      </c>
      <c r="B21" s="363">
        <f>'- 4 -'!C21</f>
        <v>9134</v>
      </c>
      <c r="C21" s="363">
        <f>'- 4 -'!E21</f>
        <v>9519</v>
      </c>
      <c r="D21" s="389">
        <v>14.098019257543319</v>
      </c>
      <c r="E21" s="389">
        <f>'- 9 -'!C21</f>
        <v>13.700616999723731</v>
      </c>
      <c r="F21" s="363">
        <v>162072</v>
      </c>
      <c r="G21" s="363">
        <f>'- 51 -'!F21</f>
        <v>169140</v>
      </c>
      <c r="H21" s="389">
        <v>21.6703512857332</v>
      </c>
      <c r="I21" s="389">
        <f>'- 48 -'!G21</f>
        <v>21.672066197258083</v>
      </c>
    </row>
    <row r="22" spans="1:9" ht="13.5" customHeight="1">
      <c r="A22" s="23" t="s">
        <v>226</v>
      </c>
      <c r="B22" s="24">
        <f>'- 4 -'!C22</f>
        <v>8750</v>
      </c>
      <c r="C22" s="24">
        <f>'- 4 -'!E22</f>
        <v>9145</v>
      </c>
      <c r="D22" s="69">
        <v>14.69440832249675</v>
      </c>
      <c r="E22" s="69">
        <f>'- 9 -'!C22</f>
        <v>14.739130434782611</v>
      </c>
      <c r="F22" s="24">
        <v>93316</v>
      </c>
      <c r="G22" s="24">
        <f>'- 51 -'!F22</f>
        <v>94932</v>
      </c>
      <c r="H22" s="69">
        <v>26.97283093598144</v>
      </c>
      <c r="I22" s="69">
        <f>'- 48 -'!G22</f>
        <v>26.96999592887706</v>
      </c>
    </row>
    <row r="23" spans="1:9" ht="13.5" customHeight="1">
      <c r="A23" s="362" t="s">
        <v>227</v>
      </c>
      <c r="B23" s="363">
        <f>'- 4 -'!C23</f>
        <v>9545</v>
      </c>
      <c r="C23" s="363">
        <f>'- 4 -'!E23</f>
        <v>9824</v>
      </c>
      <c r="D23" s="389">
        <v>13.790536948431686</v>
      </c>
      <c r="E23" s="389">
        <f>'- 9 -'!C23</f>
        <v>13.530633437175494</v>
      </c>
      <c r="F23" s="363">
        <v>127184</v>
      </c>
      <c r="G23" s="363">
        <f>'- 51 -'!F23</f>
        <v>132191</v>
      </c>
      <c r="H23" s="389">
        <v>24.73509257249443</v>
      </c>
      <c r="I23" s="389">
        <f>'- 48 -'!G23</f>
        <v>24.585824032424586</v>
      </c>
    </row>
    <row r="24" spans="1:9" ht="13.5" customHeight="1">
      <c r="A24" s="23" t="s">
        <v>228</v>
      </c>
      <c r="B24" s="24">
        <f>'- 4 -'!C24</f>
        <v>9302</v>
      </c>
      <c r="C24" s="24">
        <f>'- 4 -'!E24</f>
        <v>9859</v>
      </c>
      <c r="D24" s="69">
        <v>14.186856690419635</v>
      </c>
      <c r="E24" s="69">
        <f>'- 9 -'!C24</f>
        <v>13.798908807482462</v>
      </c>
      <c r="F24" s="24">
        <v>188520</v>
      </c>
      <c r="G24" s="24">
        <f>'- 51 -'!F24</f>
        <v>193451</v>
      </c>
      <c r="H24" s="69">
        <v>21.927898203298742</v>
      </c>
      <c r="I24" s="69">
        <f>'- 48 -'!G24</f>
        <v>21.933538009737763</v>
      </c>
    </row>
    <row r="25" spans="1:9" ht="13.5" customHeight="1">
      <c r="A25" s="362" t="s">
        <v>229</v>
      </c>
      <c r="B25" s="363">
        <f>'- 4 -'!C25</f>
        <v>9028</v>
      </c>
      <c r="C25" s="363">
        <f>'- 4 -'!E25</f>
        <v>9394</v>
      </c>
      <c r="D25" s="389">
        <v>14.554207943708915</v>
      </c>
      <c r="E25" s="389">
        <f>'- 9 -'!C25</f>
        <v>14.556650246305418</v>
      </c>
      <c r="F25" s="363">
        <v>167383</v>
      </c>
      <c r="G25" s="363">
        <f>'- 51 -'!F25</f>
        <v>175677</v>
      </c>
      <c r="H25" s="389">
        <v>23.476720622524432</v>
      </c>
      <c r="I25" s="389">
        <f>'- 48 -'!G25</f>
        <v>23.471361825885644</v>
      </c>
    </row>
    <row r="26" spans="1:9" ht="13.5" customHeight="1">
      <c r="A26" s="23" t="s">
        <v>230</v>
      </c>
      <c r="B26" s="24">
        <f>'- 4 -'!C26</f>
        <v>9547</v>
      </c>
      <c r="C26" s="24">
        <f>'- 4 -'!E26</f>
        <v>10291</v>
      </c>
      <c r="D26" s="69">
        <v>13.240611389596516</v>
      </c>
      <c r="E26" s="69">
        <f>'- 9 -'!C26</f>
        <v>13.117982235629293</v>
      </c>
      <c r="F26" s="24">
        <v>148115</v>
      </c>
      <c r="G26" s="24">
        <f>'- 51 -'!F26</f>
        <v>150732</v>
      </c>
      <c r="H26" s="69">
        <v>24.7428258957841</v>
      </c>
      <c r="I26" s="69">
        <f>'- 48 -'!G26</f>
        <v>25.683440189451993</v>
      </c>
    </row>
    <row r="27" spans="1:9" ht="13.5" customHeight="1">
      <c r="A27" s="362" t="s">
        <v>231</v>
      </c>
      <c r="B27" s="363">
        <f>'- 4 -'!C27</f>
        <v>9936</v>
      </c>
      <c r="C27" s="363">
        <f>'- 4 -'!E27</f>
        <v>10945</v>
      </c>
      <c r="D27" s="389">
        <v>11.65897771026882</v>
      </c>
      <c r="E27" s="389">
        <f>'- 9 -'!C27</f>
        <v>12.458093212144652</v>
      </c>
      <c r="F27" s="363">
        <v>76234</v>
      </c>
      <c r="G27" s="363">
        <f>'- 51 -'!F27</f>
        <v>78340</v>
      </c>
      <c r="H27" s="389">
        <v>33.384219348659</v>
      </c>
      <c r="I27" s="389">
        <f>'- 48 -'!G27</f>
        <v>33.36130593428823</v>
      </c>
    </row>
    <row r="28" spans="1:9" ht="13.5" customHeight="1">
      <c r="A28" s="23" t="s">
        <v>232</v>
      </c>
      <c r="B28" s="24">
        <f>'- 4 -'!C28</f>
        <v>9942</v>
      </c>
      <c r="C28" s="24">
        <f>'- 4 -'!E28</f>
        <v>10545</v>
      </c>
      <c r="D28" s="69">
        <v>13.74635120602243</v>
      </c>
      <c r="E28" s="69">
        <f>'- 9 -'!C28</f>
        <v>13.898973954222573</v>
      </c>
      <c r="F28" s="24">
        <v>184965</v>
      </c>
      <c r="G28" s="24">
        <f>'- 51 -'!F28</f>
        <v>192532</v>
      </c>
      <c r="H28" s="69">
        <v>20.173620605250722</v>
      </c>
      <c r="I28" s="69">
        <f>'- 48 -'!G28</f>
        <v>20.170059076279944</v>
      </c>
    </row>
    <row r="29" spans="1:9" ht="13.5" customHeight="1">
      <c r="A29" s="362" t="s">
        <v>233</v>
      </c>
      <c r="B29" s="363">
        <f>'- 4 -'!C29</f>
        <v>9655</v>
      </c>
      <c r="C29" s="363">
        <f>'- 4 -'!E29</f>
        <v>10109</v>
      </c>
      <c r="D29" s="389">
        <v>13.65607177400527</v>
      </c>
      <c r="E29" s="389">
        <f>'- 9 -'!C29</f>
        <v>13.645697742268505</v>
      </c>
      <c r="F29" s="363">
        <v>215011</v>
      </c>
      <c r="G29" s="363">
        <f>'- 51 -'!F29</f>
        <v>224253</v>
      </c>
      <c r="H29" s="389">
        <v>23.709348500723312</v>
      </c>
      <c r="I29" s="389">
        <f>'- 48 -'!G29</f>
        <v>23.85728075183757</v>
      </c>
    </row>
    <row r="30" spans="1:9" ht="13.5" customHeight="1">
      <c r="A30" s="23" t="s">
        <v>234</v>
      </c>
      <c r="B30" s="24">
        <f>'- 4 -'!C30</f>
        <v>9359</v>
      </c>
      <c r="C30" s="24">
        <f>'- 4 -'!E30</f>
        <v>9683</v>
      </c>
      <c r="D30" s="69">
        <v>14.318042813455657</v>
      </c>
      <c r="E30" s="69">
        <f>'- 9 -'!C30</f>
        <v>14.202968504887172</v>
      </c>
      <c r="F30" s="24">
        <v>158962</v>
      </c>
      <c r="G30" s="24">
        <f>'- 51 -'!F30</f>
        <v>162811</v>
      </c>
      <c r="H30" s="69">
        <v>19.51571641626015</v>
      </c>
      <c r="I30" s="69">
        <f>'- 48 -'!G30</f>
        <v>20.637174472505965</v>
      </c>
    </row>
    <row r="31" spans="1:9" ht="13.5" customHeight="1">
      <c r="A31" s="362" t="s">
        <v>235</v>
      </c>
      <c r="B31" s="363">
        <f>'- 4 -'!C31</f>
        <v>8609</v>
      </c>
      <c r="C31" s="363">
        <f>'- 4 -'!E31</f>
        <v>8907</v>
      </c>
      <c r="D31" s="389">
        <v>14.218441440072915</v>
      </c>
      <c r="E31" s="389">
        <f>'- 9 -'!C31</f>
        <v>14.327339545872164</v>
      </c>
      <c r="F31" s="363">
        <v>172632</v>
      </c>
      <c r="G31" s="363">
        <f>'- 51 -'!F31</f>
        <v>179507</v>
      </c>
      <c r="H31" s="389">
        <v>20.26333531730763</v>
      </c>
      <c r="I31" s="389">
        <f>'- 48 -'!G31</f>
        <v>20.25826780342417</v>
      </c>
    </row>
    <row r="32" spans="1:9" ht="13.5" customHeight="1">
      <c r="A32" s="23" t="s">
        <v>236</v>
      </c>
      <c r="B32" s="24">
        <f>'- 4 -'!C32</f>
        <v>9696</v>
      </c>
      <c r="C32" s="24">
        <f>'- 4 -'!E32</f>
        <v>9872</v>
      </c>
      <c r="D32" s="69">
        <v>13.825598657458206</v>
      </c>
      <c r="E32" s="69">
        <f>'- 9 -'!C32</f>
        <v>13.804819731957465</v>
      </c>
      <c r="F32" s="24">
        <v>209740</v>
      </c>
      <c r="G32" s="24">
        <f>'- 51 -'!F32</f>
        <v>213278</v>
      </c>
      <c r="H32" s="69">
        <v>19.109777056566976</v>
      </c>
      <c r="I32" s="69">
        <f>'- 48 -'!G32</f>
        <v>19.10984240783625</v>
      </c>
    </row>
    <row r="33" spans="1:9" ht="13.5" customHeight="1">
      <c r="A33" s="362" t="s">
        <v>237</v>
      </c>
      <c r="B33" s="363">
        <f>'- 4 -'!C33</f>
        <v>10070</v>
      </c>
      <c r="C33" s="363">
        <f>'- 4 -'!E33</f>
        <v>10556</v>
      </c>
      <c r="D33" s="389">
        <v>13.548035595375024</v>
      </c>
      <c r="E33" s="389">
        <f>'- 9 -'!C33</f>
        <v>13.524768475355835</v>
      </c>
      <c r="F33" s="363">
        <v>181436</v>
      </c>
      <c r="G33" s="363">
        <f>'- 51 -'!F33</f>
        <v>186520</v>
      </c>
      <c r="H33" s="389">
        <v>21.458267327147436</v>
      </c>
      <c r="I33" s="389">
        <f>'- 48 -'!G33</f>
        <v>21.50457533360928</v>
      </c>
    </row>
    <row r="34" spans="1:9" ht="13.5" customHeight="1">
      <c r="A34" s="23" t="s">
        <v>238</v>
      </c>
      <c r="B34" s="24">
        <f>'- 4 -'!C34</f>
        <v>9757</v>
      </c>
      <c r="C34" s="24">
        <f>'- 4 -'!E34</f>
        <v>10204</v>
      </c>
      <c r="D34" s="69">
        <v>14.2716396903589</v>
      </c>
      <c r="E34" s="69">
        <f>'- 9 -'!C34</f>
        <v>13.99930867611476</v>
      </c>
      <c r="F34" s="24">
        <v>194117</v>
      </c>
      <c r="G34" s="24">
        <f>'- 51 -'!F34</f>
        <v>202883</v>
      </c>
      <c r="H34" s="69">
        <v>21.667810311924978</v>
      </c>
      <c r="I34" s="69">
        <f>'- 48 -'!G34</f>
        <v>21.66684137544838</v>
      </c>
    </row>
    <row r="35" spans="1:9" ht="13.5" customHeight="1">
      <c r="A35" s="362" t="s">
        <v>239</v>
      </c>
      <c r="B35" s="363">
        <f>'- 4 -'!C35</f>
        <v>8790</v>
      </c>
      <c r="C35" s="363">
        <f>'- 4 -'!E35</f>
        <v>9203</v>
      </c>
      <c r="D35" s="389">
        <v>13.970713073005093</v>
      </c>
      <c r="E35" s="389">
        <f>'- 9 -'!C35</f>
        <v>14.208482780234704</v>
      </c>
      <c r="F35" s="363">
        <v>146829</v>
      </c>
      <c r="G35" s="363">
        <f>'- 51 -'!F35</f>
        <v>151644</v>
      </c>
      <c r="H35" s="389">
        <v>24.876024121767006</v>
      </c>
      <c r="I35" s="389">
        <f>'- 48 -'!G35</f>
        <v>25.76890845452034</v>
      </c>
    </row>
    <row r="36" spans="1:9" ht="13.5" customHeight="1">
      <c r="A36" s="23" t="s">
        <v>240</v>
      </c>
      <c r="B36" s="24">
        <f>'- 4 -'!C36</f>
        <v>9762</v>
      </c>
      <c r="C36" s="24">
        <f>'- 4 -'!E36</f>
        <v>10444</v>
      </c>
      <c r="D36" s="69">
        <v>13.808503685414472</v>
      </c>
      <c r="E36" s="69">
        <f>'- 9 -'!C36</f>
        <v>13.192176565584065</v>
      </c>
      <c r="F36" s="24">
        <v>187393</v>
      </c>
      <c r="G36" s="24">
        <f>'- 51 -'!F36</f>
        <v>194541</v>
      </c>
      <c r="H36" s="69">
        <v>21.541720179689598</v>
      </c>
      <c r="I36" s="69">
        <f>'- 48 -'!G36</f>
        <v>21.520454921258185</v>
      </c>
    </row>
    <row r="37" spans="1:9" ht="13.5" customHeight="1">
      <c r="A37" s="362" t="s">
        <v>241</v>
      </c>
      <c r="B37" s="363">
        <f>'- 4 -'!C37</f>
        <v>9139</v>
      </c>
      <c r="C37" s="363">
        <f>'- 4 -'!E37</f>
        <v>9507</v>
      </c>
      <c r="D37" s="389">
        <v>14.417027850491353</v>
      </c>
      <c r="E37" s="389">
        <f>'- 9 -'!C37</f>
        <v>14.365385412779366</v>
      </c>
      <c r="F37" s="363">
        <v>124624</v>
      </c>
      <c r="G37" s="363">
        <f>'- 51 -'!F37</f>
        <v>126528</v>
      </c>
      <c r="H37" s="389">
        <v>24.372448935352747</v>
      </c>
      <c r="I37" s="389">
        <f>'- 48 -'!G37</f>
        <v>24.37221496398722</v>
      </c>
    </row>
    <row r="38" spans="1:9" ht="13.5" customHeight="1">
      <c r="A38" s="23" t="s">
        <v>242</v>
      </c>
      <c r="B38" s="24">
        <f>'- 4 -'!C38</f>
        <v>8648</v>
      </c>
      <c r="C38" s="24">
        <f>'- 4 -'!E38</f>
        <v>9352</v>
      </c>
      <c r="D38" s="69">
        <v>15.16704664278245</v>
      </c>
      <c r="E38" s="69">
        <f>'- 9 -'!C38</f>
        <v>14.775685708047096</v>
      </c>
      <c r="F38" s="24">
        <v>135099</v>
      </c>
      <c r="G38" s="24">
        <f>'- 51 -'!F38</f>
        <v>137631</v>
      </c>
      <c r="H38" s="69">
        <v>26.77788586668771</v>
      </c>
      <c r="I38" s="69">
        <f>'- 48 -'!G38</f>
        <v>27.750239870963128</v>
      </c>
    </row>
    <row r="39" spans="1:9" ht="13.5" customHeight="1">
      <c r="A39" s="362" t="s">
        <v>243</v>
      </c>
      <c r="B39" s="363">
        <f>'- 4 -'!C39</f>
        <v>10442</v>
      </c>
      <c r="C39" s="363">
        <f>'- 4 -'!E39</f>
        <v>10496</v>
      </c>
      <c r="D39" s="389">
        <v>13.547651233524839</v>
      </c>
      <c r="E39" s="389">
        <f>'- 9 -'!C39</f>
        <v>13.468041237113402</v>
      </c>
      <c r="F39" s="363">
        <v>219477</v>
      </c>
      <c r="G39" s="363">
        <f>'- 51 -'!F39</f>
        <v>229754</v>
      </c>
      <c r="H39" s="389">
        <v>20.515686414780436</v>
      </c>
      <c r="I39" s="389">
        <f>'- 48 -'!G39</f>
        <v>20.522692999829818</v>
      </c>
    </row>
    <row r="40" spans="1:9" ht="13.5" customHeight="1">
      <c r="A40" s="23" t="s">
        <v>244</v>
      </c>
      <c r="B40" s="24">
        <f>'- 4 -'!C40</f>
        <v>9210</v>
      </c>
      <c r="C40" s="24">
        <f>'- 4 -'!E40</f>
        <v>9987</v>
      </c>
      <c r="D40" s="69">
        <v>13.81583004690264</v>
      </c>
      <c r="E40" s="69">
        <f>'- 9 -'!C40</f>
        <v>14.136414385763105</v>
      </c>
      <c r="F40" s="24">
        <v>217084</v>
      </c>
      <c r="G40" s="24">
        <f>'- 51 -'!F40</f>
        <v>222547</v>
      </c>
      <c r="H40" s="69">
        <v>21.91959604700237</v>
      </c>
      <c r="I40" s="69">
        <f>'- 48 -'!G40</f>
        <v>22.65832279871223</v>
      </c>
    </row>
    <row r="41" spans="1:9" ht="13.5" customHeight="1">
      <c r="A41" s="362" t="s">
        <v>245</v>
      </c>
      <c r="B41" s="363">
        <f>'- 4 -'!C41</f>
        <v>10226</v>
      </c>
      <c r="C41" s="363">
        <f>'- 4 -'!E41</f>
        <v>10829</v>
      </c>
      <c r="D41" s="389">
        <v>13.601432189328444</v>
      </c>
      <c r="E41" s="389">
        <f>'- 9 -'!C41</f>
        <v>13.31971340603689</v>
      </c>
      <c r="F41" s="363">
        <v>196348</v>
      </c>
      <c r="G41" s="363">
        <f>'- 51 -'!F41</f>
        <v>202632</v>
      </c>
      <c r="H41" s="389">
        <v>24.17638937205379</v>
      </c>
      <c r="I41" s="389">
        <f>'- 48 -'!G41</f>
        <v>24.170068760599676</v>
      </c>
    </row>
    <row r="42" spans="1:9" ht="13.5" customHeight="1">
      <c r="A42" s="23" t="s">
        <v>246</v>
      </c>
      <c r="B42" s="24">
        <f>'- 4 -'!C42</f>
        <v>10239</v>
      </c>
      <c r="C42" s="24">
        <f>'- 4 -'!E42</f>
        <v>10849</v>
      </c>
      <c r="D42" s="69">
        <v>13.844241922120961</v>
      </c>
      <c r="E42" s="69">
        <f>'- 9 -'!C42</f>
        <v>13.843537414965985</v>
      </c>
      <c r="F42" s="24">
        <v>143609</v>
      </c>
      <c r="G42" s="24">
        <f>'- 51 -'!F42</f>
        <v>146895</v>
      </c>
      <c r="H42" s="69">
        <v>22.96813418856676</v>
      </c>
      <c r="I42" s="69">
        <f>'- 48 -'!G42</f>
        <v>25.11810032821039</v>
      </c>
    </row>
    <row r="43" spans="1:9" ht="13.5" customHeight="1">
      <c r="A43" s="362" t="s">
        <v>247</v>
      </c>
      <c r="B43" s="363">
        <f>'- 4 -'!C43</f>
        <v>9387</v>
      </c>
      <c r="C43" s="363">
        <f>'- 4 -'!E43</f>
        <v>10116</v>
      </c>
      <c r="D43" s="389">
        <v>12.893309222423145</v>
      </c>
      <c r="E43" s="389">
        <f>'- 9 -'!C43</f>
        <v>13.12642927147991</v>
      </c>
      <c r="F43" s="363">
        <v>195707</v>
      </c>
      <c r="G43" s="363">
        <f>'- 51 -'!F43</f>
        <v>206337</v>
      </c>
      <c r="H43" s="389">
        <v>19.760807219362032</v>
      </c>
      <c r="I43" s="389">
        <f>'- 48 -'!G43</f>
        <v>19.99272222987844</v>
      </c>
    </row>
    <row r="44" spans="1:9" ht="13.5" customHeight="1">
      <c r="A44" s="23" t="s">
        <v>248</v>
      </c>
      <c r="B44" s="24">
        <f>'- 4 -'!C44</f>
        <v>9724</v>
      </c>
      <c r="C44" s="24">
        <f>'- 4 -'!E44</f>
        <v>10848</v>
      </c>
      <c r="D44" s="69">
        <v>14.866095828019677</v>
      </c>
      <c r="E44" s="69">
        <f>'- 9 -'!C44</f>
        <v>12.605042016806724</v>
      </c>
      <c r="F44" s="24">
        <v>122966</v>
      </c>
      <c r="G44" s="24">
        <f>'- 51 -'!F44</f>
        <v>127245</v>
      </c>
      <c r="H44" s="69">
        <v>23.676745805794955</v>
      </c>
      <c r="I44" s="69">
        <f>'- 48 -'!G44</f>
        <v>25.04582373168667</v>
      </c>
    </row>
    <row r="45" spans="1:9" ht="13.5" customHeight="1">
      <c r="A45" s="362" t="s">
        <v>249</v>
      </c>
      <c r="B45" s="363">
        <f>'- 4 -'!C45</f>
        <v>7922</v>
      </c>
      <c r="C45" s="363">
        <f>'- 4 -'!E45</f>
        <v>8304</v>
      </c>
      <c r="D45" s="389">
        <v>15.972952667167544</v>
      </c>
      <c r="E45" s="389">
        <f>'- 9 -'!C45</f>
        <v>15.743138270326256</v>
      </c>
      <c r="F45" s="363">
        <v>146619</v>
      </c>
      <c r="G45" s="363">
        <f>'- 51 -'!F45</f>
        <v>149731</v>
      </c>
      <c r="H45" s="389">
        <v>22.13630428910577</v>
      </c>
      <c r="I45" s="389">
        <f>'- 48 -'!G45</f>
        <v>22.135516138260364</v>
      </c>
    </row>
    <row r="46" spans="1:9" ht="13.5" customHeight="1">
      <c r="A46" s="23" t="s">
        <v>250</v>
      </c>
      <c r="B46" s="24">
        <f>'- 4 -'!C46</f>
        <v>9474</v>
      </c>
      <c r="C46" s="24">
        <f>'- 4 -'!E46</f>
        <v>9837</v>
      </c>
      <c r="D46" s="69">
        <v>13.798813833474545</v>
      </c>
      <c r="E46" s="69">
        <f>'- 9 -'!C46</f>
        <v>13.810261700164954</v>
      </c>
      <c r="F46" s="24">
        <v>157945</v>
      </c>
      <c r="G46" s="24">
        <f>'- 51 -'!F46</f>
        <v>159963</v>
      </c>
      <c r="H46" s="69">
        <v>27.870519428542448</v>
      </c>
      <c r="I46" s="69">
        <f>'- 48 -'!G46</f>
        <v>27.870354363084317</v>
      </c>
    </row>
    <row r="47" spans="2:9" ht="4.5" customHeight="1">
      <c r="B47" s="178"/>
      <c r="C47" s="178"/>
      <c r="D47" s="277"/>
      <c r="E47" s="277"/>
      <c r="F47" s="178"/>
      <c r="G47" s="178"/>
      <c r="H47" s="277"/>
      <c r="I47" s="277"/>
    </row>
    <row r="48" spans="1:9" ht="13.5" customHeight="1">
      <c r="A48" s="365" t="s">
        <v>251</v>
      </c>
      <c r="B48" s="422">
        <f>'- 4 -'!C48</f>
        <v>9401</v>
      </c>
      <c r="C48" s="422">
        <f>'- 4 -'!E48</f>
        <v>9910</v>
      </c>
      <c r="D48" s="483">
        <v>14.03838936962529</v>
      </c>
      <c r="E48" s="483">
        <f>'- 9 -'!C48</f>
        <v>13.999817261221716</v>
      </c>
      <c r="F48" s="422">
        <v>164266.29138268522</v>
      </c>
      <c r="G48" s="422">
        <f>'- 51 -'!F48</f>
        <v>168779</v>
      </c>
      <c r="H48" s="483">
        <v>23.62434676957477</v>
      </c>
      <c r="I48" s="483">
        <f>'- 48 -'!G48</f>
        <v>23.95955673642349</v>
      </c>
    </row>
    <row r="49" spans="2:9" ht="4.5" customHeight="1">
      <c r="B49" s="178"/>
      <c r="C49" s="178"/>
      <c r="D49" s="277"/>
      <c r="E49" s="277"/>
      <c r="F49" s="178"/>
      <c r="G49" s="178"/>
      <c r="H49" s="277"/>
      <c r="I49" s="277"/>
    </row>
    <row r="50" spans="1:9" ht="14.25" customHeight="1">
      <c r="A50" s="23" t="s">
        <v>252</v>
      </c>
      <c r="B50" s="24">
        <f>'- 4 -'!C50</f>
        <v>11980</v>
      </c>
      <c r="C50" s="24">
        <f>'- 4 -'!E50</f>
        <v>13269</v>
      </c>
      <c r="D50" s="275">
        <v>10.074955908289242</v>
      </c>
      <c r="E50" s="275">
        <f>'- 9 -'!C50</f>
        <v>9.335373852208132</v>
      </c>
      <c r="F50" s="177"/>
      <c r="G50" s="177"/>
      <c r="H50" s="275"/>
      <c r="I50" s="275"/>
    </row>
    <row r="51" spans="1:9" ht="49.5" customHeight="1">
      <c r="A51" s="27"/>
      <c r="B51" s="27"/>
      <c r="C51" s="27"/>
      <c r="D51" s="27"/>
      <c r="E51" s="27"/>
      <c r="F51" s="27"/>
      <c r="G51" s="27"/>
      <c r="H51" s="27"/>
      <c r="I51" s="27"/>
    </row>
    <row r="52" spans="1:6" ht="15" customHeight="1">
      <c r="A52" s="128" t="s">
        <v>380</v>
      </c>
      <c r="B52" s="39"/>
      <c r="C52" s="39"/>
      <c r="D52" s="39"/>
      <c r="E52" s="39"/>
      <c r="F52" s="39"/>
    </row>
    <row r="53" spans="1:6" ht="12" customHeight="1">
      <c r="A53" s="128" t="s">
        <v>381</v>
      </c>
      <c r="B53" s="39"/>
      <c r="C53" s="39"/>
      <c r="D53" s="39"/>
      <c r="E53" s="39"/>
      <c r="F53" s="39"/>
    </row>
    <row r="54" spans="1:6" ht="12" customHeight="1">
      <c r="A54" s="128" t="s">
        <v>508</v>
      </c>
      <c r="B54" s="39"/>
      <c r="C54" s="39"/>
      <c r="D54" s="39"/>
      <c r="E54" s="39"/>
      <c r="F54" s="39"/>
    </row>
    <row r="55" spans="1:6" ht="12" customHeight="1">
      <c r="A55" s="128" t="s">
        <v>506</v>
      </c>
      <c r="B55" s="39"/>
      <c r="C55" s="39"/>
      <c r="D55" s="39"/>
      <c r="E55" s="39"/>
      <c r="F55" s="39"/>
    </row>
    <row r="56" ht="14.25" customHeight="1">
      <c r="A56" s="39"/>
    </row>
  </sheetData>
  <printOptions horizontalCentered="1"/>
  <pageMargins left="0.5118110236220472" right="0.5118110236220472" top="0.5905511811023623" bottom="0" header="0.31496062992125984" footer="0"/>
  <pageSetup fitToHeight="1" fitToWidth="1" horizontalDpi="600" verticalDpi="600" orientation="portrait" scale="10" r:id="rId1"/>
  <headerFooter alignWithMargins="0">
    <oddHeader>&amp;C&amp;"Arial,Bold"&amp;10&amp;A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G63"/>
  <sheetViews>
    <sheetView showGridLines="0" showZeros="0" workbookViewId="0" topLeftCell="A1">
      <selection activeCell="B19" sqref="B19"/>
    </sheetView>
  </sheetViews>
  <sheetFormatPr defaultColWidth="16.83203125" defaultRowHeight="12"/>
  <cols>
    <col min="1" max="1" width="32.83203125" style="1" customWidth="1"/>
    <col min="2" max="7" width="16.83203125" style="1" customWidth="1"/>
    <col min="8" max="16384" width="16.83203125" style="1" customWidth="1"/>
  </cols>
  <sheetData>
    <row r="1" spans="1:6" ht="6.75" customHeight="1">
      <c r="A1" s="3"/>
      <c r="B1" s="4"/>
      <c r="C1" s="4"/>
      <c r="D1" s="4"/>
      <c r="E1" s="4"/>
      <c r="F1" s="4"/>
    </row>
    <row r="2" spans="1:7" ht="15.75" customHeight="1">
      <c r="A2" s="43"/>
      <c r="B2" s="132" t="s">
        <v>163</v>
      </c>
      <c r="C2" s="6"/>
      <c r="D2" s="6"/>
      <c r="E2" s="6"/>
      <c r="F2" s="108"/>
      <c r="G2" s="108"/>
    </row>
    <row r="3" spans="1:7" ht="15.75" customHeight="1">
      <c r="A3" s="47"/>
      <c r="B3" s="109" t="s">
        <v>322</v>
      </c>
      <c r="C3" s="8"/>
      <c r="D3" s="8"/>
      <c r="E3" s="8"/>
      <c r="F3" s="110"/>
      <c r="G3" s="110"/>
    </row>
    <row r="4" spans="2:6" ht="15.75" customHeight="1">
      <c r="B4" s="4"/>
      <c r="C4" s="4"/>
      <c r="D4" s="4"/>
      <c r="E4" s="4"/>
      <c r="F4" s="4"/>
    </row>
    <row r="5" spans="2:7" ht="15.75" customHeight="1">
      <c r="B5" s="383" t="s">
        <v>340</v>
      </c>
      <c r="C5" s="384"/>
      <c r="D5" s="385"/>
      <c r="E5" s="386" t="s">
        <v>341</v>
      </c>
      <c r="F5" s="387" t="s">
        <v>342</v>
      </c>
      <c r="G5" s="388" t="s">
        <v>342</v>
      </c>
    </row>
    <row r="6" spans="2:7" ht="15.75" customHeight="1">
      <c r="B6" s="557" t="s">
        <v>174</v>
      </c>
      <c r="C6" s="558"/>
      <c r="D6" s="559"/>
      <c r="E6" s="111" t="s">
        <v>175</v>
      </c>
      <c r="F6" s="112" t="s">
        <v>174</v>
      </c>
      <c r="G6" s="112" t="s">
        <v>174</v>
      </c>
    </row>
    <row r="7" spans="2:7" ht="15.75" customHeight="1">
      <c r="B7" s="560" t="s">
        <v>457</v>
      </c>
      <c r="C7" s="561"/>
      <c r="D7" s="562"/>
      <c r="E7" s="129" t="s">
        <v>481</v>
      </c>
      <c r="F7" s="129" t="s">
        <v>457</v>
      </c>
      <c r="G7" s="129" t="s">
        <v>410</v>
      </c>
    </row>
    <row r="8" spans="1:7" ht="15.75" customHeight="1">
      <c r="A8" s="104"/>
      <c r="B8" s="13" t="s">
        <v>453</v>
      </c>
      <c r="C8" s="11" t="s">
        <v>70</v>
      </c>
      <c r="D8" s="13" t="s">
        <v>454</v>
      </c>
      <c r="E8" s="11" t="s">
        <v>452</v>
      </c>
      <c r="F8" s="11" t="s">
        <v>454</v>
      </c>
      <c r="G8" s="11" t="s">
        <v>454</v>
      </c>
    </row>
    <row r="9" spans="1:7" ht="15.75" customHeight="1">
      <c r="A9" s="35" t="s">
        <v>79</v>
      </c>
      <c r="B9" s="130" t="s">
        <v>164</v>
      </c>
      <c r="C9" s="130" t="s">
        <v>164</v>
      </c>
      <c r="D9" s="130" t="s">
        <v>164</v>
      </c>
      <c r="E9" s="131" t="s">
        <v>164</v>
      </c>
      <c r="F9" s="131" t="s">
        <v>164</v>
      </c>
      <c r="G9" s="131" t="s">
        <v>164</v>
      </c>
    </row>
    <row r="10" ht="4.5" customHeight="1">
      <c r="A10" s="37"/>
    </row>
    <row r="11" spans="1:7" ht="13.5" customHeight="1">
      <c r="A11" s="362" t="s">
        <v>216</v>
      </c>
      <c r="B11" s="363">
        <v>1499</v>
      </c>
      <c r="C11" s="363">
        <v>0</v>
      </c>
      <c r="D11" s="363">
        <f aca="true" t="shared" si="0" ref="D11:D46">B11-C11</f>
        <v>1499</v>
      </c>
      <c r="E11" s="389">
        <f>'- 7 -'!F11</f>
        <v>1413</v>
      </c>
      <c r="F11" s="389">
        <v>1439.3</v>
      </c>
      <c r="G11" s="389">
        <v>1453.6</v>
      </c>
    </row>
    <row r="12" spans="1:7" ht="13.5" customHeight="1">
      <c r="A12" s="23" t="s">
        <v>217</v>
      </c>
      <c r="B12" s="24">
        <v>2466</v>
      </c>
      <c r="C12" s="24">
        <v>0</v>
      </c>
      <c r="D12" s="24">
        <f t="shared" si="0"/>
        <v>2466</v>
      </c>
      <c r="E12" s="69">
        <f>'- 7 -'!F12</f>
        <v>2313</v>
      </c>
      <c r="F12" s="69">
        <v>2289</v>
      </c>
      <c r="G12" s="69">
        <v>2279.4</v>
      </c>
    </row>
    <row r="13" spans="1:7" ht="13.5" customHeight="1">
      <c r="A13" s="362" t="s">
        <v>218</v>
      </c>
      <c r="B13" s="363">
        <v>7036</v>
      </c>
      <c r="C13" s="363">
        <v>0</v>
      </c>
      <c r="D13" s="363">
        <f t="shared" si="0"/>
        <v>7036</v>
      </c>
      <c r="E13" s="389">
        <f>'- 7 -'!F13</f>
        <v>6774.471428571429</v>
      </c>
      <c r="F13" s="389">
        <v>6695</v>
      </c>
      <c r="G13" s="389">
        <v>6672.6</v>
      </c>
    </row>
    <row r="14" spans="1:7" ht="13.5" customHeight="1">
      <c r="A14" s="23" t="s">
        <v>254</v>
      </c>
      <c r="B14" s="24">
        <v>4775</v>
      </c>
      <c r="C14" s="24">
        <v>0</v>
      </c>
      <c r="D14" s="24">
        <f t="shared" si="0"/>
        <v>4775</v>
      </c>
      <c r="E14" s="69">
        <f>'- 7 -'!F14</f>
        <v>4835</v>
      </c>
      <c r="F14" s="69">
        <v>4578.5</v>
      </c>
      <c r="G14" s="69">
        <v>4460.7</v>
      </c>
    </row>
    <row r="15" spans="1:7" ht="13.5" customHeight="1">
      <c r="A15" s="362" t="s">
        <v>219</v>
      </c>
      <c r="B15" s="363">
        <v>1702</v>
      </c>
      <c r="C15" s="363">
        <v>0</v>
      </c>
      <c r="D15" s="363">
        <f t="shared" si="0"/>
        <v>1702</v>
      </c>
      <c r="E15" s="389">
        <f>'- 7 -'!F15</f>
        <v>1598.5</v>
      </c>
      <c r="F15" s="389">
        <v>1620.3</v>
      </c>
      <c r="G15" s="389">
        <v>1588.7</v>
      </c>
    </row>
    <row r="16" spans="1:7" ht="13.5" customHeight="1">
      <c r="A16" s="23" t="s">
        <v>220</v>
      </c>
      <c r="B16" s="24">
        <v>1116</v>
      </c>
      <c r="C16" s="24">
        <v>0</v>
      </c>
      <c r="D16" s="24">
        <f t="shared" si="0"/>
        <v>1116</v>
      </c>
      <c r="E16" s="69">
        <f>'- 7 -'!F16</f>
        <v>1076.5</v>
      </c>
      <c r="F16" s="69">
        <v>1037.1</v>
      </c>
      <c r="G16" s="69">
        <v>1070</v>
      </c>
    </row>
    <row r="17" spans="1:7" ht="13.5" customHeight="1">
      <c r="A17" s="362" t="s">
        <v>221</v>
      </c>
      <c r="B17" s="363">
        <v>1448</v>
      </c>
      <c r="C17" s="363">
        <v>0</v>
      </c>
      <c r="D17" s="363">
        <f t="shared" si="0"/>
        <v>1448</v>
      </c>
      <c r="E17" s="389">
        <f>'- 7 -'!F17</f>
        <v>1379</v>
      </c>
      <c r="F17" s="389">
        <v>1342.7</v>
      </c>
      <c r="G17" s="389">
        <v>1366.8</v>
      </c>
    </row>
    <row r="18" spans="1:7" ht="13.5" customHeight="1">
      <c r="A18" s="23" t="s">
        <v>222</v>
      </c>
      <c r="B18" s="24">
        <v>6274</v>
      </c>
      <c r="C18" s="24">
        <v>392</v>
      </c>
      <c r="D18" s="24">
        <f t="shared" si="0"/>
        <v>5882</v>
      </c>
      <c r="E18" s="69">
        <f>'- 7 -'!F18</f>
        <v>5813.6</v>
      </c>
      <c r="F18" s="69">
        <v>2568.3</v>
      </c>
      <c r="G18" s="69">
        <v>2566.2</v>
      </c>
    </row>
    <row r="19" spans="1:7" ht="13.5" customHeight="1">
      <c r="A19" s="362" t="s">
        <v>223</v>
      </c>
      <c r="B19" s="363">
        <v>3758</v>
      </c>
      <c r="C19" s="363">
        <v>0</v>
      </c>
      <c r="D19" s="363">
        <f t="shared" si="0"/>
        <v>3758</v>
      </c>
      <c r="E19" s="389">
        <f>'- 7 -'!F19</f>
        <v>3816</v>
      </c>
      <c r="F19" s="389">
        <v>3610.7</v>
      </c>
      <c r="G19" s="389">
        <v>3403.2</v>
      </c>
    </row>
    <row r="20" spans="1:7" ht="13.5" customHeight="1">
      <c r="A20" s="23" t="s">
        <v>224</v>
      </c>
      <c r="B20" s="24">
        <v>7274</v>
      </c>
      <c r="C20" s="24">
        <v>0</v>
      </c>
      <c r="D20" s="24">
        <f t="shared" si="0"/>
        <v>7274</v>
      </c>
      <c r="E20" s="69">
        <f>'- 7 -'!F20</f>
        <v>7180</v>
      </c>
      <c r="F20" s="69">
        <v>6997.2</v>
      </c>
      <c r="G20" s="69">
        <v>6783.9</v>
      </c>
    </row>
    <row r="21" spans="1:7" ht="13.5" customHeight="1">
      <c r="A21" s="362" t="s">
        <v>225</v>
      </c>
      <c r="B21" s="363">
        <v>3143</v>
      </c>
      <c r="C21" s="363">
        <v>0</v>
      </c>
      <c r="D21" s="363">
        <f t="shared" si="0"/>
        <v>3143</v>
      </c>
      <c r="E21" s="389">
        <f>'- 7 -'!F21</f>
        <v>2975.5</v>
      </c>
      <c r="F21" s="389">
        <v>3034.4</v>
      </c>
      <c r="G21" s="389">
        <v>3107.9</v>
      </c>
    </row>
    <row r="22" spans="1:7" ht="13.5" customHeight="1">
      <c r="A22" s="23" t="s">
        <v>226</v>
      </c>
      <c r="B22" s="24">
        <v>1628</v>
      </c>
      <c r="C22" s="24">
        <v>0</v>
      </c>
      <c r="D22" s="24">
        <f t="shared" si="0"/>
        <v>1628</v>
      </c>
      <c r="E22" s="69">
        <f>'- 7 -'!F22</f>
        <v>1695</v>
      </c>
      <c r="F22" s="69">
        <v>1562.5</v>
      </c>
      <c r="G22" s="69">
        <v>1614.7</v>
      </c>
    </row>
    <row r="23" spans="1:7" ht="13.5" customHeight="1">
      <c r="A23" s="362" t="s">
        <v>227</v>
      </c>
      <c r="B23" s="363">
        <v>1312</v>
      </c>
      <c r="C23" s="363">
        <v>0</v>
      </c>
      <c r="D23" s="363">
        <f t="shared" si="0"/>
        <v>1312</v>
      </c>
      <c r="E23" s="389">
        <f>'- 7 -'!F23</f>
        <v>1303</v>
      </c>
      <c r="F23" s="389">
        <v>1161.2</v>
      </c>
      <c r="G23" s="389">
        <v>1214.7</v>
      </c>
    </row>
    <row r="24" spans="1:7" ht="13.5" customHeight="1">
      <c r="A24" s="23" t="s">
        <v>228</v>
      </c>
      <c r="B24" s="24">
        <v>4658</v>
      </c>
      <c r="C24" s="24">
        <v>0</v>
      </c>
      <c r="D24" s="24">
        <f t="shared" si="0"/>
        <v>4658</v>
      </c>
      <c r="E24" s="69">
        <f>'- 7 -'!F24</f>
        <v>4426</v>
      </c>
      <c r="F24" s="69">
        <v>4429.1</v>
      </c>
      <c r="G24" s="69">
        <v>4463.8</v>
      </c>
    </row>
    <row r="25" spans="1:7" ht="13.5" customHeight="1">
      <c r="A25" s="362" t="s">
        <v>229</v>
      </c>
      <c r="B25" s="363">
        <v>14859</v>
      </c>
      <c r="C25" s="363">
        <v>0</v>
      </c>
      <c r="D25" s="363">
        <f t="shared" si="0"/>
        <v>14859</v>
      </c>
      <c r="E25" s="389">
        <f>'- 7 -'!F25</f>
        <v>14184</v>
      </c>
      <c r="F25" s="389">
        <v>14244.4</v>
      </c>
      <c r="G25" s="389">
        <v>14352.6</v>
      </c>
    </row>
    <row r="26" spans="1:7" ht="13.5" customHeight="1">
      <c r="A26" s="23" t="s">
        <v>230</v>
      </c>
      <c r="B26" s="24">
        <v>3263</v>
      </c>
      <c r="C26" s="24">
        <v>0</v>
      </c>
      <c r="D26" s="24">
        <f t="shared" si="0"/>
        <v>3263</v>
      </c>
      <c r="E26" s="69">
        <f>'- 7 -'!F26</f>
        <v>3131</v>
      </c>
      <c r="F26" s="69">
        <v>3065.2</v>
      </c>
      <c r="G26" s="69">
        <v>3086.8</v>
      </c>
    </row>
    <row r="27" spans="1:7" ht="13.5" customHeight="1">
      <c r="A27" s="362" t="s">
        <v>231</v>
      </c>
      <c r="B27" s="363">
        <v>3332</v>
      </c>
      <c r="C27" s="363">
        <v>0</v>
      </c>
      <c r="D27" s="363">
        <f t="shared" si="0"/>
        <v>3332</v>
      </c>
      <c r="E27" s="389">
        <f>'- 7 -'!F27</f>
        <v>3221.04</v>
      </c>
      <c r="F27" s="389">
        <v>3130.7</v>
      </c>
      <c r="G27" s="389">
        <v>3230.9</v>
      </c>
    </row>
    <row r="28" spans="1:7" ht="13.5" customHeight="1">
      <c r="A28" s="23" t="s">
        <v>232</v>
      </c>
      <c r="B28" s="24">
        <v>1879</v>
      </c>
      <c r="C28" s="24">
        <v>0</v>
      </c>
      <c r="D28" s="24">
        <f t="shared" si="0"/>
        <v>1879</v>
      </c>
      <c r="E28" s="69">
        <f>'- 7 -'!F28</f>
        <v>1761</v>
      </c>
      <c r="F28" s="69">
        <v>1679.4</v>
      </c>
      <c r="G28" s="69">
        <v>1774</v>
      </c>
    </row>
    <row r="29" spans="1:7" ht="13.5" customHeight="1">
      <c r="A29" s="362" t="s">
        <v>233</v>
      </c>
      <c r="B29" s="363">
        <v>12917</v>
      </c>
      <c r="C29" s="363">
        <v>0</v>
      </c>
      <c r="D29" s="363">
        <f t="shared" si="0"/>
        <v>12917</v>
      </c>
      <c r="E29" s="389">
        <f>'- 7 -'!F29</f>
        <v>12160.5</v>
      </c>
      <c r="F29" s="389">
        <v>12359.3</v>
      </c>
      <c r="G29" s="389">
        <v>12497.7</v>
      </c>
    </row>
    <row r="30" spans="1:7" ht="13.5" customHeight="1">
      <c r="A30" s="23" t="s">
        <v>234</v>
      </c>
      <c r="B30" s="24">
        <v>1246</v>
      </c>
      <c r="C30" s="24">
        <v>0</v>
      </c>
      <c r="D30" s="24">
        <f t="shared" si="0"/>
        <v>1246</v>
      </c>
      <c r="E30" s="69">
        <f>'- 7 -'!F30</f>
        <v>1177</v>
      </c>
      <c r="F30" s="69">
        <v>1195.5</v>
      </c>
      <c r="G30" s="69">
        <v>1196.3</v>
      </c>
    </row>
    <row r="31" spans="1:7" ht="13.5" customHeight="1">
      <c r="A31" s="362" t="s">
        <v>235</v>
      </c>
      <c r="B31" s="363">
        <v>3409</v>
      </c>
      <c r="C31" s="363">
        <v>0</v>
      </c>
      <c r="D31" s="363">
        <f t="shared" si="0"/>
        <v>3409</v>
      </c>
      <c r="E31" s="389">
        <f>'- 7 -'!F31</f>
        <v>3274.8</v>
      </c>
      <c r="F31" s="389">
        <v>3182</v>
      </c>
      <c r="G31" s="389">
        <v>3187.8</v>
      </c>
    </row>
    <row r="32" spans="1:7" ht="13.5" customHeight="1">
      <c r="A32" s="23" t="s">
        <v>236</v>
      </c>
      <c r="B32" s="24">
        <v>2280</v>
      </c>
      <c r="C32" s="24">
        <v>0</v>
      </c>
      <c r="D32" s="24">
        <f t="shared" si="0"/>
        <v>2280</v>
      </c>
      <c r="E32" s="69">
        <f>'- 7 -'!F32</f>
        <v>2194</v>
      </c>
      <c r="F32" s="69">
        <v>2191.4</v>
      </c>
      <c r="G32" s="69">
        <v>2158.4</v>
      </c>
    </row>
    <row r="33" spans="1:7" ht="13.5" customHeight="1">
      <c r="A33" s="362" t="s">
        <v>237</v>
      </c>
      <c r="B33" s="363">
        <v>2321</v>
      </c>
      <c r="C33" s="363">
        <v>0</v>
      </c>
      <c r="D33" s="363">
        <f t="shared" si="0"/>
        <v>2321</v>
      </c>
      <c r="E33" s="389">
        <f>'- 7 -'!F33</f>
        <v>2176</v>
      </c>
      <c r="F33" s="389">
        <v>2207.1</v>
      </c>
      <c r="G33" s="389">
        <v>2265.2</v>
      </c>
    </row>
    <row r="34" spans="1:7" ht="13.5" customHeight="1">
      <c r="A34" s="23" t="s">
        <v>238</v>
      </c>
      <c r="B34" s="24">
        <v>2087</v>
      </c>
      <c r="C34" s="24">
        <v>0</v>
      </c>
      <c r="D34" s="24">
        <f t="shared" si="0"/>
        <v>2087</v>
      </c>
      <c r="E34" s="69">
        <f>'- 7 -'!F34</f>
        <v>2025</v>
      </c>
      <c r="F34" s="69">
        <v>2018</v>
      </c>
      <c r="G34" s="69">
        <v>2021</v>
      </c>
    </row>
    <row r="35" spans="1:7" ht="13.5" customHeight="1">
      <c r="A35" s="362" t="s">
        <v>239</v>
      </c>
      <c r="B35" s="363">
        <v>17121</v>
      </c>
      <c r="C35" s="363">
        <v>0</v>
      </c>
      <c r="D35" s="363">
        <f t="shared" si="0"/>
        <v>17121</v>
      </c>
      <c r="E35" s="389">
        <f>'- 7 -'!F35</f>
        <v>16321</v>
      </c>
      <c r="F35" s="389">
        <v>16395.4</v>
      </c>
      <c r="G35" s="389">
        <v>16603.8</v>
      </c>
    </row>
    <row r="36" spans="1:7" ht="13.5" customHeight="1">
      <c r="A36" s="23" t="s">
        <v>240</v>
      </c>
      <c r="B36" s="24">
        <v>1954</v>
      </c>
      <c r="C36" s="24">
        <v>0</v>
      </c>
      <c r="D36" s="24">
        <f t="shared" si="0"/>
        <v>1954</v>
      </c>
      <c r="E36" s="69">
        <f>'- 7 -'!F36</f>
        <v>1838</v>
      </c>
      <c r="F36" s="69">
        <v>1773.4</v>
      </c>
      <c r="G36" s="69">
        <v>1830.6</v>
      </c>
    </row>
    <row r="37" spans="1:7" ht="13.5" customHeight="1">
      <c r="A37" s="362" t="s">
        <v>241</v>
      </c>
      <c r="B37" s="363">
        <v>3600</v>
      </c>
      <c r="C37" s="363">
        <v>0</v>
      </c>
      <c r="D37" s="363">
        <f t="shared" si="0"/>
        <v>3600</v>
      </c>
      <c r="E37" s="389">
        <f>'- 7 -'!F37</f>
        <v>3464.5</v>
      </c>
      <c r="F37" s="389">
        <v>3463.7</v>
      </c>
      <c r="G37" s="389">
        <v>3359.6</v>
      </c>
    </row>
    <row r="38" spans="1:7" ht="13.5" customHeight="1">
      <c r="A38" s="23" t="s">
        <v>242</v>
      </c>
      <c r="B38" s="24">
        <v>9056</v>
      </c>
      <c r="C38" s="24">
        <v>0</v>
      </c>
      <c r="D38" s="24">
        <f t="shared" si="0"/>
        <v>9056</v>
      </c>
      <c r="E38" s="69">
        <f>'- 7 -'!F38</f>
        <v>8797</v>
      </c>
      <c r="F38" s="69">
        <v>8695.8</v>
      </c>
      <c r="G38" s="69">
        <v>8685.2</v>
      </c>
    </row>
    <row r="39" spans="1:7" ht="13.5" customHeight="1">
      <c r="A39" s="362" t="s">
        <v>243</v>
      </c>
      <c r="B39" s="363">
        <v>1697</v>
      </c>
      <c r="C39" s="363">
        <v>0</v>
      </c>
      <c r="D39" s="363">
        <f t="shared" si="0"/>
        <v>1697</v>
      </c>
      <c r="E39" s="389">
        <f>'- 7 -'!F39</f>
        <v>1633</v>
      </c>
      <c r="F39" s="389">
        <v>1638.3</v>
      </c>
      <c r="G39" s="389">
        <v>1657</v>
      </c>
    </row>
    <row r="40" spans="1:7" ht="13.5" customHeight="1">
      <c r="A40" s="23" t="s">
        <v>244</v>
      </c>
      <c r="B40" s="24">
        <v>8857</v>
      </c>
      <c r="C40" s="24">
        <v>0</v>
      </c>
      <c r="D40" s="24">
        <f t="shared" si="0"/>
        <v>8857</v>
      </c>
      <c r="E40" s="69">
        <f>'- 7 -'!F40</f>
        <v>8356.6</v>
      </c>
      <c r="F40" s="69">
        <v>8453.7</v>
      </c>
      <c r="G40" s="69">
        <v>8616.3</v>
      </c>
    </row>
    <row r="41" spans="1:7" ht="13.5" customHeight="1">
      <c r="A41" s="362" t="s">
        <v>245</v>
      </c>
      <c r="B41" s="363">
        <v>4858</v>
      </c>
      <c r="C41" s="363">
        <v>0</v>
      </c>
      <c r="D41" s="363">
        <f t="shared" si="0"/>
        <v>4858</v>
      </c>
      <c r="E41" s="389">
        <f>'- 7 -'!F41</f>
        <v>4629</v>
      </c>
      <c r="F41" s="389">
        <v>4595.8</v>
      </c>
      <c r="G41" s="389">
        <v>4618.8</v>
      </c>
    </row>
    <row r="42" spans="1:7" ht="13.5" customHeight="1">
      <c r="A42" s="23" t="s">
        <v>246</v>
      </c>
      <c r="B42" s="24">
        <v>1736</v>
      </c>
      <c r="C42" s="24">
        <v>0</v>
      </c>
      <c r="D42" s="24">
        <f t="shared" si="0"/>
        <v>1736</v>
      </c>
      <c r="E42" s="69">
        <f>'- 7 -'!F42</f>
        <v>1628</v>
      </c>
      <c r="F42" s="69">
        <v>1642.2</v>
      </c>
      <c r="G42" s="69">
        <v>1668.1</v>
      </c>
    </row>
    <row r="43" spans="1:7" ht="13.5" customHeight="1">
      <c r="A43" s="362" t="s">
        <v>247</v>
      </c>
      <c r="B43" s="363">
        <v>1068</v>
      </c>
      <c r="C43" s="363">
        <v>0</v>
      </c>
      <c r="D43" s="363">
        <f t="shared" si="0"/>
        <v>1068</v>
      </c>
      <c r="E43" s="389">
        <f>'- 7 -'!F43</f>
        <v>1004.5</v>
      </c>
      <c r="F43" s="389">
        <v>1037.4</v>
      </c>
      <c r="G43" s="389">
        <v>1089.5</v>
      </c>
    </row>
    <row r="44" spans="1:7" ht="13.5" customHeight="1">
      <c r="A44" s="23" t="s">
        <v>248</v>
      </c>
      <c r="B44" s="24">
        <v>809</v>
      </c>
      <c r="C44" s="24">
        <v>0</v>
      </c>
      <c r="D44" s="24">
        <f t="shared" si="0"/>
        <v>809</v>
      </c>
      <c r="E44" s="69">
        <f>'- 7 -'!F44</f>
        <v>780</v>
      </c>
      <c r="F44" s="69">
        <v>780.2</v>
      </c>
      <c r="G44" s="69">
        <v>792.6</v>
      </c>
    </row>
    <row r="45" spans="1:7" ht="13.5" customHeight="1">
      <c r="A45" s="362" t="s">
        <v>249</v>
      </c>
      <c r="B45" s="363">
        <v>1596</v>
      </c>
      <c r="C45" s="363">
        <v>0</v>
      </c>
      <c r="D45" s="363">
        <f t="shared" si="0"/>
        <v>1596</v>
      </c>
      <c r="E45" s="389">
        <f>'- 7 -'!F45</f>
        <v>1520</v>
      </c>
      <c r="F45" s="389">
        <v>1519.5</v>
      </c>
      <c r="G45" s="389">
        <v>1478.2</v>
      </c>
    </row>
    <row r="46" spans="1:7" ht="13.5" customHeight="1">
      <c r="A46" s="23" t="s">
        <v>250</v>
      </c>
      <c r="B46" s="24">
        <v>33193</v>
      </c>
      <c r="C46" s="24">
        <v>1734</v>
      </c>
      <c r="D46" s="24">
        <f t="shared" si="0"/>
        <v>31459</v>
      </c>
      <c r="E46" s="69">
        <f>'- 7 -'!F46</f>
        <v>30391</v>
      </c>
      <c r="F46" s="69">
        <v>29713</v>
      </c>
      <c r="G46" s="69">
        <v>29796.9</v>
      </c>
    </row>
    <row r="47" spans="1:7" ht="4.5" customHeight="1">
      <c r="A47"/>
      <c r="B47"/>
      <c r="C47"/>
      <c r="D47"/>
      <c r="E47"/>
      <c r="F47"/>
      <c r="G47"/>
    </row>
    <row r="48" spans="1:7" ht="13.5" customHeight="1">
      <c r="A48" s="365" t="s">
        <v>251</v>
      </c>
      <c r="B48" s="366">
        <f aca="true" t="shared" si="1" ref="B48:G48">SUM(B11:B46)</f>
        <v>181227</v>
      </c>
      <c r="C48" s="366">
        <f t="shared" si="1"/>
        <v>2126</v>
      </c>
      <c r="D48" s="366">
        <f t="shared" si="1"/>
        <v>179101</v>
      </c>
      <c r="E48" s="390">
        <f t="shared" si="1"/>
        <v>172265.51142857142</v>
      </c>
      <c r="F48" s="390">
        <f t="shared" si="1"/>
        <v>167346.69999999998</v>
      </c>
      <c r="G48" s="390">
        <f t="shared" si="1"/>
        <v>168013.50000000003</v>
      </c>
    </row>
    <row r="49" spans="1:7" ht="4.5" customHeight="1">
      <c r="A49" s="25" t="s">
        <v>3</v>
      </c>
      <c r="B49" s="26"/>
      <c r="C49" s="26"/>
      <c r="D49" s="26"/>
      <c r="E49" s="72"/>
      <c r="F49" s="72"/>
      <c r="G49" s="72"/>
    </row>
    <row r="50" spans="1:7" ht="13.5" customHeight="1">
      <c r="A50" s="23" t="s">
        <v>252</v>
      </c>
      <c r="B50" s="24">
        <v>219</v>
      </c>
      <c r="C50" s="24">
        <v>0</v>
      </c>
      <c r="D50" s="24">
        <f>B50-C50</f>
        <v>219</v>
      </c>
      <c r="E50" s="69">
        <f>'- 7 -'!F50</f>
        <v>213.5</v>
      </c>
      <c r="F50" s="69">
        <v>213.5</v>
      </c>
      <c r="G50" s="69">
        <v>228.5</v>
      </c>
    </row>
    <row r="51" spans="1:7" ht="13.5" customHeight="1">
      <c r="A51" s="362" t="s">
        <v>253</v>
      </c>
      <c r="B51" s="363">
        <v>0</v>
      </c>
      <c r="C51" s="363">
        <v>0</v>
      </c>
      <c r="D51" s="363">
        <f>B51-C51</f>
        <v>0</v>
      </c>
      <c r="E51" s="389">
        <f>'- 7 -'!F51</f>
        <v>624</v>
      </c>
      <c r="F51" s="389"/>
      <c r="G51" s="389"/>
    </row>
    <row r="52" spans="1:7" ht="49.5" customHeight="1">
      <c r="A52" s="27"/>
      <c r="B52" s="27"/>
      <c r="C52" s="27"/>
      <c r="D52" s="27"/>
      <c r="E52" s="27"/>
      <c r="F52" s="133"/>
      <c r="G52" s="133"/>
    </row>
    <row r="53" spans="1:6" ht="15" customHeight="1">
      <c r="A53" s="127" t="s">
        <v>345</v>
      </c>
      <c r="C53" s="117"/>
      <c r="D53" s="117"/>
      <c r="E53" s="117"/>
      <c r="F53" s="117"/>
    </row>
    <row r="54" spans="1:6" ht="12" customHeight="1">
      <c r="A54" s="127" t="s">
        <v>346</v>
      </c>
      <c r="C54" s="117"/>
      <c r="D54" s="117"/>
      <c r="E54" s="117"/>
      <c r="F54" s="117"/>
    </row>
    <row r="55" spans="1:6" ht="12" customHeight="1">
      <c r="A55" s="28" t="s">
        <v>347</v>
      </c>
      <c r="C55" s="117"/>
      <c r="D55" s="117"/>
      <c r="E55" s="117"/>
      <c r="F55" s="117"/>
    </row>
    <row r="56" spans="1:6" ht="12" customHeight="1">
      <c r="A56" s="127" t="s">
        <v>482</v>
      </c>
      <c r="C56" s="117"/>
      <c r="D56" s="117"/>
      <c r="E56" s="117"/>
      <c r="F56" s="118"/>
    </row>
    <row r="57" spans="1:6" ht="14.25" customHeight="1">
      <c r="A57" s="28"/>
      <c r="B57" s="117"/>
      <c r="C57" s="117"/>
      <c r="D57" s="117"/>
      <c r="E57" s="117"/>
      <c r="F57" s="117"/>
    </row>
    <row r="58" spans="6:7" ht="14.25" customHeight="1">
      <c r="F58"/>
      <c r="G58"/>
    </row>
    <row r="59" spans="6:7" ht="14.25" customHeight="1">
      <c r="F59"/>
      <c r="G59"/>
    </row>
    <row r="60" spans="6:7" ht="12">
      <c r="F60"/>
      <c r="G60"/>
    </row>
    <row r="61" spans="6:7" ht="12">
      <c r="F61"/>
      <c r="G61"/>
    </row>
    <row r="62" spans="6:7" ht="12">
      <c r="F62"/>
      <c r="G62"/>
    </row>
    <row r="63" spans="6:7" ht="12">
      <c r="F63"/>
      <c r="G63"/>
    </row>
  </sheetData>
  <mergeCells count="2">
    <mergeCell ref="B6:D6"/>
    <mergeCell ref="B7:D7"/>
  </mergeCells>
  <printOptions horizontalCentered="1"/>
  <pageMargins left="0.5" right="0.5" top="0.6" bottom="0" header="0.3" footer="0"/>
  <pageSetup fitToHeight="1" fitToWidth="1" horizontalDpi="600" verticalDpi="600" orientation="portrait"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7"/>
  <sheetViews>
    <sheetView showGridLines="0" showZeros="0" workbookViewId="0" topLeftCell="A1">
      <selection activeCell="A3" sqref="A3"/>
    </sheetView>
  </sheetViews>
  <sheetFormatPr defaultColWidth="9.33203125" defaultRowHeight="12"/>
  <cols>
    <col min="1" max="1" width="39.83203125" style="1" customWidth="1"/>
    <col min="2" max="3" width="31.83203125" style="1" customWidth="1"/>
    <col min="4" max="4" width="29.83203125" style="1" customWidth="1"/>
    <col min="5" max="16384" width="9.33203125" style="1" customWidth="1"/>
  </cols>
  <sheetData>
    <row r="1" spans="1:4" ht="6.75" customHeight="1">
      <c r="A1" s="3"/>
      <c r="B1" s="4"/>
      <c r="C1" s="4"/>
      <c r="D1" s="4"/>
    </row>
    <row r="2" spans="1:4" ht="15.75" customHeight="1">
      <c r="A2" s="43"/>
      <c r="B2" s="5" t="s">
        <v>166</v>
      </c>
      <c r="C2" s="6"/>
      <c r="D2" s="102"/>
    </row>
    <row r="3" spans="1:4" ht="15.75" customHeight="1">
      <c r="A3" s="47"/>
      <c r="B3" s="7" t="str">
        <f>STATDATE</f>
        <v>ESTIMATE SEPTEMBER 30,2008</v>
      </c>
      <c r="C3" s="8"/>
      <c r="D3" s="103"/>
    </row>
    <row r="4" spans="2:4" ht="15.75" customHeight="1">
      <c r="B4" s="4"/>
      <c r="C4" s="4"/>
      <c r="D4" s="4"/>
    </row>
    <row r="5" spans="2:4" ht="15.75" customHeight="1">
      <c r="B5" s="4"/>
      <c r="C5" s="4"/>
      <c r="D5" s="4"/>
    </row>
    <row r="6" spans="2:4" ht="15.75" customHeight="1">
      <c r="B6" s="4"/>
      <c r="C6" s="4"/>
      <c r="D6" s="4"/>
    </row>
    <row r="7" spans="2:4" ht="15.75" customHeight="1">
      <c r="B7" s="391" t="s">
        <v>165</v>
      </c>
      <c r="C7" s="392"/>
      <c r="D7" s="4"/>
    </row>
    <row r="8" spans="1:4" ht="15.75" customHeight="1">
      <c r="A8" s="104"/>
      <c r="B8" s="105" t="s">
        <v>71</v>
      </c>
      <c r="C8" s="106"/>
      <c r="D8" s="107"/>
    </row>
    <row r="9" spans="1:3" ht="15.75" customHeight="1">
      <c r="A9" s="35" t="s">
        <v>79</v>
      </c>
      <c r="B9" s="36" t="s">
        <v>338</v>
      </c>
      <c r="C9" s="36" t="s">
        <v>339</v>
      </c>
    </row>
    <row r="10" ht="4.5" customHeight="1">
      <c r="A10" s="37"/>
    </row>
    <row r="11" spans="1:3" ht="13.5" customHeight="1">
      <c r="A11" s="362" t="s">
        <v>216</v>
      </c>
      <c r="B11" s="389">
        <v>16.217798594847775</v>
      </c>
      <c r="C11" s="389">
        <v>13.829891357541353</v>
      </c>
    </row>
    <row r="12" spans="1:3" ht="13.5" customHeight="1">
      <c r="A12" s="23" t="s">
        <v>217</v>
      </c>
      <c r="B12" s="69">
        <v>16.41240332079756</v>
      </c>
      <c r="C12" s="69">
        <v>13.350649350649348</v>
      </c>
    </row>
    <row r="13" spans="1:3" ht="13.5" customHeight="1">
      <c r="A13" s="362" t="s">
        <v>218</v>
      </c>
      <c r="B13" s="389">
        <v>18.55454076450578</v>
      </c>
      <c r="C13" s="389">
        <v>14.267451726067623</v>
      </c>
    </row>
    <row r="14" spans="1:3" ht="13.5" customHeight="1">
      <c r="A14" s="23" t="s">
        <v>254</v>
      </c>
      <c r="B14" s="69">
        <v>16.065963957837468</v>
      </c>
      <c r="C14" s="69">
        <v>13.094818947539473</v>
      </c>
    </row>
    <row r="15" spans="1:3" ht="13.5" customHeight="1">
      <c r="A15" s="362" t="s">
        <v>219</v>
      </c>
      <c r="B15" s="389">
        <v>18.03768900925299</v>
      </c>
      <c r="C15" s="389">
        <v>14.333751793400285</v>
      </c>
    </row>
    <row r="16" spans="1:3" ht="13.5" customHeight="1">
      <c r="A16" s="23" t="s">
        <v>220</v>
      </c>
      <c r="B16" s="69">
        <v>17.866666666666667</v>
      </c>
      <c r="C16" s="69">
        <v>14.183135704874834</v>
      </c>
    </row>
    <row r="17" spans="1:3" ht="13.5" customHeight="1">
      <c r="A17" s="362" t="s">
        <v>221</v>
      </c>
      <c r="B17" s="389">
        <v>16.96395620617542</v>
      </c>
      <c r="C17" s="389">
        <v>13.978712620375063</v>
      </c>
    </row>
    <row r="18" spans="1:3" ht="13.5" customHeight="1">
      <c r="A18" s="23" t="s">
        <v>222</v>
      </c>
      <c r="B18" s="69">
        <v>15.512447634549192</v>
      </c>
      <c r="C18" s="69">
        <v>12.283378055737499</v>
      </c>
    </row>
    <row r="19" spans="1:3" ht="13.5" customHeight="1">
      <c r="A19" s="362" t="s">
        <v>223</v>
      </c>
      <c r="B19" s="389">
        <v>18.087546592755423</v>
      </c>
      <c r="C19" s="389">
        <v>15.18805970149254</v>
      </c>
    </row>
    <row r="20" spans="1:3" ht="13.5" customHeight="1">
      <c r="A20" s="23" t="s">
        <v>224</v>
      </c>
      <c r="B20" s="69">
        <v>19.808209306837394</v>
      </c>
      <c r="C20" s="69">
        <v>16.994082840236686</v>
      </c>
    </row>
    <row r="21" spans="1:3" ht="13.5" customHeight="1">
      <c r="A21" s="362" t="s">
        <v>225</v>
      </c>
      <c r="B21" s="389">
        <v>17.719012256233775</v>
      </c>
      <c r="C21" s="389">
        <v>13.700616999723731</v>
      </c>
    </row>
    <row r="22" spans="1:3" ht="13.5" customHeight="1">
      <c r="A22" s="23" t="s">
        <v>226</v>
      </c>
      <c r="B22" s="69">
        <v>18.03611738148984</v>
      </c>
      <c r="C22" s="69">
        <v>14.739130434782611</v>
      </c>
    </row>
    <row r="23" spans="1:3" ht="13.5" customHeight="1">
      <c r="A23" s="362" t="s">
        <v>227</v>
      </c>
      <c r="B23" s="389">
        <v>17.03267973856209</v>
      </c>
      <c r="C23" s="389">
        <v>13.530633437175494</v>
      </c>
    </row>
    <row r="24" spans="1:3" ht="13.5" customHeight="1">
      <c r="A24" s="23" t="s">
        <v>228</v>
      </c>
      <c r="B24" s="69">
        <v>17.031884057971016</v>
      </c>
      <c r="C24" s="69">
        <v>13.798908807482462</v>
      </c>
    </row>
    <row r="25" spans="1:3" ht="13.5" customHeight="1">
      <c r="A25" s="362" t="s">
        <v>229</v>
      </c>
      <c r="B25" s="389">
        <v>19.094386012839774</v>
      </c>
      <c r="C25" s="389">
        <v>14.556650246305418</v>
      </c>
    </row>
    <row r="26" spans="1:3" ht="13.5" customHeight="1">
      <c r="A26" s="23" t="s">
        <v>230</v>
      </c>
      <c r="B26" s="69">
        <v>16.48938985024078</v>
      </c>
      <c r="C26" s="69">
        <v>13.117982235629293</v>
      </c>
    </row>
    <row r="27" spans="1:3" ht="13.5" customHeight="1">
      <c r="A27" s="362" t="s">
        <v>231</v>
      </c>
      <c r="B27" s="389">
        <v>15.733869346733668</v>
      </c>
      <c r="C27" s="389">
        <v>12.458093212144652</v>
      </c>
    </row>
    <row r="28" spans="1:3" ht="13.5" customHeight="1">
      <c r="A28" s="23" t="s">
        <v>232</v>
      </c>
      <c r="B28" s="69">
        <v>16.968587396415494</v>
      </c>
      <c r="C28" s="69">
        <v>13.898973954222573</v>
      </c>
    </row>
    <row r="29" spans="1:3" ht="13.5" customHeight="1">
      <c r="A29" s="362" t="s">
        <v>233</v>
      </c>
      <c r="B29" s="389">
        <v>17.069816643159378</v>
      </c>
      <c r="C29" s="389">
        <v>13.645697742268505</v>
      </c>
    </row>
    <row r="30" spans="1:3" ht="13.5" customHeight="1">
      <c r="A30" s="23" t="s">
        <v>234</v>
      </c>
      <c r="B30" s="69">
        <v>16.90849015945985</v>
      </c>
      <c r="C30" s="69">
        <v>14.202968504887172</v>
      </c>
    </row>
    <row r="31" spans="1:3" ht="13.5" customHeight="1">
      <c r="A31" s="362" t="s">
        <v>235</v>
      </c>
      <c r="B31" s="389">
        <v>17.5721099250511</v>
      </c>
      <c r="C31" s="389">
        <v>14.327339545872164</v>
      </c>
    </row>
    <row r="32" spans="1:3" ht="13.5" customHeight="1">
      <c r="A32" s="23" t="s">
        <v>236</v>
      </c>
      <c r="B32" s="69">
        <v>16.2362169762451</v>
      </c>
      <c r="C32" s="69">
        <v>13.804819731957465</v>
      </c>
    </row>
    <row r="33" spans="1:3" ht="13.5" customHeight="1">
      <c r="A33" s="362" t="s">
        <v>237</v>
      </c>
      <c r="B33" s="389">
        <v>16.252147285084774</v>
      </c>
      <c r="C33" s="389">
        <v>13.524768475355835</v>
      </c>
    </row>
    <row r="34" spans="1:3" ht="13.5" customHeight="1">
      <c r="A34" s="23" t="s">
        <v>238</v>
      </c>
      <c r="B34" s="69">
        <v>17.60569531795947</v>
      </c>
      <c r="C34" s="69">
        <v>13.99930867611476</v>
      </c>
    </row>
    <row r="35" spans="1:3" ht="13.5" customHeight="1">
      <c r="A35" s="362" t="s">
        <v>239</v>
      </c>
      <c r="B35" s="389">
        <v>17.84617084760747</v>
      </c>
      <c r="C35" s="389">
        <v>14.208482780234704</v>
      </c>
    </row>
    <row r="36" spans="1:3" ht="13.5" customHeight="1">
      <c r="A36" s="23" t="s">
        <v>240</v>
      </c>
      <c r="B36" s="69">
        <v>16.323214285714286</v>
      </c>
      <c r="C36" s="69">
        <v>13.192176565584065</v>
      </c>
    </row>
    <row r="37" spans="1:3" ht="13.5" customHeight="1">
      <c r="A37" s="362" t="s">
        <v>241</v>
      </c>
      <c r="B37" s="389">
        <v>18.62434146865928</v>
      </c>
      <c r="C37" s="389">
        <v>14.365385412779366</v>
      </c>
    </row>
    <row r="38" spans="1:3" ht="13.5" customHeight="1">
      <c r="A38" s="23" t="s">
        <v>242</v>
      </c>
      <c r="B38" s="69">
        <v>17.428588443138736</v>
      </c>
      <c r="C38" s="69">
        <v>14.775685708047096</v>
      </c>
    </row>
    <row r="39" spans="1:3" ht="13.5" customHeight="1">
      <c r="A39" s="362" t="s">
        <v>243</v>
      </c>
      <c r="B39" s="389">
        <v>16.166716166716167</v>
      </c>
      <c r="C39" s="389">
        <v>13.468041237113402</v>
      </c>
    </row>
    <row r="40" spans="1:3" ht="13.5" customHeight="1">
      <c r="A40" s="23" t="s">
        <v>244</v>
      </c>
      <c r="B40" s="69">
        <v>18.481612760301285</v>
      </c>
      <c r="C40" s="69">
        <v>14.136414385763105</v>
      </c>
    </row>
    <row r="41" spans="1:3" ht="13.5" customHeight="1">
      <c r="A41" s="362" t="s">
        <v>245</v>
      </c>
      <c r="B41" s="389">
        <v>16.933037365889753</v>
      </c>
      <c r="C41" s="389">
        <v>13.31971340603689</v>
      </c>
    </row>
    <row r="42" spans="1:3" ht="13.5" customHeight="1">
      <c r="A42" s="23" t="s">
        <v>246</v>
      </c>
      <c r="B42" s="69">
        <v>16.84428349715468</v>
      </c>
      <c r="C42" s="69">
        <v>13.843537414965985</v>
      </c>
    </row>
    <row r="43" spans="1:3" ht="13.5" customHeight="1">
      <c r="A43" s="362" t="s">
        <v>247</v>
      </c>
      <c r="B43" s="389">
        <v>15.489591364687742</v>
      </c>
      <c r="C43" s="389">
        <v>13.12642927147991</v>
      </c>
    </row>
    <row r="44" spans="1:3" ht="13.5" customHeight="1">
      <c r="A44" s="23" t="s">
        <v>248</v>
      </c>
      <c r="B44" s="69">
        <v>14.772727272727273</v>
      </c>
      <c r="C44" s="69">
        <v>12.605042016806724</v>
      </c>
    </row>
    <row r="45" spans="1:3" ht="13.5" customHeight="1">
      <c r="A45" s="362" t="s">
        <v>249</v>
      </c>
      <c r="B45" s="389">
        <v>19.2</v>
      </c>
      <c r="C45" s="389">
        <v>15.743138270326256</v>
      </c>
    </row>
    <row r="46" spans="1:3" ht="13.5" customHeight="1">
      <c r="A46" s="23" t="s">
        <v>250</v>
      </c>
      <c r="B46" s="69">
        <v>17.76636134827626</v>
      </c>
      <c r="C46" s="69">
        <v>13.810261700164954</v>
      </c>
    </row>
    <row r="47" spans="1:4" ht="4.5" customHeight="1">
      <c r="A47"/>
      <c r="B47"/>
      <c r="C47"/>
      <c r="D47"/>
    </row>
    <row r="48" spans="1:4" ht="13.5" customHeight="1">
      <c r="A48" s="495" t="s">
        <v>251</v>
      </c>
      <c r="B48" s="496">
        <v>17.55241443758021</v>
      </c>
      <c r="C48" s="497">
        <v>13.999817261221716</v>
      </c>
      <c r="D48" s="37"/>
    </row>
    <row r="49" spans="1:3" ht="4.5" customHeight="1">
      <c r="A49" s="25" t="s">
        <v>3</v>
      </c>
      <c r="B49" s="72"/>
      <c r="C49" s="72"/>
    </row>
    <row r="50" spans="1:3" ht="13.5" customHeight="1">
      <c r="A50" s="23" t="s">
        <v>252</v>
      </c>
      <c r="B50" s="69">
        <v>11.666666666666666</v>
      </c>
      <c r="C50" s="69">
        <v>9.335373852208132</v>
      </c>
    </row>
    <row r="51" spans="1:3" ht="13.5" customHeight="1">
      <c r="A51" s="362" t="s">
        <v>253</v>
      </c>
      <c r="B51" s="389">
        <v>18.461538461538463</v>
      </c>
      <c r="C51" s="389">
        <v>17.405857740585777</v>
      </c>
    </row>
    <row r="52" spans="1:4" ht="49.5" customHeight="1">
      <c r="A52" s="27"/>
      <c r="B52" s="27"/>
      <c r="C52" s="27"/>
      <c r="D52" s="27"/>
    </row>
    <row r="53" spans="1:4" ht="15" customHeight="1">
      <c r="A53" s="128" t="s">
        <v>372</v>
      </c>
      <c r="B53" s="39"/>
      <c r="C53" s="39"/>
      <c r="D53" s="39"/>
    </row>
    <row r="54" spans="1:4" ht="12" customHeight="1">
      <c r="A54" s="39" t="s">
        <v>371</v>
      </c>
      <c r="B54" s="39"/>
      <c r="C54" s="39"/>
      <c r="D54" s="39"/>
    </row>
    <row r="55" spans="1:4" ht="12" customHeight="1">
      <c r="A55" s="128" t="s">
        <v>348</v>
      </c>
      <c r="C55" s="39"/>
      <c r="D55" s="39"/>
    </row>
    <row r="56" spans="1:4" ht="12" customHeight="1">
      <c r="A56" s="39" t="s">
        <v>455</v>
      </c>
      <c r="C56" s="39"/>
      <c r="D56" s="39"/>
    </row>
    <row r="57" spans="1:4" ht="12" customHeight="1">
      <c r="A57" s="39" t="s">
        <v>349</v>
      </c>
      <c r="B57" s="39"/>
      <c r="C57" s="39"/>
      <c r="D57" s="39"/>
    </row>
  </sheetData>
  <printOptions horizontalCentered="1"/>
  <pageMargins left="0.5" right="0.5" top="0.6" bottom="0" header="0.3" footer="0"/>
  <pageSetup fitToHeight="1" fitToWidth="1" horizontalDpi="600" verticalDpi="600" orientation="portrait"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L33"/>
  <sheetViews>
    <sheetView showGridLines="0" showZeros="0" workbookViewId="0" topLeftCell="A1">
      <selection activeCell="B1" sqref="B1"/>
    </sheetView>
  </sheetViews>
  <sheetFormatPr defaultColWidth="15.83203125" defaultRowHeight="12"/>
  <cols>
    <col min="1" max="1" width="5.83203125" style="1" customWidth="1"/>
    <col min="2" max="2" width="40.83203125" style="1" customWidth="1"/>
    <col min="3" max="5" width="15.83203125" style="1" customWidth="1"/>
    <col min="6" max="6" width="17.83203125" style="1" customWidth="1"/>
    <col min="7" max="9" width="14.83203125" style="1" customWidth="1"/>
    <col min="10" max="10" width="2.83203125" style="1" customWidth="1"/>
    <col min="11" max="11" width="17.83203125" style="1" customWidth="1"/>
    <col min="12" max="12" width="9.83203125" style="1" customWidth="1"/>
    <col min="13" max="16384" width="15.83203125" style="1" customWidth="1"/>
  </cols>
  <sheetData>
    <row r="2" spans="1:11" ht="12">
      <c r="A2" s="74"/>
      <c r="B2" s="74"/>
      <c r="C2" s="75" t="str">
        <f>OPYEAR</f>
        <v>OPERATING FUND 2008/2009 BUDGET</v>
      </c>
      <c r="D2" s="75"/>
      <c r="E2" s="75"/>
      <c r="F2" s="75"/>
      <c r="G2" s="75"/>
      <c r="H2" s="75"/>
      <c r="I2" s="75"/>
      <c r="J2" s="75"/>
      <c r="K2" s="74"/>
    </row>
    <row r="5" spans="3:11" ht="15.75">
      <c r="C5" s="342" t="s">
        <v>485</v>
      </c>
      <c r="D5" s="77"/>
      <c r="E5" s="77"/>
      <c r="F5" s="77"/>
      <c r="G5" s="77"/>
      <c r="H5" s="77"/>
      <c r="I5" s="77"/>
      <c r="J5" s="77"/>
      <c r="K5" s="4"/>
    </row>
    <row r="6" spans="3:11" ht="12">
      <c r="C6" s="76"/>
      <c r="D6" s="77"/>
      <c r="E6" s="77"/>
      <c r="F6" s="77"/>
      <c r="G6" s="77"/>
      <c r="H6" s="77"/>
      <c r="I6" s="77"/>
      <c r="J6" s="77"/>
      <c r="K6" s="4"/>
    </row>
    <row r="7" spans="3:11" ht="12">
      <c r="C7" s="76"/>
      <c r="D7" s="77"/>
      <c r="E7" s="77"/>
      <c r="F7" s="77"/>
      <c r="G7" s="77"/>
      <c r="H7" s="77"/>
      <c r="I7" s="77"/>
      <c r="J7" s="4"/>
      <c r="K7" s="4"/>
    </row>
    <row r="8" spans="3:11" ht="12">
      <c r="C8" s="4"/>
      <c r="D8" s="4"/>
      <c r="E8" s="4"/>
      <c r="F8" s="4"/>
      <c r="G8" s="4"/>
      <c r="H8" s="4"/>
      <c r="I8" s="4"/>
      <c r="J8" s="4"/>
      <c r="K8" s="4"/>
    </row>
    <row r="9" spans="3:11" ht="12">
      <c r="C9" s="4"/>
      <c r="D9" s="4"/>
      <c r="E9" s="4"/>
      <c r="F9" s="4"/>
      <c r="G9" s="4"/>
      <c r="H9" s="4"/>
      <c r="I9" s="4"/>
      <c r="J9" s="4"/>
      <c r="K9" s="4"/>
    </row>
    <row r="10" spans="3:11" ht="12">
      <c r="C10" s="375" t="s">
        <v>144</v>
      </c>
      <c r="D10" s="376"/>
      <c r="E10" s="376"/>
      <c r="F10" s="376"/>
      <c r="G10" s="376"/>
      <c r="H10" s="376"/>
      <c r="I10" s="376"/>
      <c r="J10" s="377"/>
      <c r="K10" s="4"/>
    </row>
    <row r="11" spans="3:11" ht="12">
      <c r="C11" s="4"/>
      <c r="D11" s="4"/>
      <c r="E11" s="4"/>
      <c r="F11" s="4"/>
      <c r="G11" s="4"/>
      <c r="H11" s="4"/>
      <c r="I11" s="4"/>
      <c r="J11" s="4"/>
      <c r="K11" s="4"/>
    </row>
    <row r="12" spans="1:11" ht="12">
      <c r="A12" s="78"/>
      <c r="B12" s="79"/>
      <c r="C12" s="378"/>
      <c r="D12" s="378" t="s">
        <v>145</v>
      </c>
      <c r="E12" s="379"/>
      <c r="F12" s="378" t="s">
        <v>146</v>
      </c>
      <c r="G12" s="356" t="s">
        <v>127</v>
      </c>
      <c r="H12" s="520" t="s">
        <v>483</v>
      </c>
      <c r="I12" s="380"/>
      <c r="J12" s="370"/>
      <c r="K12" s="370"/>
    </row>
    <row r="13" spans="1:11" ht="12">
      <c r="A13" s="565" t="s">
        <v>155</v>
      </c>
      <c r="B13" s="566"/>
      <c r="C13" s="381" t="s">
        <v>147</v>
      </c>
      <c r="D13" s="381" t="s">
        <v>148</v>
      </c>
      <c r="E13" s="361" t="s">
        <v>135</v>
      </c>
      <c r="F13" s="381" t="s">
        <v>149</v>
      </c>
      <c r="G13" s="359" t="s">
        <v>135</v>
      </c>
      <c r="H13" s="521" t="s">
        <v>484</v>
      </c>
      <c r="I13" s="360" t="s">
        <v>92</v>
      </c>
      <c r="J13" s="382"/>
      <c r="K13" s="381" t="s">
        <v>150</v>
      </c>
    </row>
    <row r="15" spans="1:11" ht="12">
      <c r="A15" s="80">
        <v>100</v>
      </c>
      <c r="B15" s="37" t="s">
        <v>49</v>
      </c>
      <c r="C15" s="81">
        <f>'- 12 -'!B22</f>
        <v>827506445</v>
      </c>
      <c r="D15" s="82">
        <f>'- 12 -'!B23</f>
        <v>49601668</v>
      </c>
      <c r="E15" s="82">
        <f>'- 12 -'!B40</f>
        <v>22466040</v>
      </c>
      <c r="F15" s="82">
        <f>'- 12 -'!B46</f>
        <v>63789358</v>
      </c>
      <c r="G15" s="83"/>
      <c r="H15" s="213"/>
      <c r="I15" s="84"/>
      <c r="K15" s="81">
        <f>SUM(C15:F15)</f>
        <v>963363511</v>
      </c>
    </row>
    <row r="16" spans="1:11" ht="24" customHeight="1">
      <c r="A16" s="80">
        <v>200</v>
      </c>
      <c r="B16" s="37" t="s">
        <v>430</v>
      </c>
      <c r="C16" s="81">
        <f>'- 12 -'!D22</f>
        <v>275576621.45790285</v>
      </c>
      <c r="D16" s="82">
        <f>'- 12 -'!D23</f>
        <v>25982862.048129164</v>
      </c>
      <c r="E16" s="82">
        <f>'- 12 -'!D40</f>
        <v>7865935</v>
      </c>
      <c r="F16" s="82">
        <f>'- 12 -'!D46</f>
        <v>4427577</v>
      </c>
      <c r="G16" s="83"/>
      <c r="H16" s="213"/>
      <c r="I16" s="84"/>
      <c r="K16" s="81">
        <f>SUM(C16:F16)</f>
        <v>313852995.506032</v>
      </c>
    </row>
    <row r="17" spans="1:11" ht="24" customHeight="1">
      <c r="A17" s="80">
        <v>300</v>
      </c>
      <c r="B17" s="37" t="s">
        <v>198</v>
      </c>
      <c r="C17" s="81">
        <f>'- 12 -'!F22</f>
        <v>4811762</v>
      </c>
      <c r="D17" s="82">
        <f>'- 12 -'!F23</f>
        <v>359155</v>
      </c>
      <c r="E17" s="82">
        <f>'- 12 -'!F40</f>
        <v>710028</v>
      </c>
      <c r="F17" s="82">
        <f>'- 12 -'!F46</f>
        <v>284644</v>
      </c>
      <c r="G17" s="83"/>
      <c r="H17" s="213"/>
      <c r="I17" s="85">
        <f>'- 12 -'!F48</f>
        <v>56880</v>
      </c>
      <c r="J17" s="86" t="s">
        <v>178</v>
      </c>
      <c r="K17" s="81">
        <f>SUM(C17:F17,I17)</f>
        <v>6222469</v>
      </c>
    </row>
    <row r="18" spans="1:11" ht="24" customHeight="1">
      <c r="A18" s="80">
        <v>400</v>
      </c>
      <c r="B18" s="37" t="s">
        <v>151</v>
      </c>
      <c r="C18" s="81">
        <f>'- 12 -'!H22</f>
        <v>11287651</v>
      </c>
      <c r="D18" s="82">
        <f>'- 12 -'!H23</f>
        <v>849194</v>
      </c>
      <c r="E18" s="82">
        <f>'- 12 -'!H40</f>
        <v>1273867</v>
      </c>
      <c r="F18" s="82">
        <f>'- 12 -'!H46</f>
        <v>998044</v>
      </c>
      <c r="G18" s="83"/>
      <c r="H18" s="213"/>
      <c r="I18" s="84"/>
      <c r="K18" s="81">
        <f>SUM(C18:F18)</f>
        <v>14408756</v>
      </c>
    </row>
    <row r="19" spans="1:11" ht="24" customHeight="1">
      <c r="A19" s="80">
        <v>500</v>
      </c>
      <c r="B19" s="37" t="s">
        <v>170</v>
      </c>
      <c r="C19" s="81">
        <f>'- 12 -'!J22</f>
        <v>38498680</v>
      </c>
      <c r="D19" s="82">
        <f>'- 12 -'!J23</f>
        <v>5147499</v>
      </c>
      <c r="E19" s="82">
        <f>'- 12 -'!J40</f>
        <v>13599558</v>
      </c>
      <c r="F19" s="82">
        <f>'- 12 -'!J46</f>
        <v>2928087</v>
      </c>
      <c r="G19" s="83"/>
      <c r="H19" s="213"/>
      <c r="I19" s="85">
        <f>'- 12 -'!J48</f>
        <v>-36880</v>
      </c>
      <c r="J19" s="86" t="s">
        <v>178</v>
      </c>
      <c r="K19" s="81">
        <f>SUM(C19:F19,I19)</f>
        <v>60136944</v>
      </c>
    </row>
    <row r="20" spans="1:12" ht="12" customHeight="1">
      <c r="A20" s="80"/>
      <c r="B20" s="37"/>
      <c r="C20" s="87"/>
      <c r="D20" s="88"/>
      <c r="E20" s="88"/>
      <c r="F20" s="88"/>
      <c r="G20" s="83"/>
      <c r="H20" s="213"/>
      <c r="I20" s="84"/>
      <c r="K20" s="81"/>
      <c r="L20" s="563" t="s">
        <v>179</v>
      </c>
    </row>
    <row r="21" spans="1:12" ht="24" customHeight="1">
      <c r="A21" s="89">
        <v>600</v>
      </c>
      <c r="B21" s="518" t="s">
        <v>470</v>
      </c>
      <c r="C21" s="81">
        <f>'- 13 -'!B22</f>
        <v>40523288</v>
      </c>
      <c r="D21" s="82">
        <f>'- 13 -'!B23</f>
        <v>3622678</v>
      </c>
      <c r="E21" s="82">
        <f>'- 13 -'!B40</f>
        <v>11338112</v>
      </c>
      <c r="F21" s="82">
        <f>'- 13 -'!B46</f>
        <v>6806651</v>
      </c>
      <c r="G21" s="83"/>
      <c r="H21" s="213"/>
      <c r="I21" s="84"/>
      <c r="K21" s="81">
        <f>SUM(C21:F21)</f>
        <v>62290729</v>
      </c>
      <c r="L21" s="564"/>
    </row>
    <row r="22" spans="1:12" ht="24" customHeight="1">
      <c r="A22" s="80">
        <v>700</v>
      </c>
      <c r="B22" s="37" t="s">
        <v>152</v>
      </c>
      <c r="C22" s="81">
        <f>'- 13 -'!D22</f>
        <v>32100092</v>
      </c>
      <c r="D22" s="82">
        <f>'- 13 -'!D23</f>
        <v>4460383</v>
      </c>
      <c r="E22" s="82">
        <f>'- 13 -'!D40</f>
        <v>20785106</v>
      </c>
      <c r="F22" s="82">
        <f>'- 13 -'!D46</f>
        <v>14277294</v>
      </c>
      <c r="G22" s="83"/>
      <c r="H22" s="213"/>
      <c r="I22" s="84"/>
      <c r="K22" s="81">
        <f>SUM(C22:F22)</f>
        <v>71622875</v>
      </c>
      <c r="L22" s="90"/>
    </row>
    <row r="23" spans="1:11" ht="24" customHeight="1">
      <c r="A23" s="80">
        <v>800</v>
      </c>
      <c r="B23" s="37" t="s">
        <v>153</v>
      </c>
      <c r="C23" s="81">
        <f>'- 13 -'!F22</f>
        <v>88281205</v>
      </c>
      <c r="D23" s="82">
        <f>'- 13 -'!F23</f>
        <v>13534098</v>
      </c>
      <c r="E23" s="82">
        <f>'- 13 -'!F40</f>
        <v>84850396</v>
      </c>
      <c r="F23" s="82">
        <f>'- 13 -'!F46</f>
        <v>18570934</v>
      </c>
      <c r="G23" s="83"/>
      <c r="H23" s="213"/>
      <c r="I23" s="85">
        <f>'- 13 -'!F52</f>
        <v>-20000</v>
      </c>
      <c r="J23" s="92" t="s">
        <v>324</v>
      </c>
      <c r="K23" s="81">
        <f>SUM(C23:F23,I23)</f>
        <v>205216633</v>
      </c>
    </row>
    <row r="24" spans="1:11" ht="24" customHeight="1">
      <c r="A24" s="80">
        <v>900</v>
      </c>
      <c r="B24" s="37" t="s">
        <v>53</v>
      </c>
      <c r="C24" s="87"/>
      <c r="D24" s="88"/>
      <c r="E24" s="88"/>
      <c r="F24" s="88"/>
      <c r="G24" s="82">
        <v>2794500</v>
      </c>
      <c r="H24" s="82">
        <v>0</v>
      </c>
      <c r="I24" s="91">
        <v>27806730</v>
      </c>
      <c r="J24" s="92" t="s">
        <v>328</v>
      </c>
      <c r="K24" s="81">
        <f>SUM(G24:I24)</f>
        <v>30601230</v>
      </c>
    </row>
    <row r="25" spans="1:11" ht="12">
      <c r="A25" s="80"/>
      <c r="B25" s="37"/>
      <c r="C25" s="87"/>
      <c r="D25" s="88"/>
      <c r="E25" s="88"/>
      <c r="F25" s="88"/>
      <c r="G25" s="88"/>
      <c r="H25" s="31"/>
      <c r="I25" s="93"/>
      <c r="K25" s="87"/>
    </row>
    <row r="26" spans="2:11" ht="12">
      <c r="B26" s="37"/>
      <c r="C26" s="94"/>
      <c r="D26" s="94"/>
      <c r="E26" s="94"/>
      <c r="F26" s="94"/>
      <c r="G26" s="94"/>
      <c r="H26" s="94"/>
      <c r="I26" s="94"/>
      <c r="K26" s="94"/>
    </row>
    <row r="27" spans="1:12" ht="12">
      <c r="A27" s="95"/>
      <c r="B27" s="96" t="s">
        <v>150</v>
      </c>
      <c r="C27" s="97">
        <f>SUM(C15:C24)</f>
        <v>1318585744.457903</v>
      </c>
      <c r="D27" s="98">
        <f>SUM(D15:D24)</f>
        <v>103557537.04812917</v>
      </c>
      <c r="E27" s="98">
        <f>SUM(E15:E24)</f>
        <v>162889042</v>
      </c>
      <c r="F27" s="98">
        <f>SUM(F15:F24)</f>
        <v>112082589</v>
      </c>
      <c r="G27" s="98">
        <f>G24</f>
        <v>2794500</v>
      </c>
      <c r="H27" s="98">
        <f>H24</f>
        <v>0</v>
      </c>
      <c r="I27" s="99">
        <f>SUM(I15:I24)</f>
        <v>27806730</v>
      </c>
      <c r="J27" s="100"/>
      <c r="K27" s="97">
        <f>SUM(K15:K24)</f>
        <v>1727716142.506032</v>
      </c>
      <c r="L27" s="1">
        <f>K27-'- 3 -'!D48</f>
        <v>0</v>
      </c>
    </row>
    <row r="28" spans="3:9" ht="12">
      <c r="C28" s="94"/>
      <c r="D28" s="94"/>
      <c r="E28" s="94"/>
      <c r="F28" s="94"/>
      <c r="G28" s="94"/>
      <c r="H28" s="94"/>
      <c r="I28" s="94"/>
    </row>
    <row r="29" ht="60" customHeight="1"/>
    <row r="30" spans="1:3" ht="12">
      <c r="A30" s="343" t="s">
        <v>178</v>
      </c>
      <c r="B30" s="1" t="s">
        <v>323</v>
      </c>
      <c r="C30" s="37"/>
    </row>
    <row r="31" spans="1:3" ht="12">
      <c r="A31" s="343" t="s">
        <v>324</v>
      </c>
      <c r="B31" s="161" t="s">
        <v>464</v>
      </c>
      <c r="C31" s="37"/>
    </row>
    <row r="32" spans="1:11" ht="12">
      <c r="A32" s="343" t="s">
        <v>328</v>
      </c>
      <c r="B32" s="1" t="s">
        <v>325</v>
      </c>
      <c r="C32" s="94"/>
      <c r="K32" s="94"/>
    </row>
    <row r="33" ht="12">
      <c r="C33" s="94"/>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mergeCells count="2">
    <mergeCell ref="L20:L21"/>
    <mergeCell ref="A13:B13"/>
  </mergeCells>
  <printOptions/>
  <pageMargins left="0.3937007874015748" right="0" top="0.7086614173228347" bottom="0.31496062992125984" header="0" footer="0"/>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M52"/>
  <sheetViews>
    <sheetView showGridLines="0" showZeros="0" workbookViewId="0" topLeftCell="A1">
      <selection activeCell="A1" sqref="A1"/>
    </sheetView>
  </sheetViews>
  <sheetFormatPr defaultColWidth="15.83203125" defaultRowHeight="12"/>
  <cols>
    <col min="1" max="1" width="50.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ustomWidth="1"/>
  </cols>
  <sheetData>
    <row r="2" spans="1:11" ht="12">
      <c r="A2" s="74"/>
      <c r="B2" s="74"/>
      <c r="C2" s="74"/>
      <c r="D2" s="134" t="str">
        <f>OPYEAR</f>
        <v>OPERATING FUND 2008/2009 BUDGET</v>
      </c>
      <c r="E2" s="134"/>
      <c r="F2" s="134"/>
      <c r="G2" s="134"/>
      <c r="H2" s="135"/>
      <c r="I2" s="135"/>
      <c r="J2" s="136"/>
      <c r="K2" s="137" t="s">
        <v>7</v>
      </c>
    </row>
    <row r="3" spans="10:11" ht="9.75" customHeight="1">
      <c r="J3" s="117"/>
      <c r="K3" s="117"/>
    </row>
    <row r="4" spans="2:11" ht="15.75">
      <c r="B4" s="344" t="s">
        <v>509</v>
      </c>
      <c r="C4" s="117"/>
      <c r="D4" s="117"/>
      <c r="E4" s="117"/>
      <c r="F4" s="117"/>
      <c r="G4" s="117"/>
      <c r="H4" s="117"/>
      <c r="I4" s="117"/>
      <c r="J4" s="117"/>
      <c r="K4" s="117"/>
    </row>
    <row r="5" spans="2:11" ht="15.75">
      <c r="B5" s="344" t="s">
        <v>510</v>
      </c>
      <c r="C5" s="117"/>
      <c r="D5" s="117"/>
      <c r="E5" s="117"/>
      <c r="F5" s="117"/>
      <c r="G5" s="117"/>
      <c r="H5" s="117"/>
      <c r="I5" s="117"/>
      <c r="J5" s="117"/>
      <c r="K5" s="117"/>
    </row>
    <row r="6" ht="9.75" customHeight="1"/>
    <row r="7" spans="2:11" ht="12">
      <c r="B7" s="139" t="s">
        <v>155</v>
      </c>
      <c r="C7" s="135"/>
      <c r="D7" s="135"/>
      <c r="E7" s="135"/>
      <c r="F7" s="135"/>
      <c r="G7" s="135"/>
      <c r="H7" s="135"/>
      <c r="I7" s="135"/>
      <c r="J7" s="135"/>
      <c r="K7" s="140"/>
    </row>
    <row r="8" ht="6" customHeight="1"/>
    <row r="9" spans="1:11" ht="12">
      <c r="A9" s="4"/>
      <c r="B9" s="356" t="s">
        <v>61</v>
      </c>
      <c r="C9" s="358"/>
      <c r="D9" s="357" t="s">
        <v>431</v>
      </c>
      <c r="E9" s="358"/>
      <c r="F9" s="357" t="s">
        <v>197</v>
      </c>
      <c r="G9" s="358"/>
      <c r="H9" s="357" t="s">
        <v>58</v>
      </c>
      <c r="I9" s="358"/>
      <c r="J9" s="357" t="s">
        <v>169</v>
      </c>
      <c r="K9" s="358"/>
    </row>
    <row r="10" spans="1:11" ht="12">
      <c r="A10" s="4"/>
      <c r="B10" s="359" t="s">
        <v>156</v>
      </c>
      <c r="C10" s="361"/>
      <c r="D10" s="360" t="s">
        <v>135</v>
      </c>
      <c r="E10" s="361"/>
      <c r="F10" s="360" t="s">
        <v>272</v>
      </c>
      <c r="G10" s="361"/>
      <c r="H10" s="360" t="s">
        <v>76</v>
      </c>
      <c r="I10" s="361"/>
      <c r="J10" s="360" t="s">
        <v>30</v>
      </c>
      <c r="K10" s="361"/>
    </row>
    <row r="11" spans="1:11" ht="12">
      <c r="A11" s="141" t="s">
        <v>144</v>
      </c>
      <c r="B11" s="142" t="s">
        <v>80</v>
      </c>
      <c r="C11" s="142" t="s">
        <v>81</v>
      </c>
      <c r="D11" s="142" t="s">
        <v>80</v>
      </c>
      <c r="E11" s="142" t="s">
        <v>81</v>
      </c>
      <c r="F11" s="142" t="s">
        <v>80</v>
      </c>
      <c r="G11" s="142" t="s">
        <v>81</v>
      </c>
      <c r="H11" s="142" t="s">
        <v>80</v>
      </c>
      <c r="I11" s="142" t="s">
        <v>81</v>
      </c>
      <c r="J11" s="142" t="s">
        <v>80</v>
      </c>
      <c r="K11" s="143" t="s">
        <v>81</v>
      </c>
    </row>
    <row r="12" spans="1:11" ht="4.5" customHeight="1">
      <c r="A12" s="144"/>
      <c r="B12" s="4"/>
      <c r="C12" s="4"/>
      <c r="D12" s="4"/>
      <c r="E12" s="4"/>
      <c r="F12" s="4"/>
      <c r="G12" s="4"/>
      <c r="H12" s="4"/>
      <c r="I12" s="4"/>
      <c r="J12" s="4"/>
      <c r="K12" s="4"/>
    </row>
    <row r="13" spans="1:11" ht="12">
      <c r="A13" s="373" t="s">
        <v>147</v>
      </c>
      <c r="B13" s="145"/>
      <c r="C13" s="349"/>
      <c r="D13" s="145"/>
      <c r="E13" s="349"/>
      <c r="F13" s="145"/>
      <c r="G13" s="349"/>
      <c r="H13" s="145"/>
      <c r="I13" s="349"/>
      <c r="J13" s="145"/>
      <c r="K13" s="349"/>
    </row>
    <row r="14" spans="1:11" ht="12">
      <c r="A14" s="146" t="s">
        <v>281</v>
      </c>
      <c r="B14" s="147"/>
      <c r="C14" s="346"/>
      <c r="D14" s="147"/>
      <c r="E14" s="346"/>
      <c r="F14" s="147"/>
      <c r="G14" s="346"/>
      <c r="H14" s="147"/>
      <c r="I14" s="346"/>
      <c r="J14" s="147">
        <v>3477321</v>
      </c>
      <c r="K14" s="346"/>
    </row>
    <row r="15" spans="1:11" ht="12">
      <c r="A15" s="146" t="s">
        <v>282</v>
      </c>
      <c r="B15" s="147">
        <v>70408784</v>
      </c>
      <c r="C15" s="346">
        <f>B15/'- 13 -'!$J$54*100</f>
        <v>4.075251846514143</v>
      </c>
      <c r="D15" s="147">
        <v>6234117.5024999995</v>
      </c>
      <c r="E15" s="346">
        <f>D15/'- 13 -'!$J$54*100</f>
        <v>0.3608299621173583</v>
      </c>
      <c r="F15" s="147">
        <v>559459</v>
      </c>
      <c r="G15" s="346">
        <f>F15/'- 13 -'!$J$54*100</f>
        <v>0.03238141881272877</v>
      </c>
      <c r="H15" s="147">
        <v>847266</v>
      </c>
      <c r="I15" s="346">
        <f>H15/'- 13 -'!$J$54*100</f>
        <v>0.04903965293575659</v>
      </c>
      <c r="J15" s="147">
        <v>17179820</v>
      </c>
      <c r="K15" s="346">
        <f>J15/'- 13 -'!$J$54*100</f>
        <v>0.9943658901676332</v>
      </c>
    </row>
    <row r="16" spans="1:11" ht="12">
      <c r="A16" s="146" t="s">
        <v>283</v>
      </c>
      <c r="B16" s="147">
        <v>692732996</v>
      </c>
      <c r="C16" s="346">
        <f>B16/'- 13 -'!$J$54*100</f>
        <v>40.09530147673442</v>
      </c>
      <c r="D16" s="147">
        <v>111475746.2826775</v>
      </c>
      <c r="E16" s="346">
        <f>D16/'- 13 -'!$J$54*100</f>
        <v>6.452202624036564</v>
      </c>
      <c r="F16" s="147">
        <v>3551634</v>
      </c>
      <c r="G16" s="346">
        <f>F16/'- 13 -'!$J$54*100</f>
        <v>0.2055681435521229</v>
      </c>
      <c r="H16" s="147">
        <v>7054305</v>
      </c>
      <c r="I16" s="346">
        <f>H16/'- 13 -'!$J$54*100</f>
        <v>0.4083023146248905</v>
      </c>
      <c r="J16" s="147"/>
      <c r="K16" s="346">
        <f>J16/'- 13 -'!$J$54*100</f>
        <v>0</v>
      </c>
    </row>
    <row r="17" spans="1:11" ht="12">
      <c r="A17" s="146" t="s">
        <v>284</v>
      </c>
      <c r="B17" s="147">
        <v>21272220</v>
      </c>
      <c r="C17" s="346">
        <f>B17/'- 13 -'!$J$54*100</f>
        <v>1.2312335039681284</v>
      </c>
      <c r="D17" s="147">
        <v>128665949.67383333</v>
      </c>
      <c r="E17" s="346">
        <f>D17/'- 13 -'!$J$54*100</f>
        <v>7.4471695036202465</v>
      </c>
      <c r="F17" s="147">
        <v>328172</v>
      </c>
      <c r="G17" s="346">
        <f>F17/'- 13 -'!$J$54*100</f>
        <v>0.018994555409084176</v>
      </c>
      <c r="H17" s="147">
        <v>1643375</v>
      </c>
      <c r="I17" s="346">
        <f>H17/'- 13 -'!$J$54*100</f>
        <v>0.09511834493925049</v>
      </c>
      <c r="J17" s="147"/>
      <c r="K17" s="346">
        <f>J17/'- 13 -'!$J$54*100</f>
        <v>0</v>
      </c>
    </row>
    <row r="18" spans="1:11" ht="12">
      <c r="A18" s="146" t="s">
        <v>285</v>
      </c>
      <c r="B18" s="147">
        <v>3569279</v>
      </c>
      <c r="C18" s="346">
        <f>B18/'- 13 -'!$J$54*100</f>
        <v>0.2065894340040606</v>
      </c>
      <c r="D18" s="147">
        <v>1228394</v>
      </c>
      <c r="E18" s="346">
        <f>D18/'- 13 -'!$J$54*100</f>
        <v>0.07109929517809731</v>
      </c>
      <c r="F18" s="147">
        <v>134054</v>
      </c>
      <c r="G18" s="346">
        <f>F18/'- 13 -'!$J$54*100</f>
        <v>0.0077590292005697324</v>
      </c>
      <c r="H18" s="147">
        <v>775735</v>
      </c>
      <c r="I18" s="346">
        <f>H18/'- 13 -'!$J$54*100</f>
        <v>0.04489944736377849</v>
      </c>
      <c r="J18" s="147">
        <v>3908884</v>
      </c>
      <c r="K18" s="346">
        <f>J18/'- 13 -'!$J$54*100</f>
        <v>0.2262457300613172</v>
      </c>
    </row>
    <row r="19" spans="1:11" ht="12">
      <c r="A19" s="148" t="s">
        <v>286</v>
      </c>
      <c r="B19" s="149">
        <v>31270215</v>
      </c>
      <c r="C19" s="347">
        <f>B19/'- 13 -'!$J$54*100</f>
        <v>1.8099162374348672</v>
      </c>
      <c r="D19" s="149">
        <v>2491752.41584</v>
      </c>
      <c r="E19" s="347">
        <f>D19/'- 13 -'!$J$54*100</f>
        <v>0.14422232648852504</v>
      </c>
      <c r="F19" s="149">
        <v>236443</v>
      </c>
      <c r="G19" s="347">
        <f>F19/'- 13 -'!$J$54*100</f>
        <v>0.013685292055964832</v>
      </c>
      <c r="H19" s="149">
        <v>674782</v>
      </c>
      <c r="I19" s="347">
        <f>H19/'- 13 -'!$J$54*100</f>
        <v>0.039056300013568</v>
      </c>
      <c r="J19" s="149">
        <v>12899220</v>
      </c>
      <c r="K19" s="347">
        <f>J19/'- 13 -'!$J$54*100</f>
        <v>0.7466052832781798</v>
      </c>
    </row>
    <row r="20" spans="1:11" ht="12">
      <c r="A20" s="148" t="s">
        <v>287</v>
      </c>
      <c r="B20" s="150"/>
      <c r="C20" s="347"/>
      <c r="D20" s="150">
        <v>25403461.583052002</v>
      </c>
      <c r="E20" s="347">
        <f>D20/'- 13 -'!$J$54*100</f>
        <v>1.4703492638671871</v>
      </c>
      <c r="F20" s="150"/>
      <c r="G20" s="347"/>
      <c r="H20" s="150">
        <v>239748</v>
      </c>
      <c r="I20" s="347"/>
      <c r="J20" s="150"/>
      <c r="K20" s="347"/>
    </row>
    <row r="21" spans="1:11" ht="12">
      <c r="A21" s="151" t="s">
        <v>288</v>
      </c>
      <c r="B21" s="152">
        <v>8252951</v>
      </c>
      <c r="C21" s="348">
        <f>B21/'- 13 -'!$J$54*100</f>
        <v>0.4776797991844419</v>
      </c>
      <c r="D21" s="152">
        <v>77200</v>
      </c>
      <c r="E21" s="348">
        <f>D21/'- 13 -'!$J$54*100</f>
        <v>0.004468326601846893</v>
      </c>
      <c r="F21" s="152">
        <v>2000</v>
      </c>
      <c r="G21" s="348">
        <f>F21/'- 13 -'!$J$54*100</f>
        <v>0.00011575975652453091</v>
      </c>
      <c r="H21" s="152">
        <v>52440</v>
      </c>
      <c r="I21" s="348">
        <f>H21/'- 13 -'!$J$54*100</f>
        <v>0.0030352208160732003</v>
      </c>
      <c r="J21" s="152">
        <v>1033435</v>
      </c>
      <c r="K21" s="348">
        <f>J21/'- 13 -'!$J$54*100</f>
        <v>0.059815091991964296</v>
      </c>
    </row>
    <row r="22" spans="1:11" ht="12.75" customHeight="1">
      <c r="A22" s="153" t="s">
        <v>289</v>
      </c>
      <c r="B22" s="159">
        <f>SUM(B14:B21)</f>
        <v>827506445</v>
      </c>
      <c r="C22" s="350">
        <f>B22/'- 13 -'!$J$54*100</f>
        <v>47.89597229784006</v>
      </c>
      <c r="D22" s="159">
        <f>SUM(D14:D21)</f>
        <v>275576621.45790285</v>
      </c>
      <c r="E22" s="350">
        <f>D22/'- 13 -'!$J$54*100</f>
        <v>15.950341301909827</v>
      </c>
      <c r="F22" s="159">
        <f>SUM(F14:F21)</f>
        <v>4811762</v>
      </c>
      <c r="G22" s="350">
        <f>F22/'- 13 -'!$J$54*100</f>
        <v>0.27850419878699495</v>
      </c>
      <c r="H22" s="159">
        <f>SUM(H14:H21)</f>
        <v>11287651</v>
      </c>
      <c r="I22" s="350">
        <f>H22/'- 13 -'!$J$54*100</f>
        <v>0.6533278657469389</v>
      </c>
      <c r="J22" s="159">
        <f>SUM(J14:J21)</f>
        <v>38498680</v>
      </c>
      <c r="K22" s="350">
        <f>J22/'- 13 -'!$J$54*100</f>
        <v>2.2282989116579137</v>
      </c>
    </row>
    <row r="23" spans="1:11" ht="12">
      <c r="A23" s="373" t="s">
        <v>157</v>
      </c>
      <c r="B23" s="159">
        <v>49601668</v>
      </c>
      <c r="C23" s="350">
        <f>B23/'- 13 -'!$J$54*100</f>
        <v>2.8709385054453076</v>
      </c>
      <c r="D23" s="159">
        <v>25982862.048129164</v>
      </c>
      <c r="E23" s="350">
        <f>D23/'- 13 -'!$J$54*100</f>
        <v>1.5038848922509531</v>
      </c>
      <c r="F23" s="159">
        <v>359155</v>
      </c>
      <c r="G23" s="350">
        <f>F23/'- 13 -'!$J$54*100</f>
        <v>0.02078784767728395</v>
      </c>
      <c r="H23" s="159">
        <v>849194</v>
      </c>
      <c r="I23" s="350">
        <f>H23/'- 13 -'!$J$54*100</f>
        <v>0.04915124534104624</v>
      </c>
      <c r="J23" s="159">
        <v>5147499</v>
      </c>
      <c r="K23" s="350">
        <f>J23/'- 13 -'!$J$54*100</f>
        <v>0.2979366154751331</v>
      </c>
    </row>
    <row r="24" spans="1:11" ht="12">
      <c r="A24" s="373" t="s">
        <v>135</v>
      </c>
      <c r="B24" s="147"/>
      <c r="C24" s="346"/>
      <c r="D24" s="147"/>
      <c r="E24" s="346"/>
      <c r="F24" s="147"/>
      <c r="G24" s="346"/>
      <c r="H24" s="147"/>
      <c r="I24" s="346"/>
      <c r="J24" s="147"/>
      <c r="K24" s="346"/>
    </row>
    <row r="25" spans="1:11" ht="12">
      <c r="A25" s="148" t="s">
        <v>290</v>
      </c>
      <c r="B25" s="149">
        <v>4115729</v>
      </c>
      <c r="C25" s="347">
        <f>B25/'- 13 -'!$J$54*100</f>
        <v>0.23821789348047553</v>
      </c>
      <c r="D25" s="149">
        <v>4987548</v>
      </c>
      <c r="E25" s="347">
        <f>D25/'- 13 -'!$J$54*100</f>
        <v>0.2886786710672055</v>
      </c>
      <c r="F25" s="149">
        <v>61124</v>
      </c>
      <c r="G25" s="347">
        <f>F25/'- 13 -'!$J$54*100</f>
        <v>0.0035378496789027136</v>
      </c>
      <c r="H25" s="149">
        <v>796469</v>
      </c>
      <c r="I25" s="347">
        <f>H25/'- 13 -'!$J$54*100</f>
        <v>0.0460995287596683</v>
      </c>
      <c r="J25" s="149">
        <v>3099194</v>
      </c>
      <c r="K25" s="347">
        <f>J25/'- 13 -'!$J$54*100</f>
        <v>0.1793809714311435</v>
      </c>
    </row>
    <row r="26" spans="1:12" ht="12">
      <c r="A26" s="148" t="s">
        <v>291</v>
      </c>
      <c r="B26" s="149">
        <v>3857969</v>
      </c>
      <c r="C26" s="347">
        <f>B26/'- 13 -'!$J$54*100</f>
        <v>0.22329877605959397</v>
      </c>
      <c r="D26" s="149">
        <v>284040</v>
      </c>
      <c r="E26" s="347">
        <f>D26/'- 13 -'!$J$54*100</f>
        <v>0.016440200621613877</v>
      </c>
      <c r="F26" s="149">
        <v>28050</v>
      </c>
      <c r="G26" s="347">
        <f>F26/'- 13 -'!$J$54*100</f>
        <v>0.001623530585256546</v>
      </c>
      <c r="H26" s="149">
        <v>83823</v>
      </c>
      <c r="I26" s="347">
        <f>H26/'- 13 -'!$J$54*100</f>
        <v>0.004851665035577876</v>
      </c>
      <c r="J26" s="149">
        <v>1303145</v>
      </c>
      <c r="K26" s="347">
        <f>J26/'- 13 -'!$J$54*100</f>
        <v>0.07542587395807991</v>
      </c>
      <c r="L26" s="567" t="s">
        <v>202</v>
      </c>
    </row>
    <row r="27" spans="1:12" ht="12.75" customHeight="1">
      <c r="A27" s="148" t="s">
        <v>292</v>
      </c>
      <c r="B27" s="149"/>
      <c r="C27" s="347">
        <f>B27/'- 13 -'!$J$54*100</f>
        <v>0</v>
      </c>
      <c r="D27" s="149"/>
      <c r="E27" s="347">
        <f>D27/'- 13 -'!$J$54*100</f>
        <v>0</v>
      </c>
      <c r="F27" s="149">
        <v>35918</v>
      </c>
      <c r="G27" s="347">
        <f>F27/'- 13 -'!$J$54*100</f>
        <v>0.0020789294674240506</v>
      </c>
      <c r="H27" s="149"/>
      <c r="I27" s="347">
        <f>H27/'- 13 -'!$J$54*100</f>
        <v>0</v>
      </c>
      <c r="J27" s="149"/>
      <c r="K27" s="347">
        <f>J27/'- 13 -'!$J$54*100</f>
        <v>0</v>
      </c>
      <c r="L27" s="568"/>
    </row>
    <row r="28" spans="1:12" ht="12.75" customHeight="1">
      <c r="A28" s="148" t="s">
        <v>402</v>
      </c>
      <c r="B28" s="149">
        <v>1713609</v>
      </c>
      <c r="C28" s="347">
        <f>B28/'- 13 -'!$J$54*100</f>
        <v>0.09918348030912244</v>
      </c>
      <c r="D28" s="149">
        <v>1721678</v>
      </c>
      <c r="E28" s="347">
        <f>D28/'- 13 -'!$J$54*100</f>
        <v>0.09965051304682065</v>
      </c>
      <c r="F28" s="149">
        <v>93778</v>
      </c>
      <c r="G28" s="347">
        <f>F28/'- 13 -'!$J$54*100</f>
        <v>0.005427859223678729</v>
      </c>
      <c r="H28" s="149">
        <v>104342</v>
      </c>
      <c r="I28" s="347">
        <f>H28/'- 13 -'!$J$54*100</f>
        <v>0.006039302257641302</v>
      </c>
      <c r="J28" s="149">
        <v>2356717</v>
      </c>
      <c r="K28" s="347">
        <f>J28/'- 13 -'!$J$54*100</f>
        <v>0.13640649305861147</v>
      </c>
      <c r="L28" s="568"/>
    </row>
    <row r="29" spans="1:12" ht="12.75" customHeight="1">
      <c r="A29" s="148" t="s">
        <v>293</v>
      </c>
      <c r="B29" s="149"/>
      <c r="C29" s="347">
        <f>B29/'- 13 -'!$J$54*100</f>
        <v>0</v>
      </c>
      <c r="D29" s="149"/>
      <c r="E29" s="347">
        <f>D29/'- 13 -'!$J$54*100</f>
        <v>0</v>
      </c>
      <c r="F29" s="149"/>
      <c r="G29" s="347">
        <f>F29/'- 13 -'!$J$54*100</f>
        <v>0</v>
      </c>
      <c r="H29" s="149"/>
      <c r="I29" s="347">
        <f>H29/'- 13 -'!$J$54*100</f>
        <v>0</v>
      </c>
      <c r="J29" s="149"/>
      <c r="K29" s="347">
        <f>J29/'- 13 -'!$J$54*100</f>
        <v>0</v>
      </c>
      <c r="L29" s="568"/>
    </row>
    <row r="30" spans="1:12" ht="12.75" customHeight="1">
      <c r="A30" s="148" t="s">
        <v>294</v>
      </c>
      <c r="B30" s="149">
        <v>366506</v>
      </c>
      <c r="C30" s="347">
        <f>B30/'- 13 -'!$J$54*100</f>
        <v>0.02121332266238986</v>
      </c>
      <c r="D30" s="149">
        <v>236500</v>
      </c>
      <c r="E30" s="347">
        <f>D30/'- 13 -'!$J$54*100</f>
        <v>0.01368859120902578</v>
      </c>
      <c r="F30" s="149">
        <v>0</v>
      </c>
      <c r="G30" s="347">
        <f>F30/'- 13 -'!$J$54*100</f>
        <v>0</v>
      </c>
      <c r="H30" s="149"/>
      <c r="I30" s="347">
        <f>H30/'- 13 -'!$J$54*100</f>
        <v>0</v>
      </c>
      <c r="J30" s="149"/>
      <c r="K30" s="347">
        <f>J30/'- 13 -'!$J$54*100</f>
        <v>0</v>
      </c>
      <c r="L30" s="345"/>
    </row>
    <row r="31" spans="1:11" ht="12.75" customHeight="1">
      <c r="A31" s="148" t="s">
        <v>295</v>
      </c>
      <c r="B31" s="149">
        <v>561820</v>
      </c>
      <c r="C31" s="347">
        <f>B31/'- 13 -'!$J$54*100</f>
        <v>0.032518073205305975</v>
      </c>
      <c r="D31" s="149">
        <v>33533</v>
      </c>
      <c r="E31" s="347">
        <f>D31/'- 13 -'!$J$54*100</f>
        <v>0.0019408859577685472</v>
      </c>
      <c r="F31" s="149">
        <v>0</v>
      </c>
      <c r="G31" s="347">
        <f>F31/'- 13 -'!$J$54*100</f>
        <v>0</v>
      </c>
      <c r="H31" s="149">
        <v>118400</v>
      </c>
      <c r="I31" s="347">
        <f>H31/'- 13 -'!$J$54*100</f>
        <v>0.00685297758625223</v>
      </c>
      <c r="J31" s="149">
        <v>320388</v>
      </c>
      <c r="K31" s="347">
        <f>J31/'- 13 -'!$J$54*100</f>
        <v>0.018544018436690703</v>
      </c>
    </row>
    <row r="32" spans="1:11" ht="12">
      <c r="A32" s="148" t="s">
        <v>296</v>
      </c>
      <c r="B32" s="149">
        <v>62727</v>
      </c>
      <c r="C32" s="347">
        <f>B32/'- 13 -'!$J$54*100</f>
        <v>0.0036306311237571253</v>
      </c>
      <c r="D32" s="149"/>
      <c r="E32" s="347">
        <f>D32/'- 13 -'!$J$54*100</f>
        <v>0</v>
      </c>
      <c r="F32" s="149">
        <v>18721</v>
      </c>
      <c r="G32" s="347">
        <f>F32/'- 13 -'!$J$54*100</f>
        <v>0.0010835692009478716</v>
      </c>
      <c r="H32" s="149"/>
      <c r="I32" s="347">
        <f>H32/'- 13 -'!$J$54*100</f>
        <v>0</v>
      </c>
      <c r="J32" s="149">
        <v>1213058</v>
      </c>
      <c r="K32" s="347">
        <f>J32/'- 13 -'!$J$54*100</f>
        <v>0.0702116493650672</v>
      </c>
    </row>
    <row r="33" spans="1:11" ht="12">
      <c r="A33" s="148" t="s">
        <v>297</v>
      </c>
      <c r="B33" s="149">
        <v>2997004</v>
      </c>
      <c r="C33" s="347">
        <f>B33/'- 13 -'!$J$54*100</f>
        <v>0.17346622667152262</v>
      </c>
      <c r="D33" s="149">
        <v>77551</v>
      </c>
      <c r="E33" s="347">
        <f>D33/'- 13 -'!$J$54*100</f>
        <v>0.004488642439116948</v>
      </c>
      <c r="F33" s="149">
        <v>37831</v>
      </c>
      <c r="G33" s="347">
        <f>F33/'- 13 -'!$J$54*100</f>
        <v>0.002189653674539764</v>
      </c>
      <c r="H33" s="149">
        <v>7048</v>
      </c>
      <c r="I33" s="347">
        <f>H33/'- 13 -'!$J$54*100</f>
        <v>0.0004079373819924469</v>
      </c>
      <c r="J33" s="149">
        <v>159987</v>
      </c>
      <c r="K33" s="347">
        <f>J33/'- 13 -'!$J$54*100</f>
        <v>0.009260028083545063</v>
      </c>
    </row>
    <row r="34" spans="1:11" ht="12">
      <c r="A34" s="148" t="s">
        <v>298</v>
      </c>
      <c r="B34" s="149">
        <v>2501215</v>
      </c>
      <c r="C34" s="347">
        <f>B34/'- 13 -'!$J$54*100</f>
        <v>0.14477001970775227</v>
      </c>
      <c r="D34" s="149">
        <v>131585</v>
      </c>
      <c r="E34" s="347">
        <f>D34/'- 13 -'!$J$54*100</f>
        <v>0.007616123781140199</v>
      </c>
      <c r="F34" s="149">
        <v>354677</v>
      </c>
      <c r="G34" s="347">
        <f>F34/'- 13 -'!$J$54*100</f>
        <v>0.02052866158242552</v>
      </c>
      <c r="H34" s="149">
        <v>46110</v>
      </c>
      <c r="I34" s="347">
        <f>H34/'- 13 -'!$J$54*100</f>
        <v>0.00266884118667306</v>
      </c>
      <c r="J34" s="149">
        <v>462334</v>
      </c>
      <c r="K34" s="347">
        <f>J34/'- 13 -'!$J$54*100</f>
        <v>0.026759835636506236</v>
      </c>
    </row>
    <row r="35" spans="1:11" ht="12">
      <c r="A35" s="513" t="s">
        <v>467</v>
      </c>
      <c r="B35" s="149"/>
      <c r="C35" s="347">
        <f>B35/'- 13 -'!$J$54*100</f>
        <v>0</v>
      </c>
      <c r="D35" s="149"/>
      <c r="E35" s="347">
        <f>D35/'- 13 -'!$J$54*100</f>
        <v>0</v>
      </c>
      <c r="F35" s="149">
        <v>2500</v>
      </c>
      <c r="G35" s="347">
        <f>F35/'- 13 -'!$J$54*100</f>
        <v>0.0001446996956556636</v>
      </c>
      <c r="H35" s="149"/>
      <c r="I35" s="347">
        <f>H35/'- 13 -'!$J$54*100</f>
        <v>0</v>
      </c>
      <c r="J35" s="149"/>
      <c r="K35" s="347">
        <f>J35/'- 13 -'!$J$54*100</f>
        <v>0</v>
      </c>
    </row>
    <row r="36" spans="1:11" ht="12">
      <c r="A36" s="148" t="s">
        <v>299</v>
      </c>
      <c r="B36" s="149">
        <v>291167</v>
      </c>
      <c r="C36" s="347">
        <f>B36/'- 13 -'!$J$54*100</f>
        <v>0.016852710513989046</v>
      </c>
      <c r="D36" s="149">
        <v>32630</v>
      </c>
      <c r="E36" s="347">
        <f>D36/'- 13 -'!$J$54*100</f>
        <v>0.0018886204276977216</v>
      </c>
      <c r="F36" s="149">
        <v>7100</v>
      </c>
      <c r="G36" s="347">
        <f>F36/'- 13 -'!$J$54*100</f>
        <v>0.00041094713566208475</v>
      </c>
      <c r="H36" s="149">
        <v>80050</v>
      </c>
      <c r="I36" s="347">
        <f>H36/'- 13 -'!$J$54*100</f>
        <v>0.004633284254894349</v>
      </c>
      <c r="J36" s="149">
        <v>541890</v>
      </c>
      <c r="K36" s="347">
        <f>J36/'- 13 -'!$J$54*100</f>
        <v>0.03136452723153903</v>
      </c>
    </row>
    <row r="37" spans="1:11" ht="12">
      <c r="A37" s="148" t="s">
        <v>300</v>
      </c>
      <c r="B37" s="149">
        <v>552111</v>
      </c>
      <c r="C37" s="347">
        <f>B37/'- 13 -'!$J$54*100</f>
        <v>0.03195611746725764</v>
      </c>
      <c r="D37" s="149">
        <v>84949</v>
      </c>
      <c r="E37" s="347">
        <f>D37/'- 13 -'!$J$54*100</f>
        <v>0.004916837778501188</v>
      </c>
      <c r="F37" s="149">
        <v>175</v>
      </c>
      <c r="G37" s="347">
        <f>F37/'- 13 -'!$J$54*100</f>
        <v>1.0128978695896454E-05</v>
      </c>
      <c r="H37" s="149">
        <v>1400</v>
      </c>
      <c r="I37" s="347">
        <f>H37/'- 13 -'!$J$54*100</f>
        <v>8.103182956717163E-05</v>
      </c>
      <c r="J37" s="149">
        <v>1860474</v>
      </c>
      <c r="K37" s="347">
        <f>J37/'- 13 -'!$J$54*100</f>
        <v>0.10768400863011005</v>
      </c>
    </row>
    <row r="38" spans="1:11" ht="12">
      <c r="A38" s="155" t="s">
        <v>301</v>
      </c>
      <c r="B38" s="149">
        <v>664990</v>
      </c>
      <c r="C38" s="347">
        <f>B38/'- 13 -'!$J$54*100</f>
        <v>0.0384895402456239</v>
      </c>
      <c r="D38" s="149">
        <v>264407</v>
      </c>
      <c r="E38" s="347">
        <f>D38/'- 13 -'!$J$54*100</f>
        <v>0.015303844971690822</v>
      </c>
      <c r="F38" s="149">
        <v>31700</v>
      </c>
      <c r="G38" s="347">
        <f>F38/'- 13 -'!$J$54*100</f>
        <v>0.001834792140913815</v>
      </c>
      <c r="H38" s="149">
        <v>27125</v>
      </c>
      <c r="I38" s="347">
        <f>H38/'- 13 -'!$J$54*100</f>
        <v>0.0015699916978639504</v>
      </c>
      <c r="J38" s="149">
        <v>1168244</v>
      </c>
      <c r="K38" s="347">
        <f>J38/'- 13 -'!$J$54*100</f>
        <v>0.06761782050062204</v>
      </c>
    </row>
    <row r="39" spans="1:11" ht="12">
      <c r="A39" s="156" t="s">
        <v>302</v>
      </c>
      <c r="B39" s="152">
        <v>4781193</v>
      </c>
      <c r="C39" s="348">
        <f>B39/'- 13 -'!$J$54*100</f>
        <v>0.27673486878839576</v>
      </c>
      <c r="D39" s="152">
        <v>11514</v>
      </c>
      <c r="E39" s="348">
        <f>D39/'- 13 -'!$J$54*100</f>
        <v>0.0006664289183117243</v>
      </c>
      <c r="F39" s="152">
        <v>38454</v>
      </c>
      <c r="G39" s="348">
        <f>F39/'- 13 -'!$J$54*100</f>
        <v>0.0022257128386971555</v>
      </c>
      <c r="H39" s="152">
        <v>9100</v>
      </c>
      <c r="I39" s="348">
        <f>H39/'- 13 -'!$J$54*100</f>
        <v>0.0005267068921866155</v>
      </c>
      <c r="J39" s="152">
        <v>1114127</v>
      </c>
      <c r="K39" s="348">
        <f>J39/'- 13 -'!$J$54*100</f>
        <v>0.06448553512870302</v>
      </c>
    </row>
    <row r="40" spans="1:11" ht="12">
      <c r="A40" s="153" t="s">
        <v>303</v>
      </c>
      <c r="B40" s="159">
        <f>SUM(B25:B39)</f>
        <v>22466040</v>
      </c>
      <c r="C40" s="350">
        <f>B40/'- 13 -'!$J$54*100</f>
        <v>1.3003316602351862</v>
      </c>
      <c r="D40" s="159">
        <f>SUM(D25:D39)</f>
        <v>7865935</v>
      </c>
      <c r="E40" s="350">
        <f>D40/'- 13 -'!$J$54*100</f>
        <v>0.45527936021889304</v>
      </c>
      <c r="F40" s="159">
        <f>SUM(F25:F39)</f>
        <v>710028</v>
      </c>
      <c r="G40" s="350">
        <f>F40/'- 13 -'!$J$54*100</f>
        <v>0.04109633420279981</v>
      </c>
      <c r="H40" s="159">
        <f>SUM(H25:H39)</f>
        <v>1273867</v>
      </c>
      <c r="I40" s="350">
        <f>H40/'- 13 -'!$J$54*100</f>
        <v>0.0737312668823173</v>
      </c>
      <c r="J40" s="159">
        <f>SUM(J25:J39)</f>
        <v>13599558</v>
      </c>
      <c r="K40" s="350">
        <f>J40/'- 13 -'!$J$54*100</f>
        <v>0.7871407614606183</v>
      </c>
    </row>
    <row r="41" spans="1:11" ht="12">
      <c r="A41" s="373" t="s">
        <v>304</v>
      </c>
      <c r="B41" s="157"/>
      <c r="C41" s="351"/>
      <c r="D41" s="157"/>
      <c r="E41" s="351"/>
      <c r="F41" s="157"/>
      <c r="G41" s="351"/>
      <c r="H41" s="157"/>
      <c r="I41" s="351"/>
      <c r="J41" s="157"/>
      <c r="K41" s="351"/>
    </row>
    <row r="42" spans="1:11" ht="12">
      <c r="A42" s="148" t="s">
        <v>305</v>
      </c>
      <c r="B42" s="149">
        <v>28130352</v>
      </c>
      <c r="C42" s="347">
        <f>B42/'- 13 -'!$J$54*100</f>
        <v>1.6281813492346757</v>
      </c>
      <c r="D42" s="149">
        <v>2849461</v>
      </c>
      <c r="E42" s="347">
        <f>D42/'- 13 -'!$J$54*100</f>
        <v>0.16492645579307316</v>
      </c>
      <c r="F42" s="149">
        <v>82180</v>
      </c>
      <c r="G42" s="347">
        <f>F42/'- 13 -'!$J$54*100</f>
        <v>0.004756568395592975</v>
      </c>
      <c r="H42" s="149">
        <v>792324</v>
      </c>
      <c r="I42" s="347">
        <f>H42/'- 13 -'!$J$54*100</f>
        <v>0.04585961666427121</v>
      </c>
      <c r="J42" s="149">
        <v>1562357</v>
      </c>
      <c r="K42" s="347">
        <f>J42/'- 13 -'!$J$54*100</f>
        <v>0.09042903296219827</v>
      </c>
    </row>
    <row r="43" spans="1:11" ht="12">
      <c r="A43" s="148" t="s">
        <v>306</v>
      </c>
      <c r="B43" s="149">
        <v>10746369</v>
      </c>
      <c r="C43" s="347">
        <f>B43/'- 13 -'!$J$54*100</f>
        <v>0.6219985294813833</v>
      </c>
      <c r="D43" s="149">
        <v>576988</v>
      </c>
      <c r="E43" s="347">
        <f>D43/'- 13 -'!$J$54*100</f>
        <v>0.03339599519878802</v>
      </c>
      <c r="F43" s="149">
        <v>108550</v>
      </c>
      <c r="G43" s="347">
        <f>F43/'- 13 -'!$J$54*100</f>
        <v>0.006282860785368915</v>
      </c>
      <c r="H43" s="149">
        <v>102295</v>
      </c>
      <c r="I43" s="347">
        <f>H43/'- 13 -'!$J$54*100</f>
        <v>0.005920822146838444</v>
      </c>
      <c r="J43" s="149">
        <v>96213</v>
      </c>
      <c r="K43" s="347">
        <f>J43/'- 13 -'!$J$54*100</f>
        <v>0.005568796727247346</v>
      </c>
    </row>
    <row r="44" spans="1:11" ht="12">
      <c r="A44" s="148" t="s">
        <v>307</v>
      </c>
      <c r="B44" s="149">
        <v>9634787</v>
      </c>
      <c r="C44" s="347">
        <f>B44/'- 13 -'!$J$54*100</f>
        <v>0.5576602986428578</v>
      </c>
      <c r="D44" s="149">
        <v>408260</v>
      </c>
      <c r="E44" s="347">
        <f>D44/'- 13 -'!$J$54*100</f>
        <v>0.023630039099352493</v>
      </c>
      <c r="F44" s="149">
        <v>19270</v>
      </c>
      <c r="G44" s="347">
        <f>F44/'- 13 -'!$J$54*100</f>
        <v>0.0011153452541138554</v>
      </c>
      <c r="H44" s="149">
        <v>69225</v>
      </c>
      <c r="I44" s="347">
        <f>H44/'- 13 -'!$J$54*100</f>
        <v>0.0040067345727053255</v>
      </c>
      <c r="J44" s="149">
        <v>280835</v>
      </c>
      <c r="K44" s="347">
        <f>J44/'- 13 -'!$J$54*100</f>
        <v>0.016254695611783318</v>
      </c>
    </row>
    <row r="45" spans="1:11" ht="12">
      <c r="A45" s="156" t="s">
        <v>308</v>
      </c>
      <c r="B45" s="152">
        <v>15277850</v>
      </c>
      <c r="C45" s="348">
        <f>B45/'- 13 -'!$J$54*100</f>
        <v>0.8842800981091522</v>
      </c>
      <c r="D45" s="152">
        <v>592868</v>
      </c>
      <c r="E45" s="348">
        <f>D45/'- 13 -'!$J$54*100</f>
        <v>0.03431512766559279</v>
      </c>
      <c r="F45" s="152">
        <v>74644</v>
      </c>
      <c r="G45" s="348">
        <f>F45/'- 13 -'!$J$54*100</f>
        <v>0.004320385633008542</v>
      </c>
      <c r="H45" s="152">
        <v>34200</v>
      </c>
      <c r="I45" s="348">
        <f>H45/'- 13 -'!$J$54*100</f>
        <v>0.0019794918365694785</v>
      </c>
      <c r="J45" s="152">
        <v>988682</v>
      </c>
      <c r="K45" s="348">
        <f>J45/'- 13 -'!$J$54*100</f>
        <v>0.05722479380009313</v>
      </c>
    </row>
    <row r="46" spans="1:11" ht="12">
      <c r="A46" s="153" t="s">
        <v>309</v>
      </c>
      <c r="B46" s="159">
        <f>SUM(B42:B45)</f>
        <v>63789358</v>
      </c>
      <c r="C46" s="350">
        <f>B46/'- 13 -'!$J$54*100</f>
        <v>3.6921202754680684</v>
      </c>
      <c r="D46" s="159">
        <f>SUM(D42:D45)</f>
        <v>4427577</v>
      </c>
      <c r="E46" s="350">
        <f>D46/'- 13 -'!$J$54*100</f>
        <v>0.25626761775680645</v>
      </c>
      <c r="F46" s="159">
        <f>SUM(F42:F45)</f>
        <v>284644</v>
      </c>
      <c r="G46" s="350">
        <f>F46/'- 13 -'!$J$54*100</f>
        <v>0.016475160068084287</v>
      </c>
      <c r="H46" s="159">
        <f>SUM(H42:H45)</f>
        <v>998044</v>
      </c>
      <c r="I46" s="350">
        <f>H46/'- 13 -'!$J$54*100</f>
        <v>0.05776666522038446</v>
      </c>
      <c r="J46" s="159">
        <f>SUM(J42:J45)</f>
        <v>2928087</v>
      </c>
      <c r="K46" s="350">
        <f>J46/'- 13 -'!$J$54*100</f>
        <v>0.16947731910132205</v>
      </c>
    </row>
    <row r="47" spans="1:11" ht="12">
      <c r="A47" s="373" t="s">
        <v>92</v>
      </c>
      <c r="B47" s="157"/>
      <c r="C47" s="351"/>
      <c r="D47" s="157"/>
      <c r="E47" s="351"/>
      <c r="F47" s="157"/>
      <c r="G47" s="351"/>
      <c r="H47" s="157"/>
      <c r="I47" s="351"/>
      <c r="J47" s="157"/>
      <c r="K47" s="351"/>
    </row>
    <row r="48" spans="1:13" ht="15" customHeight="1">
      <c r="A48" s="156" t="s">
        <v>458</v>
      </c>
      <c r="B48" s="158"/>
      <c r="C48" s="348"/>
      <c r="D48" s="158"/>
      <c r="E48" s="348"/>
      <c r="F48" s="152">
        <v>56880</v>
      </c>
      <c r="G48" s="348"/>
      <c r="H48" s="158"/>
      <c r="I48" s="348"/>
      <c r="J48" s="152">
        <v>-36880</v>
      </c>
      <c r="K48" s="348"/>
      <c r="M48" s="1">
        <f>F48+J48+'- 13 -'!F48</f>
        <v>0</v>
      </c>
    </row>
    <row r="49" spans="1:11" ht="12">
      <c r="A49" s="153" t="s">
        <v>312</v>
      </c>
      <c r="B49" s="153"/>
      <c r="C49" s="350"/>
      <c r="D49" s="153"/>
      <c r="E49" s="350"/>
      <c r="F49" s="159">
        <f>F48</f>
        <v>56880</v>
      </c>
      <c r="G49" s="350"/>
      <c r="H49" s="153"/>
      <c r="I49" s="350"/>
      <c r="J49" s="159">
        <f>J48</f>
        <v>-36880</v>
      </c>
      <c r="K49" s="350"/>
    </row>
    <row r="50" spans="1:11" ht="4.5" customHeight="1">
      <c r="A50" s="27"/>
      <c r="B50" s="31"/>
      <c r="C50" s="352"/>
      <c r="D50" s="94"/>
      <c r="E50" s="352"/>
      <c r="F50" s="94"/>
      <c r="G50" s="352"/>
      <c r="H50" s="94"/>
      <c r="I50" s="352"/>
      <c r="J50" s="94"/>
      <c r="K50" s="352"/>
    </row>
    <row r="51" spans="1:11" ht="12">
      <c r="A51" s="374" t="s">
        <v>313</v>
      </c>
      <c r="B51" s="487">
        <f>SUM(B47,B46,B40,B23,B22)</f>
        <v>963363511</v>
      </c>
      <c r="C51" s="488">
        <f>B51/'- 13 -'!$J$54*100</f>
        <v>55.75936273898863</v>
      </c>
      <c r="D51" s="487">
        <f>SUM(D47,D46,D40,D23,D22)</f>
        <v>313852995.506032</v>
      </c>
      <c r="E51" s="488">
        <f>D51/'- 13 -'!$J$54*100</f>
        <v>18.165773172136475</v>
      </c>
      <c r="F51" s="487">
        <f>SUM(F49,F46,F40,F23,F22)</f>
        <v>6222469</v>
      </c>
      <c r="G51" s="488">
        <f>F51/'- 13 -'!$J$54*100</f>
        <v>0.36015574821072066</v>
      </c>
      <c r="H51" s="487">
        <f>SUM(H47,H46,H40,H23,H22)</f>
        <v>14408756</v>
      </c>
      <c r="I51" s="488">
        <f>H51/'- 13 -'!$J$54*100</f>
        <v>0.833977043190687</v>
      </c>
      <c r="J51" s="487">
        <f>SUM(J49,J46,J40,J23,J22)</f>
        <v>60136944</v>
      </c>
      <c r="K51" s="488">
        <f>J51/'- 13 -'!$J$54*100</f>
        <v>3.480718997784675</v>
      </c>
    </row>
    <row r="52" ht="19.5" customHeight="1">
      <c r="A52" s="162" t="s">
        <v>459</v>
      </c>
    </row>
  </sheetData>
  <mergeCells count="1">
    <mergeCell ref="L26:L29"/>
  </mergeCells>
  <printOptions verticalCentered="1"/>
  <pageMargins left="0.7480314960629921" right="0" top="0.31496062992125984" bottom="0.31496062992125984" header="0" footer="0"/>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hcolquhoun</cp:lastModifiedBy>
  <cp:lastPrinted>2009-01-06T20:58:02Z</cp:lastPrinted>
  <dcterms:created xsi:type="dcterms:W3CDTF">1999-01-19T20:49:35Z</dcterms:created>
  <dcterms:modified xsi:type="dcterms:W3CDTF">2009-01-28T19:51:17Z</dcterms:modified>
  <cp:category/>
  <cp:version/>
  <cp:contentType/>
  <cp:contentStatus/>
</cp:coreProperties>
</file>