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0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5 -" sheetId="40" r:id="rId40"/>
    <sheet name="- 48 -" sheetId="41" r:id="rId41"/>
    <sheet name="- 49 -" sheetId="42" r:id="rId42"/>
    <sheet name="- 50 -" sheetId="43" r:id="rId43"/>
    <sheet name="- 51 -" sheetId="44" r:id="rId44"/>
    <sheet name="- 53 -" sheetId="45" r:id="rId45"/>
    <sheet name="- 54 -" sheetId="46" r:id="rId46"/>
    <sheet name="- 56 -" sheetId="47" r:id="rId47"/>
    <sheet name="- 57-" sheetId="48" r:id="rId48"/>
    <sheet name="- 58 -" sheetId="49" r:id="rId49"/>
    <sheet name="- 59 -" sheetId="50" r:id="rId50"/>
    <sheet name="- 60-" sheetId="51" r:id="rId51"/>
    <sheet name="- 61 -" sheetId="52" r:id="rId52"/>
    <sheet name="- 62 -" sheetId="53" r:id="rId53"/>
    <sheet name="- 63 -" sheetId="54" r:id="rId54"/>
    <sheet name="- 64 -" sheetId="55" r:id="rId55"/>
  </sheets>
  <definedNames>
    <definedName name="_Fill" hidden="1">#REF!</definedName>
    <definedName name="capyear">'- 48 -'!$B$3</definedName>
    <definedName name="FALLYR">#REF!</definedName>
    <definedName name="HTML_CodePage" hidden="1">1252</definedName>
    <definedName name="HTML_Control" localSheetId="18" hidden="1">{"'- 4 -'!$A$1:$G$76","'-3 -'!$A$1:$G$77"}</definedName>
    <definedName name="HTML_Control" localSheetId="43" hidden="1">{"'- 4 -'!$A$1:$G$76","'-3 -'!$A$1:$G$77"}</definedName>
    <definedName name="HTML_Control" localSheetId="48" hidden="1">{"'- 4 -'!$A$1:$G$76","'-3 -'!$A$1:$G$77"}</definedName>
    <definedName name="HTML_Control" localSheetId="52" hidden="1">{"'- 4 -'!$A$1:$G$76","'-3 -'!$A$1:$G$77"}</definedName>
    <definedName name="HTML_Control" localSheetId="53" hidden="1">{"'- 4 -'!$A$1:$G$76","'-3 -'!$A$1:$G$77"}</definedName>
    <definedName name="HTML_Control" localSheetId="54"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'- 10 -'!$A$2:$K$29</definedName>
    <definedName name="_xlnm.Print_Area" localSheetId="8">'- 12 -'!$A$2:$L$52</definedName>
    <definedName name="_xlnm.Print_Area" localSheetId="9">'- 13 -'!$A$2:$L$52</definedName>
    <definedName name="_xlnm.Print_Area" localSheetId="10">'- 15 -'!$A$1:$I$53</definedName>
    <definedName name="_xlnm.Print_Area" localSheetId="11">'- 16 -'!$A$1:$I$53</definedName>
    <definedName name="_xlnm.Print_Area" localSheetId="12">'- 17 -'!$A$1:$J$53</definedName>
    <definedName name="_xlnm.Print_Area" localSheetId="13">'- 18 -'!$A$1:$G$53</definedName>
    <definedName name="_xlnm.Print_Area" localSheetId="14">'- 19 -'!$A$1:$J$54</definedName>
    <definedName name="_xlnm.Print_Area" localSheetId="15">'- 20 -'!$A$1:$I$54</definedName>
    <definedName name="_xlnm.Print_Area" localSheetId="16">'- 21 -'!$A$1:$J$54</definedName>
    <definedName name="_xlnm.Print_Area" localSheetId="17">'- 22 -'!$A$1:$J$53</definedName>
    <definedName name="_xlnm.Print_Area" localSheetId="18">'- 23 -'!$A$1:$F$53</definedName>
    <definedName name="_xlnm.Print_Area" localSheetId="19">'- 24 -'!$A$1:$I$53</definedName>
    <definedName name="_xlnm.Print_Area" localSheetId="20">'- 25 -'!$A$1:$J$53</definedName>
    <definedName name="_xlnm.Print_Area" localSheetId="21">'- 26 -'!$A$1:$E$53</definedName>
    <definedName name="_xlnm.Print_Area" localSheetId="22">'- 27 -'!$A$1:$J$53</definedName>
    <definedName name="_xlnm.Print_Area" localSheetId="23">'- 28 -'!$A$1:$J$53</definedName>
    <definedName name="_xlnm.Print_Area" localSheetId="24">'- 29 -'!$A$1:$H$53</definedName>
    <definedName name="_xlnm.Print_Area" localSheetId="1">'- 3 -'!$A$2:$F$59</definedName>
    <definedName name="_xlnm.Print_Area" localSheetId="25">'- 30 -'!$A$1:$G$53</definedName>
    <definedName name="_xlnm.Print_Area" localSheetId="26">'- 31 -'!$A$1:$G$53</definedName>
    <definedName name="_xlnm.Print_Area" localSheetId="27">'- 32 -'!$A$1:$G$53</definedName>
    <definedName name="_xlnm.Print_Area" localSheetId="28">'- 33 -'!$A$1:$F$53</definedName>
    <definedName name="_xlnm.Print_Area" localSheetId="29">'- 34 -'!$A$1:$F$53</definedName>
    <definedName name="_xlnm.Print_Area" localSheetId="30">'- 35 -'!$A$1:$H$53</definedName>
    <definedName name="_xlnm.Print_Area" localSheetId="31">'- 36 -'!$A$1:$E$53</definedName>
    <definedName name="_xlnm.Print_Area" localSheetId="32">'- 37 -'!$A$1:$G$55</definedName>
    <definedName name="_xlnm.Print_Area" localSheetId="33">'- 38 -'!$A$1:$J$56</definedName>
    <definedName name="_xlnm.Print_Area" localSheetId="34">'- 39 -'!$A$1:$H$55</definedName>
    <definedName name="_xlnm.Print_Area" localSheetId="2">'- 4 -'!$A$1:$E$56</definedName>
    <definedName name="_xlnm.Print_Area" localSheetId="35">'- 41 -'!$A$1:$H$56</definedName>
    <definedName name="_xlnm.Print_Area" localSheetId="36">'- 42 -'!$A$1:$G$59</definedName>
    <definedName name="_xlnm.Print_Area" localSheetId="37">'- 43 -'!$A$1:$I$53</definedName>
    <definedName name="_xlnm.Print_Area" localSheetId="38">'- 44 -'!$A$1:$I$53</definedName>
    <definedName name="_xlnm.Print_Area" localSheetId="39">'- 45 -'!$A$2:$D$60</definedName>
    <definedName name="_xlnm.Print_Area" localSheetId="40">'- 48 -'!$A$1:$G$54</definedName>
    <definedName name="_xlnm.Print_Area" localSheetId="41">'- 49 -'!$A$1:$F$54</definedName>
    <definedName name="_xlnm.Print_Area" localSheetId="42">'- 50 -'!$A$1:$E$54</definedName>
    <definedName name="_xlnm.Print_Area" localSheetId="43">'- 51 -'!$A$1:$G$56</definedName>
    <definedName name="_xlnm.Print_Area" localSheetId="44">'- 53 -'!$A$1:$G$58</definedName>
    <definedName name="_xlnm.Print_Area" localSheetId="45">'- 54 -'!$A$1:$G$43</definedName>
    <definedName name="_xlnm.Print_Area" localSheetId="46">'- 56 -'!$A$1:$F$53</definedName>
    <definedName name="_xlnm.Print_Area" localSheetId="47">'- 57-'!$A$1:$F$55</definedName>
    <definedName name="_xlnm.Print_Area" localSheetId="48">'- 58 -'!$A$1:$F$54</definedName>
    <definedName name="_xlnm.Print_Area" localSheetId="49">'- 59 -'!$A$1:$F$56</definedName>
    <definedName name="_xlnm.Print_Area" localSheetId="3">'- 6 -'!$A$1:$H$55</definedName>
    <definedName name="_xlnm.Print_Area" localSheetId="50">'- 60-'!$A$1:$F$54</definedName>
    <definedName name="_xlnm.Print_Area" localSheetId="51">'- 61 -'!$A$1:$F$58</definedName>
    <definedName name="_xlnm.Print_Area" localSheetId="52">'- 62 -'!$A$2:$G$66</definedName>
    <definedName name="_xlnm.Print_Area" localSheetId="53">'- 63 -'!$A$2:$G$57</definedName>
    <definedName name="_xlnm.Print_Area" localSheetId="54">'- 64 -'!$A$1:$G$58</definedName>
    <definedName name="_xlnm.Print_Area" localSheetId="4">'- 7 -'!$A$1:$G$60</definedName>
    <definedName name="_xlnm.Print_Area" localSheetId="5">'- 8 -'!$A$1:$G$58</definedName>
    <definedName name="_xlnm.Print_Area" localSheetId="6">'- 9 -'!$A$1:$D$57</definedName>
    <definedName name="REVYEAR">'- 42 -'!$B$2</definedName>
    <definedName name="SPRINGYR">#REF!</definedName>
    <definedName name="STATDATE">'- 6 -'!$B$3</definedName>
    <definedName name="TAXYEAR">'- 51 -'!$B$3</definedName>
  </definedNames>
  <calcPr fullCalcOnLoad="1"/>
</workbook>
</file>

<file path=xl/sharedStrings.xml><?xml version="1.0" encoding="utf-8"?>
<sst xmlns="http://schemas.openxmlformats.org/spreadsheetml/2006/main" count="3207" uniqueCount="604">
  <si>
    <r>
      <t>(2)</t>
    </r>
    <r>
      <rPr>
        <sz val="9"/>
        <rFont val="Arial"/>
        <family val="2"/>
      </rPr>
      <t xml:space="preserve">  Total Management Information Services expenditures in Function 500 (from page 26).</t>
    </r>
  </si>
  <si>
    <r>
      <t xml:space="preserve">INFORMATION SERVICES </t>
    </r>
    <r>
      <rPr>
        <b/>
        <vertAlign val="superscript"/>
        <sz val="10"/>
        <rFont val="Arial"/>
        <family val="2"/>
      </rPr>
      <t>(2)</t>
    </r>
  </si>
  <si>
    <r>
      <t>(1)</t>
    </r>
    <r>
      <rPr>
        <sz val="9"/>
        <rFont val="Arial"/>
        <family val="2"/>
      </rPr>
      <t xml:space="preserve">  Excludes information technology expenditures in Function 300 (Adult Learning Centres) and Function 400 (Community Education and Services).</t>
    </r>
  </si>
  <si>
    <r>
      <t xml:space="preserve">PROGRAM </t>
    </r>
    <r>
      <rPr>
        <b/>
        <vertAlign val="superscript"/>
        <sz val="10"/>
        <rFont val="Arial"/>
        <family val="2"/>
      </rPr>
      <t>(1)</t>
    </r>
  </si>
  <si>
    <r>
      <t xml:space="preserve">REVENUE </t>
    </r>
    <r>
      <rPr>
        <b/>
        <vertAlign val="superscript"/>
        <sz val="10"/>
        <rFont val="Arial"/>
        <family val="2"/>
      </rPr>
      <t>(2)</t>
    </r>
  </si>
  <si>
    <r>
      <t xml:space="preserve">REVENUE </t>
    </r>
    <r>
      <rPr>
        <b/>
        <vertAlign val="superscript"/>
        <sz val="10"/>
        <rFont val="Arial"/>
        <family val="2"/>
      </rPr>
      <t>(3)</t>
    </r>
  </si>
  <si>
    <r>
      <t>(1)</t>
    </r>
    <r>
      <rPr>
        <sz val="9"/>
        <rFont val="Arial"/>
        <family val="2"/>
      </rPr>
      <t xml:space="preserve">  See appendix for more detail.</t>
    </r>
  </si>
  <si>
    <r>
      <t>(2)</t>
    </r>
    <r>
      <rPr>
        <sz val="9"/>
        <rFont val="Arial"/>
        <family val="2"/>
      </rPr>
      <t xml:space="preserve">  Includes other miscellaneous support (Institutional Programs, Adult Learning Centres, General Support Grant, etc.).</t>
    </r>
  </si>
  <si>
    <r>
      <t>(3)</t>
    </r>
    <r>
      <rPr>
        <sz val="9"/>
        <rFont val="Arial"/>
        <family val="2"/>
      </rPr>
      <t xml:space="preserve">  Includes revenue from other provincial government departments.</t>
    </r>
  </si>
  <si>
    <r>
      <t xml:space="preserve">(DEFICIT) AT YEAR END </t>
    </r>
    <r>
      <rPr>
        <b/>
        <vertAlign val="superscript"/>
        <sz val="10"/>
        <rFont val="Arial"/>
        <family val="2"/>
      </rPr>
      <t>(1)</t>
    </r>
  </si>
  <si>
    <r>
      <t xml:space="preserve">EXPENDITURES </t>
    </r>
    <r>
      <rPr>
        <b/>
        <vertAlign val="superscript"/>
        <sz val="10"/>
        <rFont val="Arial"/>
        <family val="2"/>
      </rPr>
      <t>(2)</t>
    </r>
  </si>
  <si>
    <r>
      <t>(1)</t>
    </r>
    <r>
      <rPr>
        <b/>
        <sz val="9"/>
        <rFont val="Arial"/>
        <family val="2"/>
      </rPr>
      <t xml:space="preserve">  School divisions/districts may have set aside some or all of their surpluses for specific purposes.  For further information, please refer</t>
    </r>
  </si>
  <si>
    <r>
      <t>(2)</t>
    </r>
    <r>
      <rPr>
        <sz val="9"/>
        <rFont val="Arial"/>
        <family val="2"/>
      </rPr>
      <t xml:space="preserve">  Operating expenditures include transfers to other school divisions, organizations and individuals but not net transfers to capital.  These are the</t>
    </r>
  </si>
  <si>
    <t xml:space="preserve">      amounts reported as Total Expenses on page 3.</t>
  </si>
  <si>
    <r>
      <t xml:space="preserve">EDUCATION SUPPORT LEVY </t>
    </r>
    <r>
      <rPr>
        <b/>
        <vertAlign val="superscript"/>
        <sz val="9"/>
        <rFont val="Arial"/>
        <family val="2"/>
      </rPr>
      <t>(1)</t>
    </r>
  </si>
  <si>
    <r>
      <t xml:space="preserve">TRANSFERS </t>
    </r>
    <r>
      <rPr>
        <b/>
        <vertAlign val="superscript"/>
        <sz val="10"/>
        <rFont val="Arial"/>
        <family val="2"/>
      </rPr>
      <t>(1)</t>
    </r>
  </si>
  <si>
    <r>
      <t>(1)</t>
    </r>
    <r>
      <rPr>
        <sz val="9"/>
        <rFont val="Arial"/>
        <family val="2"/>
      </rPr>
      <t xml:space="preserve">  Includes transfers to bus reserves.</t>
    </r>
  </si>
  <si>
    <r>
      <t>(1)</t>
    </r>
    <r>
      <rPr>
        <sz val="9"/>
        <rFont val="Arial"/>
        <family val="2"/>
      </rPr>
      <t xml:space="preserve">  Education Support Levy mill rates are 5.28 mills for urban and farm residential property and 16.50 mills for other property.</t>
    </r>
  </si>
  <si>
    <r>
      <t xml:space="preserve">MILL RATE </t>
    </r>
    <r>
      <rPr>
        <b/>
        <vertAlign val="superscript"/>
        <sz val="10"/>
        <rFont val="Arial"/>
        <family val="2"/>
      </rPr>
      <t>(1)</t>
    </r>
  </si>
  <si>
    <r>
      <t>(1)</t>
    </r>
    <r>
      <rPr>
        <sz val="9"/>
        <rFont val="Arial"/>
        <family val="2"/>
      </rPr>
      <t xml:space="preserve">  Mill rates for Flin Flon and Mystery Lake are adjusted for mining revenue.</t>
    </r>
  </si>
  <si>
    <r>
      <t>(2)</t>
    </r>
    <r>
      <rPr>
        <sz val="9"/>
        <rFont val="Arial"/>
        <family val="2"/>
      </rPr>
      <t xml:space="preserve">  Under provisions in the Public Schools Act, these divisions will not harmonize mill rates for a period of time.  For the differential mill rate applied to</t>
    </r>
  </si>
  <si>
    <t xml:space="preserve">      the previous divisions that comprise these new divisions, see page 54.</t>
  </si>
  <si>
    <r>
      <t xml:space="preserve">    - OLD DIVISION / DISTRICT </t>
    </r>
    <r>
      <rPr>
        <b/>
        <vertAlign val="superscript"/>
        <sz val="10"/>
        <rFont val="Arial"/>
        <family val="2"/>
      </rPr>
      <t>(1)</t>
    </r>
  </si>
  <si>
    <r>
      <t>(1)</t>
    </r>
    <r>
      <rPr>
        <sz val="9"/>
        <rFont val="Arial"/>
        <family val="2"/>
      </rPr>
      <t xml:space="preserve">  In the school division amalgamations, the former division of Duck Mountain was split between the new divisions of Frontier and Mountain</t>
    </r>
  </si>
  <si>
    <t xml:space="preserve">      View and the former division of Red River between Red River Valley and Border Land.</t>
  </si>
  <si>
    <r>
      <t xml:space="preserve">RESIDENT PUPIL </t>
    </r>
    <r>
      <rPr>
        <b/>
        <vertAlign val="superscript"/>
        <sz val="10"/>
        <rFont val="Arial"/>
        <family val="2"/>
      </rPr>
      <t>(1)</t>
    </r>
  </si>
  <si>
    <r>
      <t xml:space="preserve">SUPPORT </t>
    </r>
    <r>
      <rPr>
        <b/>
        <vertAlign val="superscript"/>
        <sz val="10"/>
        <rFont val="Arial"/>
        <family val="2"/>
      </rPr>
      <t>(1)</t>
    </r>
  </si>
  <si>
    <r>
      <t xml:space="preserve">SUPPORT </t>
    </r>
    <r>
      <rPr>
        <b/>
        <vertAlign val="superscript"/>
        <sz val="10"/>
        <rFont val="Arial"/>
        <family val="2"/>
      </rPr>
      <t>(2)</t>
    </r>
  </si>
  <si>
    <r>
      <t>(1)</t>
    </r>
    <r>
      <rPr>
        <sz val="9"/>
        <rFont val="Arial"/>
        <family val="2"/>
      </rPr>
      <t xml:space="preserve">  Based on a grant per eligible pupil at September 30, 2002.</t>
    </r>
  </si>
  <si>
    <r>
      <t>(2)</t>
    </r>
    <r>
      <rPr>
        <sz val="9"/>
        <rFont val="Arial"/>
        <family val="2"/>
      </rPr>
      <t xml:space="preserve">  Provided in recognition of the higher costs associated with sparsely populated rural and northern divisions.</t>
    </r>
  </si>
  <si>
    <r>
      <t>(1)</t>
    </r>
    <r>
      <rPr>
        <sz val="9"/>
        <rFont val="Arial"/>
        <family val="2"/>
      </rPr>
      <t xml:space="preserve">  Support for Function 200 Exceptional expenditures less categorical support for special needs.</t>
    </r>
  </si>
  <si>
    <r>
      <t xml:space="preserve">NEEDS </t>
    </r>
    <r>
      <rPr>
        <b/>
        <vertAlign val="superscript"/>
        <sz val="10"/>
        <rFont val="Arial"/>
        <family val="2"/>
      </rPr>
      <t>(1)</t>
    </r>
  </si>
  <si>
    <r>
      <t xml:space="preserve">NEEDS </t>
    </r>
    <r>
      <rPr>
        <b/>
        <vertAlign val="superscript"/>
        <sz val="10"/>
        <rFont val="Arial"/>
        <family val="2"/>
      </rPr>
      <t>(2)</t>
    </r>
  </si>
  <si>
    <r>
      <t xml:space="preserve">AT RISK </t>
    </r>
    <r>
      <rPr>
        <b/>
        <vertAlign val="superscript"/>
        <sz val="10"/>
        <rFont val="Arial"/>
        <family val="2"/>
      </rPr>
      <t>(3)</t>
    </r>
  </si>
  <si>
    <r>
      <t>(1)</t>
    </r>
    <r>
      <rPr>
        <sz val="9"/>
        <rFont val="Arial"/>
        <family val="2"/>
      </rPr>
      <t xml:space="preserve">  Includes vehicle support for school buses.</t>
    </r>
  </si>
  <si>
    <r>
      <t>(3)</t>
    </r>
    <r>
      <rPr>
        <sz val="9"/>
        <rFont val="Arial"/>
        <family val="2"/>
      </rPr>
      <t xml:space="preserve">  Support for expenditures related to At Risk students which may be recorded under Functions 100, 200 and 600.</t>
    </r>
  </si>
  <si>
    <r>
      <t xml:space="preserve">CATEGORICAL </t>
    </r>
    <r>
      <rPr>
        <b/>
        <vertAlign val="superscript"/>
        <sz val="10"/>
        <rFont val="Arial"/>
        <family val="2"/>
      </rPr>
      <t>(1)</t>
    </r>
  </si>
  <si>
    <r>
      <t>(1)</t>
    </r>
    <r>
      <rPr>
        <sz val="9"/>
        <rFont val="Arial"/>
        <family val="2"/>
      </rPr>
      <t xml:space="preserve">  All other categorical support not shown elsewhere (eg. Heritage Language, English as a Second Language, Northern Allowance, etc.).</t>
    </r>
  </si>
  <si>
    <r>
      <t>(1)</t>
    </r>
    <r>
      <rPr>
        <sz val="9"/>
        <rFont val="Arial"/>
        <family val="2"/>
      </rPr>
      <t xml:space="preserve">  Equalization is provided to recognize the varying ability of school divisions to meet the cost of unsupported program requirements through the</t>
    </r>
  </si>
  <si>
    <t xml:space="preserve">      property tax base of the school division.</t>
  </si>
  <si>
    <r>
      <t>(2)</t>
    </r>
    <r>
      <rPr>
        <sz val="9"/>
        <rFont val="Arial"/>
        <family val="2"/>
      </rPr>
      <t xml:space="preserve">  For a definition of Divisional Administration, see expenditure definitions, page iii.</t>
    </r>
  </si>
  <si>
    <r>
      <t>(3)</t>
    </r>
    <r>
      <rPr>
        <sz val="9"/>
        <rFont val="Arial"/>
        <family val="2"/>
      </rPr>
      <t xml:space="preserve">  Administration, supervision and coordination of Curriculum Consulting and Development (Function 600, Program 610).</t>
    </r>
  </si>
  <si>
    <r>
      <t xml:space="preserve">ADMINISTRATION EXPENDITURES </t>
    </r>
    <r>
      <rPr>
        <b/>
        <vertAlign val="superscript"/>
        <sz val="10"/>
        <rFont val="Arial"/>
        <family val="2"/>
      </rPr>
      <t>(1)</t>
    </r>
    <r>
      <rPr>
        <b/>
        <sz val="9"/>
        <rFont val="Arial"/>
        <family val="2"/>
      </rPr>
      <t xml:space="preserve"> 2003/2004 ACTUAL</t>
    </r>
  </si>
  <si>
    <r>
      <t>(4)</t>
    </r>
    <r>
      <rPr>
        <sz val="9"/>
        <rFont val="Arial"/>
        <family val="2"/>
      </rPr>
      <t xml:space="preserve">  Administration of Pupil Transportation.  For a definition of Transportation of Pupils, see expenditure definitions, page iii.</t>
    </r>
  </si>
  <si>
    <r>
      <t>(5)</t>
    </r>
    <r>
      <rPr>
        <sz val="9"/>
        <rFont val="Arial"/>
        <family val="2"/>
      </rPr>
      <t xml:space="preserve">  Administration of Operations and Maintenance.  For a definition of Operations and Maintenance, see expenditure definitions, page iii.</t>
    </r>
  </si>
  <si>
    <t>(5)</t>
  </si>
  <si>
    <t>(from page 32)</t>
  </si>
  <si>
    <r>
      <t>(1)</t>
    </r>
    <r>
      <rPr>
        <sz val="9"/>
        <rFont val="Arial"/>
        <family val="2"/>
      </rPr>
      <t xml:space="preserve">  Effective from fiscal year 2003/2004 on, school divisions are required to limit the proportion of the budget spent on administration expenditures in</t>
    </r>
  </si>
  <si>
    <t xml:space="preserve">      defined categories to 4% (urban school divisions), 4.5% (rural school divisions) and 5.0% (northern school divisions).  Frontier school division, D.S.F.M.</t>
  </si>
  <si>
    <t xml:space="preserve">      and the Winnipeg Technical College are exempt from these limits and are not reflected in the above totals.  The defined administration categories</t>
  </si>
  <si>
    <t xml:space="preserve">      exclude administration at the school level (Function 100 - Regular Instruction, Program 110) and special needs administration (Function 200 - </t>
  </si>
  <si>
    <t xml:space="preserve">      Exceptional, Program 210).  This appendix provides an analysis of the defined administration expenditures as a percentage of the adjusted operating</t>
  </si>
  <si>
    <t xml:space="preserve">      expenditure base.  Expenditures shown for Function 500, Programs 605 or 710 may differ from corresponding amounts shown elsewhere in this report</t>
  </si>
  <si>
    <t xml:space="preserve">      owing to the inclusion of operating transfers for the purpose of calculating administration costs.</t>
  </si>
  <si>
    <r>
      <t xml:space="preserve">FUNCTION 300 </t>
    </r>
    <r>
      <rPr>
        <b/>
        <vertAlign val="superscript"/>
        <sz val="10"/>
        <rFont val="Arial"/>
        <family val="2"/>
      </rPr>
      <t>(1)</t>
    </r>
  </si>
  <si>
    <r>
      <t>(1)</t>
    </r>
    <r>
      <rPr>
        <sz val="9"/>
        <rFont val="Arial"/>
        <family val="2"/>
      </rPr>
      <t xml:space="preserve">  For a definition of Adult Learning Centres, see expenditure definitions, page iii.  Expenditures shown here may differ from those shown for Adult</t>
    </r>
  </si>
  <si>
    <t xml:space="preserve">      Learning Centres on page 15 owing to the inclusion of operating transfers for the purpose of calculating administration costs.</t>
  </si>
  <si>
    <r>
      <t xml:space="preserve">2002/2003 AND 2003/2004 ACTUAL </t>
    </r>
    <r>
      <rPr>
        <b/>
        <vertAlign val="superscript"/>
        <sz val="10"/>
        <rFont val="Arial"/>
        <family val="2"/>
      </rPr>
      <t>(1)</t>
    </r>
  </si>
  <si>
    <r>
      <t xml:space="preserve">PER PUPIL </t>
    </r>
    <r>
      <rPr>
        <b/>
        <vertAlign val="superscript"/>
        <sz val="10"/>
        <rFont val="Arial"/>
        <family val="2"/>
      </rPr>
      <t>(2)</t>
    </r>
  </si>
  <si>
    <r>
      <t xml:space="preserve">2003/04 </t>
    </r>
    <r>
      <rPr>
        <b/>
        <vertAlign val="superscript"/>
        <sz val="10"/>
        <rFont val="Arial"/>
        <family val="2"/>
      </rPr>
      <t>(3)</t>
    </r>
  </si>
  <si>
    <r>
      <t xml:space="preserve">2003 </t>
    </r>
    <r>
      <rPr>
        <b/>
        <vertAlign val="superscript"/>
        <sz val="10"/>
        <rFont val="Arial"/>
        <family val="2"/>
      </rPr>
      <t>(4)</t>
    </r>
  </si>
  <si>
    <r>
      <t xml:space="preserve">2003 </t>
    </r>
    <r>
      <rPr>
        <b/>
        <vertAlign val="superscript"/>
        <sz val="10"/>
        <rFont val="Arial"/>
        <family val="2"/>
      </rPr>
      <t>(5)</t>
    </r>
  </si>
  <si>
    <r>
      <t>(1)</t>
    </r>
    <r>
      <rPr>
        <sz val="9"/>
        <rFont val="Arial"/>
        <family val="2"/>
      </rPr>
      <t xml:space="preserve">  As assessment per resident pupil and special levy mill rates for amalgamated divisions are not available for the 2003 taxation</t>
    </r>
  </si>
  <si>
    <r>
      <t>(2)</t>
    </r>
    <r>
      <rPr>
        <sz val="9"/>
        <rFont val="Arial"/>
        <family val="2"/>
      </rPr>
      <t xml:space="preserve">  From page 4 (for more information, see page 4).</t>
    </r>
  </si>
  <si>
    <r>
      <t>(3)</t>
    </r>
    <r>
      <rPr>
        <sz val="9"/>
        <rFont val="Arial"/>
        <family val="2"/>
      </rPr>
      <t xml:space="preserve">  From page 9 (for more information, see page 9).</t>
    </r>
  </si>
  <si>
    <r>
      <t>(4)</t>
    </r>
    <r>
      <rPr>
        <sz val="9"/>
        <rFont val="Arial"/>
        <family val="2"/>
      </rPr>
      <t xml:space="preserve">  From page 56 (for more information, see page 56).</t>
    </r>
  </si>
  <si>
    <r>
      <t>(5)</t>
    </r>
    <r>
      <rPr>
        <sz val="9"/>
        <rFont val="Arial"/>
        <family val="2"/>
      </rPr>
      <t xml:space="preserve">  From page 53 (for more information, see page 53).</t>
    </r>
  </si>
  <si>
    <t>PUPIL / EDUCATOR</t>
  </si>
  <si>
    <t>RATIO</t>
  </si>
  <si>
    <t>2002/03</t>
  </si>
  <si>
    <t>2003/04</t>
  </si>
  <si>
    <t>SEPT. 30, 2003</t>
  </si>
  <si>
    <t xml:space="preserve">      year, previous year comparisons are excluded from this statistical summary.</t>
  </si>
  <si>
    <t>June 30 / 04</t>
  </si>
  <si>
    <t xml:space="preserve">      to the school divisions' financial statements.</t>
  </si>
  <si>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</si>
  <si>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</si>
  <si>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</si>
  <si>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</si>
  <si>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</si>
  <si>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</si>
  <si>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</si>
  <si>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</si>
  <si>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</si>
  <si>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</si>
  <si>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</si>
  <si>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</si>
  <si>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</si>
  <si>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</si>
  <si>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</si>
  <si>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</si>
  <si>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</si>
  <si>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</si>
  <si>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</si>
  <si>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</si>
  <si>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</si>
  <si>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</si>
  <si>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</si>
  <si>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</si>
  <si>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</si>
  <si>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</si>
  <si>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</si>
  <si>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</si>
  <si>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</si>
  <si>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</si>
  <si>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</si>
  <si>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</si>
  <si>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</si>
  <si>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</si>
  <si>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</si>
  <si>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</si>
  <si>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</si>
  <si>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</si>
  <si>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</si>
  <si>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</si>
  <si>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</si>
  <si>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</si>
  <si>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</si>
  <si>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</si>
  <si>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</si>
  <si>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</si>
  <si>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ENGLISH AS A</t>
  </si>
  <si>
    <t>COMMUNITY SERVICES</t>
  </si>
  <si>
    <t>BOARD OF TRUSTEES</t>
  </si>
  <si>
    <t>AND ADMINISTRATION</t>
  </si>
  <si>
    <t>ADMIN. SERVICES</t>
  </si>
  <si>
    <t>INFORMATION SERVICES</t>
  </si>
  <si>
    <t>STAFF DEVELOPMENT</t>
  </si>
  <si>
    <t>AND DEVELOPMENT</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</si>
  <si>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</si>
  <si>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</si>
  <si>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</si>
  <si>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</si>
  <si>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</si>
  <si>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</si>
  <si>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</si>
  <si>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</si>
  <si>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</si>
  <si>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</si>
  <si>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</si>
  <si>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</si>
  <si>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</si>
  <si>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</si>
  <si>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</si>
  <si>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</si>
  <si>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</si>
  <si>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</si>
  <si>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</si>
  <si>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</si>
  <si>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</si>
  <si>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</si>
  <si>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</si>
  <si>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</si>
  <si>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</si>
  <si>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</si>
  <si>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</si>
  <si>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</si>
  <si>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</si>
  <si>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</si>
  <si>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</si>
  <si>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</si>
  <si>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</si>
  <si>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</si>
  <si>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</si>
  <si>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</si>
  <si>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</si>
  <si>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</si>
  <si>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</si>
  <si>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</si>
  <si>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</si>
  <si>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</si>
  <si>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</si>
  <si>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</si>
  <si>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</si>
  <si>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</si>
  <si>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</si>
  <si>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</si>
  <si>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</si>
  <si>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</si>
  <si>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</si>
  <si>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</si>
  <si>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</si>
  <si>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</si>
  <si>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</si>
  <si>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</si>
  <si>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</si>
  <si>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</si>
  <si>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</si>
  <si>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</si>
  <si>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n/a</t>
  </si>
  <si>
    <t>FINANCES ACQUIRED AND APPLIED</t>
  </si>
  <si>
    <t>PORTIONED ASSESSMENT AND EDUCATION SUPPORT LEVY</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</si>
  <si>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</si>
  <si>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</si>
  <si>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</si>
  <si>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</si>
  <si>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</si>
  <si>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</si>
  <si>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</si>
  <si>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</si>
  <si>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</si>
  <si>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</si>
  <si>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LEVEL I</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</si>
  <si>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</si>
  <si>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</si>
  <si>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</si>
  <si>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</si>
  <si>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</si>
  <si>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</si>
  <si>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</si>
  <si>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</si>
  <si>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</si>
  <si>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</si>
  <si>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</si>
  <si>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</si>
  <si>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</si>
  <si>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</si>
  <si>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</si>
  <si>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</si>
  <si>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</si>
  <si>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</si>
  <si>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</si>
  <si>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</si>
  <si>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</si>
  <si>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</si>
  <si>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</si>
  <si>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</si>
  <si>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</si>
  <si>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</si>
  <si>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</si>
  <si>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</si>
  <si>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</si>
  <si>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</si>
  <si>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</si>
  <si>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</si>
  <si>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</si>
  <si>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</si>
  <si>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</si>
  <si>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</si>
  <si>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</si>
  <si>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</si>
  <si>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</si>
  <si>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</si>
  <si>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</si>
  <si>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</si>
  <si>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</si>
  <si>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</si>
  <si>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</si>
  <si>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</si>
  <si>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</si>
  <si>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</si>
  <si>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</si>
  <si>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</si>
  <si>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</si>
  <si>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</si>
  <si>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</si>
  <si>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</si>
  <si>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</si>
  <si>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</si>
  <si>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</si>
  <si>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</si>
  <si>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</si>
  <si>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</si>
  <si>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</si>
  <si>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</si>
  <si>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</si>
  <si>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</si>
  <si>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</si>
  <si>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</si>
  <si>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</si>
  <si>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</si>
  <si>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</si>
  <si>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</si>
  <si>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</si>
  <si>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</si>
  <si>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</si>
  <si>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</si>
  <si>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</si>
  <si>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</si>
  <si>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</si>
  <si>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</si>
  <si>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</si>
  <si>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</si>
  <si>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</si>
  <si>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</si>
  <si>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</si>
  <si>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</si>
  <si>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INSURANCE</t>
  </si>
  <si>
    <t>EMPLOYEE BENEFITS</t>
  </si>
  <si>
    <t>SUPPLIES &amp; MATERIALS</t>
  </si>
  <si>
    <t>OPERATIONS &amp; MAINTENANCE</t>
  </si>
  <si>
    <t>INSTRUCTIONAL &amp; PUPIL SUPPORT SERVICES</t>
  </si>
  <si>
    <t>OTHER RESOURCE</t>
  </si>
  <si>
    <t>DIVISIONAL</t>
  </si>
  <si>
    <t>NEEDS IN REGULAR CLASSES</t>
  </si>
  <si>
    <t>STUDENTS WITH SPECIAL</t>
  </si>
  <si>
    <t>DIVISIONAL ADMINISTRATION</t>
  </si>
  <si>
    <t xml:space="preserve"> FUNCTION 500: DIVISIONAL ADMINISTRATION</t>
  </si>
  <si>
    <t>PRE-KINDERGARTEN</t>
  </si>
  <si>
    <t xml:space="preserve">N/A </t>
  </si>
  <si>
    <t>SENIOR YEARS</t>
  </si>
  <si>
    <t>EXPENDITURE</t>
  </si>
  <si>
    <t>(1)</t>
  </si>
  <si>
    <t>- 10 -</t>
  </si>
  <si>
    <t>TRANSPORTED</t>
  </si>
  <si>
    <t>CURRICULAR</t>
  </si>
  <si>
    <t>INFORMATION</t>
  </si>
  <si>
    <t>EARLY</t>
  </si>
  <si>
    <t>BEHAVIOUR</t>
  </si>
  <si>
    <t>INTERVENTION</t>
  </si>
  <si>
    <t>PAGE 1 OF 5</t>
  </si>
  <si>
    <t>PAGE 2 OF 5</t>
  </si>
  <si>
    <t>PAGE 3 OF 5</t>
  </si>
  <si>
    <t>PAGE 4 OF 5</t>
  </si>
  <si>
    <t>PAGE 5 OF 5</t>
  </si>
  <si>
    <t>ABORIGINAL</t>
  </si>
  <si>
    <t>ACADEMIC</t>
  </si>
  <si>
    <t>PROGRAMS</t>
  </si>
  <si>
    <t>LITERACY</t>
  </si>
  <si>
    <t>(Grants-</t>
  </si>
  <si>
    <t>in-Lieu)</t>
  </si>
  <si>
    <t>AND SERVICES</t>
  </si>
  <si>
    <t>ADULT LEARNING</t>
  </si>
  <si>
    <t>PAGE 1 OF 17</t>
  </si>
  <si>
    <t>PAGE 2 OF 17</t>
  </si>
  <si>
    <t>PAGE 3 OF 17</t>
  </si>
  <si>
    <t>PAGE 4 OF 17</t>
  </si>
  <si>
    <t>PAGE 5 OF 17</t>
  </si>
  <si>
    <t>PAGE 6 OF 17</t>
  </si>
  <si>
    <t>PAGE 7 OF 17</t>
  </si>
  <si>
    <t>PAGE 8 OF 17</t>
  </si>
  <si>
    <t>PAGE 17 OF 17</t>
  </si>
  <si>
    <t>PAGE 16 OF 17</t>
  </si>
  <si>
    <t>PAGE 15 OF 17</t>
  </si>
  <si>
    <t>PAGE 14 OF 17</t>
  </si>
  <si>
    <t>PAGE 13 OF 17</t>
  </si>
  <si>
    <t>PAGE 12 OF 17</t>
  </si>
  <si>
    <t>PAGE 11 OF 17</t>
  </si>
  <si>
    <t>PAGE 10 OF 17</t>
  </si>
  <si>
    <t>PAGE 9 OF 17</t>
  </si>
  <si>
    <t>NON K-S4</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</si>
  <si>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</si>
  <si>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</si>
  <si>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</si>
  <si>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</si>
  <si>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</si>
  <si>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</si>
  <si>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</si>
  <si>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</si>
  <si>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</si>
  <si>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</si>
  <si>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</si>
  <si>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</si>
  <si>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</si>
  <si>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</si>
  <si>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</si>
  <si>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</si>
  <si>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</si>
  <si>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</si>
  <si>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</si>
  <si>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</si>
  <si>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</si>
  <si>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</si>
  <si>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</si>
  <si>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</si>
  <si>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</si>
  <si>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</si>
  <si>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</si>
  <si>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</si>
  <si>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</si>
  <si>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</si>
  <si>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</si>
  <si>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</si>
  <si>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</si>
  <si>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</si>
  <si>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</si>
  <si>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</si>
  <si>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</si>
  <si>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</si>
  <si>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</si>
  <si>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</si>
  <si>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</si>
  <si>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</si>
  <si>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</si>
  <si>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</si>
  <si>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</si>
  <si>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</si>
  <si>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</si>
  <si>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</si>
  <si>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</si>
  <si>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</si>
  <si>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</si>
  <si>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</si>
  <si>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</si>
  <si>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</si>
  <si>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PINE FALLS</t>
  </si>
  <si>
    <t xml:space="preserve"> WHITESHELL</t>
  </si>
  <si>
    <t xml:space="preserve"> WPG. TECHNICAL COLLEGE</t>
  </si>
  <si>
    <t xml:space="preserve"> D.S.F.M.</t>
  </si>
  <si>
    <t>MEDIA CENTRE</t>
  </si>
  <si>
    <t xml:space="preserve"> ANALYSIS OF OPERATIONS AND MAINTENANCE EXPENDITURES FOR SCHOOL BUILDINGS</t>
  </si>
  <si>
    <t>FIELD TRIPS</t>
  </si>
  <si>
    <t>EXPENSES</t>
  </si>
  <si>
    <t>CENTRES</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</si>
  <si>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</si>
  <si>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</si>
  <si>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</si>
  <si>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</si>
  <si>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</si>
  <si>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</si>
  <si>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</si>
  <si>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</si>
  <si>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</si>
  <si>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</si>
  <si>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</si>
  <si>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</si>
  <si>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</si>
  <si>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</si>
  <si>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</si>
  <si>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</si>
  <si>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</si>
  <si>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</si>
  <si>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</si>
  <si>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</si>
  <si>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</si>
  <si>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</si>
  <si>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</si>
  <si>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</si>
  <si>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</si>
  <si>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</si>
  <si>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</si>
  <si>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</si>
  <si>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INVENTORY ADJUSTMENT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</si>
  <si>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</si>
  <si>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</si>
  <si>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</si>
  <si>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</si>
  <si>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</si>
  <si>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</si>
  <si>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</si>
  <si>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 xml:space="preserve">  TRAVEL AND MEETINGS</t>
  </si>
  <si>
    <t>OPERATING FUND - ACCUMULATED SURPLUS/(DEFICIT)</t>
  </si>
  <si>
    <t>ACCUMULATED SURPLUS/</t>
  </si>
  <si>
    <t>N/A</t>
  </si>
  <si>
    <t>2002/2003 ACTUAL</t>
  </si>
  <si>
    <t>EDUCATION, CITIZENSHIP AND YOUTH</t>
  </si>
  <si>
    <t>Health and Education Support Levy.</t>
  </si>
  <si>
    <t>(2)</t>
  </si>
  <si>
    <t>LOCAL TAXATION AND ASSESSMENT PER RESIDENT PUPIL</t>
  </si>
  <si>
    <t xml:space="preserve">  EXECUTIVE, MANAGERIAL &amp; SUPERVISORY</t>
  </si>
  <si>
    <t>ACTUAL</t>
  </si>
  <si>
    <t>SEPT. 30, 2002</t>
  </si>
  <si>
    <t>Reallocation of administration costs associated with Adult Learning Centre operations from Function 500 to Function 300.</t>
  </si>
  <si>
    <t>BY FUNCTION AND OBJECT</t>
  </si>
  <si>
    <t>2003/2004 ACTUAL</t>
  </si>
  <si>
    <t xml:space="preserve"> DIVISION/DISTRICT TOTAL</t>
  </si>
  <si>
    <t xml:space="preserve"> L.G.D. OF PINAWA</t>
  </si>
  <si>
    <t xml:space="preserve"> NOT IN ANY DIVISION</t>
  </si>
  <si>
    <t xml:space="preserve">(2) </t>
  </si>
  <si>
    <t>TOTAL PORTIONED ASSESSMENT, SPECIAL LEVY AND DIFFERENTIAL MILL RATES</t>
  </si>
  <si>
    <t xml:space="preserve"> DIVISION / DISTRICT:</t>
  </si>
  <si>
    <t>MILL RATE</t>
  </si>
  <si>
    <t xml:space="preserve"> FRONTIER;</t>
  </si>
  <si>
    <t xml:space="preserve">   - CHURCHILL</t>
  </si>
  <si>
    <t xml:space="preserve">   - DUCK MOUNTAIN (partial)</t>
  </si>
  <si>
    <t xml:space="preserve">   - FRONTIER</t>
  </si>
  <si>
    <t xml:space="preserve">   - SNOW LAKE</t>
  </si>
  <si>
    <t xml:space="preserve">   - LYNN LAKE</t>
  </si>
  <si>
    <t xml:space="preserve">   - LEAF RAPIDS</t>
  </si>
  <si>
    <t xml:space="preserve"> TOTAL FRONTIER</t>
  </si>
  <si>
    <t xml:space="preserve"> MOUNTAIN VIEW:</t>
  </si>
  <si>
    <t xml:space="preserve">   - DAUPHIN - OCHRE</t>
  </si>
  <si>
    <t xml:space="preserve">   - INTERMOUNTAIN</t>
  </si>
  <si>
    <t xml:space="preserve"> TOTAL MOUNTAIN VIEW</t>
  </si>
  <si>
    <t xml:space="preserve"> PRAIRIE ROSE:</t>
  </si>
  <si>
    <t xml:space="preserve">   - MIDLAND</t>
  </si>
  <si>
    <t xml:space="preserve">   - WHITE HORSE PLAIN</t>
  </si>
  <si>
    <t xml:space="preserve"> TOTAL PRAIRIE ROSE</t>
  </si>
  <si>
    <t xml:space="preserve"> RED RIVER VALLEY:</t>
  </si>
  <si>
    <t xml:space="preserve">   - MORRIS-MACDONALD</t>
  </si>
  <si>
    <t xml:space="preserve">   - RED RIVER (partial)</t>
  </si>
  <si>
    <t xml:space="preserve"> TOTAL RED RIVER VALLEY</t>
  </si>
  <si>
    <t>PER RESIDENT</t>
  </si>
  <si>
    <t>STATISTICAL SUMMARY</t>
  </si>
  <si>
    <t>FOR THE 2003 TAXATION YEAR</t>
  </si>
  <si>
    <t>AMALGAMATED</t>
  </si>
  <si>
    <t>DIVISION</t>
  </si>
  <si>
    <t xml:space="preserve">      and form part of Total Information Technology Expenditures.</t>
  </si>
  <si>
    <t>AND DEVELOPMENT ADMIN.</t>
  </si>
  <si>
    <t>PAGE 1 0F 2</t>
  </si>
  <si>
    <t>TOTAL DEFINED ADMINISTRATION EXPENDITURES</t>
  </si>
  <si>
    <t>LESS:</t>
  </si>
  <si>
    <t>LIABILITY</t>
  </si>
  <si>
    <t>CURRICULUM</t>
  </si>
  <si>
    <t>CONSULTING /</t>
  </si>
  <si>
    <t>OPERATIONS &amp;</t>
  </si>
  <si>
    <t xml:space="preserve"> &amp; ADMIN.</t>
  </si>
  <si>
    <t>PORTION OF</t>
  </si>
  <si>
    <t>FUNCTION 500</t>
  </si>
  <si>
    <t>PROGRAM 605</t>
  </si>
  <si>
    <t>PROGRAM 710</t>
  </si>
  <si>
    <t>PROGRAM 810</t>
  </si>
  <si>
    <t>SELF-FUNDED</t>
  </si>
  <si>
    <t>ADMIN.</t>
  </si>
  <si>
    <t>(3)</t>
  </si>
  <si>
    <t>(4)</t>
  </si>
  <si>
    <t xml:space="preserve"> WPG. TECHNICAL COLL.</t>
  </si>
  <si>
    <t>PAGE 2 0F 2</t>
  </si>
  <si>
    <t>CALCULATION OF EXPENDITURE BASE AND ADMINISTRATION PERCENTAGE</t>
  </si>
  <si>
    <t>PLUS</t>
  </si>
  <si>
    <t>LESS ADULT</t>
  </si>
  <si>
    <t>TO</t>
  </si>
  <si>
    <t>LEARNING</t>
  </si>
  <si>
    <t>ADJUSTED</t>
  </si>
  <si>
    <t>AS % OF</t>
  </si>
  <si>
    <t>(from page 3)</t>
  </si>
  <si>
    <t>ADMINISTRATION EXPENDITURES 2003/2004 ACTUAL</t>
  </si>
  <si>
    <t>(from page 62)</t>
  </si>
  <si>
    <t>(from page 48)</t>
  </si>
  <si>
    <t xml:space="preserve">      per pupil costs.</t>
  </si>
  <si>
    <r>
      <t>(2)</t>
    </r>
    <r>
      <rPr>
        <sz val="9"/>
        <rFont val="Arial"/>
        <family val="2"/>
      </rPr>
      <t xml:space="preserve">  Operating fund transfers (i.e. payments to other school divisions, organizations and individuals) are excluded to provide more accurate per pupil</t>
    </r>
  </si>
  <si>
    <r>
      <t xml:space="preserve">EXPENSES </t>
    </r>
    <r>
      <rPr>
        <b/>
        <vertAlign val="superscript"/>
        <sz val="10"/>
        <rFont val="Arial"/>
        <family val="2"/>
      </rPr>
      <t>(1)</t>
    </r>
  </si>
  <si>
    <r>
      <t xml:space="preserve">TRANSFERS </t>
    </r>
    <r>
      <rPr>
        <b/>
        <vertAlign val="superscript"/>
        <sz val="10"/>
        <rFont val="Arial"/>
        <family val="2"/>
      </rPr>
      <t>(2)</t>
    </r>
  </si>
  <si>
    <r>
      <t xml:space="preserve">EXPENDITURES </t>
    </r>
    <r>
      <rPr>
        <b/>
        <vertAlign val="superscript"/>
        <sz val="10"/>
        <rFont val="Arial"/>
        <family val="2"/>
      </rPr>
      <t>(3)</t>
    </r>
  </si>
  <si>
    <r>
      <t xml:space="preserve">&amp; SERVICES </t>
    </r>
    <r>
      <rPr>
        <b/>
        <vertAlign val="superscript"/>
        <sz val="10"/>
        <rFont val="Arial"/>
        <family val="2"/>
      </rPr>
      <t>(4)</t>
    </r>
  </si>
  <si>
    <r>
      <t xml:space="preserve">COSTS </t>
    </r>
    <r>
      <rPr>
        <b/>
        <vertAlign val="superscript"/>
        <sz val="10"/>
        <rFont val="Arial"/>
        <family val="2"/>
      </rPr>
      <t>(5)</t>
    </r>
  </si>
  <si>
    <r>
      <t>(1)</t>
    </r>
    <r>
      <rPr>
        <sz val="9"/>
        <rFont val="Arial"/>
        <family val="2"/>
      </rPr>
      <t xml:space="preserve">  Total operating expenditures as reported on the Statement of Revenues, Expenditures and Accumulated Surplus by each school division.</t>
    </r>
  </si>
  <si>
    <r>
      <t>(2)</t>
    </r>
    <r>
      <rPr>
        <sz val="9"/>
        <rFont val="Arial"/>
        <family val="2"/>
      </rPr>
      <t xml:space="preserve">  Operating fund transfers are payments to other school divisions, organizations and individuals.  These are removed to provide more accurate</t>
    </r>
  </si>
  <si>
    <r>
      <t>(3)</t>
    </r>
    <r>
      <rPr>
        <sz val="9"/>
        <rFont val="Arial"/>
        <family val="2"/>
      </rPr>
      <t xml:space="preserve">  As reported on pages 10 and 13 (on a provincial basis).</t>
    </r>
  </si>
  <si>
    <r>
      <t>(4)</t>
    </r>
    <r>
      <rPr>
        <sz val="9"/>
        <rFont val="Arial"/>
        <family val="2"/>
      </rPr>
      <t xml:space="preserve">  Expenditures for Adult Learning Centres and Community Education and Services (Functions 300 and 400).</t>
    </r>
  </si>
  <si>
    <r>
      <t>(5)</t>
    </r>
    <r>
      <rPr>
        <sz val="9"/>
        <rFont val="Arial"/>
        <family val="2"/>
      </rPr>
      <t xml:space="preserve">  As reported on page 4.</t>
    </r>
  </si>
  <si>
    <r>
      <t xml:space="preserve">SINGLE TRACK </t>
    </r>
    <r>
      <rPr>
        <b/>
        <vertAlign val="superscript"/>
        <sz val="10"/>
        <rFont val="Arial"/>
        <family val="2"/>
      </rPr>
      <t>(1)</t>
    </r>
  </si>
  <si>
    <r>
      <t xml:space="preserve">DUAL TRACK </t>
    </r>
    <r>
      <rPr>
        <b/>
        <vertAlign val="superscript"/>
        <sz val="10"/>
        <rFont val="Arial"/>
        <family val="2"/>
      </rPr>
      <t>(2)</t>
    </r>
  </si>
  <si>
    <r>
      <t>(1)</t>
    </r>
    <r>
      <rPr>
        <sz val="9"/>
        <rFont val="Arial"/>
        <family val="2"/>
      </rPr>
      <t xml:space="preserve">  90% or more of Regular Instruction enrolment is in one language program.</t>
    </r>
  </si>
  <si>
    <r>
      <t>(2)</t>
    </r>
    <r>
      <rPr>
        <sz val="9"/>
        <rFont val="Arial"/>
        <family val="2"/>
      </rPr>
      <t xml:space="preserve">  No one language program comprises 90% or more of Regular Instruction enrolment.</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</si>
  <si>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</si>
  <si>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</si>
  <si>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</si>
  <si>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</si>
  <si>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INSTRUCTION </t>
    </r>
    <r>
      <rPr>
        <b/>
        <vertAlign val="superscript"/>
        <sz val="10"/>
        <rFont val="Arial"/>
        <family val="2"/>
      </rPr>
      <t>(1)</t>
    </r>
  </si>
  <si>
    <r>
      <t xml:space="preserve">EDUCATOR </t>
    </r>
    <r>
      <rPr>
        <b/>
        <vertAlign val="superscript"/>
        <sz val="10"/>
        <rFont val="Arial"/>
        <family val="2"/>
      </rPr>
      <t>(2)</t>
    </r>
  </si>
  <si>
    <r>
      <t>(2)</t>
    </r>
    <r>
      <rPr>
        <sz val="9"/>
        <rFont val="Arial"/>
        <family val="2"/>
      </rPr>
      <t xml:space="preserve">  The total number of pupils enrolled in schools adjusted for full time equivalence (F.T.E.).  Full time equivalent means pupils are counted on the</t>
    </r>
  </si>
  <si>
    <t xml:space="preserve">      basis of time attending school - eg. Kindergarten as 1/2.  This total is the same as reported on page 7.</t>
  </si>
  <si>
    <t xml:space="preserve">      music, ESL, etc. in addition to regular classroom teachers.  School-based administrative personnel are excluded.</t>
  </si>
  <si>
    <r>
      <t>(1)</t>
    </r>
    <r>
      <rPr>
        <sz val="9"/>
        <rFont val="Arial"/>
        <family val="2"/>
      </rPr>
      <t xml:space="preserve">  Based on object code 330 instructional-teaching personnel and F.T.E. students in Function 100.  Included are teachers in physical education,</t>
    </r>
  </si>
  <si>
    <r>
      <t>(2)</t>
    </r>
    <r>
      <rPr>
        <sz val="9"/>
        <rFont val="Arial"/>
        <family val="2"/>
      </rPr>
      <t xml:space="preserve">  Based on total instructional-teaching (excluding Community Education and Adult Learning Centres) as well as school-based administrative</t>
    </r>
  </si>
  <si>
    <t xml:space="preserve">      staff - eg. department heads, coordinators, principals and vice-principals - and K-S4 F.T.E. enrolment.  Division administrators (Function 500)</t>
  </si>
  <si>
    <t xml:space="preserve">      are excluded.  While this definition is consistent with Statistics Canada's, the provincial ratio may not agree exactly due to different data sources.</t>
  </si>
  <si>
    <r>
      <t>(1)</t>
    </r>
    <r>
      <rPr>
        <sz val="9"/>
        <rFont val="Arial"/>
        <family val="2"/>
      </rPr>
      <t xml:space="preserve"> Reallocation of administration costs associated with Adult Learning Centre operations from Function 500 to Function 300.</t>
    </r>
  </si>
  <si>
    <r>
      <t xml:space="preserve">  RECHARGE </t>
    </r>
    <r>
      <rPr>
        <vertAlign val="superscript"/>
        <sz val="10"/>
        <rFont val="Arial"/>
        <family val="2"/>
      </rPr>
      <t>(1)</t>
    </r>
  </si>
  <si>
    <t xml:space="preserve"> FUNCTION 800: (CONT'D)</t>
  </si>
  <si>
    <t xml:space="preserve"> FUNCTION 700: TRANSPORTATION (CONT'D)</t>
  </si>
  <si>
    <t xml:space="preserve"> FUNCTION 600: (CONT'D)</t>
  </si>
  <si>
    <t>FUNCTION 600: INSTRUCTIONAL &amp; PUPIL SUPPORT SERVICES (CONT'D)</t>
  </si>
  <si>
    <t xml:space="preserve"> FUNCTION 500: (CONT'D)</t>
  </si>
  <si>
    <t xml:space="preserve"> FUNCTION 200: EXCEPTIONAL (CONT'D)</t>
  </si>
  <si>
    <t xml:space="preserve"> FUNCTION 100: REGULAR INSTRUCTION (CONT'D)</t>
  </si>
  <si>
    <r>
      <t xml:space="preserve">SINGLE TRACK SCHOOLS </t>
    </r>
    <r>
      <rPr>
        <b/>
        <vertAlign val="superscript"/>
        <sz val="10"/>
        <rFont val="Arial"/>
        <family val="2"/>
      </rPr>
      <t>(1)</t>
    </r>
  </si>
  <si>
    <r>
      <t>(1)</t>
    </r>
    <r>
      <rPr>
        <sz val="9"/>
        <rFont val="Arial"/>
        <family val="2"/>
      </rPr>
      <t xml:space="preserve">  90% or more of Regular Instruction enrolment is in one language.</t>
    </r>
  </si>
  <si>
    <r>
      <t xml:space="preserve">DUAL TRACK SCHOOLS </t>
    </r>
    <r>
      <rPr>
        <b/>
        <vertAlign val="superscript"/>
        <sz val="10"/>
        <rFont val="Arial"/>
        <family val="2"/>
      </rPr>
      <t>(1)</t>
    </r>
  </si>
  <si>
    <r>
      <t>(1)</t>
    </r>
    <r>
      <rPr>
        <sz val="9"/>
        <rFont val="Arial"/>
        <family val="2"/>
      </rPr>
      <t xml:space="preserve">  No one language program comprises 90% or more of Regular Instruction enrolment.</t>
    </r>
  </si>
  <si>
    <r>
      <t xml:space="preserve">GIFTED EDUCATION </t>
    </r>
    <r>
      <rPr>
        <b/>
        <vertAlign val="superscript"/>
        <sz val="10"/>
        <rFont val="Arial"/>
        <family val="2"/>
      </rPr>
      <t>(1)</t>
    </r>
  </si>
  <si>
    <r>
      <t>(1)</t>
    </r>
    <r>
      <rPr>
        <sz val="9"/>
        <rFont val="Arial"/>
        <family val="2"/>
      </rPr>
      <t xml:space="preserve">  Does not include generalized enrichment activities undertaken by school divisions.</t>
    </r>
  </si>
  <si>
    <r>
      <t xml:space="preserve">SQ. FT. </t>
    </r>
    <r>
      <rPr>
        <b/>
        <vertAlign val="superscript"/>
        <sz val="10"/>
        <rFont val="Arial"/>
        <family val="2"/>
      </rPr>
      <t>(1)</t>
    </r>
  </si>
  <si>
    <r>
      <t xml:space="preserve">PUPIL </t>
    </r>
    <r>
      <rPr>
        <b/>
        <vertAlign val="superscript"/>
        <sz val="10"/>
        <rFont val="Arial"/>
        <family val="2"/>
      </rPr>
      <t>(2)</t>
    </r>
  </si>
  <si>
    <r>
      <t>(1)</t>
    </r>
    <r>
      <rPr>
        <sz val="9"/>
        <rFont val="Arial"/>
        <family val="2"/>
      </rPr>
      <t xml:space="preserve">  Based on area (square footage) of active school buildings as at June 30, 2004.  Includes rented and leased space.</t>
    </r>
  </si>
  <si>
    <r>
      <t>(2)</t>
    </r>
    <r>
      <rPr>
        <sz val="9"/>
        <rFont val="Arial"/>
        <family val="2"/>
      </rPr>
      <t xml:space="preserve">  Square footage (as per note above) divided by total F.T.E. enrolment (from page 7).</t>
    </r>
  </si>
  <si>
    <r>
      <t xml:space="preserve"> INFORMATION TECHNOLOGY EXPENDITURES </t>
    </r>
    <r>
      <rPr>
        <b/>
        <vertAlign val="superscript"/>
        <sz val="10"/>
        <rFont val="Arial"/>
        <family val="2"/>
      </rPr>
      <t>(1)</t>
    </r>
  </si>
  <si>
    <r>
      <t>(1)</t>
    </r>
    <r>
      <rPr>
        <sz val="9"/>
        <rFont val="Arial"/>
        <family val="2"/>
      </rPr>
      <t xml:space="preserve">  Assessment per resident pupil is based on total portioned assessment adjusted for allocations to the D.S.F.M. and corresponds to data provided</t>
    </r>
  </si>
  <si>
    <t xml:space="preserve">      in the calculation of support to school divisions.  Assessment per resident pupil for Flin Flon, Frontier and Mystery Lake reflects non-assessed</t>
  </si>
  <si>
    <t xml:space="preserve">      mining properties.  D.S.F.M. assessment per resident pupil is derived on a pro rata basis according to enrolment within D.S.F.M. boundaries.</t>
  </si>
  <si>
    <t xml:space="preserve">      costs.  Also excluded are expenditures on educational services not provided to K-S4 pupils: Function 300 (Adult Learning Centres) and Function</t>
  </si>
  <si>
    <t xml:space="preserve">      400 (Community Education and Services).</t>
  </si>
  <si>
    <r>
      <t>(2)</t>
    </r>
    <r>
      <rPr>
        <sz val="9"/>
        <rFont val="Arial"/>
        <family val="2"/>
      </rPr>
      <t xml:space="preserve">  Includes support for coordinators, clinicians and level II and III pupils.  Note: total special needs support is $113,055,845.</t>
    </r>
  </si>
  <si>
    <t xml:space="preserve">TOTAL  </t>
  </si>
  <si>
    <r>
      <t xml:space="preserve">EXPENDITURES </t>
    </r>
    <r>
      <rPr>
        <b/>
        <vertAlign val="superscript"/>
        <sz val="10"/>
        <rFont val="Arial"/>
        <family val="2"/>
      </rPr>
      <t>(1)</t>
    </r>
    <r>
      <rPr>
        <sz val="9"/>
        <color indexed="9"/>
        <rFont val="Arial"/>
        <family val="2"/>
      </rPr>
      <t>X</t>
    </r>
  </si>
  <si>
    <r>
      <t xml:space="preserve">PROVINCIAL </t>
    </r>
    <r>
      <rPr>
        <b/>
        <vertAlign val="superscript"/>
        <sz val="10"/>
        <rFont val="Arial"/>
        <family val="2"/>
      </rPr>
      <t>(1)</t>
    </r>
  </si>
  <si>
    <r>
      <t>(1)</t>
    </r>
    <r>
      <rPr>
        <sz val="9"/>
        <rFont val="Arial"/>
        <family val="2"/>
      </rPr>
      <t xml:space="preserve">  The portion shown here is comprised of operating support only.  The total provincial contribution to K-S4 public school education, which also</t>
    </r>
  </si>
  <si>
    <r>
      <t xml:space="preserve">REVENUE </t>
    </r>
    <r>
      <rPr>
        <b/>
        <vertAlign val="superscript"/>
        <sz val="10"/>
        <rFont val="Arial"/>
        <family val="2"/>
      </rPr>
      <t>(4)</t>
    </r>
  </si>
  <si>
    <r>
      <t>(4)</t>
    </r>
    <r>
      <rPr>
        <sz val="9"/>
        <rFont val="Arial"/>
        <family val="2"/>
      </rPr>
      <t xml:space="preserve">  The portion shown here is comprised of operating support only.  The total provincial contribution to K-S4 public school education, which also</t>
    </r>
  </si>
  <si>
    <t xml:space="preserve">      information.</t>
  </si>
  <si>
    <t xml:space="preserve">      and Management Information Services in Function 500.  Total expenditures for Management Information Services are included on page 39</t>
  </si>
  <si>
    <r>
      <t>(1)</t>
    </r>
    <r>
      <rPr>
        <sz val="9"/>
        <rFont val="Arial"/>
        <family val="2"/>
      </rPr>
      <t xml:space="preserve">  Excludes information technology expenditures in Function 300 (Adult Learning Centres), Function 400 (Community Education and Services)</t>
    </r>
  </si>
  <si>
    <r>
      <t xml:space="preserve">SUPPORT </t>
    </r>
    <r>
      <rPr>
        <b/>
        <vertAlign val="superscript"/>
        <sz val="10"/>
        <rFont val="Arial"/>
        <family val="2"/>
      </rPr>
      <t>(3)</t>
    </r>
  </si>
  <si>
    <r>
      <t xml:space="preserve">GUARANTEE </t>
    </r>
    <r>
      <rPr>
        <b/>
        <vertAlign val="superscript"/>
        <sz val="10"/>
        <rFont val="Arial"/>
        <family val="2"/>
      </rPr>
      <t>(2)</t>
    </r>
  </si>
  <si>
    <r>
      <t>(2)</t>
    </r>
    <r>
      <rPr>
        <sz val="9"/>
        <rFont val="Arial"/>
        <family val="2"/>
      </rPr>
      <t xml:space="preserve">  A guarantee is provided to ensure amalgamated divisions receive no less funding than they would have received if they were unamalgamated.</t>
    </r>
  </si>
  <si>
    <t>SEPT. 30, 2001</t>
  </si>
  <si>
    <r>
      <t>(3)</t>
    </r>
    <r>
      <rPr>
        <sz val="9"/>
        <rFont val="Arial"/>
        <family val="2"/>
      </rPr>
      <t xml:space="preserve">  Provincially supported pupils (actual September 30, 2002 for 2003/04 and actual September 30, 2001 for 2002/03).</t>
    </r>
  </si>
  <si>
    <r>
      <t>(3)</t>
    </r>
    <r>
      <rPr>
        <sz val="9"/>
        <rFont val="Arial"/>
        <family val="2"/>
      </rPr>
      <t xml:space="preserve">  Includes School Buildings "D" Support, Environmental Assistance Program, Vocational Equipment, Air Quality Program and Finalization of</t>
    </r>
  </si>
  <si>
    <t xml:space="preserve">      Previous Year Support</t>
  </si>
  <si>
    <t xml:space="preserve">      includes teachers' retirement allowances, capital support and the education property tax credit, is 72.5.% in 2003/04.  See page i for more </t>
  </si>
  <si>
    <t xml:space="preserve">      includes teachers' retirement allowances, capital support and the education property tax credit, is 72.5% in 2003/04.  See page i for more </t>
  </si>
  <si>
    <t>OPERATING FUND 2003/2004 ACTUAL</t>
  </si>
  <si>
    <t>ACTUAL SEPTEMBER 30, 2003</t>
  </si>
  <si>
    <t>ANALYSIS OF OPERATING FUND REVENUE: 2003/2004 ACTUAL</t>
  </si>
  <si>
    <t>FOR THE YEAR ENDED JUNE 30, 2004</t>
  </si>
  <si>
    <t>CAPITAL FUND 2003/2004 ACTUAL</t>
  </si>
  <si>
    <t>% OF 2003/2004</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</si>
  <si>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</si>
  <si>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</si>
  <si>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</si>
  <si>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</si>
  <si>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Government web site remain the final authority.</t>
  </si>
  <si>
    <t>FRAME Report: 2003/04 Actual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</si>
</sst>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_ ;\(#,##0.00\)"/>
  </numFmts>
  <fonts count="20">
    <font>
      <sz val="9"/>
      <name val="Times New Roman"/>
      <family val="0"/>
    </font>
    <font>
      <sz val="10"/>
      <name val="Times New Roman"/>
      <family val="0"/>
    </font>
    <font>
      <sz val="10"/>
      <name val="Courier"/>
      <family val="0"/>
    </font>
    <font>
      <sz val="10"/>
      <name val="Arial"/>
      <family val="2"/>
    </font>
    <font>
      <b/>
      <sz val="9"/>
      <name val="Arial"/>
      <family val="2"/>
    </font>
    <font>
      <b/>
      <sz val="11"/>
      <name val="Arial"/>
      <family val="2"/>
    </font>
    <font>
      <sz val="8"/>
      <name val="Times New Roman"/>
      <family val="0"/>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b/>
      <sz val="8"/>
      <name val="Arial"/>
      <family val="2"/>
    </font>
    <font>
      <u val="single"/>
      <sz val="9"/>
      <color indexed="12"/>
      <name val="Arial"/>
      <family val="2"/>
    </font>
    <font>
      <u val="single"/>
      <sz val="9"/>
      <name val="Arial"/>
      <family val="2"/>
    </font>
    <font>
      <sz val="11"/>
      <name val="Times New Roman"/>
      <family val="0"/>
    </font>
    <font>
      <sz val="11"/>
      <name val="Arial"/>
      <family val="2"/>
    </font>
    <font>
      <sz val="9"/>
      <color indexed="9"/>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bgColor indexed="9"/>
      </patternFill>
    </fill>
    <fill>
      <patternFill patternType="gray125">
        <fgColor indexed="9"/>
        <bgColor indexed="9"/>
      </patternFill>
    </fill>
    <fill>
      <patternFill patternType="solid">
        <fgColor indexed="9"/>
        <bgColor indexed="64"/>
      </patternFill>
    </fill>
    <fill>
      <patternFill patternType="solid">
        <fgColor indexed="44"/>
        <bgColor indexed="64"/>
      </patternFill>
    </fill>
  </fills>
  <borders count="44">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border>
    <border>
      <left>
        <color indexed="63"/>
      </left>
      <right style="thin"/>
      <top>
        <color indexed="63"/>
      </top>
      <bottom>
        <color indexed="63"/>
      </bottom>
    </border>
    <border>
      <left style="thin">
        <color indexed="8"/>
      </left>
      <right style="thin"/>
      <top>
        <color indexed="63"/>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564">
    <xf numFmtId="37" fontId="0" fillId="0" borderId="0" xfId="0" applyAlignment="1">
      <alignment/>
    </xf>
    <xf numFmtId="37" fontId="7" fillId="0" borderId="0" xfId="0" applyFont="1" applyAlignment="1">
      <alignment/>
    </xf>
    <xf numFmtId="37" fontId="8" fillId="0" borderId="0" xfId="0" applyFont="1" applyAlignment="1">
      <alignment/>
    </xf>
    <xf numFmtId="37" fontId="7" fillId="0" borderId="0" xfId="0" applyFont="1" applyAlignment="1">
      <alignment horizontal="right"/>
    </xf>
    <xf numFmtId="37" fontId="4" fillId="0" borderId="0" xfId="0" applyFont="1" applyAlignment="1">
      <alignment/>
    </xf>
    <xf numFmtId="172" fontId="7" fillId="0" borderId="0" xfId="0" applyNumberFormat="1" applyFont="1" applyAlignment="1" applyProtection="1">
      <alignment/>
      <protection/>
    </xf>
    <xf numFmtId="37" fontId="7" fillId="3" borderId="0" xfId="0" applyFont="1" applyFill="1" applyAlignment="1">
      <alignment/>
    </xf>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4" xfId="0" applyFont="1" applyFill="1" applyBorder="1" applyAlignment="1">
      <alignment horizontal="center"/>
    </xf>
    <xf numFmtId="0" fontId="4" fillId="3" borderId="5" xfId="0" applyNumberFormat="1" applyFont="1" applyFill="1" applyBorder="1" applyAlignment="1">
      <alignment horizontal="center"/>
    </xf>
    <xf numFmtId="37" fontId="4" fillId="3" borderId="5" xfId="0" applyFont="1" applyFill="1" applyBorder="1" applyAlignment="1">
      <alignment horizontal="center"/>
    </xf>
    <xf numFmtId="37" fontId="4" fillId="3" borderId="1" xfId="0" applyFont="1" applyFill="1" applyBorder="1" applyAlignment="1">
      <alignment horizontal="center"/>
    </xf>
    <xf numFmtId="0" fontId="4" fillId="3" borderId="6" xfId="0" applyNumberFormat="1" applyFont="1" applyFill="1" applyBorder="1" applyAlignment="1">
      <alignment horizontal="center"/>
    </xf>
    <xf numFmtId="37" fontId="4" fillId="3" borderId="6" xfId="0" applyFont="1" applyFill="1" applyBorder="1" applyAlignment="1">
      <alignment horizontal="center"/>
    </xf>
    <xf numFmtId="49" fontId="4" fillId="0" borderId="7" xfId="0" applyNumberFormat="1" applyFont="1" applyBorder="1" applyAlignment="1">
      <alignment/>
    </xf>
    <xf numFmtId="37" fontId="4" fillId="3" borderId="2" xfId="0" applyFont="1" applyFill="1" applyBorder="1" applyAlignment="1">
      <alignment horizontal="center"/>
    </xf>
    <xf numFmtId="49" fontId="4" fillId="0" borderId="8" xfId="0" applyNumberFormat="1" applyFont="1" applyBorder="1" applyAlignment="1">
      <alignment/>
    </xf>
    <xf numFmtId="37" fontId="4" fillId="3" borderId="9" xfId="0" applyFont="1" applyFill="1" applyBorder="1" applyAlignment="1">
      <alignment horizontal="center" vertical="top"/>
    </xf>
    <xf numFmtId="37" fontId="4" fillId="3" borderId="10" xfId="0" applyFont="1" applyFill="1" applyBorder="1" applyAlignment="1">
      <alignment horizontal="center" vertical="top"/>
    </xf>
    <xf numFmtId="49" fontId="4" fillId="0" borderId="0" xfId="0" applyNumberFormat="1" applyFont="1" applyAlignment="1">
      <alignment/>
    </xf>
    <xf numFmtId="49" fontId="7" fillId="4" borderId="1" xfId="0" applyNumberFormat="1" applyFont="1" applyFill="1" applyBorder="1" applyAlignment="1">
      <alignment vertical="center"/>
    </xf>
    <xf numFmtId="191" fontId="7" fillId="4" borderId="1" xfId="0" applyNumberFormat="1" applyFont="1" applyFill="1" applyBorder="1" applyAlignment="1">
      <alignment vertical="center"/>
    </xf>
    <xf numFmtId="49" fontId="7" fillId="0" borderId="1" xfId="0" applyNumberFormat="1" applyFont="1" applyBorder="1" applyAlignment="1">
      <alignment vertical="center"/>
    </xf>
    <xf numFmtId="191" fontId="7" fillId="0" borderId="1" xfId="0" applyNumberFormat="1" applyFont="1" applyBorder="1" applyAlignment="1">
      <alignment vertical="center"/>
    </xf>
    <xf numFmtId="49" fontId="7" fillId="0" borderId="0" xfId="0" applyNumberFormat="1" applyFont="1" applyAlignment="1">
      <alignment vertical="center"/>
    </xf>
    <xf numFmtId="192" fontId="7" fillId="0" borderId="0" xfId="0" applyNumberFormat="1" applyFont="1" applyAlignment="1">
      <alignment vertical="center"/>
    </xf>
    <xf numFmtId="49" fontId="4" fillId="4" borderId="11" xfId="16" applyNumberFormat="1" applyFont="1" applyFill="1" applyBorder="1" applyAlignment="1">
      <alignment vertical="center"/>
    </xf>
    <xf numFmtId="191" fontId="4" fillId="4" borderId="11" xfId="0" applyNumberFormat="1" applyFont="1" applyFill="1" applyBorder="1" applyAlignment="1">
      <alignment vertical="center"/>
    </xf>
    <xf numFmtId="37" fontId="7" fillId="0" borderId="12" xfId="0" applyFont="1" applyBorder="1" applyAlignment="1">
      <alignment/>
    </xf>
    <xf numFmtId="49" fontId="7" fillId="0" borderId="0" xfId="0" applyNumberFormat="1" applyFont="1" applyAlignment="1">
      <alignment/>
    </xf>
    <xf numFmtId="37" fontId="7" fillId="0" borderId="0" xfId="0" applyFont="1" applyAlignment="1">
      <alignment horizontal="left"/>
    </xf>
    <xf numFmtId="49" fontId="7" fillId="0" borderId="0" xfId="0" applyNumberFormat="1" applyFont="1" applyAlignment="1">
      <alignment horizontal="left"/>
    </xf>
    <xf numFmtId="37" fontId="3" fillId="0" borderId="6" xfId="0" applyFont="1" applyBorder="1" applyAlignment="1">
      <alignment/>
    </xf>
    <xf numFmtId="37" fontId="7" fillId="3" borderId="13" xfId="0" applyFont="1" applyFill="1" applyBorder="1" applyAlignment="1">
      <alignment horizontal="centerContinuous"/>
    </xf>
    <xf numFmtId="37" fontId="7" fillId="3" borderId="13" xfId="0" applyFont="1" applyFill="1" applyBorder="1" applyAlignment="1">
      <alignment/>
    </xf>
    <xf numFmtId="172" fontId="7" fillId="0" borderId="3" xfId="0" applyNumberFormat="1" applyFont="1" applyBorder="1" applyAlignment="1" applyProtection="1">
      <alignment horizontal="centerContinuous"/>
      <protection/>
    </xf>
    <xf numFmtId="37" fontId="7" fillId="3" borderId="12" xfId="0" applyFont="1" applyFill="1" applyBorder="1" applyAlignment="1">
      <alignment horizontal="centerContinuous"/>
    </xf>
    <xf numFmtId="37" fontId="7" fillId="3" borderId="0" xfId="0" applyFont="1" applyFill="1" applyBorder="1" applyAlignment="1">
      <alignment/>
    </xf>
    <xf numFmtId="37" fontId="7" fillId="0" borderId="0" xfId="0" applyNumberFormat="1" applyFont="1" applyBorder="1" applyAlignment="1" applyProtection="1">
      <alignment/>
      <protection/>
    </xf>
    <xf numFmtId="37" fontId="4" fillId="4" borderId="14" xfId="0" applyFont="1" applyFill="1" applyBorder="1" applyAlignment="1">
      <alignment horizontal="centerContinuous"/>
    </xf>
    <xf numFmtId="37" fontId="4" fillId="4" borderId="15" xfId="0" applyFont="1" applyFill="1" applyBorder="1" applyAlignment="1">
      <alignment horizontal="centerContinuous"/>
    </xf>
    <xf numFmtId="37" fontId="4" fillId="4" borderId="15" xfId="0" applyFont="1" applyFill="1" applyBorder="1" applyAlignment="1">
      <alignment horizontal="centerContinuous" vertical="center"/>
    </xf>
    <xf numFmtId="37" fontId="4" fillId="0" borderId="4" xfId="0" applyFont="1" applyBorder="1" applyAlignment="1">
      <alignment/>
    </xf>
    <xf numFmtId="37" fontId="4" fillId="3" borderId="5" xfId="0" applyFont="1" applyFill="1" applyBorder="1" applyAlignment="1">
      <alignment horizontal="right"/>
    </xf>
    <xf numFmtId="37" fontId="4" fillId="0" borderId="8" xfId="0" applyFont="1" applyBorder="1" applyAlignment="1">
      <alignment/>
    </xf>
    <xf numFmtId="37" fontId="4" fillId="0" borderId="10" xfId="0" applyFont="1" applyBorder="1" applyAlignment="1">
      <alignment horizontal="right"/>
    </xf>
    <xf numFmtId="191" fontId="7" fillId="0" borderId="1" xfId="0" applyNumberFormat="1" applyFont="1" applyBorder="1" applyAlignment="1">
      <alignment horizontal="right" vertical="center"/>
    </xf>
    <xf numFmtId="191" fontId="7" fillId="4" borderId="1" xfId="0" applyNumberFormat="1" applyFont="1" applyFill="1" applyBorder="1" applyAlignment="1">
      <alignment horizontal="right" vertical="center"/>
    </xf>
    <xf numFmtId="37" fontId="7" fillId="0" borderId="0" xfId="0" applyFont="1" applyAlignment="1">
      <alignment/>
    </xf>
    <xf numFmtId="37" fontId="7" fillId="0" borderId="16" xfId="0" applyFont="1" applyBorder="1" applyAlignment="1">
      <alignment/>
    </xf>
    <xf numFmtId="37" fontId="4" fillId="0" borderId="16" xfId="0" applyFont="1" applyBorder="1" applyAlignment="1">
      <alignment horizontal="centerContinuous"/>
    </xf>
    <xf numFmtId="37" fontId="7" fillId="0" borderId="16" xfId="0" applyFont="1" applyBorder="1" applyAlignment="1">
      <alignment horizontal="centerContinuous"/>
    </xf>
    <xf numFmtId="37" fontId="7" fillId="0" borderId="16" xfId="0" applyFont="1" applyBorder="1" applyAlignment="1">
      <alignment/>
    </xf>
    <xf numFmtId="37" fontId="7" fillId="3" borderId="0" xfId="0" applyFont="1" applyFill="1" applyAlignment="1">
      <alignment horizontal="centerContinuous"/>
    </xf>
    <xf numFmtId="37" fontId="7" fillId="4" borderId="16" xfId="0" applyFont="1" applyFill="1" applyBorder="1" applyAlignment="1">
      <alignment horizontal="centerContinuous"/>
    </xf>
    <xf numFmtId="37" fontId="7" fillId="4" borderId="15" xfId="0" applyFont="1" applyFill="1" applyBorder="1" applyAlignment="1">
      <alignment horizontal="centerContinuous"/>
    </xf>
    <xf numFmtId="37" fontId="7" fillId="0" borderId="17" xfId="0" applyFont="1" applyBorder="1" applyAlignment="1">
      <alignment/>
    </xf>
    <xf numFmtId="37" fontId="7" fillId="0" borderId="5" xfId="0" applyFont="1" applyBorder="1" applyAlignment="1">
      <alignment/>
    </xf>
    <xf numFmtId="37" fontId="4" fillId="4" borderId="4" xfId="0" applyFont="1" applyFill="1" applyBorder="1" applyAlignment="1">
      <alignment horizontal="centerContinuous"/>
    </xf>
    <xf numFmtId="37" fontId="4" fillId="4" borderId="5" xfId="0" applyFont="1" applyFill="1" applyBorder="1" applyAlignment="1">
      <alignment horizontal="center"/>
    </xf>
    <xf numFmtId="37" fontId="4" fillId="4" borderId="2" xfId="0" applyFont="1" applyFill="1" applyBorder="1" applyAlignment="1">
      <alignment horizontal="center"/>
    </xf>
    <xf numFmtId="37" fontId="7" fillId="4" borderId="5" xfId="0" applyFont="1" applyFill="1" applyBorder="1" applyAlignment="1">
      <alignment horizontal="centerContinuous"/>
    </xf>
    <xf numFmtId="37" fontId="7" fillId="3" borderId="5" xfId="0" applyFont="1" applyFill="1" applyBorder="1" applyAlignment="1">
      <alignment horizontal="centerContinuous"/>
    </xf>
    <xf numFmtId="37" fontId="4" fillId="0" borderId="10" xfId="0" applyFont="1" applyBorder="1" applyAlignment="1">
      <alignment horizontal="center"/>
    </xf>
    <xf numFmtId="37" fontId="4" fillId="4" borderId="9" xfId="0" applyFont="1" applyFill="1" applyBorder="1" applyAlignment="1">
      <alignment horizontal="centerContinuous"/>
    </xf>
    <xf numFmtId="37" fontId="4" fillId="4" borderId="10" xfId="0" applyFont="1" applyFill="1" applyBorder="1" applyAlignment="1">
      <alignment horizontal="centerContinuous"/>
    </xf>
    <xf numFmtId="37" fontId="4" fillId="4" borderId="3" xfId="0" applyFont="1" applyFill="1" applyBorder="1" applyAlignment="1">
      <alignment horizontal="centerContinuous"/>
    </xf>
    <xf numFmtId="37" fontId="7" fillId="4" borderId="3" xfId="0" applyFont="1" applyFill="1" applyBorder="1" applyAlignment="1">
      <alignment horizontal="centerContinuous"/>
    </xf>
    <xf numFmtId="37" fontId="4" fillId="3" borderId="9" xfId="0" applyFont="1" applyFill="1" applyBorder="1" applyAlignment="1">
      <alignment horizontal="centerContinuous"/>
    </xf>
    <xf numFmtId="37" fontId="4" fillId="0" borderId="18" xfId="0" applyFont="1" applyBorder="1" applyAlignment="1">
      <alignment/>
    </xf>
    <xf numFmtId="191" fontId="7" fillId="0" borderId="1" xfId="0" applyNumberFormat="1" applyFont="1" applyBorder="1" applyAlignment="1" applyProtection="1">
      <alignment/>
      <protection/>
    </xf>
    <xf numFmtId="191" fontId="7" fillId="0" borderId="6" xfId="0" applyNumberFormat="1" applyFont="1" applyBorder="1" applyAlignment="1" applyProtection="1">
      <alignment/>
      <protection/>
    </xf>
    <xf numFmtId="37" fontId="7" fillId="0" borderId="6" xfId="0" applyFont="1" applyBorder="1" applyAlignment="1">
      <alignment/>
    </xf>
    <xf numFmtId="191" fontId="7" fillId="0" borderId="19" xfId="0" applyNumberFormat="1" applyFont="1" applyBorder="1" applyAlignment="1" applyProtection="1">
      <alignment/>
      <protection/>
    </xf>
    <xf numFmtId="37" fontId="7" fillId="0" borderId="1" xfId="0" applyNumberFormat="1" applyFont="1" applyBorder="1" applyAlignment="1" applyProtection="1">
      <alignment/>
      <protection/>
    </xf>
    <xf numFmtId="37" fontId="7" fillId="0" borderId="6" xfId="0" applyNumberFormat="1" applyFont="1" applyBorder="1" applyAlignment="1" applyProtection="1">
      <alignment/>
      <protection/>
    </xf>
    <xf numFmtId="37" fontId="7" fillId="0" borderId="19" xfId="0" applyNumberFormat="1" applyFont="1" applyBorder="1" applyAlignment="1" applyProtection="1">
      <alignment/>
      <protection/>
    </xf>
    <xf numFmtId="37" fontId="4" fillId="0" borderId="18" xfId="0" applyFont="1" applyBorder="1" applyAlignment="1">
      <alignment vertical="top"/>
    </xf>
    <xf numFmtId="37" fontId="4" fillId="0" borderId="0" xfId="0" applyFont="1" applyAlignment="1">
      <alignment wrapText="1"/>
    </xf>
    <xf numFmtId="37" fontId="7" fillId="0" borderId="0" xfId="0" applyNumberFormat="1" applyFont="1" applyAlignment="1" applyProtection="1">
      <alignment/>
      <protection/>
    </xf>
    <xf numFmtId="37" fontId="7" fillId="0" borderId="14" xfId="0" applyFont="1" applyBorder="1" applyAlignment="1">
      <alignment/>
    </xf>
    <xf numFmtId="37" fontId="4" fillId="0" borderId="15" xfId="0" applyFont="1" applyBorder="1" applyAlignment="1">
      <alignment/>
    </xf>
    <xf numFmtId="191" fontId="4" fillId="0" borderId="11" xfId="0" applyNumberFormat="1" applyFont="1" applyBorder="1" applyAlignment="1" applyProtection="1">
      <alignment/>
      <protection/>
    </xf>
    <xf numFmtId="191" fontId="4" fillId="0" borderId="15" xfId="0" applyNumberFormat="1" applyFont="1" applyBorder="1" applyAlignment="1" applyProtection="1">
      <alignment/>
      <protection/>
    </xf>
    <xf numFmtId="191" fontId="4" fillId="0" borderId="16" xfId="0" applyNumberFormat="1" applyFont="1" applyBorder="1" applyAlignment="1" applyProtection="1">
      <alignment/>
      <protection/>
    </xf>
    <xf numFmtId="191" fontId="7" fillId="0" borderId="16" xfId="0" applyNumberFormat="1" applyFont="1" applyBorder="1" applyAlignment="1">
      <alignment/>
    </xf>
    <xf numFmtId="172" fontId="7" fillId="0" borderId="2" xfId="0" applyNumberFormat="1" applyFont="1" applyBorder="1" applyAlignment="1" applyProtection="1">
      <alignment/>
      <protection/>
    </xf>
    <xf numFmtId="37" fontId="7" fillId="3" borderId="2" xfId="0" applyFont="1" applyFill="1" applyBorder="1" applyAlignment="1">
      <alignment horizontal="center"/>
    </xf>
    <xf numFmtId="172" fontId="7" fillId="0" borderId="3" xfId="0" applyNumberFormat="1" applyFont="1" applyBorder="1" applyAlignment="1" applyProtection="1">
      <alignment/>
      <protection/>
    </xf>
    <xf numFmtId="37" fontId="7" fillId="3" borderId="3" xfId="0" applyFont="1" applyFill="1" applyBorder="1" applyAlignment="1">
      <alignment/>
    </xf>
    <xf numFmtId="37" fontId="4" fillId="4" borderId="14" xfId="0" applyFont="1" applyFill="1" applyBorder="1" applyAlignment="1">
      <alignment horizontal="centerContinuous" vertical="center"/>
    </xf>
    <xf numFmtId="37" fontId="4" fillId="0" borderId="7" xfId="0" applyFont="1" applyBorder="1" applyAlignment="1">
      <alignment/>
    </xf>
    <xf numFmtId="37" fontId="4" fillId="3" borderId="0" xfId="0" applyFont="1" applyFill="1" applyBorder="1" applyAlignment="1">
      <alignment horizontal="right"/>
    </xf>
    <xf numFmtId="37" fontId="4" fillId="3" borderId="1" xfId="0" applyFont="1" applyFill="1" applyBorder="1" applyAlignment="1">
      <alignment/>
    </xf>
    <xf numFmtId="37" fontId="4" fillId="3" borderId="0" xfId="0" applyFont="1" applyFill="1" applyAlignment="1">
      <alignment/>
    </xf>
    <xf numFmtId="196" fontId="7" fillId="4" borderId="1" xfId="0" applyNumberFormat="1" applyFont="1" applyFill="1" applyBorder="1" applyAlignment="1">
      <alignment vertical="center"/>
    </xf>
    <xf numFmtId="196" fontId="7" fillId="0" borderId="1" xfId="0" applyNumberFormat="1" applyFont="1" applyBorder="1" applyAlignment="1">
      <alignment vertical="center"/>
    </xf>
    <xf numFmtId="196" fontId="7" fillId="0" borderId="0" xfId="0" applyNumberFormat="1" applyFont="1" applyAlignment="1">
      <alignment vertical="center"/>
    </xf>
    <xf numFmtId="196" fontId="4" fillId="4" borderId="11" xfId="0" applyNumberFormat="1" applyFont="1" applyFill="1" applyBorder="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alignment/>
    </xf>
    <xf numFmtId="37" fontId="4" fillId="3" borderId="3" xfId="0" applyFont="1" applyFill="1" applyBorder="1" applyAlignment="1" applyProtection="1">
      <alignment horizontal="centerContinuous" vertical="center"/>
      <protection/>
    </xf>
    <xf numFmtId="37" fontId="7" fillId="3" borderId="3" xfId="0" applyFont="1" applyFill="1" applyBorder="1" applyAlignment="1">
      <alignment/>
    </xf>
    <xf numFmtId="37" fontId="4" fillId="4" borderId="20" xfId="0" applyFont="1" applyFill="1" applyBorder="1" applyAlignment="1">
      <alignment horizontal="centerContinuous"/>
    </xf>
    <xf numFmtId="37" fontId="4" fillId="4" borderId="9" xfId="0" applyFont="1" applyFill="1" applyBorder="1" applyAlignment="1">
      <alignment horizontal="center"/>
    </xf>
    <xf numFmtId="37" fontId="4" fillId="4" borderId="11" xfId="0" applyFont="1" applyFill="1" applyBorder="1" applyAlignment="1">
      <alignment horizontal="center"/>
    </xf>
    <xf numFmtId="37" fontId="4" fillId="3" borderId="4" xfId="0" applyFont="1" applyFill="1" applyBorder="1" applyAlignment="1">
      <alignment horizontal="centerContinuous"/>
    </xf>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75" fontId="7" fillId="0" borderId="12" xfId="0" applyNumberFormat="1" applyFont="1" applyBorder="1" applyAlignment="1" applyProtection="1">
      <alignment/>
      <protection/>
    </xf>
    <xf numFmtId="37" fontId="7" fillId="0" borderId="0" xfId="0" applyFont="1" applyAlignment="1">
      <alignment horizontal="centerContinuous"/>
    </xf>
    <xf numFmtId="175" fontId="7" fillId="0" borderId="0" xfId="0" applyNumberFormat="1" applyFont="1" applyAlignment="1" applyProtection="1">
      <alignment horizontal="centerContinuous"/>
      <protection/>
    </xf>
    <xf numFmtId="37" fontId="7" fillId="3" borderId="2" xfId="0" applyFont="1" applyFill="1" applyBorder="1" applyAlignment="1">
      <alignment horizontal="right"/>
    </xf>
    <xf numFmtId="37" fontId="4" fillId="5" borderId="14" xfId="0" applyFont="1" applyFill="1" applyBorder="1" applyAlignment="1" applyProtection="1">
      <alignment horizontal="centerContinuous"/>
      <protection/>
    </xf>
    <xf numFmtId="37" fontId="4" fillId="5" borderId="16" xfId="0" applyFont="1" applyFill="1" applyBorder="1" applyAlignment="1" applyProtection="1">
      <alignment horizontal="centerContinuous"/>
      <protection/>
    </xf>
    <xf numFmtId="37" fontId="4" fillId="5" borderId="11" xfId="0" applyFont="1" applyFill="1" applyBorder="1" applyAlignment="1" applyProtection="1">
      <alignment horizontal="center"/>
      <protection/>
    </xf>
    <xf numFmtId="37" fontId="4" fillId="0" borderId="9" xfId="0" applyFont="1" applyBorder="1" applyAlignment="1">
      <alignment/>
    </xf>
    <xf numFmtId="37" fontId="4" fillId="0" borderId="9" xfId="0" applyFont="1" applyBorder="1" applyAlignment="1">
      <alignment horizontal="center"/>
    </xf>
    <xf numFmtId="37" fontId="4" fillId="6" borderId="1" xfId="0" applyFont="1" applyFill="1" applyBorder="1" applyAlignment="1">
      <alignment horizontal="center"/>
    </xf>
    <xf numFmtId="37" fontId="7" fillId="0" borderId="0" xfId="0" applyFont="1" applyAlignment="1" applyProtection="1">
      <alignment/>
      <protection/>
    </xf>
    <xf numFmtId="37" fontId="7" fillId="6" borderId="0" xfId="0" applyFont="1" applyFill="1" applyBorder="1" applyAlignment="1">
      <alignment/>
    </xf>
    <xf numFmtId="175" fontId="7" fillId="7" borderId="0" xfId="0" applyNumberFormat="1" applyFont="1" applyFill="1" applyBorder="1" applyAlignment="1" applyProtection="1">
      <alignment/>
      <protection/>
    </xf>
    <xf numFmtId="175" fontId="7" fillId="6" borderId="0" xfId="0" applyNumberFormat="1" applyFont="1" applyFill="1" applyBorder="1" applyAlignment="1" applyProtection="1">
      <alignment/>
      <protection/>
    </xf>
    <xf numFmtId="175" fontId="4" fillId="7" borderId="0" xfId="0" applyNumberFormat="1" applyFont="1" applyFill="1" applyBorder="1" applyAlignment="1" applyProtection="1">
      <alignment/>
      <protection/>
    </xf>
    <xf numFmtId="37" fontId="7" fillId="3" borderId="0" xfId="0" applyFont="1" applyFill="1" applyAlignment="1" applyProtection="1">
      <alignment/>
      <protection/>
    </xf>
    <xf numFmtId="37" fontId="4" fillId="3" borderId="2" xfId="0" applyFont="1" applyFill="1" applyBorder="1" applyAlignment="1" applyProtection="1">
      <alignment horizontal="centerContinuous" vertical="center"/>
      <protection/>
    </xf>
    <xf numFmtId="37" fontId="7" fillId="3" borderId="2" xfId="0" applyFont="1" applyFill="1" applyBorder="1" applyAlignment="1" applyProtection="1">
      <alignment horizontal="centerContinuous"/>
      <protection/>
    </xf>
    <xf numFmtId="37" fontId="7" fillId="3" borderId="2" xfId="0" applyFont="1" applyFill="1" applyBorder="1" applyAlignment="1" applyProtection="1">
      <alignment horizontal="right"/>
      <protection/>
    </xf>
    <xf numFmtId="37" fontId="4" fillId="3" borderId="3" xfId="0" applyFont="1" applyFill="1" applyBorder="1" applyAlignment="1" applyProtection="1" quotePrefix="1">
      <alignment horizontal="centerContinuous" vertical="center"/>
      <protection/>
    </xf>
    <xf numFmtId="37" fontId="7" fillId="3" borderId="3" xfId="0" applyFont="1" applyFill="1" applyBorder="1" applyAlignment="1" applyProtection="1">
      <alignment horizontal="centerContinuous"/>
      <protection/>
    </xf>
    <xf numFmtId="37" fontId="7" fillId="3" borderId="3" xfId="0" applyFont="1" applyFill="1" applyBorder="1" applyAlignment="1" applyProtection="1" quotePrefix="1">
      <alignment horizontal="centerContinuous"/>
      <protection/>
    </xf>
    <xf numFmtId="37" fontId="7" fillId="3" borderId="3" xfId="0" applyFont="1" applyFill="1" applyBorder="1" applyAlignment="1" applyProtection="1">
      <alignment/>
      <protection/>
    </xf>
    <xf numFmtId="182" fontId="7" fillId="3" borderId="0" xfId="0" applyNumberFormat="1" applyFont="1" applyFill="1" applyAlignment="1" applyProtection="1">
      <alignment/>
      <protection/>
    </xf>
    <xf numFmtId="37" fontId="4" fillId="5" borderId="14" xfId="0" applyFont="1" applyFill="1" applyBorder="1" applyAlignment="1" applyProtection="1">
      <alignment horizontal="centerContinuous" vertical="center"/>
      <protection/>
    </xf>
    <xf numFmtId="37" fontId="4" fillId="5" borderId="15" xfId="0" applyFont="1" applyFill="1" applyBorder="1" applyAlignment="1" applyProtection="1">
      <alignment horizontal="centerContinuous"/>
      <protection/>
    </xf>
    <xf numFmtId="37" fontId="4" fillId="0" borderId="20" xfId="0" applyFont="1" applyBorder="1" applyAlignment="1" applyProtection="1">
      <alignment horizontal="centerContinuous"/>
      <protection/>
    </xf>
    <xf numFmtId="37" fontId="4" fillId="0" borderId="3" xfId="0" applyFont="1" applyBorder="1" applyAlignment="1" applyProtection="1">
      <alignment horizontal="centerContinuous"/>
      <protection/>
    </xf>
    <xf numFmtId="37" fontId="4" fillId="0" borderId="21" xfId="0" applyFont="1" applyBorder="1" applyAlignment="1" applyProtection="1">
      <alignment horizontal="centerContinuous"/>
      <protection/>
    </xf>
    <xf numFmtId="37" fontId="4" fillId="0" borderId="10" xfId="0" applyFont="1" applyBorder="1" applyAlignment="1" applyProtection="1">
      <alignment horizontal="centerContinuous"/>
      <protection/>
    </xf>
    <xf numFmtId="37" fontId="4" fillId="0" borderId="7" xfId="0" applyFont="1" applyBorder="1" applyAlignment="1">
      <alignment vertical="center"/>
    </xf>
    <xf numFmtId="37" fontId="4" fillId="0" borderId="0" xfId="0" applyFont="1" applyBorder="1" applyAlignment="1" applyProtection="1">
      <alignment horizontal="center" vertical="center"/>
      <protection/>
    </xf>
    <xf numFmtId="37" fontId="4" fillId="0" borderId="19" xfId="0" applyFont="1" applyBorder="1" applyAlignment="1" applyProtection="1">
      <alignment vertical="center"/>
      <protection/>
    </xf>
    <xf numFmtId="37" fontId="4" fillId="0" borderId="19" xfId="0" applyFont="1" applyBorder="1" applyAlignment="1" applyProtection="1">
      <alignment horizontal="center" vertical="center"/>
      <protection/>
    </xf>
    <xf numFmtId="37" fontId="4" fillId="0" borderId="22" xfId="0" applyFont="1" applyBorder="1" applyAlignment="1" applyProtection="1">
      <alignment horizontal="center" vertical="center"/>
      <protection/>
    </xf>
    <xf numFmtId="37" fontId="4" fillId="0" borderId="1" xfId="0" applyFont="1" applyBorder="1" applyAlignment="1" applyProtection="1">
      <alignment horizontal="center" vertical="center"/>
      <protection/>
    </xf>
    <xf numFmtId="37" fontId="4" fillId="0" borderId="8" xfId="0" applyFont="1" applyBorder="1" applyAlignment="1">
      <alignment vertical="center"/>
    </xf>
    <xf numFmtId="37" fontId="4" fillId="0" borderId="3" xfId="0" applyFont="1" applyBorder="1" applyAlignment="1" applyProtection="1">
      <alignment horizontal="center" vertical="center"/>
      <protection/>
    </xf>
    <xf numFmtId="37" fontId="4" fillId="0" borderId="20" xfId="0" applyFont="1" applyBorder="1" applyAlignment="1" applyProtection="1">
      <alignment horizontal="center" vertical="center"/>
      <protection/>
    </xf>
    <xf numFmtId="37" fontId="4" fillId="0" borderId="21" xfId="0" applyFont="1" applyBorder="1" applyAlignment="1" applyProtection="1">
      <alignment horizontal="center" vertical="center"/>
      <protection/>
    </xf>
    <xf numFmtId="37" fontId="4" fillId="0" borderId="9" xfId="0" applyFont="1" applyBorder="1" applyAlignment="1" applyProtection="1">
      <alignment horizontal="center" vertical="center"/>
      <protection/>
    </xf>
    <xf numFmtId="196" fontId="7" fillId="4" borderId="23" xfId="0" applyNumberFormat="1" applyFont="1" applyFill="1" applyBorder="1" applyAlignment="1">
      <alignment vertical="center"/>
    </xf>
    <xf numFmtId="196" fontId="7" fillId="4" borderId="6" xfId="0" applyNumberFormat="1" applyFont="1" applyFill="1" applyBorder="1" applyAlignment="1">
      <alignment vertical="center"/>
    </xf>
    <xf numFmtId="196" fontId="7" fillId="0" borderId="23" xfId="0" applyNumberFormat="1" applyFont="1" applyBorder="1" applyAlignment="1">
      <alignment vertical="center"/>
    </xf>
    <xf numFmtId="196" fontId="7" fillId="0" borderId="6" xfId="0" applyNumberFormat="1" applyFont="1" applyBorder="1" applyAlignment="1">
      <alignment vertical="center"/>
    </xf>
    <xf numFmtId="196" fontId="4" fillId="4" borderId="24" xfId="0" applyNumberFormat="1" applyFont="1" applyFill="1" applyBorder="1" applyAlignment="1">
      <alignment vertical="center"/>
    </xf>
    <xf numFmtId="196" fontId="4" fillId="4" borderId="15" xfId="0" applyNumberFormat="1" applyFont="1" applyFill="1" applyBorder="1" applyAlignment="1">
      <alignment vertical="center"/>
    </xf>
    <xf numFmtId="37" fontId="7" fillId="0" borderId="12" xfId="0" applyFont="1" applyBorder="1" applyAlignment="1" applyProtection="1">
      <alignment/>
      <protection/>
    </xf>
    <xf numFmtId="49" fontId="8" fillId="0" borderId="0" xfId="0" applyNumberFormat="1" applyFont="1" applyAlignment="1">
      <alignment/>
    </xf>
    <xf numFmtId="37" fontId="8" fillId="0" borderId="0" xfId="0" applyFont="1" applyAlignment="1" applyProtection="1">
      <alignment/>
      <protection/>
    </xf>
    <xf numFmtId="37" fontId="8" fillId="0" borderId="0" xfId="0" applyFont="1" applyAlignment="1">
      <alignment horizontal="left"/>
    </xf>
    <xf numFmtId="37" fontId="8" fillId="0" borderId="0" xfId="0" applyFont="1" applyAlignment="1">
      <alignment/>
    </xf>
    <xf numFmtId="49" fontId="8" fillId="0" borderId="0" xfId="0" applyNumberFormat="1" applyFont="1" applyAlignment="1">
      <alignment horizontal="right"/>
    </xf>
    <xf numFmtId="49" fontId="13" fillId="0" borderId="6" xfId="0" applyNumberFormat="1" applyFont="1" applyBorder="1" applyAlignment="1">
      <alignment/>
    </xf>
    <xf numFmtId="37" fontId="7" fillId="0" borderId="16" xfId="0" applyFont="1" applyBorder="1" applyAlignment="1">
      <alignment horizontal="right"/>
    </xf>
    <xf numFmtId="37" fontId="4" fillId="0" borderId="14" xfId="0" applyFont="1" applyBorder="1" applyAlignment="1">
      <alignment horizontal="centerContinuous"/>
    </xf>
    <xf numFmtId="37" fontId="7" fillId="0" borderId="15" xfId="0" applyFont="1" applyBorder="1" applyAlignment="1">
      <alignment horizontal="centerContinuous"/>
    </xf>
    <xf numFmtId="37" fontId="4" fillId="5" borderId="17" xfId="0" applyFont="1" applyFill="1" applyBorder="1" applyAlignment="1">
      <alignment horizontal="centerContinuous"/>
    </xf>
    <xf numFmtId="37" fontId="4" fillId="5" borderId="5" xfId="0" applyFont="1" applyFill="1" applyBorder="1" applyAlignment="1">
      <alignment horizontal="centerContinuous"/>
    </xf>
    <xf numFmtId="37" fontId="4" fillId="5" borderId="2" xfId="0" applyFont="1" applyFill="1" applyBorder="1" applyAlignment="1">
      <alignment/>
    </xf>
    <xf numFmtId="37" fontId="4" fillId="5" borderId="2" xfId="0" applyFont="1" applyFill="1" applyBorder="1" applyAlignment="1">
      <alignment horizontal="centerContinuous"/>
    </xf>
    <xf numFmtId="37" fontId="4" fillId="5" borderId="20" xfId="0" applyFont="1" applyFill="1" applyBorder="1" applyAlignment="1">
      <alignment horizontal="centerContinuous"/>
    </xf>
    <xf numFmtId="37" fontId="4" fillId="5" borderId="10" xfId="0" applyFont="1" applyFill="1" applyBorder="1" applyAlignment="1">
      <alignment horizontal="centerContinuous"/>
    </xf>
    <xf numFmtId="37" fontId="4" fillId="5" borderId="3" xfId="0" applyFont="1" applyFill="1" applyBorder="1" applyAlignment="1">
      <alignment horizontal="centerContinuous"/>
    </xf>
    <xf numFmtId="37" fontId="4" fillId="3" borderId="25"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applyAlignment="1">
      <alignment/>
    </xf>
    <xf numFmtId="37" fontId="4" fillId="8" borderId="25" xfId="0" applyFont="1" applyFill="1" applyBorder="1" applyAlignment="1">
      <alignment/>
    </xf>
    <xf numFmtId="191" fontId="7" fillId="3" borderId="7" xfId="0" applyNumberFormat="1" applyFont="1" applyFill="1" applyBorder="1" applyAlignment="1" applyProtection="1">
      <alignment/>
      <protection/>
    </xf>
    <xf numFmtId="174" fontId="7" fillId="3" borderId="7" xfId="0" applyNumberFormat="1" applyFont="1" applyFill="1" applyBorder="1" applyAlignment="1" applyProtection="1">
      <alignment/>
      <protection/>
    </xf>
    <xf numFmtId="37" fontId="7" fillId="3" borderId="26" xfId="0" applyFont="1" applyFill="1" applyBorder="1" applyAlignment="1">
      <alignment/>
    </xf>
    <xf numFmtId="191" fontId="7" fillId="3" borderId="26" xfId="0" applyNumberFormat="1" applyFont="1" applyFill="1" applyBorder="1" applyAlignment="1" applyProtection="1">
      <alignment/>
      <protection/>
    </xf>
    <xf numFmtId="174" fontId="7" fillId="3" borderId="26" xfId="0" applyNumberFormat="1" applyFont="1" applyFill="1" applyBorder="1" applyAlignment="1" applyProtection="1">
      <alignment/>
      <protection/>
    </xf>
    <xf numFmtId="37" fontId="7" fillId="0" borderId="26" xfId="0" applyFont="1" applyBorder="1" applyAlignment="1">
      <alignment/>
    </xf>
    <xf numFmtId="191" fontId="7" fillId="0" borderId="26" xfId="0" applyNumberFormat="1" applyFont="1" applyBorder="1" applyAlignment="1" applyProtection="1">
      <alignment/>
      <protection/>
    </xf>
    <xf numFmtId="174" fontId="7" fillId="0" borderId="26" xfId="0" applyNumberFormat="1" applyFont="1" applyBorder="1" applyAlignment="1" applyProtection="1">
      <alignment/>
      <protection/>
    </xf>
    <xf numFmtId="191" fontId="7" fillId="0" borderId="26" xfId="0" applyNumberFormat="1" applyFont="1" applyBorder="1" applyAlignment="1">
      <alignment/>
    </xf>
    <xf numFmtId="37" fontId="7" fillId="0" borderId="8" xfId="0" applyFont="1" applyBorder="1" applyAlignment="1">
      <alignment horizontal="left"/>
    </xf>
    <xf numFmtId="191" fontId="7" fillId="0" borderId="8" xfId="0" applyNumberFormat="1" applyFont="1" applyBorder="1" applyAlignment="1" applyProtection="1">
      <alignment/>
      <protection/>
    </xf>
    <xf numFmtId="174" fontId="7" fillId="0" borderId="8" xfId="0" applyNumberFormat="1" applyFont="1" applyBorder="1" applyAlignment="1" applyProtection="1">
      <alignment/>
      <protection/>
    </xf>
    <xf numFmtId="37" fontId="4" fillId="0" borderId="25" xfId="0" applyFont="1" applyFill="1" applyBorder="1" applyAlignment="1">
      <alignment/>
    </xf>
    <xf numFmtId="174" fontId="4" fillId="0" borderId="25" xfId="20" applyNumberFormat="1" applyFont="1" applyFill="1" applyBorder="1" applyAlignment="1">
      <alignment/>
    </xf>
    <xf numFmtId="37" fontId="7" fillId="0" borderId="26" xfId="0" applyNumberFormat="1" applyFont="1" applyBorder="1" applyAlignment="1" applyProtection="1">
      <alignment/>
      <protection/>
    </xf>
    <xf numFmtId="37" fontId="7" fillId="0" borderId="26" xfId="0" applyFont="1" applyBorder="1" applyAlignment="1" quotePrefix="1">
      <alignment horizontal="left"/>
    </xf>
    <xf numFmtId="37" fontId="7" fillId="0" borderId="8" xfId="0" applyFont="1" applyBorder="1" applyAlignment="1">
      <alignment/>
    </xf>
    <xf numFmtId="37" fontId="4" fillId="0" borderId="7" xfId="0" applyFont="1" applyFill="1" applyBorder="1" applyAlignment="1">
      <alignment/>
    </xf>
    <xf numFmtId="174" fontId="4" fillId="0" borderId="7" xfId="20" applyNumberFormat="1" applyFont="1" applyFill="1" applyBorder="1" applyAlignment="1">
      <alignment/>
    </xf>
    <xf numFmtId="37" fontId="7" fillId="3" borderId="26" xfId="0" applyNumberFormat="1" applyFont="1" applyFill="1" applyBorder="1" applyAlignment="1" applyProtection="1">
      <alignment/>
      <protection/>
    </xf>
    <xf numFmtId="37" fontId="7" fillId="0" borderId="8" xfId="0" applyNumberFormat="1" applyFont="1" applyBorder="1" applyAlignment="1" applyProtection="1">
      <alignment/>
      <protection/>
    </xf>
    <xf numFmtId="37" fontId="7" fillId="3" borderId="8" xfId="0" applyNumberFormat="1" applyFont="1" applyFill="1" applyBorder="1" applyAlignment="1" applyProtection="1">
      <alignment/>
      <protection/>
    </xf>
    <xf numFmtId="174" fontId="7" fillId="0" borderId="0" xfId="0" applyNumberFormat="1" applyFont="1" applyAlignment="1" applyProtection="1">
      <alignment/>
      <protection/>
    </xf>
    <xf numFmtId="37" fontId="4" fillId="8" borderId="27" xfId="0" applyFont="1" applyFill="1" applyBorder="1" applyAlignment="1">
      <alignment/>
    </xf>
    <xf numFmtId="174" fontId="4" fillId="8" borderId="27" xfId="20" applyNumberFormat="1" applyFont="1" applyFill="1" applyBorder="1" applyAlignment="1">
      <alignment/>
    </xf>
    <xf numFmtId="49" fontId="7" fillId="0" borderId="0" xfId="0" applyNumberFormat="1" applyFont="1" applyAlignment="1">
      <alignment/>
    </xf>
    <xf numFmtId="37" fontId="4" fillId="4" borderId="17" xfId="0" applyFont="1" applyFill="1" applyBorder="1" applyAlignment="1">
      <alignment horizontal="centerContinuous"/>
    </xf>
    <xf numFmtId="37" fontId="4" fillId="4" borderId="5" xfId="0" applyFont="1" applyFill="1" applyBorder="1" applyAlignment="1">
      <alignment horizontal="centerContinuous"/>
    </xf>
    <xf numFmtId="37" fontId="4" fillId="4" borderId="2" xfId="0" applyFont="1" applyFill="1" applyBorder="1" applyAlignment="1">
      <alignment horizontal="centerContinuous"/>
    </xf>
    <xf numFmtId="37" fontId="4" fillId="4" borderId="2" xfId="0" applyFont="1" applyFill="1" applyBorder="1" applyAlignment="1">
      <alignment/>
    </xf>
    <xf numFmtId="37" fontId="7" fillId="4" borderId="2" xfId="0" applyFont="1" applyFill="1" applyBorder="1" applyAlignment="1">
      <alignment horizontal="centerContinuous"/>
    </xf>
    <xf numFmtId="37" fontId="7" fillId="4" borderId="10" xfId="0" applyFont="1" applyFill="1" applyBorder="1" applyAlignment="1">
      <alignment horizontal="centerContinuous"/>
    </xf>
    <xf numFmtId="174" fontId="7" fillId="0" borderId="0" xfId="20" applyNumberFormat="1" applyFont="1" applyAlignment="1">
      <alignment/>
    </xf>
    <xf numFmtId="49" fontId="8" fillId="0" borderId="0" xfId="0" applyNumberFormat="1" applyFont="1" applyAlignment="1">
      <alignment/>
    </xf>
    <xf numFmtId="37" fontId="7" fillId="0" borderId="0" xfId="0" applyFont="1" applyAlignment="1" quotePrefix="1">
      <alignment horizontal="left"/>
    </xf>
    <xf numFmtId="37" fontId="7" fillId="0" borderId="0" xfId="0" applyNumberFormat="1" applyFont="1" applyAlignment="1" applyProtection="1">
      <alignment horizontal="right"/>
      <protection/>
    </xf>
    <xf numFmtId="172" fontId="7" fillId="0" borderId="2" xfId="0" applyNumberFormat="1" applyFont="1" applyBorder="1" applyAlignment="1" applyProtection="1">
      <alignment vertical="center"/>
      <protection/>
    </xf>
    <xf numFmtId="37" fontId="7" fillId="3" borderId="2" xfId="0" applyFont="1" applyFill="1" applyBorder="1" applyAlignment="1">
      <alignment horizontal="right" vertical="center"/>
    </xf>
    <xf numFmtId="172" fontId="7" fillId="0" borderId="3" xfId="0" applyNumberFormat="1" applyFont="1" applyBorder="1" applyAlignment="1" applyProtection="1">
      <alignment vertical="center"/>
      <protection/>
    </xf>
    <xf numFmtId="37" fontId="7" fillId="4" borderId="17" xfId="0" applyFont="1" applyFill="1" applyBorder="1" applyAlignment="1">
      <alignment/>
    </xf>
    <xf numFmtId="37" fontId="4" fillId="3" borderId="6" xfId="0" applyFont="1" applyFill="1" applyBorder="1" applyAlignment="1">
      <alignment/>
    </xf>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74" fontId="7" fillId="4" borderId="1" xfId="20" applyNumberFormat="1" applyFont="1" applyFill="1" applyBorder="1" applyAlignment="1">
      <alignment/>
    </xf>
    <xf numFmtId="174" fontId="7" fillId="0" borderId="1" xfId="20" applyNumberFormat="1" applyFont="1" applyBorder="1" applyAlignment="1">
      <alignment/>
    </xf>
    <xf numFmtId="174" fontId="4" fillId="4" borderId="11" xfId="20" applyNumberFormat="1" applyFont="1" applyFill="1" applyBorder="1" applyAlignment="1">
      <alignment/>
    </xf>
    <xf numFmtId="37" fontId="7" fillId="0" borderId="1" xfId="0" applyFont="1" applyBorder="1" applyAlignment="1">
      <alignment/>
    </xf>
    <xf numFmtId="37" fontId="7" fillId="4" borderId="1" xfId="0" applyFont="1" applyFill="1" applyBorder="1" applyAlignment="1">
      <alignment/>
    </xf>
    <xf numFmtId="172" fontId="7" fillId="0" borderId="2" xfId="0" applyNumberFormat="1" applyFont="1" applyBorder="1" applyAlignment="1" applyProtection="1">
      <alignment horizontal="centerContinuous" vertical="center"/>
      <protection/>
    </xf>
    <xf numFmtId="37" fontId="7" fillId="0" borderId="13"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Alignment="1" applyProtection="1">
      <alignment/>
      <protection locked="0"/>
    </xf>
    <xf numFmtId="172" fontId="7" fillId="0" borderId="3" xfId="0" applyNumberFormat="1" applyFont="1" applyBorder="1" applyAlignment="1" applyProtection="1">
      <alignment horizontal="centerContinuous" vertical="center"/>
      <protection/>
    </xf>
    <xf numFmtId="37" fontId="7" fillId="3" borderId="3" xfId="0" applyFont="1" applyFill="1" applyBorder="1" applyAlignment="1">
      <alignment horizontal="centerContinuous" vertical="center"/>
    </xf>
    <xf numFmtId="37" fontId="10" fillId="0" borderId="3" xfId="0" applyFont="1" applyBorder="1" applyAlignment="1" applyProtection="1">
      <alignment/>
      <protection locked="0"/>
    </xf>
    <xf numFmtId="37" fontId="4" fillId="0" borderId="28" xfId="0" applyFont="1" applyFill="1" applyBorder="1" applyAlignment="1">
      <alignment horizontal="left"/>
    </xf>
    <xf numFmtId="37" fontId="4" fillId="0" borderId="29" xfId="0" applyFont="1" applyFill="1" applyBorder="1" applyAlignment="1">
      <alignment horizontal="centerContinuous"/>
    </xf>
    <xf numFmtId="37" fontId="4" fillId="0" borderId="30" xfId="0" applyFont="1" applyFill="1" applyBorder="1" applyAlignment="1">
      <alignment horizontal="centerContinuous"/>
    </xf>
    <xf numFmtId="37" fontId="4" fillId="0" borderId="31" xfId="0" applyFont="1" applyFill="1" applyBorder="1" applyAlignment="1">
      <alignment horizontal="left"/>
    </xf>
    <xf numFmtId="37" fontId="7" fillId="0" borderId="29" xfId="0" applyFont="1" applyFill="1" applyBorder="1" applyAlignment="1">
      <alignment/>
    </xf>
    <xf numFmtId="37" fontId="7" fillId="0" borderId="32" xfId="0" applyFont="1" applyFill="1" applyBorder="1" applyAlignment="1">
      <alignment/>
    </xf>
    <xf numFmtId="37" fontId="4" fillId="4" borderId="33" xfId="0" applyFont="1" applyFill="1" applyBorder="1" applyAlignment="1">
      <alignment horizontal="centerContinuous"/>
    </xf>
    <xf numFmtId="37" fontId="4" fillId="4" borderId="13" xfId="0" applyFont="1" applyFill="1" applyBorder="1" applyAlignment="1">
      <alignment horizontal="centerContinuous"/>
    </xf>
    <xf numFmtId="37" fontId="4" fillId="4" borderId="34" xfId="0" applyFont="1" applyFill="1" applyBorder="1" applyAlignment="1">
      <alignment horizontal="centerContinuous"/>
    </xf>
    <xf numFmtId="37" fontId="4" fillId="4" borderId="33" xfId="0" applyFont="1" applyFill="1" applyBorder="1" applyAlignment="1">
      <alignment horizontal="left"/>
    </xf>
    <xf numFmtId="37" fontId="4" fillId="4" borderId="13" xfId="0" applyFont="1" applyFill="1" applyBorder="1" applyAlignment="1">
      <alignment horizontal="left"/>
    </xf>
    <xf numFmtId="37" fontId="4" fillId="4" borderId="34" xfId="0" applyFont="1" applyFill="1" applyBorder="1" applyAlignment="1">
      <alignment horizontal="left"/>
    </xf>
    <xf numFmtId="37" fontId="4" fillId="4" borderId="35" xfId="0" applyFont="1" applyFill="1" applyBorder="1" applyAlignment="1">
      <alignment horizontal="centerContinuous"/>
    </xf>
    <xf numFmtId="37" fontId="4" fillId="4" borderId="12" xfId="0" applyFont="1" applyFill="1" applyBorder="1" applyAlignment="1">
      <alignment horizontal="centerContinuous"/>
    </xf>
    <xf numFmtId="37" fontId="4" fillId="4" borderId="36" xfId="0" applyFont="1" applyFill="1" applyBorder="1" applyAlignment="1">
      <alignment horizontal="centerContinuous"/>
    </xf>
    <xf numFmtId="191" fontId="7" fillId="4" borderId="1" xfId="0" applyNumberFormat="1" applyFont="1" applyFill="1" applyBorder="1" applyAlignment="1">
      <alignment/>
    </xf>
    <xf numFmtId="191" fontId="7" fillId="0" borderId="1" xfId="0" applyNumberFormat="1" applyFont="1" applyBorder="1" applyAlignment="1">
      <alignment/>
    </xf>
    <xf numFmtId="191" fontId="7" fillId="0" borderId="0" xfId="0" applyNumberFormat="1" applyFont="1" applyAlignment="1">
      <alignment/>
    </xf>
    <xf numFmtId="191" fontId="4" fillId="4" borderId="11" xfId="0" applyNumberFormat="1" applyFont="1" applyFill="1" applyBorder="1" applyAlignment="1">
      <alignment/>
    </xf>
    <xf numFmtId="37" fontId="7" fillId="0" borderId="13" xfId="0" applyFont="1" applyBorder="1" applyAlignment="1">
      <alignment/>
    </xf>
    <xf numFmtId="37" fontId="4" fillId="3" borderId="14" xfId="0" applyFont="1" applyFill="1" applyBorder="1" applyAlignment="1">
      <alignment horizontal="left"/>
    </xf>
    <xf numFmtId="37" fontId="4" fillId="3" borderId="16" xfId="0" applyFont="1" applyFill="1" applyBorder="1" applyAlignment="1">
      <alignment/>
    </xf>
    <xf numFmtId="37" fontId="7" fillId="3" borderId="16" xfId="0" applyFont="1" applyFill="1" applyBorder="1" applyAlignment="1">
      <alignment/>
    </xf>
    <xf numFmtId="37" fontId="7" fillId="3" borderId="15" xfId="0" applyFont="1" applyFill="1" applyBorder="1" applyAlignment="1">
      <alignment/>
    </xf>
    <xf numFmtId="37" fontId="7" fillId="0" borderId="13" xfId="0" applyFont="1" applyBorder="1" applyAlignment="1">
      <alignment horizontal="centerContinuous"/>
    </xf>
    <xf numFmtId="37" fontId="7" fillId="0" borderId="12" xfId="0" applyFont="1" applyBorder="1" applyAlignment="1">
      <alignment horizontal="centerContinuous"/>
    </xf>
    <xf numFmtId="37" fontId="7" fillId="4" borderId="2" xfId="0" applyFont="1" applyFill="1" applyBorder="1" applyAlignment="1">
      <alignment/>
    </xf>
    <xf numFmtId="39" fontId="7" fillId="4" borderId="1" xfId="0" applyNumberFormat="1" applyFont="1" applyFill="1" applyBorder="1" applyAlignment="1">
      <alignment/>
    </xf>
    <xf numFmtId="39" fontId="7" fillId="0" borderId="1" xfId="0" applyNumberFormat="1" applyFont="1" applyBorder="1" applyAlignment="1">
      <alignment/>
    </xf>
    <xf numFmtId="39" fontId="7" fillId="0" borderId="0" xfId="0" applyNumberFormat="1" applyFont="1" applyAlignment="1">
      <alignment/>
    </xf>
    <xf numFmtId="39" fontId="4" fillId="4" borderId="11" xfId="0" applyNumberFormat="1" applyFont="1" applyFill="1" applyBorder="1" applyAlignment="1">
      <alignment/>
    </xf>
    <xf numFmtId="39" fontId="7" fillId="0" borderId="1" xfId="0" applyNumberFormat="1" applyFont="1" applyBorder="1" applyAlignment="1">
      <alignment horizontal="right"/>
    </xf>
    <xf numFmtId="191" fontId="7" fillId="0" borderId="1" xfId="0" applyNumberFormat="1" applyFont="1" applyBorder="1" applyAlignment="1">
      <alignment horizontal="right"/>
    </xf>
    <xf numFmtId="39" fontId="7" fillId="4" borderId="1" xfId="0" applyNumberFormat="1" applyFont="1" applyFill="1" applyBorder="1" applyAlignment="1">
      <alignment horizontal="right"/>
    </xf>
    <xf numFmtId="191" fontId="7" fillId="4" borderId="1" xfId="0" applyNumberFormat="1" applyFont="1" applyFill="1" applyBorder="1" applyAlignment="1">
      <alignment horizontal="right"/>
    </xf>
    <xf numFmtId="0" fontId="7" fillId="3" borderId="2" xfId="0" applyNumberFormat="1" applyFont="1" applyFill="1" applyBorder="1" applyAlignment="1">
      <alignment/>
    </xf>
    <xf numFmtId="0" fontId="7" fillId="3" borderId="3" xfId="0" applyNumberFormat="1" applyFont="1" applyFill="1" applyBorder="1" applyAlignment="1">
      <alignment/>
    </xf>
    <xf numFmtId="37" fontId="7" fillId="3" borderId="6" xfId="0" applyFont="1" applyFill="1" applyBorder="1" applyAlignment="1">
      <alignment/>
    </xf>
    <xf numFmtId="37" fontId="4" fillId="0" borderId="5" xfId="0" applyFont="1" applyBorder="1" applyAlignment="1">
      <alignment horizontal="centerContinuous"/>
    </xf>
    <xf numFmtId="39" fontId="7" fillId="0" borderId="0" xfId="0" applyNumberFormat="1" applyFont="1" applyAlignment="1" applyProtection="1">
      <alignment/>
      <protection/>
    </xf>
    <xf numFmtId="37" fontId="4" fillId="3" borderId="14" xfId="0" applyFont="1" applyFill="1" applyBorder="1" applyAlignment="1">
      <alignment/>
    </xf>
    <xf numFmtId="37" fontId="4" fillId="3" borderId="16" xfId="0" applyFont="1" applyFill="1" applyBorder="1" applyAlignment="1">
      <alignment/>
    </xf>
    <xf numFmtId="37" fontId="7" fillId="3" borderId="16" xfId="0" applyFont="1" applyFill="1" applyBorder="1" applyAlignment="1">
      <alignment/>
    </xf>
    <xf numFmtId="37" fontId="7" fillId="3" borderId="15" xfId="0" applyFont="1" applyFill="1" applyBorder="1" applyAlignment="1">
      <alignment/>
    </xf>
    <xf numFmtId="37" fontId="4" fillId="0" borderId="15" xfId="0" applyFont="1" applyBorder="1" applyAlignment="1">
      <alignment horizontal="centerContinuous"/>
    </xf>
    <xf numFmtId="172" fontId="7" fillId="0" borderId="2" xfId="0" applyNumberFormat="1" applyFont="1" applyBorder="1" applyAlignment="1" applyProtection="1">
      <alignment horizontal="centerContinuous"/>
      <protection/>
    </xf>
    <xf numFmtId="37" fontId="4" fillId="3" borderId="15" xfId="0" applyFont="1" applyFill="1" applyBorder="1" applyAlignment="1">
      <alignment horizontal="centerContinuous"/>
    </xf>
    <xf numFmtId="37" fontId="4" fillId="4" borderId="17" xfId="0" applyFont="1" applyFill="1" applyBorder="1" applyAlignment="1">
      <alignment/>
    </xf>
    <xf numFmtId="37" fontId="4" fillId="0" borderId="11" xfId="0" applyFont="1" applyBorder="1" applyAlignment="1">
      <alignment horizontal="centerContinuous"/>
    </xf>
    <xf numFmtId="37" fontId="4" fillId="3" borderId="16" xfId="0" applyFont="1" applyFill="1" applyBorder="1" applyAlignment="1">
      <alignment horizontal="centerContinuous"/>
    </xf>
    <xf numFmtId="37" fontId="7" fillId="3" borderId="16" xfId="0" applyFont="1" applyFill="1" applyBorder="1" applyAlignment="1">
      <alignment horizontal="centerContinuous"/>
    </xf>
    <xf numFmtId="37" fontId="7" fillId="3" borderId="15" xfId="0" applyFont="1" applyFill="1" applyBorder="1" applyAlignment="1">
      <alignment horizontal="centerContinuous"/>
    </xf>
    <xf numFmtId="10" fontId="7" fillId="3" borderId="2" xfId="0" applyNumberFormat="1" applyFont="1" applyFill="1" applyBorder="1" applyAlignment="1" applyProtection="1">
      <alignment horizontal="centerContinuous" vertical="center"/>
      <protection/>
    </xf>
    <xf numFmtId="37" fontId="7" fillId="3" borderId="2" xfId="0" applyFont="1" applyFill="1" applyBorder="1" applyAlignment="1" applyProtection="1">
      <alignment horizontal="centerContinuous" vertical="center"/>
      <protection/>
    </xf>
    <xf numFmtId="37" fontId="7" fillId="3" borderId="3" xfId="0" applyFont="1" applyFill="1" applyBorder="1" applyAlignment="1" applyProtection="1">
      <alignment horizontal="centerContinuous" vertical="center"/>
      <protection/>
    </xf>
    <xf numFmtId="37" fontId="7" fillId="3" borderId="3" xfId="0" applyFont="1" applyFill="1" applyBorder="1" applyAlignment="1" applyProtection="1">
      <alignment horizontal="centerContinuous" vertical="center"/>
      <protection locked="0"/>
    </xf>
    <xf numFmtId="37" fontId="7" fillId="3" borderId="12" xfId="0" applyFont="1" applyFill="1" applyBorder="1" applyAlignment="1" applyProtection="1">
      <alignment/>
      <protection/>
    </xf>
    <xf numFmtId="37" fontId="4" fillId="3" borderId="16" xfId="0" applyFont="1" applyFill="1" applyBorder="1" applyAlignment="1" applyProtection="1">
      <alignment/>
      <protection/>
    </xf>
    <xf numFmtId="37" fontId="7" fillId="3" borderId="16" xfId="0" applyFont="1" applyFill="1" applyBorder="1" applyAlignment="1" applyProtection="1">
      <alignment/>
      <protection/>
    </xf>
    <xf numFmtId="37" fontId="4" fillId="3" borderId="16" xfId="0" applyFont="1" applyFill="1" applyBorder="1" applyAlignment="1">
      <alignment horizontal="left"/>
    </xf>
    <xf numFmtId="37" fontId="7" fillId="3" borderId="15" xfId="0" applyFont="1" applyFill="1" applyBorder="1" applyAlignment="1" applyProtection="1">
      <alignment/>
      <protection/>
    </xf>
    <xf numFmtId="37" fontId="7" fillId="5" borderId="19" xfId="0" applyFont="1" applyFill="1" applyBorder="1" applyAlignment="1" applyProtection="1">
      <alignment/>
      <protection/>
    </xf>
    <xf numFmtId="37" fontId="7" fillId="5" borderId="0" xfId="0" applyFont="1" applyFill="1" applyAlignment="1" applyProtection="1">
      <alignment/>
      <protection/>
    </xf>
    <xf numFmtId="37" fontId="7" fillId="5" borderId="6" xfId="0" applyFont="1" applyFill="1" applyBorder="1" applyAlignment="1" applyProtection="1">
      <alignment/>
      <protection/>
    </xf>
    <xf numFmtId="37" fontId="4" fillId="5" borderId="17" xfId="0" applyFont="1" applyFill="1" applyBorder="1" applyAlignment="1" applyProtection="1">
      <alignment horizontal="centerContinuous"/>
      <protection/>
    </xf>
    <xf numFmtId="37" fontId="7" fillId="5" borderId="2" xfId="0" applyFont="1" applyFill="1" applyBorder="1" applyAlignment="1" applyProtection="1">
      <alignment horizontal="centerContinuous"/>
      <protection/>
    </xf>
    <xf numFmtId="37" fontId="7" fillId="5" borderId="5" xfId="0" applyFont="1" applyFill="1" applyBorder="1" applyAlignment="1" applyProtection="1">
      <alignment horizontal="centerContinuous"/>
      <protection/>
    </xf>
    <xf numFmtId="37" fontId="4" fillId="4" borderId="20" xfId="0" applyFont="1" applyFill="1" applyBorder="1" applyAlignment="1" applyProtection="1">
      <alignment horizontal="centerContinuous"/>
      <protection/>
    </xf>
    <xf numFmtId="37" fontId="4" fillId="4" borderId="3" xfId="0" applyFont="1" applyFill="1" applyBorder="1" applyAlignment="1" applyProtection="1">
      <alignment horizontal="centerContinuous"/>
      <protection/>
    </xf>
    <xf numFmtId="37" fontId="4" fillId="4" borderId="10" xfId="0" applyFont="1" applyFill="1" applyBorder="1" applyAlignment="1" applyProtection="1">
      <alignment horizontal="centerContinuous"/>
      <protection/>
    </xf>
    <xf numFmtId="37" fontId="4" fillId="3" borderId="5" xfId="0" applyFont="1" applyFill="1" applyBorder="1" applyAlignment="1" applyProtection="1">
      <alignment/>
      <protection/>
    </xf>
    <xf numFmtId="37" fontId="4" fillId="3" borderId="1" xfId="0" applyFont="1" applyFill="1" applyBorder="1" applyAlignment="1" applyProtection="1">
      <alignment/>
      <protection/>
    </xf>
    <xf numFmtId="37" fontId="4" fillId="3" borderId="6" xfId="0" applyFont="1" applyFill="1" applyBorder="1" applyAlignment="1" applyProtection="1">
      <alignment horizontal="center"/>
      <protection/>
    </xf>
    <xf numFmtId="37" fontId="4" fillId="3" borderId="1" xfId="0" applyFont="1" applyFill="1" applyBorder="1" applyAlignment="1" applyProtection="1">
      <alignment horizontal="centerContinuous"/>
      <protection/>
    </xf>
    <xf numFmtId="37" fontId="4" fillId="0" borderId="9" xfId="0" applyFont="1" applyBorder="1" applyAlignment="1" applyProtection="1">
      <alignment horizontal="centerContinuous"/>
      <protection/>
    </xf>
    <xf numFmtId="0" fontId="7" fillId="3" borderId="16" xfId="0" applyNumberFormat="1" applyFont="1" applyFill="1" applyBorder="1" applyAlignment="1">
      <alignment horizontal="centerContinuous"/>
    </xf>
    <xf numFmtId="0" fontId="7" fillId="3" borderId="15" xfId="0" applyNumberFormat="1" applyFont="1" applyFill="1" applyBorder="1" applyAlignment="1">
      <alignment horizontal="centerContinuous"/>
    </xf>
    <xf numFmtId="37" fontId="7" fillId="0" borderId="15" xfId="0" applyFont="1" applyBorder="1" applyAlignment="1">
      <alignment/>
    </xf>
    <xf numFmtId="37" fontId="7" fillId="0" borderId="0" xfId="0" applyFont="1" applyBorder="1" applyAlignment="1">
      <alignment/>
    </xf>
    <xf numFmtId="37" fontId="4" fillId="3" borderId="14" xfId="0" applyFont="1" applyFill="1" applyBorder="1" applyAlignment="1">
      <alignment/>
    </xf>
    <xf numFmtId="37" fontId="4" fillId="4" borderId="17" xfId="0" applyFont="1" applyFill="1" applyBorder="1" applyAlignment="1">
      <alignment horizontal="center"/>
    </xf>
    <xf numFmtId="37" fontId="4" fillId="4" borderId="11" xfId="0" applyFont="1" applyFill="1" applyBorder="1" applyAlignment="1">
      <alignment/>
    </xf>
    <xf numFmtId="37" fontId="4" fillId="4" borderId="17" xfId="0" applyFont="1" applyFill="1" applyBorder="1" applyAlignment="1">
      <alignment/>
    </xf>
    <xf numFmtId="37" fontId="4" fillId="4" borderId="5" xfId="0" applyFont="1" applyFill="1" applyBorder="1" applyAlignment="1">
      <alignment/>
    </xf>
    <xf numFmtId="37" fontId="7" fillId="3" borderId="2" xfId="0" applyFont="1" applyFill="1" applyBorder="1" applyAlignment="1" quotePrefix="1">
      <alignment/>
    </xf>
    <xf numFmtId="37" fontId="7" fillId="3" borderId="2" xfId="0" applyFont="1" applyFill="1" applyBorder="1" applyAlignment="1" applyProtection="1">
      <alignment/>
      <protection/>
    </xf>
    <xf numFmtId="37" fontId="7" fillId="3" borderId="3" xfId="0" applyFont="1" applyFill="1" applyBorder="1" applyAlignment="1" applyProtection="1">
      <alignment/>
      <protection/>
    </xf>
    <xf numFmtId="37" fontId="7" fillId="3" borderId="3" xfId="0" applyFont="1" applyFill="1" applyBorder="1" applyAlignment="1" applyProtection="1">
      <alignment horizontal="center"/>
      <protection/>
    </xf>
    <xf numFmtId="37" fontId="4" fillId="3" borderId="14" xfId="0" applyFont="1" applyFill="1" applyBorder="1" applyAlignment="1" applyProtection="1">
      <alignment/>
      <protection/>
    </xf>
    <xf numFmtId="37" fontId="7" fillId="3" borderId="16" xfId="0" applyFont="1" applyFill="1" applyBorder="1" applyAlignment="1" applyProtection="1">
      <alignment horizontal="centerContinuous"/>
      <protection/>
    </xf>
    <xf numFmtId="37" fontId="7" fillId="3" borderId="15" xfId="0" applyFont="1" applyFill="1" applyBorder="1" applyAlignment="1" applyProtection="1">
      <alignment horizontal="centerContinuous"/>
      <protection/>
    </xf>
    <xf numFmtId="37" fontId="4" fillId="3" borderId="6" xfId="0" applyFont="1" applyFill="1" applyBorder="1" applyAlignment="1" applyProtection="1">
      <alignment/>
      <protection/>
    </xf>
    <xf numFmtId="37" fontId="4" fillId="3" borderId="37" xfId="0" applyFont="1" applyFill="1" applyBorder="1" applyAlignment="1" applyProtection="1">
      <alignment horizontal="center"/>
      <protection/>
    </xf>
    <xf numFmtId="37" fontId="4" fillId="3" borderId="3" xfId="0" applyFont="1" applyFill="1" applyBorder="1" applyAlignment="1" applyProtection="1">
      <alignment horizontal="centerContinuous"/>
      <protection/>
    </xf>
    <xf numFmtId="37" fontId="4" fillId="3" borderId="10" xfId="0" applyFont="1" applyFill="1" applyBorder="1" applyAlignment="1" applyProtection="1">
      <alignment horizontal="centerContinuous"/>
      <protection/>
    </xf>
    <xf numFmtId="37" fontId="7" fillId="0" borderId="6" xfId="0" applyFont="1" applyBorder="1" applyAlignment="1" applyProtection="1">
      <alignment/>
      <protection/>
    </xf>
    <xf numFmtId="37" fontId="4" fillId="0" borderId="37" xfId="0" applyFont="1" applyBorder="1" applyAlignment="1" applyProtection="1">
      <alignment horizontal="center"/>
      <protection/>
    </xf>
    <xf numFmtId="37" fontId="7" fillId="0" borderId="4" xfId="0" applyFont="1" applyBorder="1" applyAlignment="1" applyProtection="1">
      <alignment/>
      <protection/>
    </xf>
    <xf numFmtId="37" fontId="4" fillId="0" borderId="6" xfId="0" applyFont="1" applyBorder="1" applyAlignment="1" applyProtection="1">
      <alignment horizontal="center"/>
      <protection/>
    </xf>
    <xf numFmtId="37" fontId="4" fillId="0" borderId="38" xfId="0" applyFont="1" applyBorder="1" applyAlignment="1" applyProtection="1">
      <alignment horizontal="centerContinuous"/>
      <protection/>
    </xf>
    <xf numFmtId="37" fontId="4" fillId="0" borderId="9" xfId="0" applyFont="1" applyBorder="1" applyAlignment="1" applyProtection="1">
      <alignment horizontal="center"/>
      <protection/>
    </xf>
    <xf numFmtId="191" fontId="7" fillId="4" borderId="19" xfId="0" applyNumberFormat="1" applyFont="1" applyFill="1" applyBorder="1" applyAlignment="1">
      <alignment vertical="center"/>
    </xf>
    <xf numFmtId="197" fontId="7" fillId="4" borderId="37" xfId="0" applyNumberFormat="1" applyFont="1" applyFill="1" applyBorder="1" applyAlignment="1">
      <alignment vertical="center"/>
    </xf>
    <xf numFmtId="174" fontId="7" fillId="4" borderId="1" xfId="0" applyNumberFormat="1" applyFont="1" applyFill="1" applyBorder="1" applyAlignment="1">
      <alignment vertical="center"/>
    </xf>
    <xf numFmtId="191" fontId="7" fillId="0" borderId="19" xfId="0" applyNumberFormat="1" applyFont="1" applyBorder="1" applyAlignment="1">
      <alignment vertical="center"/>
    </xf>
    <xf numFmtId="197" fontId="7" fillId="0" borderId="37" xfId="0" applyNumberFormat="1" applyFont="1" applyBorder="1" applyAlignment="1">
      <alignment vertical="center"/>
    </xf>
    <xf numFmtId="174" fontId="7" fillId="0" borderId="1" xfId="0" applyNumberFormat="1" applyFont="1" applyBorder="1" applyAlignment="1">
      <alignment vertical="center"/>
    </xf>
    <xf numFmtId="197" fontId="7" fillId="0" borderId="0" xfId="0" applyNumberFormat="1" applyFont="1" applyAlignment="1">
      <alignment vertical="center"/>
    </xf>
    <xf numFmtId="174" fontId="7" fillId="0" borderId="0" xfId="0" applyNumberFormat="1" applyFont="1" applyAlignment="1">
      <alignment vertical="center"/>
    </xf>
    <xf numFmtId="191" fontId="4" fillId="4" borderId="14" xfId="0" applyNumberFormat="1" applyFont="1" applyFill="1" applyBorder="1" applyAlignment="1">
      <alignment vertical="center"/>
    </xf>
    <xf numFmtId="197" fontId="4" fillId="4" borderId="39" xfId="0" applyNumberFormat="1" applyFont="1" applyFill="1" applyBorder="1" applyAlignment="1">
      <alignment vertical="center"/>
    </xf>
    <xf numFmtId="174" fontId="4" fillId="4" borderId="11" xfId="0" applyNumberFormat="1" applyFont="1" applyFill="1" applyBorder="1" applyAlignment="1">
      <alignment vertical="center"/>
    </xf>
    <xf numFmtId="174" fontId="7" fillId="0" borderId="0" xfId="0" applyNumberFormat="1" applyFont="1" applyAlignment="1">
      <alignment/>
    </xf>
    <xf numFmtId="174" fontId="7" fillId="0" borderId="1" xfId="0" applyNumberFormat="1" applyFont="1" applyBorder="1" applyAlignment="1">
      <alignment/>
    </xf>
    <xf numFmtId="174" fontId="7" fillId="4" borderId="1" xfId="0" applyNumberFormat="1" applyFont="1" applyFill="1" applyBorder="1" applyAlignment="1">
      <alignment/>
    </xf>
    <xf numFmtId="0" fontId="4" fillId="3" borderId="16" xfId="0" applyNumberFormat="1" applyFont="1" applyFill="1" applyBorder="1" applyAlignment="1" applyProtection="1">
      <alignment horizontal="centerContinuous"/>
      <protection/>
    </xf>
    <xf numFmtId="0" fontId="7" fillId="3" borderId="15" xfId="0" applyNumberFormat="1" applyFont="1" applyFill="1" applyBorder="1" applyAlignment="1" applyProtection="1">
      <alignment horizontal="centerContinuous"/>
      <protection/>
    </xf>
    <xf numFmtId="37" fontId="4" fillId="5" borderId="40" xfId="0" applyFont="1" applyFill="1" applyBorder="1" applyAlignment="1" applyProtection="1">
      <alignment horizontal="centerContinuous"/>
      <protection/>
    </xf>
    <xf numFmtId="37" fontId="7" fillId="5" borderId="0" xfId="0" applyFont="1" applyFill="1" applyAlignment="1" applyProtection="1">
      <alignment horizontal="centerContinuous"/>
      <protection/>
    </xf>
    <xf numFmtId="37" fontId="7" fillId="5" borderId="6" xfId="0" applyFont="1" applyFill="1" applyBorder="1" applyAlignment="1" applyProtection="1">
      <alignment horizontal="centerContinuous"/>
      <protection/>
    </xf>
    <xf numFmtId="37" fontId="4" fillId="5" borderId="19" xfId="0" applyFont="1" applyFill="1" applyBorder="1" applyAlignment="1" applyProtection="1">
      <alignment horizontal="centerContinuous"/>
      <protection/>
    </xf>
    <xf numFmtId="37" fontId="4" fillId="4" borderId="14" xfId="0" applyFont="1" applyFill="1" applyBorder="1" applyAlignment="1" applyProtection="1">
      <alignment horizontal="centerContinuous"/>
      <protection/>
    </xf>
    <xf numFmtId="37" fontId="4" fillId="4" borderId="16" xfId="0" applyFont="1" applyFill="1" applyBorder="1" applyAlignment="1" applyProtection="1">
      <alignment horizontal="centerContinuous"/>
      <protection/>
    </xf>
    <xf numFmtId="37" fontId="4" fillId="4" borderId="15" xfId="0" applyFont="1" applyFill="1" applyBorder="1" applyAlignment="1" applyProtection="1">
      <alignment horizontal="centerContinuous"/>
      <protection/>
    </xf>
    <xf numFmtId="37" fontId="4" fillId="3" borderId="6" xfId="0" applyFont="1" applyFill="1" applyBorder="1" applyAlignment="1" applyProtection="1">
      <alignment horizontal="centerContinuous"/>
      <protection/>
    </xf>
    <xf numFmtId="10" fontId="7" fillId="3" borderId="2" xfId="0" applyNumberFormat="1" applyFont="1" applyFill="1" applyBorder="1" applyAlignment="1" applyProtection="1">
      <alignment horizontal="centerContinuous"/>
      <protection/>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6" xfId="0" applyFont="1" applyBorder="1" applyAlignment="1">
      <alignment horizontal="centerContinuous" vertical="center"/>
    </xf>
    <xf numFmtId="172" fontId="7" fillId="0" borderId="0" xfId="0" applyNumberFormat="1" applyFont="1" applyBorder="1" applyAlignment="1" applyProtection="1">
      <alignment/>
      <protection/>
    </xf>
    <xf numFmtId="37" fontId="4" fillId="3" borderId="14" xfId="0" applyFont="1" applyFill="1" applyBorder="1" applyAlignment="1">
      <alignment horizontal="centerContinuous"/>
    </xf>
    <xf numFmtId="37" fontId="4" fillId="4" borderId="19" xfId="0" applyFont="1" applyFill="1" applyBorder="1" applyAlignment="1">
      <alignment horizontal="centerContinuous"/>
    </xf>
    <xf numFmtId="37" fontId="7" fillId="4" borderId="0" xfId="0" applyFont="1" applyFill="1" applyAlignment="1">
      <alignment horizontal="centerContinuous"/>
    </xf>
    <xf numFmtId="37" fontId="4" fillId="4" borderId="1" xfId="0" applyFont="1" applyFill="1" applyBorder="1" applyAlignment="1">
      <alignment horizontal="centerContinuous"/>
    </xf>
    <xf numFmtId="172" fontId="10" fillId="0" borderId="0" xfId="0" applyNumberFormat="1" applyFont="1" applyAlignment="1" applyProtection="1">
      <alignment/>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alignment/>
    </xf>
    <xf numFmtId="37" fontId="4" fillId="0" borderId="3" xfId="0" applyFont="1" applyBorder="1" applyAlignment="1" quotePrefix="1">
      <alignment horizontal="centerContinuous" vertical="center"/>
    </xf>
    <xf numFmtId="37" fontId="7" fillId="0" borderId="3" xfId="0" applyFont="1" applyBorder="1" applyAlignment="1">
      <alignment horizontal="centerContinuous"/>
    </xf>
    <xf numFmtId="37" fontId="7" fillId="0" borderId="3" xfId="0" applyFont="1" applyBorder="1" applyAlignment="1">
      <alignment/>
    </xf>
    <xf numFmtId="37" fontId="4" fillId="4" borderId="1" xfId="0" applyFont="1" applyFill="1" applyBorder="1" applyAlignment="1">
      <alignment horizontal="center"/>
    </xf>
    <xf numFmtId="172" fontId="7" fillId="0" borderId="16" xfId="0" applyNumberFormat="1" applyFont="1" applyBorder="1" applyAlignment="1" applyProtection="1">
      <alignment vertical="center"/>
      <protection/>
    </xf>
    <xf numFmtId="37" fontId="7" fillId="0" borderId="16" xfId="0" applyFont="1" applyBorder="1" applyAlignment="1">
      <alignment vertical="center"/>
    </xf>
    <xf numFmtId="37" fontId="7" fillId="0" borderId="16" xfId="0" applyFont="1" applyBorder="1" applyAlignment="1">
      <alignment horizontal="right" vertical="center"/>
    </xf>
    <xf numFmtId="37" fontId="4" fillId="4" borderId="4" xfId="0" applyFont="1" applyFill="1" applyBorder="1" applyAlignment="1">
      <alignment horizontal="center"/>
    </xf>
    <xf numFmtId="37" fontId="4" fillId="4" borderId="6" xfId="0" applyFont="1" applyFill="1" applyBorder="1" applyAlignment="1">
      <alignment horizontal="centerContinuous"/>
    </xf>
    <xf numFmtId="37" fontId="4" fillId="4" borderId="0" xfId="0" applyFont="1" applyFill="1" applyAlignment="1">
      <alignment/>
    </xf>
    <xf numFmtId="37" fontId="4" fillId="3" borderId="11" xfId="0" applyFont="1" applyFill="1" applyBorder="1" applyAlignment="1">
      <alignment horizontal="centerContinuous"/>
    </xf>
    <xf numFmtId="37" fontId="7" fillId="0" borderId="16" xfId="0" applyFont="1" applyBorder="1" applyAlignment="1">
      <alignment horizontal="left" vertical="center"/>
    </xf>
    <xf numFmtId="37" fontId="7" fillId="0" borderId="16" xfId="0" applyFont="1" applyBorder="1" applyAlignment="1">
      <alignment horizontal="left"/>
    </xf>
    <xf numFmtId="37" fontId="4" fillId="3" borderId="16" xfId="0" applyFont="1" applyFill="1" applyBorder="1" applyAlignment="1" applyProtection="1" quotePrefix="1">
      <alignment horizontal="centerContinuous" vertical="center"/>
      <protection/>
    </xf>
    <xf numFmtId="37" fontId="7" fillId="4" borderId="15" xfId="0" applyFont="1" applyFill="1" applyBorder="1" applyAlignment="1">
      <alignment/>
    </xf>
    <xf numFmtId="37" fontId="4" fillId="4" borderId="16" xfId="0" applyFont="1" applyFill="1" applyBorder="1" applyAlignment="1">
      <alignment horizontal="centerContinuous"/>
    </xf>
    <xf numFmtId="37" fontId="4" fillId="0" borderId="4" xfId="0" applyFont="1" applyBorder="1" applyAlignment="1">
      <alignment horizontal="centerContinuous"/>
    </xf>
    <xf numFmtId="37" fontId="4" fillId="0" borderId="4" xfId="0" applyFont="1" applyBorder="1" applyAlignment="1">
      <alignment horizontal="center"/>
    </xf>
    <xf numFmtId="37" fontId="4" fillId="0" borderId="17" xfId="0" applyFont="1" applyBorder="1" applyAlignment="1">
      <alignment horizontal="centerContinuous"/>
    </xf>
    <xf numFmtId="37" fontId="4" fillId="0" borderId="6" xfId="0" applyFont="1" applyBorder="1" applyAlignment="1">
      <alignment horizontal="centerContinuous"/>
    </xf>
    <xf numFmtId="37" fontId="4" fillId="0" borderId="1" xfId="0" applyFont="1" applyBorder="1" applyAlignment="1">
      <alignment horizontal="centerContinuous"/>
    </xf>
    <xf numFmtId="37" fontId="4" fillId="0" borderId="1" xfId="0" applyFont="1" applyBorder="1" applyAlignment="1">
      <alignment horizontal="center"/>
    </xf>
    <xf numFmtId="37" fontId="4" fillId="0" borderId="19" xfId="0" applyFont="1" applyBorder="1" applyAlignment="1">
      <alignment horizontal="centerContinuous"/>
    </xf>
    <xf numFmtId="37" fontId="4" fillId="0" borderId="20" xfId="0" applyFont="1" applyBorder="1" applyAlignment="1">
      <alignment horizontal="centerContinuous"/>
    </xf>
    <xf numFmtId="37" fontId="7" fillId="0" borderId="0" xfId="0" applyFont="1" applyAlignment="1">
      <alignment wrapText="1"/>
    </xf>
    <xf numFmtId="37" fontId="14" fillId="0" borderId="0" xfId="0" applyFont="1" applyAlignment="1">
      <alignment/>
    </xf>
    <xf numFmtId="37" fontId="4" fillId="0" borderId="0" xfId="0" applyFont="1" applyAlignment="1">
      <alignment/>
    </xf>
    <xf numFmtId="172" fontId="7" fillId="0" borderId="0" xfId="0" applyNumberFormat="1" applyFont="1" applyAlignment="1">
      <alignment/>
    </xf>
    <xf numFmtId="37" fontId="7" fillId="0" borderId="41" xfId="0" applyFont="1" applyBorder="1" applyAlignment="1">
      <alignment/>
    </xf>
    <xf numFmtId="37" fontId="7" fillId="0" borderId="2" xfId="0" applyFont="1" applyBorder="1" applyAlignment="1">
      <alignment horizontal="centerContinuous" vertical="center"/>
    </xf>
    <xf numFmtId="37" fontId="7" fillId="0" borderId="2" xfId="0" applyFont="1" applyBorder="1" applyAlignment="1">
      <alignment vertical="center"/>
    </xf>
    <xf numFmtId="37" fontId="7" fillId="0" borderId="2" xfId="0" applyFont="1" applyBorder="1" applyAlignment="1">
      <alignment horizontal="right" vertical="center"/>
    </xf>
    <xf numFmtId="37" fontId="7" fillId="0" borderId="3" xfId="0" applyFont="1" applyBorder="1" applyAlignment="1" quotePrefix="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applyFont="1" applyBorder="1" applyAlignment="1" quotePrefix="1">
      <alignment horizontal="centerContinuous"/>
    </xf>
    <xf numFmtId="37" fontId="4" fillId="4" borderId="4" xfId="0" applyFont="1" applyFill="1" applyBorder="1" applyAlignment="1">
      <alignment/>
    </xf>
    <xf numFmtId="37" fontId="4" fillId="4" borderId="1" xfId="0" applyFont="1" applyFill="1" applyBorder="1" applyAlignment="1">
      <alignment/>
    </xf>
    <xf numFmtId="172" fontId="7" fillId="0" borderId="13" xfId="0" applyNumberFormat="1" applyFont="1" applyBorder="1" applyAlignment="1" applyProtection="1">
      <alignment vertical="center"/>
      <protection/>
    </xf>
    <xf numFmtId="37" fontId="4" fillId="0" borderId="13" xfId="0" applyFont="1" applyBorder="1" applyAlignment="1">
      <alignment horizontal="centerContinuous" vertical="center"/>
    </xf>
    <xf numFmtId="172" fontId="7" fillId="0" borderId="12" xfId="0" applyNumberFormat="1" applyFont="1" applyBorder="1" applyAlignment="1" applyProtection="1">
      <alignment vertical="center"/>
      <protection/>
    </xf>
    <xf numFmtId="37" fontId="4" fillId="0" borderId="12" xfId="0" applyFont="1" applyBorder="1" applyAlignment="1">
      <alignment horizontal="centerContinuous" vertical="center"/>
    </xf>
    <xf numFmtId="37" fontId="10" fillId="0" borderId="12" xfId="0" applyFont="1" applyBorder="1" applyAlignment="1" applyProtection="1">
      <alignment horizontal="centerContinuous"/>
      <protection locked="0"/>
    </xf>
    <xf numFmtId="37" fontId="15" fillId="0" borderId="12" xfId="0" applyFont="1" applyBorder="1" applyAlignment="1" applyProtection="1">
      <alignment horizontal="centerContinuous"/>
      <protection locked="0"/>
    </xf>
    <xf numFmtId="37" fontId="16" fillId="0" borderId="12" xfId="0" applyFont="1" applyBorder="1" applyAlignment="1">
      <alignment horizontal="centerContinuous"/>
    </xf>
    <xf numFmtId="37" fontId="7" fillId="0" borderId="12" xfId="0" applyFont="1" applyBorder="1" applyAlignment="1">
      <alignment/>
    </xf>
    <xf numFmtId="37" fontId="4" fillId="4" borderId="4" xfId="0" applyNumberFormat="1" applyFont="1" applyFill="1" applyBorder="1" applyAlignment="1" applyProtection="1">
      <alignment horizontal="centerContinuous"/>
      <protection/>
    </xf>
    <xf numFmtId="37" fontId="4" fillId="4" borderId="4" xfId="0" applyNumberFormat="1" applyFont="1" applyFill="1" applyBorder="1" applyAlignment="1" applyProtection="1">
      <alignment horizontal="center"/>
      <protection/>
    </xf>
    <xf numFmtId="37" fontId="4" fillId="4" borderId="6" xfId="0" applyNumberFormat="1" applyFont="1" applyFill="1" applyBorder="1" applyAlignment="1" applyProtection="1">
      <alignment horizontal="centerContinuous"/>
      <protection/>
    </xf>
    <xf numFmtId="37" fontId="4" fillId="4" borderId="1" xfId="0" applyNumberFormat="1" applyFont="1" applyFill="1" applyBorder="1" applyAlignment="1" applyProtection="1">
      <alignment horizontal="center"/>
      <protection/>
    </xf>
    <xf numFmtId="37" fontId="4" fillId="4" borderId="10" xfId="0" applyNumberFormat="1" applyFont="1" applyFill="1" applyBorder="1" applyAlignment="1" applyProtection="1">
      <alignment horizontal="centerContinuous"/>
      <protection/>
    </xf>
    <xf numFmtId="37" fontId="4" fillId="4" borderId="9" xfId="0" applyNumberFormat="1" applyFont="1" applyFill="1" applyBorder="1" applyAlignment="1" applyProtection="1">
      <alignment horizontal="centerContinuous"/>
      <protection/>
    </xf>
    <xf numFmtId="191" fontId="7" fillId="4" borderId="1" xfId="0" applyNumberFormat="1" applyFont="1" applyFill="1" applyBorder="1" applyAlignment="1" applyProtection="1">
      <alignment/>
      <protection/>
    </xf>
    <xf numFmtId="49" fontId="4" fillId="4" borderId="11" xfId="0" applyNumberFormat="1" applyFont="1" applyFill="1" applyBorder="1" applyAlignment="1">
      <alignment/>
    </xf>
    <xf numFmtId="37" fontId="7" fillId="0" borderId="2" xfId="0" applyFont="1" applyBorder="1" applyAlignment="1" quotePrefix="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37" fontId="4" fillId="4" borderId="0" xfId="0" applyFont="1" applyFill="1" applyBorder="1" applyAlignment="1">
      <alignment horizontal="centerContinuous"/>
    </xf>
    <xf numFmtId="37" fontId="4" fillId="4" borderId="0" xfId="0" applyFont="1" applyFill="1" applyAlignment="1">
      <alignment horizontal="centerContinuous"/>
    </xf>
    <xf numFmtId="49" fontId="8" fillId="0" borderId="0" xfId="0" applyNumberFormat="1" applyFont="1" applyAlignment="1">
      <alignment horizontal="left"/>
    </xf>
    <xf numFmtId="37" fontId="16" fillId="0" borderId="3" xfId="0" applyFont="1" applyBorder="1" applyAlignment="1">
      <alignment horizontal="centerContinuous" vertical="center"/>
    </xf>
    <xf numFmtId="37" fontId="4" fillId="4" borderId="1" xfId="0" applyNumberFormat="1" applyFont="1" applyFill="1" applyBorder="1" applyAlignment="1" applyProtection="1">
      <alignment horizontal="centerContinuous"/>
      <protection/>
    </xf>
    <xf numFmtId="37" fontId="4" fillId="4" borderId="1" xfId="0" applyNumberFormat="1" applyFont="1" applyFill="1" applyBorder="1" applyAlignment="1" applyProtection="1">
      <alignment/>
      <protection/>
    </xf>
    <xf numFmtId="37" fontId="4" fillId="4" borderId="1" xfId="0" applyFont="1" applyFill="1" applyBorder="1" applyAlignment="1">
      <alignment/>
    </xf>
    <xf numFmtId="49" fontId="4" fillId="0" borderId="9" xfId="0" applyNumberFormat="1" applyFont="1" applyBorder="1" applyAlignment="1">
      <alignment/>
    </xf>
    <xf numFmtId="49" fontId="7" fillId="4" borderId="1" xfId="0" applyNumberFormat="1" applyFont="1" applyFill="1" applyBorder="1" applyAlignment="1">
      <alignment/>
    </xf>
    <xf numFmtId="196" fontId="7" fillId="4" borderId="1" xfId="0" applyNumberFormat="1" applyFont="1" applyFill="1" applyBorder="1" applyAlignment="1">
      <alignment/>
    </xf>
    <xf numFmtId="49" fontId="7" fillId="0" borderId="1" xfId="0" applyNumberFormat="1" applyFont="1" applyBorder="1" applyAlignment="1">
      <alignment/>
    </xf>
    <xf numFmtId="196" fontId="7" fillId="0" borderId="1" xfId="0" applyNumberFormat="1" applyFont="1" applyBorder="1" applyAlignment="1">
      <alignment/>
    </xf>
    <xf numFmtId="49" fontId="4" fillId="0" borderId="1" xfId="0" applyNumberFormat="1" applyFont="1" applyBorder="1" applyAlignment="1" quotePrefix="1">
      <alignment horizontal="right" vertical="top"/>
    </xf>
    <xf numFmtId="195" fontId="7" fillId="0" borderId="0" xfId="0" applyNumberFormat="1" applyFont="1" applyAlignment="1">
      <alignment/>
    </xf>
    <xf numFmtId="196" fontId="7" fillId="0" borderId="0" xfId="0" applyNumberFormat="1" applyFont="1" applyAlignment="1">
      <alignment/>
    </xf>
    <xf numFmtId="196" fontId="4" fillId="4" borderId="11" xfId="0" applyNumberFormat="1" applyFont="1" applyFill="1" applyBorder="1" applyAlignment="1" applyProtection="1">
      <alignment/>
      <protection/>
    </xf>
    <xf numFmtId="191" fontId="7" fillId="0" borderId="0" xfId="0" applyNumberFormat="1" applyFont="1" applyAlignment="1" applyProtection="1">
      <alignment/>
      <protection/>
    </xf>
    <xf numFmtId="49" fontId="4" fillId="0" borderId="4" xfId="0" applyNumberFormat="1" applyFont="1" applyBorder="1" applyAlignment="1" quotePrefix="1">
      <alignment horizontal="left"/>
    </xf>
    <xf numFmtId="49" fontId="7" fillId="0" borderId="9" xfId="0" applyNumberFormat="1" applyFont="1" applyBorder="1" applyAlignment="1" quotePrefix="1">
      <alignment horizontal="left"/>
    </xf>
    <xf numFmtId="49" fontId="4" fillId="0" borderId="1" xfId="0" applyNumberFormat="1" applyFont="1" applyBorder="1" applyAlignment="1" quotePrefix="1">
      <alignment horizontal="left"/>
    </xf>
    <xf numFmtId="49" fontId="7" fillId="0" borderId="1" xfId="0" applyNumberFormat="1" applyFont="1" applyBorder="1" applyAlignment="1" quotePrefix="1">
      <alignment horizontal="left"/>
    </xf>
    <xf numFmtId="49" fontId="7" fillId="4" borderId="1" xfId="0" applyNumberFormat="1" applyFont="1" applyFill="1" applyBorder="1" applyAlignment="1" quotePrefix="1">
      <alignment horizontal="left"/>
    </xf>
    <xf numFmtId="191" fontId="4" fillId="0" borderId="1" xfId="0" applyNumberFormat="1" applyFont="1" applyBorder="1" applyAlignment="1">
      <alignment/>
    </xf>
    <xf numFmtId="49" fontId="4" fillId="0" borderId="1" xfId="0" applyNumberFormat="1" applyFont="1" applyBorder="1" applyAlignment="1">
      <alignment/>
    </xf>
    <xf numFmtId="37" fontId="4" fillId="0" borderId="26" xfId="0" applyFont="1" applyBorder="1" applyAlignment="1">
      <alignment horizontal="center" vertical="center"/>
    </xf>
    <xf numFmtId="171" fontId="7" fillId="0" borderId="0" xfId="16" applyFont="1" applyAlignment="1">
      <alignment horizontal="left"/>
    </xf>
    <xf numFmtId="37" fontId="7" fillId="0" borderId="12" xfId="0" applyFont="1" applyBorder="1" applyAlignment="1">
      <alignment vertical="center"/>
    </xf>
    <xf numFmtId="37" fontId="4" fillId="3" borderId="13" xfId="0" applyFont="1" applyFill="1" applyBorder="1" applyAlignment="1">
      <alignment horizontal="centerContinuous" vertical="center"/>
    </xf>
    <xf numFmtId="37" fontId="7" fillId="3" borderId="13" xfId="0" applyFont="1" applyFill="1" applyBorder="1" applyAlignment="1">
      <alignment horizontal="centerContinuous" vertical="center"/>
    </xf>
    <xf numFmtId="37" fontId="4" fillId="3" borderId="12" xfId="0" applyFont="1" applyFill="1" applyBorder="1" applyAlignment="1" applyProtection="1">
      <alignment horizontal="centerContinuous" vertical="top"/>
      <protection/>
    </xf>
    <xf numFmtId="37" fontId="7" fillId="3" borderId="12" xfId="0" applyFont="1" applyFill="1" applyBorder="1" applyAlignment="1" applyProtection="1" quotePrefix="1">
      <alignment horizontal="centerContinuous" vertical="center"/>
      <protection/>
    </xf>
    <xf numFmtId="37" fontId="7" fillId="3" borderId="12" xfId="0" applyFont="1" applyFill="1" applyBorder="1" applyAlignment="1">
      <alignment horizontal="centerContinuous" vertical="center"/>
    </xf>
    <xf numFmtId="37" fontId="7" fillId="0" borderId="12" xfId="0" applyFont="1" applyBorder="1" applyAlignment="1">
      <alignment horizontal="centerContinuous" vertical="center"/>
    </xf>
    <xf numFmtId="37" fontId="4" fillId="1" borderId="17" xfId="0" applyFont="1" applyFill="1" applyBorder="1" applyAlignment="1">
      <alignment horizontal="centerContinuous"/>
    </xf>
    <xf numFmtId="37" fontId="4" fillId="1" borderId="5" xfId="0" applyFont="1" applyFill="1" applyBorder="1" applyAlignment="1">
      <alignment horizontal="centerContinuous"/>
    </xf>
    <xf numFmtId="37" fontId="4" fillId="1" borderId="17" xfId="0" applyFont="1" applyFill="1" applyBorder="1" applyAlignment="1">
      <alignment/>
    </xf>
    <xf numFmtId="37" fontId="4" fillId="1" borderId="5" xfId="0" applyFont="1" applyFill="1" applyBorder="1" applyAlignment="1">
      <alignment/>
    </xf>
    <xf numFmtId="37" fontId="4" fillId="1" borderId="7" xfId="0" applyFont="1" applyFill="1" applyBorder="1" applyAlignment="1">
      <alignment/>
    </xf>
    <xf numFmtId="37" fontId="4" fillId="1" borderId="19" xfId="0" applyFont="1" applyFill="1" applyBorder="1" applyAlignment="1">
      <alignment horizontal="centerContinuous"/>
    </xf>
    <xf numFmtId="37" fontId="4" fillId="1" borderId="6" xfId="0" applyFont="1" applyFill="1" applyBorder="1" applyAlignment="1">
      <alignment horizontal="centerContinuous"/>
    </xf>
    <xf numFmtId="37" fontId="4" fillId="1" borderId="26" xfId="0" applyFont="1" applyFill="1" applyBorder="1" applyAlignment="1">
      <alignment horizontal="centerContinuous"/>
    </xf>
    <xf numFmtId="37" fontId="4" fillId="1" borderId="20" xfId="0" applyFont="1" applyFill="1" applyBorder="1" applyAlignment="1">
      <alignment horizontal="centerContinuous"/>
    </xf>
    <xf numFmtId="37" fontId="4" fillId="1" borderId="10" xfId="0" applyFont="1" applyFill="1" applyBorder="1" applyAlignment="1">
      <alignment horizontal="centerContinuous"/>
    </xf>
    <xf numFmtId="37" fontId="4" fillId="1" borderId="8" xfId="0" applyFont="1" applyFill="1" applyBorder="1" applyAlignment="1">
      <alignment horizontal="centerContinuous"/>
    </xf>
    <xf numFmtId="49" fontId="4" fillId="7" borderId="11" xfId="0" applyNumberFormat="1" applyFont="1" applyFill="1" applyBorder="1" applyAlignment="1">
      <alignment horizontal="center"/>
    </xf>
    <xf numFmtId="49" fontId="4" fillId="7" borderId="9" xfId="0" applyNumberFormat="1" applyFont="1" applyFill="1" applyBorder="1" applyAlignment="1">
      <alignment horizontal="center"/>
    </xf>
    <xf numFmtId="37" fontId="7" fillId="0" borderId="0" xfId="0" applyFont="1" applyAlignment="1">
      <alignment horizontal="center"/>
    </xf>
    <xf numFmtId="196" fontId="4" fillId="4" borderId="25" xfId="0" applyNumberFormat="1" applyFont="1" applyFill="1" applyBorder="1" applyAlignment="1">
      <alignment/>
    </xf>
    <xf numFmtId="49" fontId="7" fillId="0" borderId="1" xfId="16" applyNumberFormat="1" applyFont="1" applyBorder="1" applyAlignment="1">
      <alignment vertical="center"/>
    </xf>
    <xf numFmtId="49" fontId="7" fillId="4" borderId="1" xfId="16" applyNumberFormat="1" applyFont="1" applyFill="1" applyBorder="1" applyAlignment="1">
      <alignment vertical="center"/>
    </xf>
    <xf numFmtId="37" fontId="4" fillId="3" borderId="16" xfId="0" applyFont="1" applyFill="1" applyBorder="1" applyAlignment="1">
      <alignment horizontal="centerContinuous" vertical="center"/>
    </xf>
    <xf numFmtId="37" fontId="7" fillId="3" borderId="16" xfId="0" applyFont="1" applyFill="1" applyBorder="1" applyAlignment="1" quotePrefix="1">
      <alignment horizontal="right"/>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applyFont="1" applyFill="1" applyBorder="1" applyAlignment="1" quotePrefix="1">
      <alignment horizontal="right"/>
    </xf>
    <xf numFmtId="37" fontId="4" fillId="0" borderId="42" xfId="0" applyFont="1" applyBorder="1" applyAlignment="1">
      <alignment horizontal="center"/>
    </xf>
    <xf numFmtId="37" fontId="7" fillId="0" borderId="7" xfId="0" applyFont="1" applyBorder="1" applyAlignment="1">
      <alignment/>
    </xf>
    <xf numFmtId="37" fontId="4" fillId="0" borderId="26" xfId="0" applyFont="1" applyBorder="1" applyAlignment="1">
      <alignment horizontal="center"/>
    </xf>
    <xf numFmtId="37" fontId="4" fillId="9" borderId="26" xfId="0" applyFont="1" applyFill="1" applyBorder="1" applyAlignment="1">
      <alignment horizontal="center"/>
    </xf>
    <xf numFmtId="37" fontId="4" fillId="9" borderId="8" xfId="0" applyFont="1" applyFill="1" applyBorder="1" applyAlignment="1">
      <alignment horizontal="center"/>
    </xf>
    <xf numFmtId="174" fontId="7" fillId="0" borderId="1" xfId="20" applyNumberFormat="1" applyFont="1" applyBorder="1" applyAlignment="1" quotePrefix="1">
      <alignment horizontal="right"/>
    </xf>
    <xf numFmtId="174" fontId="4" fillId="4" borderId="25" xfId="20" applyNumberFormat="1" applyFont="1" applyFill="1" applyBorder="1" applyAlignment="1">
      <alignment/>
    </xf>
    <xf numFmtId="49" fontId="7" fillId="0" borderId="0" xfId="0" applyNumberFormat="1" applyFont="1" applyBorder="1" applyAlignment="1">
      <alignment horizontal="left"/>
    </xf>
    <xf numFmtId="37" fontId="7" fillId="0" borderId="0" xfId="0" applyFont="1" applyBorder="1" applyAlignment="1">
      <alignment/>
    </xf>
    <xf numFmtId="37" fontId="7" fillId="3" borderId="16" xfId="0" applyFont="1" applyFill="1" applyBorder="1" applyAlignment="1">
      <alignment horizontal="right"/>
    </xf>
    <xf numFmtId="37" fontId="7" fillId="3" borderId="0" xfId="0" applyFont="1" applyFill="1" applyBorder="1" applyAlignment="1">
      <alignment horizontal="right"/>
    </xf>
    <xf numFmtId="37" fontId="4" fillId="3" borderId="42" xfId="0" applyFont="1" applyFill="1" applyBorder="1" applyAlignment="1">
      <alignment horizontal="centerContinuous" vertical="center"/>
    </xf>
    <xf numFmtId="37" fontId="4" fillId="4" borderId="28" xfId="20" applyNumberFormat="1" applyFont="1" applyFill="1" applyBorder="1" applyAlignment="1">
      <alignment horizontal="centerContinuous" vertical="center"/>
    </xf>
    <xf numFmtId="37" fontId="7" fillId="4" borderId="29" xfId="20" applyNumberFormat="1" applyFont="1" applyFill="1" applyBorder="1" applyAlignment="1">
      <alignment horizontal="centerContinuous"/>
    </xf>
    <xf numFmtId="37" fontId="7" fillId="4" borderId="32" xfId="20" applyNumberFormat="1" applyFont="1" applyFill="1" applyBorder="1" applyAlignment="1">
      <alignment horizontal="centerContinuous"/>
    </xf>
    <xf numFmtId="37" fontId="4" fillId="0" borderId="42" xfId="0" applyFont="1" applyBorder="1" applyAlignment="1">
      <alignment horizontal="center" vertical="center"/>
    </xf>
    <xf numFmtId="37" fontId="4" fillId="0" borderId="8" xfId="0" applyFont="1" applyBorder="1" applyAlignment="1">
      <alignment horizontal="center"/>
    </xf>
    <xf numFmtId="37" fontId="7" fillId="0" borderId="0" xfId="0" applyFont="1" applyBorder="1" applyAlignment="1">
      <alignment horizontal="left"/>
    </xf>
    <xf numFmtId="172" fontId="7" fillId="0" borderId="16" xfId="0" applyNumberFormat="1" applyFont="1" applyBorder="1" applyAlignment="1" applyProtection="1">
      <alignment/>
      <protection/>
    </xf>
    <xf numFmtId="37" fontId="7" fillId="0" borderId="16" xfId="0" applyFont="1" applyBorder="1" applyAlignment="1">
      <alignment horizontal="centerContinuous" vertical="center"/>
    </xf>
    <xf numFmtId="172" fontId="7" fillId="0" borderId="0" xfId="0" applyNumberFormat="1" applyFont="1" applyAlignment="1" applyProtection="1">
      <alignment horizontal="centerContinuous"/>
      <protection/>
    </xf>
    <xf numFmtId="37" fontId="4" fillId="5" borderId="17" xfId="0" applyFont="1" applyFill="1" applyBorder="1" applyAlignment="1">
      <alignment horizontal="centerContinuous" vertical="center"/>
    </xf>
    <xf numFmtId="37" fontId="4" fillId="5" borderId="2" xfId="0" applyFont="1" applyFill="1" applyBorder="1" applyAlignment="1">
      <alignment horizontal="centerContinuous" vertical="center"/>
    </xf>
    <xf numFmtId="37" fontId="7" fillId="5" borderId="2" xfId="0" applyFont="1" applyFill="1" applyBorder="1" applyAlignment="1">
      <alignment horizontal="centerContinuous"/>
    </xf>
    <xf numFmtId="37" fontId="7" fillId="5" borderId="5" xfId="0" applyFont="1" applyFill="1" applyBorder="1" applyAlignment="1">
      <alignment horizontal="centerContinuous"/>
    </xf>
    <xf numFmtId="37" fontId="4" fillId="5" borderId="19" xfId="0" applyFont="1" applyFill="1" applyBorder="1" applyAlignment="1">
      <alignment horizontal="centerContinuous" vertical="center"/>
    </xf>
    <xf numFmtId="37" fontId="4" fillId="5" borderId="0" xfId="0" applyFont="1" applyFill="1" applyBorder="1" applyAlignment="1">
      <alignment horizontal="centerContinuous" vertical="center"/>
    </xf>
    <xf numFmtId="37" fontId="7" fillId="5" borderId="0" xfId="0" applyFont="1" applyFill="1" applyAlignment="1">
      <alignment horizontal="centerContinuous"/>
    </xf>
    <xf numFmtId="37" fontId="7" fillId="5" borderId="6" xfId="0" applyFont="1" applyFill="1" applyBorder="1" applyAlignment="1">
      <alignment horizontal="centerContinuous"/>
    </xf>
    <xf numFmtId="37" fontId="4" fillId="5" borderId="0" xfId="0" applyFont="1" applyFill="1" applyBorder="1" applyAlignment="1">
      <alignment horizontal="centerContinuous"/>
    </xf>
    <xf numFmtId="37" fontId="4" fillId="0" borderId="14" xfId="0" applyFont="1" applyBorder="1" applyAlignment="1">
      <alignment horizontal="centerContinuous" vertical="center"/>
    </xf>
    <xf numFmtId="37" fontId="4" fillId="0" borderId="6" xfId="0" applyFont="1" applyBorder="1" applyAlignment="1">
      <alignment horizontal="center"/>
    </xf>
    <xf numFmtId="37" fontId="10" fillId="0" borderId="16" xfId="0" applyFont="1" applyBorder="1" applyAlignment="1" applyProtection="1">
      <alignment horizontal="centerContinuous" vertical="center"/>
      <protection locked="0"/>
    </xf>
    <xf numFmtId="171" fontId="7" fillId="0" borderId="0" xfId="16" applyFont="1" applyAlignment="1">
      <alignment/>
    </xf>
    <xf numFmtId="37" fontId="7" fillId="0" borderId="0" xfId="0" applyFont="1" applyAlignment="1" quotePrefix="1">
      <alignment/>
    </xf>
    <xf numFmtId="37" fontId="4" fillId="0" borderId="29" xfId="0" applyFont="1" applyBorder="1" applyAlignment="1">
      <alignment horizontal="centerContinuous" vertical="center"/>
    </xf>
    <xf numFmtId="37" fontId="7" fillId="0" borderId="29" xfId="0" applyFont="1" applyBorder="1" applyAlignment="1">
      <alignment horizontal="centerContinuous" vertical="center"/>
    </xf>
    <xf numFmtId="37" fontId="10" fillId="0" borderId="16" xfId="0" applyFont="1" applyBorder="1" applyAlignment="1" applyProtection="1">
      <alignment vertical="center"/>
      <protection locked="0"/>
    </xf>
    <xf numFmtId="37" fontId="7" fillId="5" borderId="3" xfId="0" applyFont="1" applyFill="1" applyBorder="1" applyAlignment="1">
      <alignment horizontal="centerContinuous"/>
    </xf>
    <xf numFmtId="37" fontId="4" fillId="0" borderId="1" xfId="0" applyFont="1" applyBorder="1" applyAlignment="1">
      <alignment/>
    </xf>
    <xf numFmtId="37" fontId="7" fillId="5" borderId="10" xfId="0" applyFont="1" applyFill="1" applyBorder="1" applyAlignment="1">
      <alignment horizontal="centerContinuous"/>
    </xf>
    <xf numFmtId="37" fontId="7" fillId="0" borderId="10" xfId="0" applyFont="1" applyBorder="1" applyAlignment="1">
      <alignment horizontal="centerContinuous"/>
    </xf>
    <xf numFmtId="49" fontId="12" fillId="0" borderId="10" xfId="0" applyNumberFormat="1" applyFont="1" applyBorder="1" applyAlignment="1">
      <alignment horizontal="center"/>
    </xf>
    <xf numFmtId="0" fontId="8" fillId="0" borderId="0" xfId="16" applyNumberFormat="1" applyFont="1" applyAlignment="1">
      <alignment/>
    </xf>
    <xf numFmtId="49" fontId="12" fillId="0" borderId="8" xfId="0" applyNumberFormat="1" applyFont="1" applyBorder="1" applyAlignment="1">
      <alignment horizontal="center" vertical="top"/>
    </xf>
    <xf numFmtId="49" fontId="8" fillId="0" borderId="0" xfId="0" applyNumberFormat="1" applyFont="1" applyBorder="1" applyAlignment="1">
      <alignment horizontal="left"/>
    </xf>
    <xf numFmtId="37" fontId="4" fillId="10" borderId="25" xfId="0" applyFont="1" applyFill="1" applyBorder="1" applyAlignment="1">
      <alignment/>
    </xf>
    <xf numFmtId="37" fontId="4" fillId="3" borderId="5" xfId="0" applyFont="1" applyFill="1" applyBorder="1" applyAlignment="1">
      <alignment vertical="center"/>
    </xf>
    <xf numFmtId="37" fontId="4" fillId="0" borderId="10" xfId="0" applyFont="1" applyBorder="1" applyAlignment="1">
      <alignment horizontal="right" vertical="center"/>
    </xf>
    <xf numFmtId="10" fontId="7" fillId="0" borderId="0" xfId="20" applyNumberFormat="1" applyFont="1" applyAlignment="1">
      <alignment/>
    </xf>
    <xf numFmtId="37" fontId="9" fillId="3" borderId="0" xfId="0" applyFont="1" applyFill="1" applyAlignment="1">
      <alignment horizontal="centerContinuous"/>
    </xf>
    <xf numFmtId="37" fontId="9" fillId="0" borderId="0" xfId="0" applyFont="1" applyAlignment="1">
      <alignment horizontal="centerContinuous"/>
    </xf>
    <xf numFmtId="37" fontId="8" fillId="0" borderId="0" xfId="0" applyFont="1" applyBorder="1" applyAlignment="1">
      <alignment/>
    </xf>
    <xf numFmtId="37" fontId="4" fillId="0" borderId="43" xfId="0" applyFont="1" applyBorder="1" applyAlignment="1">
      <alignment horizontal="centerContinuous"/>
    </xf>
    <xf numFmtId="37" fontId="7" fillId="1" borderId="29" xfId="0" applyFont="1" applyFill="1" applyBorder="1" applyAlignment="1">
      <alignment horizontal="centerContinuous"/>
    </xf>
    <xf numFmtId="37" fontId="7" fillId="1" borderId="32" xfId="0" applyFont="1" applyFill="1" applyBorder="1" applyAlignment="1">
      <alignment horizontal="centerContinuous"/>
    </xf>
    <xf numFmtId="37" fontId="4" fillId="1" borderId="25" xfId="0" applyFont="1" applyFill="1" applyBorder="1" applyAlignment="1">
      <alignment horizontal="centerContinuous" vertical="center"/>
    </xf>
    <xf numFmtId="49" fontId="4" fillId="0" borderId="25" xfId="0" applyNumberFormat="1" applyFont="1" applyBorder="1" applyAlignment="1">
      <alignment horizontal="center" vertical="center"/>
    </xf>
    <xf numFmtId="37" fontId="18" fillId="11" borderId="0" xfId="0" applyFont="1" applyFill="1" applyAlignment="1">
      <alignment/>
    </xf>
    <xf numFmtId="37" fontId="18" fillId="0" borderId="0" xfId="0" applyFont="1" applyAlignment="1">
      <alignment/>
    </xf>
    <xf numFmtId="37" fontId="5" fillId="11" borderId="0" xfId="0" applyFont="1" applyFill="1" applyAlignment="1">
      <alignment horizontal="center"/>
    </xf>
    <xf numFmtId="37" fontId="18" fillId="11" borderId="0" xfId="0" applyFont="1" applyFill="1" applyAlignment="1">
      <alignment/>
    </xf>
    <xf numFmtId="37" fontId="18" fillId="11" borderId="0" xfId="0" applyFont="1" applyFill="1" applyAlignment="1">
      <alignment wrapText="1"/>
    </xf>
    <xf numFmtId="37" fontId="4" fillId="3" borderId="13" xfId="0" applyFont="1" applyFill="1" applyBorder="1" applyAlignment="1">
      <alignment horizontal="center" vertical="center"/>
    </xf>
    <xf numFmtId="37" fontId="4" fillId="3" borderId="12" xfId="0" applyFont="1" applyFill="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2" xfId="0" applyNumberFormat="1" applyFont="1" applyBorder="1" applyAlignment="1">
      <alignment horizontal="center" vertical="center"/>
    </xf>
    <xf numFmtId="37" fontId="4" fillId="0" borderId="20" xfId="0" applyFont="1" applyBorder="1" applyAlignment="1">
      <alignment horizontal="center"/>
    </xf>
    <xf numFmtId="37" fontId="4" fillId="0" borderId="10" xfId="0" applyFont="1" applyBorder="1" applyAlignment="1">
      <alignment horizontal="center"/>
    </xf>
    <xf numFmtId="49" fontId="18" fillId="0" borderId="19" xfId="0" applyNumberFormat="1" applyFont="1" applyBorder="1" applyAlignment="1">
      <alignment horizontal="right" textRotation="180"/>
    </xf>
    <xf numFmtId="37" fontId="17" fillId="0" borderId="19" xfId="0" applyFont="1" applyBorder="1" applyAlignment="1">
      <alignment horizontal="right" textRotation="180"/>
    </xf>
    <xf numFmtId="49" fontId="18" fillId="0" borderId="18" xfId="0" applyNumberFormat="1" applyFont="1" applyBorder="1" applyAlignment="1">
      <alignment horizontal="right" vertical="top" textRotation="180"/>
    </xf>
    <xf numFmtId="37" fontId="18" fillId="0" borderId="18" xfId="0" applyFont="1" applyBorder="1" applyAlignment="1">
      <alignment horizontal="right" vertical="top" textRotation="180"/>
    </xf>
    <xf numFmtId="49" fontId="18" fillId="0" borderId="18" xfId="0" applyNumberFormat="1" applyFont="1" applyBorder="1" applyAlignment="1">
      <alignment horizontal="right" vertical="center" textRotation="180"/>
    </xf>
    <xf numFmtId="37" fontId="18" fillId="0" borderId="18" xfId="0" applyFont="1"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6"/>
  <sheetViews>
    <sheetView showGridLines="0" showRowColHeaders="0" showZeros="0" tabSelected="1" workbookViewId="0" topLeftCell="A1">
      <selection activeCell="B3" sqref="B3"/>
    </sheetView>
  </sheetViews>
  <sheetFormatPr defaultColWidth="9.33203125" defaultRowHeight="12"/>
  <cols>
    <col min="1" max="1" width="9.33203125" style="547" customWidth="1"/>
    <col min="2" max="2" width="112.16015625" style="547" customWidth="1"/>
    <col min="3" max="3" width="60.83203125" style="547" customWidth="1"/>
    <col min="4" max="16384" width="9.33203125" style="547" customWidth="1"/>
  </cols>
  <sheetData>
    <row r="1" spans="1:3" ht="0.75" customHeight="1">
      <c r="A1" s="546"/>
      <c r="B1" s="546"/>
      <c r="C1" s="546"/>
    </row>
    <row r="2" spans="1:3" ht="14.25">
      <c r="A2" s="546"/>
      <c r="B2" s="546"/>
      <c r="C2" s="546"/>
    </row>
    <row r="3" spans="1:3" ht="15">
      <c r="A3" s="546"/>
      <c r="B3" s="548" t="s">
        <v>603</v>
      </c>
      <c r="C3" s="546"/>
    </row>
    <row r="4" spans="1:3" ht="14.25">
      <c r="A4" s="546"/>
      <c r="B4" s="546"/>
      <c r="C4" s="546"/>
    </row>
    <row r="5" spans="1:3" ht="14.25">
      <c r="A5" s="546"/>
      <c r="B5" s="549" t="s">
        <v>598</v>
      </c>
      <c r="C5" s="549"/>
    </row>
    <row r="6" spans="1:3" ht="14.25">
      <c r="A6" s="546"/>
      <c r="B6" s="546"/>
      <c r="C6" s="546"/>
    </row>
    <row r="7" spans="1:3" ht="14.25">
      <c r="A7" s="546"/>
      <c r="B7" s="550" t="s">
        <v>599</v>
      </c>
      <c r="C7" s="546"/>
    </row>
    <row r="8" spans="1:3" ht="14.25">
      <c r="A8" s="546"/>
      <c r="B8" s="550"/>
      <c r="C8" s="546"/>
    </row>
    <row r="9" spans="1:3" ht="14.25">
      <c r="A9" s="546"/>
      <c r="B9" s="546"/>
      <c r="C9" s="546"/>
    </row>
    <row r="10" spans="1:3" ht="14.25">
      <c r="A10" s="546"/>
      <c r="B10" s="550" t="s">
        <v>600</v>
      </c>
      <c r="C10" s="546"/>
    </row>
    <row r="11" spans="1:3" ht="14.25">
      <c r="A11" s="546"/>
      <c r="B11" s="550"/>
      <c r="C11" s="546"/>
    </row>
    <row r="12" spans="1:3" ht="14.25">
      <c r="A12" s="546"/>
      <c r="B12" s="550"/>
      <c r="C12" s="546"/>
    </row>
    <row r="13" spans="1:3" ht="14.25">
      <c r="A13" s="546"/>
      <c r="B13" s="546"/>
      <c r="C13" s="546"/>
    </row>
    <row r="14" spans="1:3" ht="14.25">
      <c r="A14" s="546"/>
      <c r="B14" s="550" t="s">
        <v>601</v>
      </c>
      <c r="C14" s="546"/>
    </row>
    <row r="15" spans="1:3" ht="14.25">
      <c r="A15" s="546"/>
      <c r="B15" s="550"/>
      <c r="C15" s="546"/>
    </row>
    <row r="16" spans="1:3" ht="14.25">
      <c r="A16" s="546"/>
      <c r="B16" s="546"/>
      <c r="C16" s="546"/>
    </row>
    <row r="17" spans="1:3" ht="14.25">
      <c r="A17" s="546"/>
      <c r="B17" s="550" t="s">
        <v>602</v>
      </c>
      <c r="C17" s="546"/>
    </row>
    <row r="18" spans="1:3" ht="14.25">
      <c r="A18" s="546"/>
      <c r="B18" s="550"/>
      <c r="C18" s="546"/>
    </row>
    <row r="19" spans="1:3" ht="14.25">
      <c r="A19" s="546"/>
      <c r="B19" s="550"/>
      <c r="C19" s="546"/>
    </row>
    <row r="20" spans="1:3" ht="14.25">
      <c r="A20" s="546"/>
      <c r="B20" s="550"/>
      <c r="C20" s="546"/>
    </row>
    <row r="21" spans="1:3" ht="14.25">
      <c r="A21" s="546"/>
      <c r="B21" s="549"/>
      <c r="C21" s="546"/>
    </row>
    <row r="22" spans="1:3" ht="14.25">
      <c r="A22" s="546"/>
      <c r="B22" s="549"/>
      <c r="C22" s="546"/>
    </row>
    <row r="23" spans="1:3" ht="14.25">
      <c r="A23" s="546"/>
      <c r="B23" s="546"/>
      <c r="C23" s="546"/>
    </row>
    <row r="24" spans="1:3" ht="14.25">
      <c r="A24" s="546"/>
      <c r="B24" s="546"/>
      <c r="C24" s="546"/>
    </row>
    <row r="25" spans="1:3" ht="14.25">
      <c r="A25" s="546"/>
      <c r="B25" s="546"/>
      <c r="C25" s="546"/>
    </row>
    <row r="26" spans="1:3" ht="99.75" customHeight="1">
      <c r="A26" s="546"/>
      <c r="B26" s="546"/>
      <c r="C26" s="546"/>
    </row>
  </sheetData>
  <mergeCells count="4">
    <mergeCell ref="B7:B8"/>
    <mergeCell ref="B10:B12"/>
    <mergeCell ref="B14:B15"/>
    <mergeCell ref="B17:B2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N52"/>
  <sheetViews>
    <sheetView showGridLines="0" showZeros="0" workbookViewId="0" topLeftCell="A1">
      <selection activeCell="A1" sqref="A1"/>
    </sheetView>
  </sheetViews>
  <sheetFormatPr defaultColWidth="14.83203125" defaultRowHeight="12"/>
  <cols>
    <col min="1" max="1" width="48.83203125" style="1" customWidth="1"/>
    <col min="2" max="2" width="22.83203125" style="1" customWidth="1"/>
    <col min="3" max="3" width="7.83203125" style="1" customWidth="1"/>
    <col min="4" max="4" width="15.83203125" style="1" customWidth="1"/>
    <col min="5" max="5" width="7.83203125" style="1" customWidth="1"/>
    <col min="6" max="6" width="15.83203125" style="1" customWidth="1"/>
    <col min="7" max="7" width="7.83203125" style="1" customWidth="1"/>
    <col min="8" max="8" width="12.83203125" style="1" customWidth="1"/>
    <col min="9" max="9" width="7.83203125" style="1" customWidth="1"/>
    <col min="10" max="10" width="15.83203125" style="1" customWidth="1"/>
    <col min="11" max="11" width="8.83203125" style="1" customWidth="1"/>
    <col min="12" max="12" width="5.83203125" style="1" customWidth="1"/>
    <col min="13" max="13" width="45.66015625" style="1" bestFit="1" customWidth="1"/>
    <col min="14" max="16384" width="14.83203125" style="1" customWidth="1"/>
  </cols>
  <sheetData>
    <row r="2" spans="1:11" ht="12">
      <c r="A2" s="54"/>
      <c r="B2" s="54"/>
      <c r="C2" s="55" t="str">
        <f>OPYEAR</f>
        <v>OPERATING FUND 2003/2004 ACTUAL</v>
      </c>
      <c r="D2" s="55"/>
      <c r="E2" s="55"/>
      <c r="F2" s="56"/>
      <c r="G2" s="56"/>
      <c r="H2" s="56"/>
      <c r="I2" s="56"/>
      <c r="J2" s="57"/>
      <c r="K2" s="169" t="s">
        <v>269</v>
      </c>
    </row>
    <row r="3" spans="10:11" ht="10.5" customHeight="1">
      <c r="J3" s="116"/>
      <c r="K3" s="116"/>
    </row>
    <row r="4" spans="2:11" ht="15.75">
      <c r="B4" s="539" t="s">
        <v>270</v>
      </c>
      <c r="C4" s="116"/>
      <c r="D4" s="116"/>
      <c r="E4" s="116"/>
      <c r="F4" s="116"/>
      <c r="G4" s="116"/>
      <c r="H4" s="116"/>
      <c r="I4" s="116"/>
      <c r="J4" s="116"/>
      <c r="K4" s="116"/>
    </row>
    <row r="5" spans="2:11" ht="15.75">
      <c r="B5" s="539" t="s">
        <v>271</v>
      </c>
      <c r="C5" s="116"/>
      <c r="D5" s="116"/>
      <c r="E5" s="116"/>
      <c r="F5" s="116"/>
      <c r="G5" s="116"/>
      <c r="H5" s="116"/>
      <c r="I5" s="116"/>
      <c r="J5" s="116"/>
      <c r="K5" s="116"/>
    </row>
    <row r="6" ht="10.5" customHeight="1"/>
    <row r="7" spans="2:9" ht="12">
      <c r="B7" s="170" t="s">
        <v>272</v>
      </c>
      <c r="C7" s="56"/>
      <c r="D7" s="56"/>
      <c r="E7" s="56"/>
      <c r="F7" s="56"/>
      <c r="G7" s="56"/>
      <c r="H7" s="56"/>
      <c r="I7" s="171"/>
    </row>
    <row r="8" spans="1:11" ht="12">
      <c r="A8" s="6"/>
      <c r="B8" s="209" t="s">
        <v>105</v>
      </c>
      <c r="C8" s="210"/>
      <c r="D8" s="211" t="s">
        <v>106</v>
      </c>
      <c r="E8" s="210"/>
      <c r="F8" s="211" t="s">
        <v>107</v>
      </c>
      <c r="G8" s="210"/>
      <c r="H8" s="212"/>
      <c r="I8" s="66"/>
      <c r="J8" s="213"/>
      <c r="K8" s="66"/>
    </row>
    <row r="9" spans="1:11" ht="12">
      <c r="A9" s="6"/>
      <c r="B9" s="108" t="s">
        <v>120</v>
      </c>
      <c r="C9" s="70"/>
      <c r="D9" s="71" t="s">
        <v>141</v>
      </c>
      <c r="E9" s="70"/>
      <c r="F9" s="71" t="s">
        <v>142</v>
      </c>
      <c r="G9" s="70"/>
      <c r="H9" s="71" t="s">
        <v>143</v>
      </c>
      <c r="I9" s="214"/>
      <c r="J9" s="71" t="s">
        <v>144</v>
      </c>
      <c r="K9" s="214"/>
    </row>
    <row r="10" spans="1:11" ht="12">
      <c r="A10" s="179" t="s">
        <v>259</v>
      </c>
      <c r="B10" s="180" t="s">
        <v>176</v>
      </c>
      <c r="C10" s="180" t="s">
        <v>177</v>
      </c>
      <c r="D10" s="180" t="s">
        <v>176</v>
      </c>
      <c r="E10" s="180" t="s">
        <v>177</v>
      </c>
      <c r="F10" s="180" t="s">
        <v>176</v>
      </c>
      <c r="G10" s="180" t="s">
        <v>177</v>
      </c>
      <c r="H10" s="180" t="s">
        <v>176</v>
      </c>
      <c r="I10" s="73" t="s">
        <v>177</v>
      </c>
      <c r="J10" s="180" t="s">
        <v>176</v>
      </c>
      <c r="K10" s="73" t="s">
        <v>177</v>
      </c>
    </row>
    <row r="11" ht="4.5" customHeight="1"/>
    <row r="12" spans="1:14" ht="12">
      <c r="A12" s="182" t="s">
        <v>262</v>
      </c>
      <c r="B12" s="183"/>
      <c r="C12" s="184"/>
      <c r="D12" s="183"/>
      <c r="E12" s="184"/>
      <c r="F12" s="183"/>
      <c r="G12" s="184"/>
      <c r="H12" s="183"/>
      <c r="I12" s="184"/>
      <c r="J12" s="183"/>
      <c r="K12" s="184"/>
      <c r="M12" s="1" t="s">
        <v>262</v>
      </c>
      <c r="N12" s="215">
        <f>K21</f>
        <v>0.7557506673961523</v>
      </c>
    </row>
    <row r="13" spans="1:14" ht="12">
      <c r="A13" s="185" t="s">
        <v>405</v>
      </c>
      <c r="B13" s="186"/>
      <c r="C13" s="187"/>
      <c r="D13" s="186"/>
      <c r="E13" s="187"/>
      <c r="F13" s="186"/>
      <c r="G13" s="187"/>
      <c r="H13" s="186"/>
      <c r="I13" s="187"/>
      <c r="J13" s="186">
        <f>SUM(F13,D13,B13,'- 12 -'!J13,'- 12 -'!H13,'- 12 -'!F13,'- 12 -'!D13,'- 12 -'!B13)</f>
        <v>2877273</v>
      </c>
      <c r="K13" s="187">
        <f aca="true" t="shared" si="0" ref="K13:K20">J13/$J$52</f>
        <v>0.002045280191519052</v>
      </c>
      <c r="M13" s="1" t="s">
        <v>288</v>
      </c>
      <c r="N13" s="215">
        <f>K22</f>
        <v>0.06010138110047</v>
      </c>
    </row>
    <row r="14" spans="1:14" ht="12">
      <c r="A14" s="185" t="s">
        <v>449</v>
      </c>
      <c r="B14" s="186">
        <v>1772414</v>
      </c>
      <c r="C14" s="187">
        <f>B14/$J$52</f>
        <v>0.0012599024303119825</v>
      </c>
      <c r="D14" s="186">
        <v>1537827</v>
      </c>
      <c r="E14" s="187">
        <f>D14/$J$52</f>
        <v>0.001093148651894752</v>
      </c>
      <c r="F14" s="186">
        <v>3059013</v>
      </c>
      <c r="G14" s="187">
        <f>F14/$J$52</f>
        <v>0.0021744682185177665</v>
      </c>
      <c r="H14" s="186"/>
      <c r="I14" s="187"/>
      <c r="J14" s="186">
        <f>SUM(F14,D14,B14,'- 12 -'!J14,'- 12 -'!H14,'- 12 -'!F14,'- 12 -'!D14,'- 12 -'!B14)</f>
        <v>83510094.95</v>
      </c>
      <c r="K14" s="187">
        <f t="shared" si="0"/>
        <v>0.05936229999485979</v>
      </c>
      <c r="M14" s="1" t="s">
        <v>247</v>
      </c>
      <c r="N14" s="215">
        <f>K39</f>
        <v>0.09747876340279518</v>
      </c>
    </row>
    <row r="15" spans="1:14" ht="12">
      <c r="A15" s="185" t="s">
        <v>406</v>
      </c>
      <c r="B15" s="186">
        <v>36265332.45</v>
      </c>
      <c r="C15" s="187">
        <f>B15/$J$52</f>
        <v>0.025778842014239904</v>
      </c>
      <c r="D15" s="186"/>
      <c r="E15" s="187">
        <f>D15/$J$52</f>
        <v>0</v>
      </c>
      <c r="F15" s="186"/>
      <c r="G15" s="187">
        <f>F15/$J$52</f>
        <v>0</v>
      </c>
      <c r="H15" s="186"/>
      <c r="I15" s="187"/>
      <c r="J15" s="186">
        <f>SUM(F15,D15,B15,'- 12 -'!J15,'- 12 -'!H15,'- 12 -'!F15,'- 12 -'!D15,'- 12 -'!B15)</f>
        <v>697739498.1</v>
      </c>
      <c r="K15" s="187">
        <f t="shared" si="0"/>
        <v>0.49598101198752265</v>
      </c>
      <c r="M15" s="1" t="s">
        <v>289</v>
      </c>
      <c r="N15" s="215">
        <f>K46</f>
        <v>0.06910564794719234</v>
      </c>
    </row>
    <row r="16" spans="1:14" ht="12">
      <c r="A16" s="185" t="s">
        <v>407</v>
      </c>
      <c r="B16" s="186">
        <v>7209372</v>
      </c>
      <c r="C16" s="187">
        <f>B16/$J$52</f>
        <v>0.005124708619895328</v>
      </c>
      <c r="D16" s="186">
        <v>162241</v>
      </c>
      <c r="E16" s="187">
        <f>D16/$J$52</f>
        <v>0.00011532736155110846</v>
      </c>
      <c r="F16" s="186"/>
      <c r="G16" s="187">
        <f>F16/$J$52</f>
        <v>0</v>
      </c>
      <c r="H16" s="186"/>
      <c r="I16" s="187"/>
      <c r="J16" s="186">
        <f>SUM(F16,D16,B16,'- 12 -'!J16,'- 12 -'!H16,'- 12 -'!F16,'- 12 -'!D16,'- 12 -'!B16)</f>
        <v>107332145</v>
      </c>
      <c r="K16" s="187">
        <f t="shared" si="0"/>
        <v>0.07629596151694701</v>
      </c>
      <c r="M16" s="1" t="s">
        <v>158</v>
      </c>
      <c r="N16" s="215">
        <f>K48</f>
        <v>0.0015562057901802899</v>
      </c>
    </row>
    <row r="17" spans="1:14" ht="12">
      <c r="A17" s="185" t="s">
        <v>408</v>
      </c>
      <c r="B17" s="186">
        <v>4904447</v>
      </c>
      <c r="C17" s="187">
        <f>B17/$J$52</f>
        <v>0.003486276171727549</v>
      </c>
      <c r="D17" s="186">
        <v>23488502</v>
      </c>
      <c r="E17" s="187">
        <f>D17/$J$52</f>
        <v>0.016696562289729072</v>
      </c>
      <c r="F17" s="186">
        <v>67522561</v>
      </c>
      <c r="G17" s="187">
        <f>F17/$J$52</f>
        <v>0.04799772440569138</v>
      </c>
      <c r="H17" s="186"/>
      <c r="I17" s="187"/>
      <c r="J17" s="186">
        <f>SUM(F17,D17,B17,'- 12 -'!J17,'- 12 -'!H17,'- 12 -'!F17,'- 12 -'!D17,'- 12 -'!B17)</f>
        <v>103858840</v>
      </c>
      <c r="K17" s="187">
        <f t="shared" si="0"/>
        <v>0.07382699805202585</v>
      </c>
      <c r="M17" s="1" t="s">
        <v>188</v>
      </c>
      <c r="N17" s="215">
        <f>K50-N16</f>
        <v>0.016007334363209953</v>
      </c>
    </row>
    <row r="18" spans="1:14" ht="12">
      <c r="A18" s="188" t="s">
        <v>409</v>
      </c>
      <c r="B18" s="189">
        <v>2805162</v>
      </c>
      <c r="C18" s="190">
        <f>B18/$J$52</f>
        <v>0.0019940208220081885</v>
      </c>
      <c r="D18" s="189">
        <v>802698</v>
      </c>
      <c r="E18" s="190">
        <f>D18/$J$52</f>
        <v>0.000570589693495181</v>
      </c>
      <c r="F18" s="189">
        <v>923367</v>
      </c>
      <c r="G18" s="190">
        <f>F18/$J$52</f>
        <v>0.0006563660224811384</v>
      </c>
      <c r="H18" s="189"/>
      <c r="I18" s="190"/>
      <c r="J18" s="189">
        <f>SUM(F18,D18,B18,'- 12 -'!J18,'- 12 -'!H18,'- 12 -'!F18,'- 12 -'!D18,'- 12 -'!B18)</f>
        <v>43406564</v>
      </c>
      <c r="K18" s="190">
        <f t="shared" si="0"/>
        <v>0.03085511368963042</v>
      </c>
      <c r="N18" s="215"/>
    </row>
    <row r="19" spans="1:14" ht="12">
      <c r="A19" s="188" t="s">
        <v>410</v>
      </c>
      <c r="B19" s="191"/>
      <c r="C19" s="190"/>
      <c r="D19" s="191"/>
      <c r="E19" s="190"/>
      <c r="F19" s="191"/>
      <c r="G19" s="190"/>
      <c r="H19" s="191"/>
      <c r="I19" s="190"/>
      <c r="J19" s="191">
        <f>SUM(F19,D19,B19,'- 12 -'!J19,'- 12 -'!H19,'- 12 -'!F19,'- 12 -'!D19,'- 12 -'!B19)</f>
        <v>16209983</v>
      </c>
      <c r="K19" s="190">
        <f t="shared" si="0"/>
        <v>0.011522701229518567</v>
      </c>
      <c r="N19" s="215">
        <f>SUM(N12:N17)</f>
        <v>1</v>
      </c>
    </row>
    <row r="20" spans="1:14" ht="12">
      <c r="A20" s="192" t="s">
        <v>411</v>
      </c>
      <c r="B20" s="193">
        <v>262108</v>
      </c>
      <c r="C20" s="194">
        <f>B20/'- 13 -'!$J$52</f>
        <v>0.00018631680081753648</v>
      </c>
      <c r="D20" s="193">
        <v>0</v>
      </c>
      <c r="E20" s="194">
        <f>D20/'- 13 -'!$J$52</f>
        <v>0</v>
      </c>
      <c r="F20" s="193">
        <v>39051</v>
      </c>
      <c r="G20" s="194">
        <f>F20/'- 13 -'!$J$52</f>
        <v>2.775900540512162E-05</v>
      </c>
      <c r="H20" s="193"/>
      <c r="I20" s="194"/>
      <c r="J20" s="193">
        <f>SUM(F20,D20,B20,'- 12 -'!J20,'- 12 -'!H20,'- 12 -'!F20,'- 12 -'!D20,'- 12 -'!B20)</f>
        <v>8245600</v>
      </c>
      <c r="K20" s="194">
        <f t="shared" si="0"/>
        <v>0.0058613007341289805</v>
      </c>
      <c r="N20" s="215"/>
    </row>
    <row r="21" spans="1:14" ht="12">
      <c r="A21" s="195" t="s">
        <v>412</v>
      </c>
      <c r="B21" s="195">
        <f>SUM(B13:B20)</f>
        <v>53218835.45</v>
      </c>
      <c r="C21" s="196">
        <f>B21/$J$52</f>
        <v>0.03783006685900049</v>
      </c>
      <c r="D21" s="195">
        <f>SUM(D13:D20)</f>
        <v>25991268</v>
      </c>
      <c r="E21" s="196">
        <f>D21/$J$52</f>
        <v>0.018475627996670112</v>
      </c>
      <c r="F21" s="195">
        <f>SUM(F13:F20)</f>
        <v>71543992</v>
      </c>
      <c r="G21" s="196">
        <f>F21/$J$52</f>
        <v>0.05085631765209541</v>
      </c>
      <c r="H21" s="195"/>
      <c r="I21" s="196"/>
      <c r="J21" s="195">
        <f>SUM(F21,D21,B21,'- 12 -'!J21,'- 12 -'!H21,'- 12 -'!F21,'- 12 -'!D21,'- 12 -'!B21)</f>
        <v>1063179998.05</v>
      </c>
      <c r="K21" s="196">
        <f>J21/$J$52</f>
        <v>0.7557506673961523</v>
      </c>
      <c r="N21" s="215"/>
    </row>
    <row r="22" spans="1:11" ht="12">
      <c r="A22" s="534" t="s">
        <v>274</v>
      </c>
      <c r="B22" s="195">
        <v>4028917.33</v>
      </c>
      <c r="C22" s="196">
        <f>B22/$J$52</f>
        <v>0.002863914827795912</v>
      </c>
      <c r="D22" s="195">
        <v>3379158</v>
      </c>
      <c r="E22" s="196">
        <f>D22/$J$52</f>
        <v>0.0024020400293657002</v>
      </c>
      <c r="F22" s="195">
        <v>10388484.5</v>
      </c>
      <c r="G22" s="196">
        <f>F22/$J$52</f>
        <v>0.007384548344127479</v>
      </c>
      <c r="H22" s="195"/>
      <c r="I22" s="196"/>
      <c r="J22" s="195">
        <f>SUM(F22,D22,B22,'- 12 -'!J22,'- 12 -'!H22,'- 12 -'!F22,'- 12 -'!D22,'- 12 -'!B22)</f>
        <v>84549824.43</v>
      </c>
      <c r="K22" s="196">
        <f>J22/$J$52</f>
        <v>0.06010138110047</v>
      </c>
    </row>
    <row r="23" spans="1:14" ht="12">
      <c r="A23" s="182" t="s">
        <v>247</v>
      </c>
      <c r="B23" s="186"/>
      <c r="C23" s="187"/>
      <c r="D23" s="186"/>
      <c r="E23" s="187"/>
      <c r="F23" s="186"/>
      <c r="G23" s="187"/>
      <c r="H23" s="186"/>
      <c r="I23" s="187"/>
      <c r="J23" s="186"/>
      <c r="K23" s="187"/>
      <c r="M23" s="1" t="s">
        <v>137</v>
      </c>
      <c r="N23" s="215">
        <f>'- 12 -'!C51</f>
        <v>0.5820058141048378</v>
      </c>
    </row>
    <row r="24" spans="1:14" ht="12">
      <c r="A24" s="188" t="s">
        <v>413</v>
      </c>
      <c r="B24" s="189">
        <v>1369554</v>
      </c>
      <c r="C24" s="190">
        <f aca="true" t="shared" si="1" ref="C24:C38">B24/$J$52</f>
        <v>0.0009735335046120697</v>
      </c>
      <c r="D24" s="189">
        <v>165778</v>
      </c>
      <c r="E24" s="190">
        <f aca="true" t="shared" si="2" ref="E24:E38">D24/$J$52</f>
        <v>0.0001178416019577028</v>
      </c>
      <c r="F24" s="189">
        <v>3198580</v>
      </c>
      <c r="G24" s="190">
        <f aca="true" t="shared" si="3" ref="G24:G38">F24/$J$52</f>
        <v>0.0022736779982257538</v>
      </c>
      <c r="H24" s="189"/>
      <c r="I24" s="190"/>
      <c r="J24" s="189">
        <f>SUM(F24,D24,B24,'- 12 -'!J24,'- 12 -'!H24,'- 12 -'!F24,'- 12 -'!D24,'- 12 -'!B24)</f>
        <v>18252915</v>
      </c>
      <c r="K24" s="190">
        <f aca="true" t="shared" si="4" ref="K24:K38">J24/$J$52</f>
        <v>0.012974898623446916</v>
      </c>
      <c r="M24" s="1" t="s">
        <v>138</v>
      </c>
      <c r="N24" s="215">
        <f>'- 12 -'!E51</f>
        <v>0.1434875942669167</v>
      </c>
    </row>
    <row r="25" spans="1:14" ht="12">
      <c r="A25" s="188" t="s">
        <v>414</v>
      </c>
      <c r="B25" s="189">
        <v>122180</v>
      </c>
      <c r="C25" s="190">
        <f t="shared" si="1"/>
        <v>8.685040793827967E-05</v>
      </c>
      <c r="D25" s="189">
        <v>237192</v>
      </c>
      <c r="E25" s="190">
        <f t="shared" si="2"/>
        <v>0.00016860551612126725</v>
      </c>
      <c r="F25" s="189">
        <v>554185</v>
      </c>
      <c r="G25" s="190">
        <f t="shared" si="3"/>
        <v>0.0003939367598893069</v>
      </c>
      <c r="H25" s="189"/>
      <c r="I25" s="190"/>
      <c r="J25" s="189">
        <f>SUM(F25,D25,B25,'- 12 -'!J25,'- 12 -'!H25,'- 12 -'!F25,'- 12 -'!D25,'- 12 -'!B25)</f>
        <v>5928229.029999999</v>
      </c>
      <c r="K25" s="190">
        <f t="shared" si="4"/>
        <v>0.004214021195015976</v>
      </c>
      <c r="M25" s="1" t="s">
        <v>341</v>
      </c>
      <c r="N25" s="215">
        <f>'- 12 -'!G51</f>
        <v>0.004789143395063986</v>
      </c>
    </row>
    <row r="26" spans="1:14" ht="12">
      <c r="A26" s="188" t="s">
        <v>415</v>
      </c>
      <c r="B26" s="189"/>
      <c r="C26" s="190">
        <f t="shared" si="1"/>
        <v>0</v>
      </c>
      <c r="D26" s="189"/>
      <c r="E26" s="190">
        <f t="shared" si="2"/>
        <v>0</v>
      </c>
      <c r="F26" s="189">
        <v>38587102</v>
      </c>
      <c r="G26" s="190">
        <f t="shared" si="3"/>
        <v>0.027429248239122666</v>
      </c>
      <c r="H26" s="189"/>
      <c r="I26" s="190"/>
      <c r="J26" s="189">
        <f>SUM(F26,D26,B26,'- 12 -'!J26,'- 12 -'!H26,'- 12 -'!F26,'- 12 -'!D26,'- 12 -'!B26)</f>
        <v>38626775</v>
      </c>
      <c r="K26" s="190">
        <f t="shared" si="4"/>
        <v>0.027457449386889366</v>
      </c>
      <c r="L26" s="562" t="s">
        <v>344</v>
      </c>
      <c r="M26" s="1" t="s">
        <v>140</v>
      </c>
      <c r="N26" s="215">
        <f>'- 12 -'!I51</f>
        <v>0.007179133765565026</v>
      </c>
    </row>
    <row r="27" spans="1:14" ht="12.75" customHeight="1">
      <c r="A27" s="188" t="s">
        <v>440</v>
      </c>
      <c r="B27" s="189">
        <v>736271</v>
      </c>
      <c r="C27" s="190">
        <f t="shared" si="1"/>
        <v>0.0005233707374621469</v>
      </c>
      <c r="D27" s="189">
        <v>802735</v>
      </c>
      <c r="E27" s="190">
        <f t="shared" si="2"/>
        <v>0.0005706159945681366</v>
      </c>
      <c r="F27" s="189">
        <v>500288.54</v>
      </c>
      <c r="G27" s="190">
        <f t="shared" si="3"/>
        <v>0.0003556250105241966</v>
      </c>
      <c r="H27" s="189"/>
      <c r="I27" s="190"/>
      <c r="J27" s="189">
        <f>SUM(F27,D27,B27,'- 12 -'!J27,'- 12 -'!H27,'- 12 -'!F27,'- 12 -'!D27,'- 12 -'!B27)</f>
        <v>6994821.46</v>
      </c>
      <c r="K27" s="190">
        <f t="shared" si="4"/>
        <v>0.004972197554889778</v>
      </c>
      <c r="L27" s="563"/>
      <c r="M27" s="1" t="s">
        <v>296</v>
      </c>
      <c r="N27" s="215">
        <f>'- 12 -'!K51</f>
        <v>0.03437418202490222</v>
      </c>
    </row>
    <row r="28" spans="1:14" ht="12.75" customHeight="1">
      <c r="A28" s="188" t="s">
        <v>416</v>
      </c>
      <c r="B28" s="189"/>
      <c r="C28" s="190">
        <f t="shared" si="1"/>
        <v>0</v>
      </c>
      <c r="D28" s="189">
        <v>11076891</v>
      </c>
      <c r="E28" s="190">
        <f t="shared" si="2"/>
        <v>0.007873895089522496</v>
      </c>
      <c r="F28" s="189"/>
      <c r="G28" s="190">
        <f t="shared" si="3"/>
        <v>0</v>
      </c>
      <c r="H28" s="189"/>
      <c r="I28" s="190"/>
      <c r="J28" s="189">
        <f>SUM(F28,D28,B28,'- 12 -'!J28,'- 12 -'!H28,'- 12 -'!F28,'- 12 -'!D28,'- 12 -'!B28)</f>
        <v>11076891</v>
      </c>
      <c r="K28" s="190">
        <f t="shared" si="4"/>
        <v>0.007873895089522496</v>
      </c>
      <c r="L28" s="563"/>
      <c r="M28" s="1" t="s">
        <v>291</v>
      </c>
      <c r="N28" s="215">
        <f>C52</f>
        <v>0.05125562891540043</v>
      </c>
    </row>
    <row r="29" spans="1:14" ht="12.75" customHeight="1">
      <c r="A29" s="188" t="s">
        <v>417</v>
      </c>
      <c r="B29" s="189"/>
      <c r="C29" s="190">
        <f t="shared" si="1"/>
        <v>0</v>
      </c>
      <c r="D29" s="189"/>
      <c r="E29" s="190">
        <f t="shared" si="2"/>
        <v>0</v>
      </c>
      <c r="F29" s="189"/>
      <c r="G29" s="190">
        <f t="shared" si="3"/>
        <v>0</v>
      </c>
      <c r="H29" s="189"/>
      <c r="I29" s="190"/>
      <c r="J29" s="189">
        <f>SUM(F29,D29,B29,'- 12 -'!J29,'- 12 -'!H29,'- 12 -'!F29,'- 12 -'!D29,'- 12 -'!B29)</f>
        <v>434752</v>
      </c>
      <c r="K29" s="190">
        <f t="shared" si="4"/>
        <v>0.00030903902890802885</v>
      </c>
      <c r="M29" s="1" t="s">
        <v>267</v>
      </c>
      <c r="N29" s="215">
        <f>E52</f>
        <v>0.03867149919423129</v>
      </c>
    </row>
    <row r="30" spans="1:14" ht="12.75" customHeight="1">
      <c r="A30" s="188" t="s">
        <v>418</v>
      </c>
      <c r="B30" s="189">
        <v>88343</v>
      </c>
      <c r="C30" s="190">
        <f t="shared" si="1"/>
        <v>6.279772130047013E-05</v>
      </c>
      <c r="D30" s="189"/>
      <c r="E30" s="190">
        <f t="shared" si="2"/>
        <v>0</v>
      </c>
      <c r="F30" s="189"/>
      <c r="G30" s="190">
        <f t="shared" si="3"/>
        <v>0</v>
      </c>
      <c r="H30" s="189"/>
      <c r="I30" s="190"/>
      <c r="J30" s="189">
        <f>SUM(F30,D30,B30,'- 12 -'!J30,'- 12 -'!H30,'- 12 -'!F30,'- 12 -'!D30,'- 12 -'!B30)</f>
        <v>1336574</v>
      </c>
      <c r="K30" s="190">
        <f t="shared" si="4"/>
        <v>0.0009500900076910969</v>
      </c>
      <c r="M30" s="1" t="s">
        <v>290</v>
      </c>
      <c r="N30" s="215">
        <f>G52</f>
        <v>0.12067346417969237</v>
      </c>
    </row>
    <row r="31" spans="1:14" ht="12.75" customHeight="1">
      <c r="A31" s="188" t="s">
        <v>419</v>
      </c>
      <c r="B31" s="189">
        <v>4403</v>
      </c>
      <c r="C31" s="190">
        <f t="shared" si="1"/>
        <v>3.12982768171751E-06</v>
      </c>
      <c r="D31" s="189">
        <v>869453.28</v>
      </c>
      <c r="E31" s="190">
        <f t="shared" si="2"/>
        <v>0.0006180420040209142</v>
      </c>
      <c r="F31" s="189">
        <v>5344950</v>
      </c>
      <c r="G31" s="190">
        <f t="shared" si="3"/>
        <v>0.003799403240380651</v>
      </c>
      <c r="H31" s="189"/>
      <c r="I31" s="190"/>
      <c r="J31" s="189">
        <f>SUM(F31,D31,B31,'- 12 -'!J31,'- 12 -'!H31,'- 12 -'!F31,'- 12 -'!D31,'- 12 -'!B31)</f>
        <v>7430322.28</v>
      </c>
      <c r="K31" s="190">
        <f t="shared" si="4"/>
        <v>0.00528176887486404</v>
      </c>
      <c r="M31" s="1" t="s">
        <v>143</v>
      </c>
      <c r="N31" s="215">
        <f>I52</f>
        <v>0.017563540153390244</v>
      </c>
    </row>
    <row r="32" spans="1:14" ht="12">
      <c r="A32" s="188" t="s">
        <v>420</v>
      </c>
      <c r="B32" s="189">
        <v>455922</v>
      </c>
      <c r="C32" s="190">
        <f t="shared" si="1"/>
        <v>0.00032408750767749507</v>
      </c>
      <c r="D32" s="189">
        <v>1249334</v>
      </c>
      <c r="E32" s="190">
        <f t="shared" si="2"/>
        <v>0.0008880763427006278</v>
      </c>
      <c r="F32" s="189">
        <v>18065402.75</v>
      </c>
      <c r="G32" s="190">
        <f t="shared" si="3"/>
        <v>0.012841607451357174</v>
      </c>
      <c r="H32" s="189"/>
      <c r="I32" s="190"/>
      <c r="J32" s="189">
        <f>SUM(F32,D32,B32,'- 12 -'!J32,'- 12 -'!H32,'- 12 -'!F32,'- 12 -'!D32,'- 12 -'!B32)</f>
        <v>22647966.7</v>
      </c>
      <c r="K32" s="190">
        <f t="shared" si="4"/>
        <v>0.016099076337105694</v>
      </c>
      <c r="N32" s="215"/>
    </row>
    <row r="33" spans="1:14" ht="12">
      <c r="A33" s="188" t="s">
        <v>421</v>
      </c>
      <c r="B33" s="189">
        <v>140838</v>
      </c>
      <c r="C33" s="190">
        <f t="shared" si="1"/>
        <v>0.00010011325710600288</v>
      </c>
      <c r="D33" s="189">
        <v>243843</v>
      </c>
      <c r="E33" s="190">
        <f t="shared" si="2"/>
        <v>0.00017333331169499042</v>
      </c>
      <c r="F33" s="189">
        <v>1953826.36</v>
      </c>
      <c r="G33" s="190">
        <f t="shared" si="3"/>
        <v>0.0013888575577554762</v>
      </c>
      <c r="H33" s="189"/>
      <c r="I33" s="190"/>
      <c r="J33" s="189">
        <f>SUM(F33,D33,B33,'- 12 -'!J33,'- 12 -'!H33,'- 12 -'!F33,'- 12 -'!D33,'- 12 -'!B33)</f>
        <v>6651326.66</v>
      </c>
      <c r="K33" s="190">
        <f t="shared" si="4"/>
        <v>0.004728027776655388</v>
      </c>
      <c r="N33" s="215">
        <f>SUM(N23:N31)</f>
        <v>1</v>
      </c>
    </row>
    <row r="34" spans="1:11" ht="12">
      <c r="A34" s="197" t="s">
        <v>422</v>
      </c>
      <c r="B34" s="189"/>
      <c r="C34" s="190">
        <f t="shared" si="1"/>
        <v>0</v>
      </c>
      <c r="D34" s="189"/>
      <c r="E34" s="190">
        <f t="shared" si="2"/>
        <v>0</v>
      </c>
      <c r="F34" s="189">
        <v>3717206</v>
      </c>
      <c r="G34" s="190">
        <f t="shared" si="3"/>
        <v>0.0026423380053251008</v>
      </c>
      <c r="H34" s="189"/>
      <c r="I34" s="190"/>
      <c r="J34" s="189">
        <f>SUM(F34,D34,B34,'- 12 -'!J34,'- 12 -'!H34,'- 12 -'!F34,'- 12 -'!D34,'- 12 -'!B34)</f>
        <v>3719817</v>
      </c>
      <c r="K34" s="190">
        <f t="shared" si="4"/>
        <v>0.0026441940080679954</v>
      </c>
    </row>
    <row r="35" spans="1:11" ht="12">
      <c r="A35" s="188" t="s">
        <v>423</v>
      </c>
      <c r="B35" s="189">
        <v>26434</v>
      </c>
      <c r="C35" s="190">
        <f>B35/J52</f>
        <v>1.8790339527258838E-05</v>
      </c>
      <c r="D35" s="189">
        <v>28303</v>
      </c>
      <c r="E35" s="190">
        <f>D35/J52</f>
        <v>2.0118899131421914E-05</v>
      </c>
      <c r="F35" s="189">
        <v>41377</v>
      </c>
      <c r="G35" s="190">
        <f>F35/J52</f>
        <v>2.9412418802276952E-05</v>
      </c>
      <c r="H35" s="189"/>
      <c r="I35" s="190"/>
      <c r="J35" s="189">
        <f>SUM(F35,D35,B35,'- 12 -'!J35,'- 12 -'!H35,'- 12 -'!F35,'- 12 -'!D35,'- 12 -'!B35)</f>
        <v>974332</v>
      </c>
      <c r="K35" s="190">
        <f t="shared" si="4"/>
        <v>0.0006925939733779661</v>
      </c>
    </row>
    <row r="36" spans="1:11" ht="12">
      <c r="A36" s="188" t="s">
        <v>424</v>
      </c>
      <c r="B36" s="189">
        <v>130331</v>
      </c>
      <c r="C36" s="190">
        <f t="shared" si="1"/>
        <v>9.264446322641945E-05</v>
      </c>
      <c r="D36" s="189">
        <v>36208</v>
      </c>
      <c r="E36" s="190">
        <f t="shared" si="2"/>
        <v>2.5738087826397366E-05</v>
      </c>
      <c r="F36" s="189">
        <v>41851</v>
      </c>
      <c r="G36" s="190">
        <f t="shared" si="3"/>
        <v>2.9749356872032596E-05</v>
      </c>
      <c r="H36" s="189"/>
      <c r="I36" s="190"/>
      <c r="J36" s="189">
        <f>SUM(F36,D36,B36,'- 12 -'!J36,'- 12 -'!H36,'- 12 -'!F36,'- 12 -'!D36,'- 12 -'!B36)</f>
        <v>2151600.13</v>
      </c>
      <c r="K36" s="190">
        <f t="shared" si="4"/>
        <v>0.0015294430267683383</v>
      </c>
    </row>
    <row r="37" spans="1:11" ht="12">
      <c r="A37" s="198" t="s">
        <v>425</v>
      </c>
      <c r="B37" s="189">
        <v>4733596</v>
      </c>
      <c r="C37" s="190">
        <f>B37/'- 13 -'!$J$52</f>
        <v>0.0033648284794156893</v>
      </c>
      <c r="D37" s="189">
        <v>115195</v>
      </c>
      <c r="E37" s="190">
        <f>D37/'- 13 -'!$J$52</f>
        <v>8.188519186814639E-05</v>
      </c>
      <c r="F37" s="189">
        <v>156307</v>
      </c>
      <c r="G37" s="190">
        <f>F37/'- 13 -'!$J$52</f>
        <v>0.00011110923812087642</v>
      </c>
      <c r="H37" s="189"/>
      <c r="I37" s="190"/>
      <c r="J37" s="189">
        <f>SUM(F37,D37,B37,'- 12 -'!J37,'- 12 -'!H37,'- 12 -'!F37,'- 12 -'!D37,'- 12 -'!B37)</f>
        <v>6278805</v>
      </c>
      <c r="K37" s="190">
        <f t="shared" si="4"/>
        <v>0.0044632245507849905</v>
      </c>
    </row>
    <row r="38" spans="1:11" ht="12">
      <c r="A38" s="199" t="s">
        <v>426</v>
      </c>
      <c r="B38" s="193">
        <v>302937</v>
      </c>
      <c r="C38" s="194">
        <f t="shared" si="1"/>
        <v>0.00021533967940414657</v>
      </c>
      <c r="D38" s="193">
        <v>21405</v>
      </c>
      <c r="E38" s="194">
        <f t="shared" si="2"/>
        <v>1.5215526124724803E-05</v>
      </c>
      <c r="F38" s="193">
        <v>38046</v>
      </c>
      <c r="G38" s="194">
        <f t="shared" si="3"/>
        <v>2.70446113964625E-05</v>
      </c>
      <c r="H38" s="193"/>
      <c r="I38" s="194"/>
      <c r="J38" s="193">
        <f>SUM(F38,D38,B38,'- 12 -'!J38,'- 12 -'!H38,'- 12 -'!F38,'- 12 -'!D38,'- 12 -'!B38)</f>
        <v>4626702</v>
      </c>
      <c r="K38" s="194">
        <f t="shared" si="4"/>
        <v>0.003288843968807124</v>
      </c>
    </row>
    <row r="39" spans="1:11" ht="12">
      <c r="A39" s="195" t="s">
        <v>427</v>
      </c>
      <c r="B39" s="195">
        <f>SUM(B24:B38)</f>
        <v>8110809</v>
      </c>
      <c r="C39" s="196">
        <f>B39/$J$52</f>
        <v>0.005765485925351696</v>
      </c>
      <c r="D39" s="195">
        <f>SUM(D24:D38)</f>
        <v>14846337.28</v>
      </c>
      <c r="E39" s="196">
        <f>D39/$J$52</f>
        <v>0.010553367565536825</v>
      </c>
      <c r="F39" s="195">
        <f>SUM(F24:F38)</f>
        <v>72199121.65</v>
      </c>
      <c r="G39" s="196">
        <f>F39/$J$52</f>
        <v>0.051322009887771976</v>
      </c>
      <c r="H39" s="195"/>
      <c r="I39" s="196"/>
      <c r="J39" s="195">
        <f>SUM(F39,D39,B39,'- 12 -'!J39,'- 12 -'!H39,'- 12 -'!F39,'- 12 -'!D39,'- 12 -'!B39)</f>
        <v>137131829.26</v>
      </c>
      <c r="K39" s="196">
        <f>J39/$J$52</f>
        <v>0.09747876340279518</v>
      </c>
    </row>
    <row r="40" spans="1:11" ht="12">
      <c r="A40" s="182" t="s">
        <v>428</v>
      </c>
      <c r="B40" s="200"/>
      <c r="C40" s="201"/>
      <c r="D40" s="200"/>
      <c r="E40" s="201"/>
      <c r="F40" s="200"/>
      <c r="G40" s="201"/>
      <c r="H40" s="200"/>
      <c r="I40" s="201"/>
      <c r="J40" s="200"/>
      <c r="K40" s="201"/>
    </row>
    <row r="41" spans="1:11" ht="12">
      <c r="A41" s="188" t="s">
        <v>429</v>
      </c>
      <c r="B41" s="197">
        <v>2904617</v>
      </c>
      <c r="C41" s="190">
        <f aca="true" t="shared" si="5" ref="C41:C46">B41/$J$52</f>
        <v>0.0020647173952730567</v>
      </c>
      <c r="D41" s="202">
        <v>9801788</v>
      </c>
      <c r="E41" s="190">
        <f aca="true" t="shared" si="6" ref="E41:E46">D41/$J$52</f>
        <v>0.006967501115768001</v>
      </c>
      <c r="F41" s="202">
        <v>13576071</v>
      </c>
      <c r="G41" s="190">
        <f aca="true" t="shared" si="7" ref="G41:G46">F41/$J$52</f>
        <v>0.009650411724906273</v>
      </c>
      <c r="H41" s="202"/>
      <c r="I41" s="190"/>
      <c r="J41" s="202">
        <f>SUM(F41,D41,B41,'- 12 -'!J41,'- 12 -'!H41,'- 12 -'!F41,'- 12 -'!D41,'- 12 -'!B41)</f>
        <v>51417228</v>
      </c>
      <c r="K41" s="190">
        <f aca="true" t="shared" si="8" ref="K41:K46">J41/$J$52</f>
        <v>0.03654941256224861</v>
      </c>
    </row>
    <row r="42" spans="1:11" ht="12">
      <c r="A42" s="188" t="s">
        <v>430</v>
      </c>
      <c r="B42" s="197">
        <v>2736063</v>
      </c>
      <c r="C42" s="190">
        <f t="shared" si="5"/>
        <v>0.0019449025020038737</v>
      </c>
      <c r="D42" s="202">
        <v>13057</v>
      </c>
      <c r="E42" s="190">
        <f t="shared" si="6"/>
        <v>9.281435394091648E-06</v>
      </c>
      <c r="F42" s="202">
        <v>32920</v>
      </c>
      <c r="G42" s="190">
        <f t="shared" si="7"/>
        <v>2.3400846532396193E-05</v>
      </c>
      <c r="H42" s="202"/>
      <c r="I42" s="190"/>
      <c r="J42" s="202">
        <f>SUM(F42,D42,B42,'- 12 -'!J42,'- 12 -'!H42,'- 12 -'!F42,'- 12 -'!D42,'- 12 -'!B42)</f>
        <v>13038779</v>
      </c>
      <c r="K42" s="190">
        <f t="shared" si="8"/>
        <v>0.009268483181920726</v>
      </c>
    </row>
    <row r="43" spans="1:11" ht="12">
      <c r="A43" s="188" t="s">
        <v>431</v>
      </c>
      <c r="B43" s="197">
        <v>272269</v>
      </c>
      <c r="C43" s="190">
        <f t="shared" si="5"/>
        <v>0.0001935396441229945</v>
      </c>
      <c r="D43" s="202">
        <v>296266</v>
      </c>
      <c r="E43" s="190">
        <f t="shared" si="6"/>
        <v>0.00021059766703423118</v>
      </c>
      <c r="F43" s="202">
        <v>1908214</v>
      </c>
      <c r="G43" s="190">
        <f t="shared" si="7"/>
        <v>0.0013564344764571648</v>
      </c>
      <c r="H43" s="202"/>
      <c r="I43" s="190"/>
      <c r="J43" s="202">
        <f>SUM(F43,D43,B43,'- 12 -'!J43,'- 12 -'!H43,'- 12 -'!F43,'- 12 -'!D43,'- 12 -'!B43)</f>
        <v>11385941.41</v>
      </c>
      <c r="K43" s="190">
        <f t="shared" si="8"/>
        <v>0.008093580424127118</v>
      </c>
    </row>
    <row r="44" spans="1:11" ht="12">
      <c r="A44" s="188" t="s">
        <v>432</v>
      </c>
      <c r="B44" s="197"/>
      <c r="C44" s="190">
        <f t="shared" si="5"/>
        <v>0</v>
      </c>
      <c r="D44" s="202">
        <v>-13796</v>
      </c>
      <c r="E44" s="190">
        <f t="shared" si="6"/>
        <v>-9.806746013394225E-06</v>
      </c>
      <c r="F44" s="202">
        <v>21352</v>
      </c>
      <c r="G44" s="190">
        <f t="shared" si="7"/>
        <v>1.5177851614815416E-05</v>
      </c>
      <c r="H44" s="202"/>
      <c r="I44" s="190"/>
      <c r="J44" s="202">
        <f>SUM(F44,D44,B44,'- 12 -'!J44,'- 12 -'!H44,'- 12 -'!F44,'- 12 -'!D44,'- 12 -'!B44)</f>
        <v>51562.99</v>
      </c>
      <c r="K44" s="190">
        <f t="shared" si="8"/>
        <v>3.665302599457714E-05</v>
      </c>
    </row>
    <row r="45" spans="1:11" ht="12">
      <c r="A45" s="199" t="s">
        <v>433</v>
      </c>
      <c r="B45" s="203">
        <v>834227</v>
      </c>
      <c r="C45" s="194">
        <f t="shared" si="5"/>
        <v>0.0005930017618524082</v>
      </c>
      <c r="D45" s="204">
        <v>88473</v>
      </c>
      <c r="E45" s="194">
        <f t="shared" si="6"/>
        <v>6.289013047571957E-05</v>
      </c>
      <c r="F45" s="204">
        <v>91671</v>
      </c>
      <c r="G45" s="194">
        <f t="shared" si="7"/>
        <v>6.516339618685576E-05</v>
      </c>
      <c r="H45" s="204"/>
      <c r="I45" s="194"/>
      <c r="J45" s="204">
        <f>SUM(F45,D45,B45,'- 12 -'!J45,'- 12 -'!H45,'- 12 -'!F45,'- 12 -'!D45,'- 12 -'!B45)</f>
        <v>21323396</v>
      </c>
      <c r="K45" s="194">
        <f t="shared" si="8"/>
        <v>0.015157518752901302</v>
      </c>
    </row>
    <row r="46" spans="1:11" ht="12">
      <c r="A46" s="195" t="s">
        <v>434</v>
      </c>
      <c r="B46" s="195">
        <f>SUM(B41:B45)</f>
        <v>6747176</v>
      </c>
      <c r="C46" s="196">
        <f t="shared" si="5"/>
        <v>0.004796161303252333</v>
      </c>
      <c r="D46" s="195">
        <f>SUM(D41:D45)</f>
        <v>10185788</v>
      </c>
      <c r="E46" s="196">
        <f t="shared" si="6"/>
        <v>0.0072404636026586495</v>
      </c>
      <c r="F46" s="195">
        <f>SUM(F41:F45)</f>
        <v>15630228</v>
      </c>
      <c r="G46" s="196">
        <f t="shared" si="7"/>
        <v>0.011110588295697506</v>
      </c>
      <c r="H46" s="195"/>
      <c r="I46" s="196"/>
      <c r="J46" s="195">
        <f>SUM(F46,D46,B46,'- 12 -'!J46,'- 12 -'!H46,'- 12 -'!F46,'- 12 -'!D46,'- 12 -'!B46)</f>
        <v>97216907.4</v>
      </c>
      <c r="K46" s="196">
        <f t="shared" si="8"/>
        <v>0.06910564794719234</v>
      </c>
    </row>
    <row r="47" spans="1:11" ht="12">
      <c r="A47" s="182" t="s">
        <v>188</v>
      </c>
      <c r="B47" s="200"/>
      <c r="C47" s="201"/>
      <c r="D47" s="200"/>
      <c r="E47" s="201"/>
      <c r="F47" s="200"/>
      <c r="G47" s="201"/>
      <c r="H47" s="200"/>
      <c r="I47" s="201"/>
      <c r="J47" s="200"/>
      <c r="K47" s="201"/>
    </row>
    <row r="48" spans="1:11" ht="12">
      <c r="A48" s="188" t="s">
        <v>435</v>
      </c>
      <c r="B48" s="197"/>
      <c r="C48" s="190"/>
      <c r="D48" s="197"/>
      <c r="E48" s="190"/>
      <c r="F48" s="197"/>
      <c r="G48" s="190"/>
      <c r="H48" s="197">
        <f>'- 10 -'!G23</f>
        <v>2189249.63</v>
      </c>
      <c r="I48" s="190">
        <f>H48/$J$52</f>
        <v>0.0015562057901802899</v>
      </c>
      <c r="J48" s="197">
        <f>H48</f>
        <v>2189249.63</v>
      </c>
      <c r="K48" s="190">
        <f>J48/$J$52</f>
        <v>0.0015562057901802899</v>
      </c>
    </row>
    <row r="49" spans="1:11" ht="12">
      <c r="A49" s="188" t="s">
        <v>436</v>
      </c>
      <c r="B49" s="197"/>
      <c r="C49" s="190"/>
      <c r="D49" s="197"/>
      <c r="E49" s="190"/>
      <c r="F49" s="197"/>
      <c r="G49" s="190"/>
      <c r="H49" s="197">
        <f>'- 10 -'!H23</f>
        <v>22518905.310000002</v>
      </c>
      <c r="I49" s="190">
        <f>H49/$J$52</f>
        <v>0.016007334363209957</v>
      </c>
      <c r="J49" s="197">
        <f>H49</f>
        <v>22518905.310000002</v>
      </c>
      <c r="K49" s="190">
        <f>J49/$J$52</f>
        <v>0.016007334363209957</v>
      </c>
    </row>
    <row r="50" spans="1:11" ht="12">
      <c r="A50" s="195" t="s">
        <v>437</v>
      </c>
      <c r="B50" s="195"/>
      <c r="C50" s="196"/>
      <c r="D50" s="195"/>
      <c r="E50" s="196"/>
      <c r="F50" s="195"/>
      <c r="G50" s="196"/>
      <c r="H50" s="195">
        <f>SUM(H48:H49)</f>
        <v>24708154.94</v>
      </c>
      <c r="I50" s="196">
        <f>H50/$J$52</f>
        <v>0.017563540153390244</v>
      </c>
      <c r="J50" s="195">
        <f>SUM(H50,D50)</f>
        <v>24708154.94</v>
      </c>
      <c r="K50" s="196">
        <f>J50/$J$52</f>
        <v>0.017563540153390244</v>
      </c>
    </row>
    <row r="51" spans="1:11" ht="4.5" customHeight="1">
      <c r="A51" s="33"/>
      <c r="B51" s="43"/>
      <c r="C51" s="205"/>
      <c r="D51" s="84"/>
      <c r="E51" s="205"/>
      <c r="F51" s="84"/>
      <c r="G51" s="205"/>
      <c r="H51" s="84"/>
      <c r="I51" s="205"/>
      <c r="J51" s="84"/>
      <c r="K51" s="205"/>
    </row>
    <row r="52" spans="1:11" ht="12">
      <c r="A52" s="206" t="s">
        <v>438</v>
      </c>
      <c r="B52" s="206">
        <f>SUM(B50,B46,B39,B22,B21)</f>
        <v>72105737.78</v>
      </c>
      <c r="C52" s="207">
        <f>B52/$J$52</f>
        <v>0.05125562891540043</v>
      </c>
      <c r="D52" s="206">
        <f>SUM(D50,D46,D39,D22,D21)</f>
        <v>54402551.28</v>
      </c>
      <c r="E52" s="207">
        <f>D52/$J$52</f>
        <v>0.03867149919423129</v>
      </c>
      <c r="F52" s="206">
        <f>SUM(F50,F46,F39,F22,F21)</f>
        <v>169761826.15</v>
      </c>
      <c r="G52" s="207">
        <f>F52/$J$52</f>
        <v>0.12067346417969237</v>
      </c>
      <c r="H52" s="206">
        <f>SUM(H50,H46,H39,H22,H21)</f>
        <v>24708154.94</v>
      </c>
      <c r="I52" s="207">
        <f>H52/$J$52</f>
        <v>0.017563540153390244</v>
      </c>
      <c r="J52" s="206">
        <f>SUM(J50,J46,J39,J22,J21)</f>
        <v>1406786714.08</v>
      </c>
      <c r="K52" s="207">
        <f>J52/$J$52</f>
        <v>1</v>
      </c>
    </row>
    <row r="53" ht="6" customHeight="1"/>
  </sheetData>
  <mergeCells count="1">
    <mergeCell ref="L26:L28"/>
  </mergeCells>
  <printOptions verticalCentered="1"/>
  <pageMargins left="0.7874015748031497" right="0" top="0.3937007874015748" bottom="0.3937007874015748" header="0" footer="0"/>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I52"/>
  <sheetViews>
    <sheetView showGridLines="0" showZeros="0" workbookViewId="0" topLeftCell="A1">
      <selection activeCell="A1" sqref="A1"/>
    </sheetView>
  </sheetViews>
  <sheetFormatPr defaultColWidth="15.83203125" defaultRowHeight="12"/>
  <cols>
    <col min="1" max="1" width="32.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ustomWidth="1"/>
  </cols>
  <sheetData>
    <row r="1" spans="1:9" ht="6.75" customHeight="1">
      <c r="A1" s="5"/>
      <c r="B1" s="6"/>
      <c r="C1" s="6"/>
      <c r="D1" s="6"/>
      <c r="E1" s="6"/>
      <c r="F1" s="6"/>
      <c r="G1" s="6"/>
      <c r="H1" s="6"/>
      <c r="I1" s="6"/>
    </row>
    <row r="2" spans="1:9" ht="15.75" customHeight="1">
      <c r="A2" s="219"/>
      <c r="B2" s="7" t="s">
        <v>76</v>
      </c>
      <c r="C2" s="8"/>
      <c r="D2" s="8"/>
      <c r="E2" s="8"/>
      <c r="F2" s="8"/>
      <c r="G2" s="8"/>
      <c r="H2" s="105"/>
      <c r="I2" s="220" t="s">
        <v>77</v>
      </c>
    </row>
    <row r="3" spans="1:9" ht="15.75" customHeight="1">
      <c r="A3" s="221"/>
      <c r="B3" s="9" t="str">
        <f>OPYEAR</f>
        <v>OPERATING FUND 2003/2004 ACTUAL</v>
      </c>
      <c r="C3" s="10"/>
      <c r="D3" s="10"/>
      <c r="E3" s="10"/>
      <c r="F3" s="10"/>
      <c r="G3" s="10"/>
      <c r="H3" s="107"/>
      <c r="I3" s="94"/>
    </row>
    <row r="4" spans="2:9" ht="15.75" customHeight="1">
      <c r="B4" s="6"/>
      <c r="C4" s="6"/>
      <c r="D4" s="6"/>
      <c r="E4" s="6"/>
      <c r="F4" s="6"/>
      <c r="G4" s="6"/>
      <c r="H4" s="6"/>
      <c r="I4" s="6"/>
    </row>
    <row r="5" spans="2:9" ht="15.75" customHeight="1">
      <c r="B5" s="6"/>
      <c r="C5" s="6"/>
      <c r="D5" s="6"/>
      <c r="E5" s="6"/>
      <c r="F5" s="6"/>
      <c r="G5" s="6"/>
      <c r="H5" s="6"/>
      <c r="I5" s="6"/>
    </row>
    <row r="6" spans="2:9" ht="15.75" customHeight="1">
      <c r="B6" s="222"/>
      <c r="C6" s="211"/>
      <c r="D6" s="210"/>
      <c r="E6" s="209"/>
      <c r="F6" s="211"/>
      <c r="G6" s="210"/>
      <c r="H6" s="209" t="s">
        <v>322</v>
      </c>
      <c r="I6" s="210"/>
    </row>
    <row r="7" spans="2:9" ht="15.75" customHeight="1">
      <c r="B7" s="108" t="s">
        <v>137</v>
      </c>
      <c r="C7" s="71"/>
      <c r="D7" s="70"/>
      <c r="E7" s="108" t="s">
        <v>138</v>
      </c>
      <c r="F7" s="71"/>
      <c r="G7" s="70"/>
      <c r="H7" s="108" t="s">
        <v>403</v>
      </c>
      <c r="I7" s="70"/>
    </row>
    <row r="8" spans="1:9" ht="15.75" customHeight="1">
      <c r="A8" s="96"/>
      <c r="B8" s="223" t="s">
        <v>78</v>
      </c>
      <c r="C8" s="224"/>
      <c r="D8" s="225" t="s">
        <v>150</v>
      </c>
      <c r="E8" s="223"/>
      <c r="F8" s="225"/>
      <c r="G8" s="225" t="s">
        <v>150</v>
      </c>
      <c r="H8" s="223"/>
      <c r="I8" s="225"/>
    </row>
    <row r="9" spans="1:9" ht="15.75" customHeight="1">
      <c r="A9" s="49" t="s">
        <v>175</v>
      </c>
      <c r="B9" s="113" t="s">
        <v>176</v>
      </c>
      <c r="C9" s="113" t="s">
        <v>177</v>
      </c>
      <c r="D9" s="113" t="s">
        <v>178</v>
      </c>
      <c r="E9" s="113" t="s">
        <v>176</v>
      </c>
      <c r="F9" s="113" t="s">
        <v>177</v>
      </c>
      <c r="G9" s="113" t="s">
        <v>178</v>
      </c>
      <c r="H9" s="113" t="s">
        <v>176</v>
      </c>
      <c r="I9" s="113" t="s">
        <v>177</v>
      </c>
    </row>
    <row r="10" ht="4.5" customHeight="1">
      <c r="A10" s="4"/>
    </row>
    <row r="11" spans="1:9" ht="13.5" customHeight="1">
      <c r="A11" s="25" t="s">
        <v>359</v>
      </c>
      <c r="B11" s="26">
        <f>SUM('- 18 -'!B11,'- 18 -'!E11,'- 19 -'!B11,'- 19 -'!E11,'- 19 -'!H11,'- 20 -'!B11)</f>
        <v>6857214</v>
      </c>
      <c r="C11" s="226">
        <f>B11/'- 3 -'!D11</f>
        <v>0.6008004230792685</v>
      </c>
      <c r="D11" s="26">
        <f>B11/'- 7 -'!C11</f>
        <v>4502.438608010506</v>
      </c>
      <c r="E11" s="26">
        <f>SUM('- 21 -'!B11,'- 21 -'!E11,'- 21 -'!H11,'- 22 -'!B11,'- 22 -'!E11,'- 22 -'!H11)</f>
        <v>1381579</v>
      </c>
      <c r="F11" s="226">
        <f>E11/'- 3 -'!D11</f>
        <v>0.1210481760839654</v>
      </c>
      <c r="G11" s="26">
        <f>E11/'- 7 -'!F11</f>
        <v>884.4935979513444</v>
      </c>
      <c r="H11" s="26">
        <f>SUM('- 23 -'!D11,'- 23 -'!B11)</f>
        <v>0</v>
      </c>
      <c r="I11" s="226">
        <f>H11/'- 3 -'!D11</f>
        <v>0</v>
      </c>
    </row>
    <row r="12" spans="1:9" ht="13.5" customHeight="1">
      <c r="A12" s="27" t="s">
        <v>360</v>
      </c>
      <c r="B12" s="28">
        <f>SUM('- 18 -'!B12,'- 18 -'!E12,'- 19 -'!B12,'- 19 -'!E12,'- 19 -'!H12,'- 20 -'!B12)</f>
        <v>11014669</v>
      </c>
      <c r="C12" s="227">
        <f>B12/'- 3 -'!D12</f>
        <v>0.5744629040710434</v>
      </c>
      <c r="D12" s="28">
        <f>B12/'- 7 -'!C12</f>
        <v>4637.364853486022</v>
      </c>
      <c r="E12" s="28">
        <f>SUM('- 21 -'!B12,'- 21 -'!E12,'- 21 -'!H12,'- 22 -'!B12,'- 22 -'!E12,'- 22 -'!H12)</f>
        <v>2437404</v>
      </c>
      <c r="F12" s="227">
        <f>E12/'- 3 -'!D12</f>
        <v>0.12712122173025603</v>
      </c>
      <c r="G12" s="28">
        <f>E12/'- 7 -'!F12</f>
        <v>1026.1889525092624</v>
      </c>
      <c r="H12" s="28">
        <f>SUM('- 23 -'!D12,'- 23 -'!B12)</f>
        <v>496711</v>
      </c>
      <c r="I12" s="227">
        <f>H12/'- 3 -'!D12</f>
        <v>0.02590563942902252</v>
      </c>
    </row>
    <row r="13" spans="1:9" ht="13.5" customHeight="1">
      <c r="A13" s="25" t="s">
        <v>361</v>
      </c>
      <c r="B13" s="26">
        <f>SUM('- 18 -'!B13,'- 18 -'!E13,'- 19 -'!B13,'- 19 -'!E13,'- 19 -'!H13,'- 20 -'!B13)</f>
        <v>29647436</v>
      </c>
      <c r="C13" s="226">
        <f>B13/'- 3 -'!D13</f>
        <v>0.6058568536017013</v>
      </c>
      <c r="D13" s="26">
        <f>B13/'- 7 -'!C13</f>
        <v>4304.8404239872225</v>
      </c>
      <c r="E13" s="26">
        <f>SUM('- 21 -'!B13,'- 21 -'!E13,'- 21 -'!H13,'- 22 -'!B13,'- 22 -'!E13,'- 22 -'!H13)</f>
        <v>7378503.92</v>
      </c>
      <c r="F13" s="226">
        <f>E13/'- 3 -'!D13</f>
        <v>0.1507825894036509</v>
      </c>
      <c r="G13" s="26">
        <f>E13/'- 7 -'!F13</f>
        <v>1037.9102433534956</v>
      </c>
      <c r="H13" s="26">
        <f>SUM('- 23 -'!D13,'- 23 -'!B13)</f>
        <v>0</v>
      </c>
      <c r="I13" s="226">
        <f>H13/'- 3 -'!D13</f>
        <v>0</v>
      </c>
    </row>
    <row r="14" spans="1:9" ht="13.5" customHeight="1">
      <c r="A14" s="27" t="s">
        <v>398</v>
      </c>
      <c r="B14" s="28">
        <f>SUM('- 18 -'!B14,'- 18 -'!E14,'- 19 -'!B14,'- 19 -'!E14,'- 19 -'!H14,'- 20 -'!B14)</f>
        <v>24256979</v>
      </c>
      <c r="C14" s="227">
        <f>B14/'- 3 -'!D14</f>
        <v>0.5726371914261429</v>
      </c>
      <c r="D14" s="28">
        <f>B14/'- 7 -'!C14</f>
        <v>5775.196181134232</v>
      </c>
      <c r="E14" s="28">
        <f>SUM('- 21 -'!B14,'- 21 -'!E14,'- 21 -'!H14,'- 22 -'!B14,'- 22 -'!E14,'- 22 -'!H14)</f>
        <v>4968176</v>
      </c>
      <c r="F14" s="227">
        <f>E14/'- 3 -'!D14</f>
        <v>0.11728428140828125</v>
      </c>
      <c r="G14" s="28">
        <f>E14/'- 7 -'!F14</f>
        <v>1162.9081035532045</v>
      </c>
      <c r="H14" s="28">
        <f>SUM('- 23 -'!D14,'- 23 -'!B14)</f>
        <v>0</v>
      </c>
      <c r="I14" s="227">
        <f>H14/'- 3 -'!D14</f>
        <v>0</v>
      </c>
    </row>
    <row r="15" spans="1:9" ht="13.5" customHeight="1">
      <c r="A15" s="25" t="s">
        <v>362</v>
      </c>
      <c r="B15" s="26">
        <f>SUM('- 18 -'!B15,'- 18 -'!E15,'- 19 -'!B15,'- 19 -'!E15,'- 19 -'!H15,'- 20 -'!B15)</f>
        <v>7455736</v>
      </c>
      <c r="C15" s="226">
        <f>B15/'- 3 -'!D15</f>
        <v>0.5705194160233175</v>
      </c>
      <c r="D15" s="26">
        <f>B15/'- 7 -'!C15</f>
        <v>4487.352392416491</v>
      </c>
      <c r="E15" s="26">
        <f>SUM('- 21 -'!B15,'- 21 -'!E15,'- 21 -'!H15,'- 22 -'!B15,'- 22 -'!E15,'- 22 -'!H15)</f>
        <v>1538199</v>
      </c>
      <c r="F15" s="226">
        <f>E15/'- 3 -'!D15</f>
        <v>0.11770432794396836</v>
      </c>
      <c r="G15" s="26">
        <f>E15/'- 7 -'!F15</f>
        <v>925.7893469756244</v>
      </c>
      <c r="H15" s="26">
        <f>SUM('- 23 -'!D15,'- 23 -'!B15)</f>
        <v>105628</v>
      </c>
      <c r="I15" s="226">
        <f>H15/'- 3 -'!D15</f>
        <v>0.008082746609551487</v>
      </c>
    </row>
    <row r="16" spans="1:9" ht="13.5" customHeight="1">
      <c r="A16" s="27" t="s">
        <v>363</v>
      </c>
      <c r="B16" s="28">
        <f>SUM('- 18 -'!B16,'- 18 -'!E16,'- 19 -'!B16,'- 19 -'!E16,'- 19 -'!H16,'- 20 -'!B16)</f>
        <v>6539276</v>
      </c>
      <c r="C16" s="227">
        <f>B16/'- 3 -'!D16</f>
        <v>0.6103818309720656</v>
      </c>
      <c r="D16" s="28">
        <f>B16/'- 7 -'!C16</f>
        <v>4725.251824553797</v>
      </c>
      <c r="E16" s="28">
        <f>SUM('- 21 -'!B16,'- 21 -'!E16,'- 21 -'!H16,'- 22 -'!B16,'- 22 -'!E16,'- 22 -'!H16)</f>
        <v>1204091</v>
      </c>
      <c r="F16" s="227">
        <f>E16/'- 3 -'!D16</f>
        <v>0.11239092358802188</v>
      </c>
      <c r="G16" s="28">
        <f>E16/'- 7 -'!F16</f>
        <v>865.0700481356419</v>
      </c>
      <c r="H16" s="28">
        <f>SUM('- 23 -'!D16,'- 23 -'!B16)</f>
        <v>0</v>
      </c>
      <c r="I16" s="227">
        <f>H16/'- 3 -'!D16</f>
        <v>0</v>
      </c>
    </row>
    <row r="17" spans="1:9" ht="13.5" customHeight="1">
      <c r="A17" s="25" t="s">
        <v>364</v>
      </c>
      <c r="B17" s="26">
        <f>SUM('- 18 -'!B17,'- 18 -'!E17,'- 19 -'!B17,'- 19 -'!E17,'- 19 -'!H17,'- 20 -'!B17)</f>
        <v>7217579</v>
      </c>
      <c r="C17" s="226">
        <f>B17/'- 3 -'!D17</f>
        <v>0.5846634906575968</v>
      </c>
      <c r="D17" s="26">
        <f>B17/'- 7 -'!C17</f>
        <v>4570.981000633312</v>
      </c>
      <c r="E17" s="26">
        <f>SUM('- 21 -'!B17,'- 21 -'!E17,'- 21 -'!H17,'- 22 -'!B17,'- 22 -'!E17,'- 22 -'!H17)</f>
        <v>1455064</v>
      </c>
      <c r="F17" s="226">
        <f>E17/'- 3 -'!D17</f>
        <v>0.11786816567857526</v>
      </c>
      <c r="G17" s="26">
        <f>E17/'- 7 -'!F17</f>
        <v>921.5098163394554</v>
      </c>
      <c r="H17" s="26">
        <f>SUM('- 23 -'!D17,'- 23 -'!B17)</f>
        <v>813</v>
      </c>
      <c r="I17" s="226">
        <f>H17/'- 3 -'!D17</f>
        <v>6.585745966959644E-05</v>
      </c>
    </row>
    <row r="18" spans="1:9" ht="13.5" customHeight="1">
      <c r="A18" s="27" t="s">
        <v>365</v>
      </c>
      <c r="B18" s="28">
        <f>SUM('- 18 -'!B18,'- 18 -'!E18,'- 19 -'!B18,'- 19 -'!E18,'- 19 -'!H18,'- 20 -'!B18)</f>
        <v>33305832</v>
      </c>
      <c r="C18" s="227">
        <f>B18/'- 3 -'!D18</f>
        <v>0.45320513620382574</v>
      </c>
      <c r="D18" s="28">
        <f>B18/'- 7 -'!C18</f>
        <v>5688.345544909565</v>
      </c>
      <c r="E18" s="28">
        <f>SUM('- 21 -'!B18,'- 21 -'!E18,'- 21 -'!H18,'- 22 -'!B18,'- 22 -'!E18,'- 22 -'!H18)</f>
        <v>9857105</v>
      </c>
      <c r="F18" s="227">
        <f>E18/'- 3 -'!D18</f>
        <v>0.13412938052712245</v>
      </c>
      <c r="G18" s="28">
        <f>E18/'- 7 -'!F18</f>
        <v>1682.3582120120836</v>
      </c>
      <c r="H18" s="28">
        <f>SUM('- 23 -'!D18,'- 23 -'!B18)</f>
        <v>1220097</v>
      </c>
      <c r="I18" s="227">
        <f>H18/'- 3 -'!D18</f>
        <v>0.016602324393724173</v>
      </c>
    </row>
    <row r="19" spans="1:9" ht="13.5" customHeight="1">
      <c r="A19" s="25" t="s">
        <v>366</v>
      </c>
      <c r="B19" s="26">
        <f>SUM('- 18 -'!B19,'- 18 -'!E19,'- 19 -'!B19,'- 19 -'!E19,'- 19 -'!H19,'- 20 -'!B19)</f>
        <v>11858366</v>
      </c>
      <c r="C19" s="226">
        <f>B19/'- 3 -'!D19</f>
        <v>0.646351957811493</v>
      </c>
      <c r="D19" s="26">
        <f>B19/'- 7 -'!C19</f>
        <v>4031.400985891552</v>
      </c>
      <c r="E19" s="26">
        <f>SUM('- 21 -'!B19,'- 21 -'!E19,'- 21 -'!H19,'- 22 -'!B19,'- 22 -'!E19,'- 22 -'!H19)</f>
        <v>2505794</v>
      </c>
      <c r="F19" s="226">
        <f>E19/'- 3 -'!D19</f>
        <v>0.13658077831062831</v>
      </c>
      <c r="G19" s="26">
        <f>E19/'- 7 -'!F19</f>
        <v>832.5173593807103</v>
      </c>
      <c r="H19" s="26">
        <f>SUM('- 23 -'!D19,'- 23 -'!B19)</f>
        <v>0</v>
      </c>
      <c r="I19" s="226">
        <f>H19/'- 3 -'!D19</f>
        <v>0</v>
      </c>
    </row>
    <row r="20" spans="1:9" ht="13.5" customHeight="1">
      <c r="A20" s="27" t="s">
        <v>367</v>
      </c>
      <c r="B20" s="28">
        <f>SUM('- 18 -'!B20,'- 18 -'!E20,'- 19 -'!B20,'- 19 -'!E20,'- 19 -'!H20,'- 20 -'!B20)</f>
        <v>23851881</v>
      </c>
      <c r="C20" s="227">
        <f>B20/'- 3 -'!D20</f>
        <v>0.6502418531734466</v>
      </c>
      <c r="D20" s="28">
        <f>B20/'- 7 -'!C20</f>
        <v>3773.136280945978</v>
      </c>
      <c r="E20" s="28">
        <f>SUM('- 21 -'!B20,'- 21 -'!E20,'- 21 -'!H20,'- 22 -'!B20,'- 22 -'!E20,'- 22 -'!H20)</f>
        <v>3747160</v>
      </c>
      <c r="F20" s="227">
        <f>E20/'- 3 -'!D20</f>
        <v>0.10215379921346296</v>
      </c>
      <c r="G20" s="28">
        <f>E20/'- 7 -'!F20</f>
        <v>592.202291584354</v>
      </c>
      <c r="H20" s="28">
        <f>SUM('- 23 -'!D20,'- 23 -'!B20)</f>
        <v>0</v>
      </c>
      <c r="I20" s="227">
        <f>H20/'- 3 -'!D20</f>
        <v>0</v>
      </c>
    </row>
    <row r="21" spans="1:9" ht="13.5" customHeight="1">
      <c r="A21" s="25" t="s">
        <v>368</v>
      </c>
      <c r="B21" s="26">
        <f>SUM('- 18 -'!B21,'- 18 -'!E21,'- 19 -'!B21,'- 19 -'!E21,'- 19 -'!H21,'- 20 -'!B21)</f>
        <v>14124543</v>
      </c>
      <c r="C21" s="226">
        <f>B21/'- 3 -'!D21</f>
        <v>0.5867491268682801</v>
      </c>
      <c r="D21" s="26">
        <f>B21/'- 7 -'!C21</f>
        <v>4282.110959527058</v>
      </c>
      <c r="E21" s="26">
        <f>SUM('- 21 -'!B21,'- 21 -'!E21,'- 21 -'!H21,'- 22 -'!B21,'- 22 -'!E21,'- 22 -'!H21)</f>
        <v>2908806</v>
      </c>
      <c r="F21" s="226">
        <f>E21/'- 3 -'!D21</f>
        <v>0.12083501609427039</v>
      </c>
      <c r="G21" s="26">
        <f>E21/'- 7 -'!F21</f>
        <v>875.2237099443358</v>
      </c>
      <c r="H21" s="26">
        <f>SUM('- 23 -'!D21,'- 23 -'!B21)</f>
        <v>0</v>
      </c>
      <c r="I21" s="226">
        <f>H21/'- 3 -'!D21</f>
        <v>0</v>
      </c>
    </row>
    <row r="22" spans="1:9" ht="13.5" customHeight="1">
      <c r="A22" s="27" t="s">
        <v>369</v>
      </c>
      <c r="B22" s="28">
        <f>SUM('- 18 -'!B22,'- 18 -'!E22,'- 19 -'!B22,'- 19 -'!E22,'- 19 -'!H22,'- 20 -'!B22)</f>
        <v>7268856</v>
      </c>
      <c r="C22" s="227">
        <f>B22/'- 3 -'!D22</f>
        <v>0.5391595664296834</v>
      </c>
      <c r="D22" s="28">
        <f>B22/'- 7 -'!C22</f>
        <v>4432.229268292683</v>
      </c>
      <c r="E22" s="28">
        <f>SUM('- 21 -'!B22,'- 21 -'!E22,'- 21 -'!H22,'- 22 -'!B22,'- 22 -'!E22,'- 22 -'!H22)</f>
        <v>2096416</v>
      </c>
      <c r="F22" s="227">
        <f>E22/'- 3 -'!D22</f>
        <v>0.15549939930248327</v>
      </c>
      <c r="G22" s="28">
        <f>E22/'- 7 -'!F22</f>
        <v>1239.016548463357</v>
      </c>
      <c r="H22" s="28">
        <f>SUM('- 23 -'!D22,'- 23 -'!B22)</f>
        <v>437569</v>
      </c>
      <c r="I22" s="227">
        <f>H22/'- 3 -'!D22</f>
        <v>0.03245620938467761</v>
      </c>
    </row>
    <row r="23" spans="1:9" ht="13.5" customHeight="1">
      <c r="A23" s="25" t="s">
        <v>370</v>
      </c>
      <c r="B23" s="26">
        <f>SUM('- 18 -'!B23,'- 18 -'!E23,'- 19 -'!B23,'- 19 -'!E23,'- 19 -'!H23,'- 20 -'!B23)</f>
        <v>6384500</v>
      </c>
      <c r="C23" s="226">
        <f>B23/'- 3 -'!D23</f>
        <v>0.5643727471388216</v>
      </c>
      <c r="D23" s="26">
        <f>B23/'- 7 -'!C23</f>
        <v>4809.416195856874</v>
      </c>
      <c r="E23" s="26">
        <f>SUM('- 21 -'!B23,'- 21 -'!E23,'- 21 -'!H23,'- 22 -'!B23,'- 22 -'!E23,'- 22 -'!H23)</f>
        <v>1410006</v>
      </c>
      <c r="F23" s="226">
        <f>E23/'- 3 -'!D23</f>
        <v>0.12464076430452208</v>
      </c>
      <c r="G23" s="26">
        <f>E23/'- 7 -'!F23</f>
        <v>1062.1514124293785</v>
      </c>
      <c r="H23" s="26">
        <f>SUM('- 23 -'!D23,'- 23 -'!B23)</f>
        <v>147683</v>
      </c>
      <c r="I23" s="226">
        <f>H23/'- 3 -'!D23</f>
        <v>0.013054782741906584</v>
      </c>
    </row>
    <row r="24" spans="1:9" ht="13.5" customHeight="1">
      <c r="A24" s="27" t="s">
        <v>371</v>
      </c>
      <c r="B24" s="28">
        <f>SUM('- 18 -'!B24,'- 18 -'!E24,'- 19 -'!B24,'- 19 -'!E24,'- 19 -'!H24,'- 20 -'!B24)</f>
        <v>20979916.94</v>
      </c>
      <c r="C24" s="227">
        <f>B24/'- 3 -'!D24</f>
        <v>0.6023430714565338</v>
      </c>
      <c r="D24" s="28">
        <f>B24/'- 7 -'!C24</f>
        <v>4542.582427194977</v>
      </c>
      <c r="E24" s="28">
        <f>SUM('- 21 -'!B24,'- 21 -'!E24,'- 21 -'!H24,'- 22 -'!B24,'- 22 -'!E24,'- 22 -'!H24)</f>
        <v>4530525</v>
      </c>
      <c r="F24" s="227">
        <f>E24/'- 3 -'!D24</f>
        <v>0.13007345794623593</v>
      </c>
      <c r="G24" s="28">
        <f>E24/'- 7 -'!F24</f>
        <v>972.1113614419054</v>
      </c>
      <c r="H24" s="28">
        <f>SUM('- 23 -'!D24,'- 23 -'!B24)</f>
        <v>305980</v>
      </c>
      <c r="I24" s="227">
        <f>H24/'- 3 -'!D24</f>
        <v>0.008784826628787892</v>
      </c>
    </row>
    <row r="25" spans="1:9" ht="13.5" customHeight="1">
      <c r="A25" s="25" t="s">
        <v>372</v>
      </c>
      <c r="B25" s="26">
        <f>SUM('- 18 -'!B25,'- 18 -'!E25,'- 19 -'!B25,'- 19 -'!E25,'- 19 -'!H25,'- 20 -'!B25)</f>
        <v>66840056.21</v>
      </c>
      <c r="C25" s="226">
        <f>B25/'- 3 -'!D25</f>
        <v>0.6049932439631251</v>
      </c>
      <c r="D25" s="26">
        <f>B25/'- 7 -'!C25</f>
        <v>4502.074981308726</v>
      </c>
      <c r="E25" s="26">
        <f>SUM('- 21 -'!B25,'- 21 -'!E25,'- 21 -'!H25,'- 22 -'!B25,'- 22 -'!E25,'- 22 -'!H25)</f>
        <v>16742647</v>
      </c>
      <c r="F25" s="226">
        <f>E25/'- 3 -'!D25</f>
        <v>0.15154368346482702</v>
      </c>
      <c r="G25" s="26">
        <f>E25/'- 7 -'!F25</f>
        <v>1115.0242749159202</v>
      </c>
      <c r="H25" s="26">
        <f>SUM('- 23 -'!D25,'- 23 -'!B25)</f>
        <v>0</v>
      </c>
      <c r="I25" s="226">
        <f>H25/'- 3 -'!D25</f>
        <v>0</v>
      </c>
    </row>
    <row r="26" spans="1:9" ht="13.5" customHeight="1">
      <c r="A26" s="27" t="s">
        <v>373</v>
      </c>
      <c r="B26" s="28">
        <f>SUM('- 18 -'!B26,'- 18 -'!E26,'- 19 -'!B26,'- 19 -'!E26,'- 19 -'!H26,'- 20 -'!B26)</f>
        <v>15600546</v>
      </c>
      <c r="C26" s="227">
        <f>B26/'- 3 -'!D26</f>
        <v>0.5761882580488467</v>
      </c>
      <c r="D26" s="28">
        <f>B26/'- 7 -'!C26</f>
        <v>4757.424371798</v>
      </c>
      <c r="E26" s="28">
        <f>SUM('- 21 -'!B26,'- 21 -'!E26,'- 21 -'!H26,'- 22 -'!B26,'- 22 -'!E26,'- 22 -'!H26)</f>
        <v>3391284</v>
      </c>
      <c r="F26" s="227">
        <f>E26/'- 3 -'!D26</f>
        <v>0.12525318155588433</v>
      </c>
      <c r="G26" s="28">
        <f>E26/'- 7 -'!F26</f>
        <v>1027.5995394218533</v>
      </c>
      <c r="H26" s="28">
        <f>SUM('- 23 -'!D26,'- 23 -'!B26)</f>
        <v>70000</v>
      </c>
      <c r="I26" s="227">
        <f>H26/'- 3 -'!D26</f>
        <v>0.002585369644332914</v>
      </c>
    </row>
    <row r="27" spans="1:9" ht="13.5" customHeight="1">
      <c r="A27" s="25" t="s">
        <v>374</v>
      </c>
      <c r="B27" s="26">
        <f>SUM('- 18 -'!B27,'- 18 -'!E27,'- 19 -'!B27,'- 19 -'!E27,'- 19 -'!H27,'- 20 -'!B27)</f>
        <v>16073976</v>
      </c>
      <c r="C27" s="226">
        <f>B27/'- 3 -'!D27</f>
        <v>0.5929684032850578</v>
      </c>
      <c r="D27" s="26">
        <f>B27/'- 7 -'!C27</f>
        <v>5102.849523809524</v>
      </c>
      <c r="E27" s="26">
        <f>SUM('- 21 -'!B27,'- 21 -'!E27,'- 21 -'!H27,'- 22 -'!B27,'- 22 -'!E27,'- 22 -'!H27)</f>
        <v>4133392</v>
      </c>
      <c r="F27" s="226">
        <f>E27/'- 3 -'!D27</f>
        <v>0.15248068395717598</v>
      </c>
      <c r="G27" s="26">
        <f>E27/'- 7 -'!F27</f>
        <v>1272.5960591133005</v>
      </c>
      <c r="H27" s="26">
        <f>SUM('- 23 -'!D27,'- 23 -'!B27)</f>
        <v>0</v>
      </c>
      <c r="I27" s="226">
        <f>H27/'- 3 -'!D27</f>
        <v>0</v>
      </c>
    </row>
    <row r="28" spans="1:9" ht="13.5" customHeight="1">
      <c r="A28" s="27" t="s">
        <v>375</v>
      </c>
      <c r="B28" s="28">
        <f>SUM('- 18 -'!B28,'- 18 -'!E28,'- 19 -'!B28,'- 19 -'!E28,'- 19 -'!H28,'- 20 -'!B28)</f>
        <v>9829478</v>
      </c>
      <c r="C28" s="227">
        <f>B28/'- 3 -'!D28</f>
        <v>0.5895144287936172</v>
      </c>
      <c r="D28" s="28">
        <f>B28/'- 7 -'!C28</f>
        <v>4718.904464714355</v>
      </c>
      <c r="E28" s="28">
        <f>SUM('- 21 -'!B28,'- 21 -'!E28,'- 21 -'!H28,'- 22 -'!B28,'- 22 -'!E28,'- 22 -'!H28)</f>
        <v>1612692</v>
      </c>
      <c r="F28" s="227">
        <f>E28/'- 3 -'!D28</f>
        <v>0.09671980579233566</v>
      </c>
      <c r="G28" s="28">
        <f>E28/'- 7 -'!F28</f>
        <v>774.2160345655304</v>
      </c>
      <c r="H28" s="28">
        <f>SUM('- 23 -'!D28,'- 23 -'!B28)</f>
        <v>0</v>
      </c>
      <c r="I28" s="227">
        <f>H28/'- 3 -'!D28</f>
        <v>0</v>
      </c>
    </row>
    <row r="29" spans="1:9" ht="13.5" customHeight="1">
      <c r="A29" s="25" t="s">
        <v>376</v>
      </c>
      <c r="B29" s="26">
        <f>SUM('- 18 -'!B29,'- 18 -'!E29,'- 19 -'!B29,'- 19 -'!E29,'- 19 -'!H29,'- 20 -'!B29)</f>
        <v>61304743</v>
      </c>
      <c r="C29" s="226">
        <f>B29/'- 3 -'!D29</f>
        <v>0.601882343991894</v>
      </c>
      <c r="D29" s="26">
        <f>B29/'- 7 -'!C29</f>
        <v>4675.8251086873615</v>
      </c>
      <c r="E29" s="26">
        <f>SUM('- 21 -'!B29,'- 21 -'!E29,'- 21 -'!H29,'- 22 -'!B29,'- 22 -'!E29,'- 22 -'!H29)</f>
        <v>16253571</v>
      </c>
      <c r="F29" s="226">
        <f>E29/'- 3 -'!D29</f>
        <v>0.15957553906911695</v>
      </c>
      <c r="G29" s="26">
        <f>E29/'- 7 -'!F29</f>
        <v>1235.167641918079</v>
      </c>
      <c r="H29" s="26">
        <f>SUM('- 23 -'!D29,'- 23 -'!B29)</f>
        <v>0</v>
      </c>
      <c r="I29" s="226">
        <f>H29/'- 3 -'!D29</f>
        <v>0</v>
      </c>
    </row>
    <row r="30" spans="1:9" ht="13.5" customHeight="1">
      <c r="A30" s="27" t="s">
        <v>377</v>
      </c>
      <c r="B30" s="28">
        <f>SUM('- 18 -'!B30,'- 18 -'!E30,'- 19 -'!B30,'- 19 -'!E30,'- 19 -'!H30,'- 20 -'!B30)</f>
        <v>5760777</v>
      </c>
      <c r="C30" s="227">
        <f>B30/'- 3 -'!D30</f>
        <v>0.58636124487652</v>
      </c>
      <c r="D30" s="28">
        <f>B30/'- 7 -'!C30</f>
        <v>4520.029030992546</v>
      </c>
      <c r="E30" s="28">
        <f>SUM('- 21 -'!B30,'- 21 -'!E30,'- 21 -'!H30,'- 22 -'!B30,'- 22 -'!E30,'- 22 -'!H30)</f>
        <v>1017005</v>
      </c>
      <c r="F30" s="227">
        <f>E30/'- 3 -'!D30</f>
        <v>0.10351595242198147</v>
      </c>
      <c r="G30" s="28">
        <f>E30/'- 7 -'!F30</f>
        <v>797.9639074146725</v>
      </c>
      <c r="H30" s="28">
        <f>SUM('- 23 -'!D30,'- 23 -'!B30)</f>
        <v>0</v>
      </c>
      <c r="I30" s="227">
        <f>H30/'- 3 -'!D30</f>
        <v>0</v>
      </c>
    </row>
    <row r="31" spans="1:9" ht="13.5" customHeight="1">
      <c r="A31" s="25" t="s">
        <v>378</v>
      </c>
      <c r="B31" s="26">
        <f>SUM('- 18 -'!B31,'- 18 -'!E31,'- 19 -'!B31,'- 19 -'!E31,'- 19 -'!H31,'- 20 -'!B31)</f>
        <v>14842405</v>
      </c>
      <c r="C31" s="226">
        <f>B31/'- 3 -'!D31</f>
        <v>0.5954593551506009</v>
      </c>
      <c r="D31" s="26">
        <f>B31/'- 7 -'!C31</f>
        <v>4502.064122785731</v>
      </c>
      <c r="E31" s="26">
        <f>SUM('- 21 -'!B31,'- 21 -'!E31,'- 21 -'!H31,'- 22 -'!B31,'- 22 -'!E31,'- 22 -'!H31)</f>
        <v>3601866</v>
      </c>
      <c r="F31" s="226">
        <f>E31/'- 3 -'!D31</f>
        <v>0.14450251193784797</v>
      </c>
      <c r="G31" s="26">
        <f>E31/'- 7 -'!F31</f>
        <v>1058.50064652639</v>
      </c>
      <c r="H31" s="26">
        <f>SUM('- 23 -'!D31,'- 23 -'!B31)</f>
        <v>107485</v>
      </c>
      <c r="I31" s="226">
        <f>H31/'- 3 -'!D31</f>
        <v>0.004312168330426393</v>
      </c>
    </row>
    <row r="32" spans="1:9" ht="13.5" customHeight="1">
      <c r="A32" s="27" t="s">
        <v>379</v>
      </c>
      <c r="B32" s="28">
        <f>SUM('- 18 -'!B32,'- 18 -'!E32,'- 19 -'!B32,'- 19 -'!E32,'- 19 -'!H32,'- 20 -'!B32)</f>
        <v>11555544</v>
      </c>
      <c r="C32" s="227">
        <f>B32/'- 3 -'!D32</f>
        <v>0.6238386040579939</v>
      </c>
      <c r="D32" s="28">
        <f>B32/'- 7 -'!C32</f>
        <v>4976.547803617571</v>
      </c>
      <c r="E32" s="28">
        <f>SUM('- 21 -'!B32,'- 21 -'!E32,'- 21 -'!H32,'- 22 -'!B32,'- 22 -'!E32,'- 22 -'!H32)</f>
        <v>1780843</v>
      </c>
      <c r="F32" s="227">
        <f>E32/'- 3 -'!D32</f>
        <v>0.09614074518399565</v>
      </c>
      <c r="G32" s="28">
        <f>E32/'- 7 -'!F32</f>
        <v>766.9435831180017</v>
      </c>
      <c r="H32" s="28">
        <f>SUM('- 23 -'!D32,'- 23 -'!B32)</f>
        <v>221357</v>
      </c>
      <c r="I32" s="227">
        <f>H32/'- 3 -'!D32</f>
        <v>0.01195019826660392</v>
      </c>
    </row>
    <row r="33" spans="1:9" ht="13.5" customHeight="1">
      <c r="A33" s="25" t="s">
        <v>380</v>
      </c>
      <c r="B33" s="26">
        <f>SUM('- 18 -'!B33,'- 18 -'!E33,'- 19 -'!B33,'- 19 -'!E33,'- 19 -'!H33,'- 20 -'!B33)</f>
        <v>13227813</v>
      </c>
      <c r="C33" s="226">
        <f>B33/'- 3 -'!D33</f>
        <v>0.6018549479040951</v>
      </c>
      <c r="D33" s="26">
        <f>B33/'- 7 -'!C33</f>
        <v>5240.1905478746585</v>
      </c>
      <c r="E33" s="26">
        <f>SUM('- 21 -'!B33,'- 21 -'!E33,'- 21 -'!H33,'- 22 -'!B33,'- 22 -'!E33,'- 22 -'!H33)</f>
        <v>2563630</v>
      </c>
      <c r="F33" s="226">
        <f>E33/'- 3 -'!D33</f>
        <v>0.11664312158747447</v>
      </c>
      <c r="G33" s="26">
        <f>E33/'- 7 -'!F33</f>
        <v>1015.5805569860953</v>
      </c>
      <c r="H33" s="26">
        <f>SUM('- 23 -'!D33,'- 23 -'!B33)</f>
        <v>0</v>
      </c>
      <c r="I33" s="226">
        <f>H33/'- 3 -'!D33</f>
        <v>0</v>
      </c>
    </row>
    <row r="34" spans="1:9" ht="13.5" customHeight="1">
      <c r="A34" s="27" t="s">
        <v>381</v>
      </c>
      <c r="B34" s="28">
        <f>SUM('- 18 -'!B34,'- 18 -'!E34,'- 19 -'!B34,'- 19 -'!E34,'- 19 -'!H34,'- 20 -'!B34)</f>
        <v>10105145</v>
      </c>
      <c r="C34" s="227">
        <f>B34/'- 3 -'!D34</f>
        <v>0.5953230139207558</v>
      </c>
      <c r="D34" s="28">
        <f>B34/'- 7 -'!C34</f>
        <v>4635.387614678898</v>
      </c>
      <c r="E34" s="28">
        <f>SUM('- 21 -'!B34,'- 21 -'!E34,'- 21 -'!H34,'- 22 -'!B34,'- 22 -'!E34,'- 22 -'!H34)</f>
        <v>1741853</v>
      </c>
      <c r="F34" s="227">
        <f>E34/'- 3 -'!D34</f>
        <v>0.10261754559354767</v>
      </c>
      <c r="G34" s="28">
        <f>E34/'- 7 -'!F34</f>
        <v>795.7300137048879</v>
      </c>
      <c r="H34" s="28">
        <f>SUM('- 23 -'!D34,'- 23 -'!B34)</f>
        <v>96691</v>
      </c>
      <c r="I34" s="227">
        <f>H34/'- 3 -'!D34</f>
        <v>0.005696343549648402</v>
      </c>
    </row>
    <row r="35" spans="1:9" ht="13.5" customHeight="1">
      <c r="A35" s="25" t="s">
        <v>382</v>
      </c>
      <c r="B35" s="26">
        <f>SUM('- 18 -'!B35,'- 18 -'!E35,'- 19 -'!B35,'- 19 -'!E35,'- 19 -'!H35,'- 20 -'!B35)</f>
        <v>76200539</v>
      </c>
      <c r="C35" s="226">
        <f>B35/'- 3 -'!D35</f>
        <v>0.6039125055297211</v>
      </c>
      <c r="D35" s="26">
        <f>B35/'- 7 -'!C35</f>
        <v>4328.223509698673</v>
      </c>
      <c r="E35" s="26">
        <f>SUM('- 21 -'!B35,'- 21 -'!E35,'- 21 -'!H35,'- 22 -'!B35,'- 22 -'!E35,'- 22 -'!H35)</f>
        <v>18513126</v>
      </c>
      <c r="F35" s="226">
        <f>E35/'- 3 -'!D35</f>
        <v>0.1467221683018203</v>
      </c>
      <c r="G35" s="26">
        <f>E35/'- 7 -'!F35</f>
        <v>1037.6440321721827</v>
      </c>
      <c r="H35" s="26">
        <f>SUM('- 23 -'!D35,'- 23 -'!B35)</f>
        <v>769141</v>
      </c>
      <c r="I35" s="226">
        <f>H35/'- 3 -'!D35</f>
        <v>0.006095676940233129</v>
      </c>
    </row>
    <row r="36" spans="1:9" ht="13.5" customHeight="1">
      <c r="A36" s="27" t="s">
        <v>383</v>
      </c>
      <c r="B36" s="28">
        <f>SUM('- 18 -'!B36,'- 18 -'!E36,'- 19 -'!B36,'- 19 -'!E36,'- 19 -'!H36,'- 20 -'!B36)</f>
        <v>10384896</v>
      </c>
      <c r="C36" s="227">
        <f>B36/'- 3 -'!D36</f>
        <v>0.6221245397370528</v>
      </c>
      <c r="D36" s="28">
        <f>B36/'- 7 -'!C36</f>
        <v>4968.136631105583</v>
      </c>
      <c r="E36" s="28">
        <f>SUM('- 21 -'!B36,'- 21 -'!E36,'- 21 -'!H36,'- 22 -'!B36,'- 22 -'!E36,'- 22 -'!H36)</f>
        <v>1476555</v>
      </c>
      <c r="F36" s="227">
        <f>E36/'- 3 -'!D36</f>
        <v>0.08845549341769471</v>
      </c>
      <c r="G36" s="28">
        <f>E36/'- 7 -'!F36</f>
        <v>705.3045139718175</v>
      </c>
      <c r="H36" s="28">
        <f>SUM('- 23 -'!D36,'- 23 -'!B36)</f>
        <v>132476</v>
      </c>
      <c r="I36" s="227">
        <f>H36/'- 3 -'!D36</f>
        <v>0.007936196041463084</v>
      </c>
    </row>
    <row r="37" spans="1:9" ht="13.5" customHeight="1">
      <c r="A37" s="25" t="s">
        <v>384</v>
      </c>
      <c r="B37" s="26">
        <f>SUM('- 18 -'!B37,'- 18 -'!E37,'- 19 -'!B37,'- 19 -'!E37,'- 19 -'!H37,'- 20 -'!B37)</f>
        <v>14501296.65</v>
      </c>
      <c r="C37" s="226">
        <f>B37/'- 3 -'!D37</f>
        <v>0.5748945411117732</v>
      </c>
      <c r="D37" s="26">
        <f>B37/'- 7 -'!C37</f>
        <v>4303.949381177099</v>
      </c>
      <c r="E37" s="26">
        <f>SUM('- 21 -'!B37,'- 21 -'!E37,'- 21 -'!H37,'- 22 -'!B37,'- 22 -'!E37,'- 22 -'!H37)</f>
        <v>3276009</v>
      </c>
      <c r="F37" s="226">
        <f>E37/'- 3 -'!D37</f>
        <v>0.12987526123969328</v>
      </c>
      <c r="G37" s="26">
        <f>E37/'- 7 -'!F37</f>
        <v>972.3114593535748</v>
      </c>
      <c r="H37" s="26">
        <f>SUM('- 23 -'!D37,'- 23 -'!B37)</f>
        <v>287590</v>
      </c>
      <c r="I37" s="226">
        <f>H37/'- 3 -'!D37</f>
        <v>0.011401319831515539</v>
      </c>
    </row>
    <row r="38" spans="1:9" ht="13.5" customHeight="1">
      <c r="A38" s="27" t="s">
        <v>385</v>
      </c>
      <c r="B38" s="28">
        <f>SUM('- 18 -'!B38,'- 18 -'!E38,'- 19 -'!B38,'- 19 -'!E38,'- 19 -'!H38,'- 20 -'!B38)</f>
        <v>38939882</v>
      </c>
      <c r="C38" s="227">
        <f>B38/'- 3 -'!D38</f>
        <v>0.5966312937052967</v>
      </c>
      <c r="D38" s="28">
        <f>B38/'- 7 -'!C38</f>
        <v>4602.278926840799</v>
      </c>
      <c r="E38" s="28">
        <f>SUM('- 21 -'!B38,'- 21 -'!E38,'- 21 -'!H38,'- 22 -'!B38,'- 22 -'!E38,'- 22 -'!H38)</f>
        <v>9193016.33</v>
      </c>
      <c r="F38" s="227">
        <f>E38/'- 3 -'!D38</f>
        <v>0.1408540792707543</v>
      </c>
      <c r="G38" s="28">
        <f>E38/'- 7 -'!F38</f>
        <v>1080.8955120517344</v>
      </c>
      <c r="H38" s="28">
        <f>SUM('- 23 -'!D38,'- 23 -'!B38)</f>
        <v>37577</v>
      </c>
      <c r="I38" s="227">
        <f>H38/'- 3 -'!D38</f>
        <v>0.0005757494109397643</v>
      </c>
    </row>
    <row r="39" spans="1:9" ht="13.5" customHeight="1">
      <c r="A39" s="25" t="s">
        <v>386</v>
      </c>
      <c r="B39" s="26">
        <f>SUM('- 18 -'!B39,'- 18 -'!E39,'- 19 -'!B39,'- 19 -'!E39,'- 19 -'!H39,'- 20 -'!B39)</f>
        <v>8824725</v>
      </c>
      <c r="C39" s="226">
        <f>B39/'- 3 -'!D39</f>
        <v>0.5756091569649313</v>
      </c>
      <c r="D39" s="26">
        <f>B39/'- 7 -'!C39</f>
        <v>4848.75</v>
      </c>
      <c r="E39" s="26">
        <f>SUM('- 21 -'!B39,'- 21 -'!E39,'- 21 -'!H39,'- 22 -'!B39,'- 22 -'!E39,'- 22 -'!H39)</f>
        <v>1787724</v>
      </c>
      <c r="F39" s="226">
        <f>E39/'- 3 -'!D39</f>
        <v>0.11660763417851262</v>
      </c>
      <c r="G39" s="26">
        <f>E39/'- 7 -'!F39</f>
        <v>982.2659340659341</v>
      </c>
      <c r="H39" s="26">
        <f>SUM('- 23 -'!D39,'- 23 -'!B39)</f>
        <v>15425</v>
      </c>
      <c r="I39" s="226">
        <f>H39/'- 3 -'!D39</f>
        <v>0.0010061244113764526</v>
      </c>
    </row>
    <row r="40" spans="1:9" ht="13.5" customHeight="1">
      <c r="A40" s="27" t="s">
        <v>387</v>
      </c>
      <c r="B40" s="28">
        <f>SUM('- 18 -'!B40,'- 18 -'!E40,'- 19 -'!B40,'- 19 -'!E40,'- 19 -'!H40,'- 20 -'!B40)</f>
        <v>41521073</v>
      </c>
      <c r="C40" s="227">
        <f>B40/'- 3 -'!D40</f>
        <v>0.6319382201150874</v>
      </c>
      <c r="D40" s="28">
        <f>B40/'- 7 -'!C40</f>
        <v>4702.070918805307</v>
      </c>
      <c r="E40" s="28">
        <f>SUM('- 21 -'!B40,'- 21 -'!E40,'- 21 -'!H40,'- 22 -'!B40,'- 22 -'!E40,'- 22 -'!H40)</f>
        <v>8499220</v>
      </c>
      <c r="F40" s="227">
        <f>E40/'- 3 -'!D40</f>
        <v>0.12935556745285828</v>
      </c>
      <c r="G40" s="28">
        <f>E40/'- 7 -'!F40</f>
        <v>948.1101872075928</v>
      </c>
      <c r="H40" s="28">
        <f>SUM('- 23 -'!D40,'- 23 -'!B40)</f>
        <v>341000</v>
      </c>
      <c r="I40" s="227">
        <f>H40/'- 3 -'!D40</f>
        <v>0.0051899172513977365</v>
      </c>
    </row>
    <row r="41" spans="1:9" ht="13.5" customHeight="1">
      <c r="A41" s="25" t="s">
        <v>388</v>
      </c>
      <c r="B41" s="26">
        <f>SUM('- 18 -'!B41,'- 18 -'!E41,'- 19 -'!B41,'- 19 -'!E41,'- 19 -'!H41,'- 20 -'!B41)</f>
        <v>22877690</v>
      </c>
      <c r="C41" s="226">
        <f>B41/'- 3 -'!D41</f>
        <v>0.5851865130151408</v>
      </c>
      <c r="D41" s="26">
        <f>B41/'- 7 -'!C41</f>
        <v>4805.631643070201</v>
      </c>
      <c r="E41" s="26">
        <f>SUM('- 21 -'!B41,'- 21 -'!E41,'- 21 -'!H41,'- 22 -'!B41,'- 22 -'!E41,'- 22 -'!H41)</f>
        <v>4442049</v>
      </c>
      <c r="F41" s="226">
        <f>E41/'- 3 -'!D41</f>
        <v>0.11362279867208591</v>
      </c>
      <c r="G41" s="26">
        <f>E41/'- 7 -'!F41</f>
        <v>928.9102885821832</v>
      </c>
      <c r="H41" s="26">
        <f>SUM('- 23 -'!D41,'- 23 -'!B41)</f>
        <v>1037251</v>
      </c>
      <c r="I41" s="226">
        <f>H41/'- 3 -'!D41</f>
        <v>0.026531756301071824</v>
      </c>
    </row>
    <row r="42" spans="1:9" ht="13.5" customHeight="1">
      <c r="A42" s="27" t="s">
        <v>389</v>
      </c>
      <c r="B42" s="28">
        <f>SUM('- 18 -'!B42,'- 18 -'!E42,'- 19 -'!B42,'- 19 -'!E42,'- 19 -'!H42,'- 20 -'!B42)</f>
        <v>8890228</v>
      </c>
      <c r="C42" s="227">
        <f>B42/'- 3 -'!D42</f>
        <v>0.588229051179776</v>
      </c>
      <c r="D42" s="28">
        <f>B42/'- 7 -'!C42</f>
        <v>4752.607719448305</v>
      </c>
      <c r="E42" s="28">
        <f>SUM('- 21 -'!B42,'- 21 -'!E42,'- 21 -'!H42,'- 22 -'!B42,'- 22 -'!E42,'- 22 -'!H42)</f>
        <v>1913004</v>
      </c>
      <c r="F42" s="227">
        <f>E42/'- 3 -'!D42</f>
        <v>0.12657544078994556</v>
      </c>
      <c r="G42" s="28">
        <f>E42/'- 7 -'!F42</f>
        <v>1022.6686624612423</v>
      </c>
      <c r="H42" s="28">
        <f>SUM('- 23 -'!D42,'- 23 -'!B42)</f>
        <v>0</v>
      </c>
      <c r="I42" s="227">
        <f>H42/'- 3 -'!D42</f>
        <v>0</v>
      </c>
    </row>
    <row r="43" spans="1:9" ht="13.5" customHeight="1">
      <c r="A43" s="25" t="s">
        <v>390</v>
      </c>
      <c r="B43" s="26">
        <f>SUM('- 18 -'!B43,'- 18 -'!E43,'- 19 -'!B43,'- 19 -'!E43,'- 19 -'!H43,'- 20 -'!B43)</f>
        <v>5308552</v>
      </c>
      <c r="C43" s="226">
        <f>B43/'- 3 -'!D43</f>
        <v>0.5748065156444159</v>
      </c>
      <c r="D43" s="26">
        <f>B43/'- 7 -'!C43</f>
        <v>4390.861869313482</v>
      </c>
      <c r="E43" s="26">
        <f>SUM('- 21 -'!B43,'- 21 -'!E43,'- 21 -'!H43,'- 22 -'!B43,'- 22 -'!E43,'- 22 -'!H43)</f>
        <v>1251286</v>
      </c>
      <c r="F43" s="226">
        <f>E43/'- 3 -'!D43</f>
        <v>0.13548842428870217</v>
      </c>
      <c r="G43" s="26">
        <f>E43/'- 7 -'!F43</f>
        <v>1034.9760132340778</v>
      </c>
      <c r="H43" s="26">
        <f>SUM('- 23 -'!D43,'- 23 -'!B43)</f>
        <v>165296</v>
      </c>
      <c r="I43" s="226">
        <f>H43/'- 3 -'!D43</f>
        <v>0.017898142056432594</v>
      </c>
    </row>
    <row r="44" spans="1:9" ht="13.5" customHeight="1">
      <c r="A44" s="27" t="s">
        <v>391</v>
      </c>
      <c r="B44" s="28">
        <f>SUM('- 18 -'!B44,'- 18 -'!E44,'- 19 -'!B44,'- 19 -'!E44,'- 19 -'!H44,'- 20 -'!B44)</f>
        <v>3834362</v>
      </c>
      <c r="C44" s="227">
        <f>B44/'- 3 -'!D44</f>
        <v>0.5560930162674482</v>
      </c>
      <c r="D44" s="28">
        <f>B44/'- 7 -'!C44</f>
        <v>4850.552814674257</v>
      </c>
      <c r="E44" s="28">
        <f>SUM('- 21 -'!B44,'- 21 -'!E44,'- 21 -'!H44,'- 22 -'!B44,'- 22 -'!E44,'- 22 -'!H44)</f>
        <v>831610</v>
      </c>
      <c r="F44" s="227">
        <f>E44/'- 3 -'!D44</f>
        <v>0.12060742132802606</v>
      </c>
      <c r="G44" s="28">
        <f>E44/'- 7 -'!F44</f>
        <v>1052.0050600885515</v>
      </c>
      <c r="H44" s="28">
        <f>SUM('- 23 -'!D44,'- 23 -'!B44)</f>
        <v>0</v>
      </c>
      <c r="I44" s="227">
        <f>H44/'- 3 -'!D44</f>
        <v>0</v>
      </c>
    </row>
    <row r="45" spans="1:9" ht="13.5" customHeight="1">
      <c r="A45" s="25" t="s">
        <v>392</v>
      </c>
      <c r="B45" s="26">
        <f>SUM('- 18 -'!B45,'- 18 -'!E45,'- 19 -'!B45,'- 19 -'!E45,'- 19 -'!H45,'- 20 -'!B45)</f>
        <v>6092661</v>
      </c>
      <c r="C45" s="226">
        <f>B45/'- 3 -'!D45</f>
        <v>0.5828473602179788</v>
      </c>
      <c r="D45" s="26">
        <f>B45/'- 7 -'!C45</f>
        <v>4186.82036833425</v>
      </c>
      <c r="E45" s="26">
        <f>SUM('- 21 -'!B45,'- 21 -'!E45,'- 21 -'!H45,'- 22 -'!B45,'- 22 -'!E45,'- 22 -'!H45)</f>
        <v>1192024</v>
      </c>
      <c r="F45" s="226">
        <f>E45/'- 3 -'!D45</f>
        <v>0.11403359578293885</v>
      </c>
      <c r="G45" s="26">
        <f>E45/'- 7 -'!F45</f>
        <v>815.2263712214472</v>
      </c>
      <c r="H45" s="26">
        <f>SUM('- 23 -'!D45,'- 23 -'!B45)</f>
        <v>318599.3</v>
      </c>
      <c r="I45" s="226">
        <f>H45/'- 3 -'!D45</f>
        <v>0.030478433146419258</v>
      </c>
    </row>
    <row r="46" spans="1:9" ht="13.5" customHeight="1">
      <c r="A46" s="27" t="s">
        <v>393</v>
      </c>
      <c r="B46" s="28">
        <f>SUM('- 18 -'!B46,'- 18 -'!E46,'- 19 -'!B46,'- 19 -'!E46,'- 19 -'!H46,'- 20 -'!B46)</f>
        <v>142247712</v>
      </c>
      <c r="C46" s="227">
        <f>B46/'- 3 -'!D46</f>
        <v>0.5469011496123966</v>
      </c>
      <c r="D46" s="28">
        <f>B46/'- 7 -'!C46</f>
        <v>4740.547479554498</v>
      </c>
      <c r="E46" s="28">
        <f>SUM('- 21 -'!B46,'- 21 -'!E46,'- 21 -'!H46,'- 22 -'!B46,'- 22 -'!E46,'- 22 -'!H46)</f>
        <v>49113196</v>
      </c>
      <c r="F46" s="227">
        <f>E46/'- 3 -'!D46</f>
        <v>0.18882597811864246</v>
      </c>
      <c r="G46" s="28">
        <f>E46/'- 7 -'!F46</f>
        <v>1583.346637178983</v>
      </c>
      <c r="H46" s="28">
        <f>SUM('- 23 -'!D46,'- 23 -'!B46)</f>
        <v>422934</v>
      </c>
      <c r="I46" s="227">
        <f>H46/'- 3 -'!D46</f>
        <v>0.0016260584269374352</v>
      </c>
    </row>
    <row r="47" spans="1:9" ht="13.5" customHeight="1">
      <c r="A47" s="25" t="s">
        <v>397</v>
      </c>
      <c r="B47" s="26">
        <f>SUM('- 18 -'!B47,'- 18 -'!E47,'- 19 -'!B47,'- 19 -'!E47,'- 19 -'!H47,'- 20 -'!B47)</f>
        <v>3231163</v>
      </c>
      <c r="C47" s="226">
        <f>B47/'- 3 -'!D47</f>
        <v>0.5516495298581678</v>
      </c>
      <c r="D47" s="26">
        <f>B47/'- 7 -'!C47</f>
        <v>5194.795819935692</v>
      </c>
      <c r="E47" s="26">
        <f>SUM('- 21 -'!B47,'- 21 -'!E47,'- 21 -'!H47,'- 22 -'!B47,'- 22 -'!E47,'- 22 -'!H47)</f>
        <v>110010</v>
      </c>
      <c r="F47" s="226">
        <f>E47/'- 3 -'!D47</f>
        <v>0.018781771386865053</v>
      </c>
      <c r="G47" s="26">
        <f>E47/'- 7 -'!F47</f>
        <v>176.86495176848874</v>
      </c>
      <c r="H47" s="26">
        <f>SUM('- 23 -'!D47,'- 23 -'!B47)</f>
        <v>0</v>
      </c>
      <c r="I47" s="226">
        <f>H47/'- 3 -'!D47</f>
        <v>0</v>
      </c>
    </row>
    <row r="48" spans="1:9" ht="4.5" customHeight="1">
      <c r="A48" s="29"/>
      <c r="B48" s="30"/>
      <c r="C48" s="215"/>
      <c r="D48" s="30"/>
      <c r="E48" s="30"/>
      <c r="F48" s="215"/>
      <c r="G48" s="30"/>
      <c r="H48" s="30"/>
      <c r="I48" s="215"/>
    </row>
    <row r="49" spans="1:9" ht="13.5" customHeight="1">
      <c r="A49" s="31" t="s">
        <v>394</v>
      </c>
      <c r="B49" s="32">
        <f>SUM(B11:B47)</f>
        <v>818758046.8</v>
      </c>
      <c r="C49" s="228">
        <f>B49/'- 3 -'!D49</f>
        <v>0.5820058141048376</v>
      </c>
      <c r="D49" s="32">
        <f>B49/'- 7 -'!C49</f>
        <v>4636.998887924086</v>
      </c>
      <c r="E49" s="32">
        <f>SUM(E11:E47)</f>
        <v>201856441.25</v>
      </c>
      <c r="F49" s="228">
        <f>E49/'- 3 -'!D49</f>
        <v>0.14348759426691668</v>
      </c>
      <c r="G49" s="32">
        <f>E49/'- 7 -'!F49</f>
        <v>1127.5782439477484</v>
      </c>
      <c r="H49" s="32">
        <f>SUM(H11:H47)</f>
        <v>6737303.3</v>
      </c>
      <c r="I49" s="228">
        <f>H49/'- 3 -'!D49</f>
        <v>0.004789143395063985</v>
      </c>
    </row>
    <row r="50" spans="1:9" ht="4.5" customHeight="1">
      <c r="A50" s="29" t="s">
        <v>78</v>
      </c>
      <c r="B50" s="30"/>
      <c r="C50" s="215"/>
      <c r="D50" s="30"/>
      <c r="E50" s="30"/>
      <c r="F50" s="215"/>
      <c r="H50" s="30"/>
      <c r="I50" s="215"/>
    </row>
    <row r="51" spans="1:9" ht="13.5" customHeight="1">
      <c r="A51" s="27" t="s">
        <v>395</v>
      </c>
      <c r="B51" s="28">
        <f>SUM('- 18 -'!B51,'- 18 -'!E51,'- 19 -'!B51,'- 19 -'!E51,'- 19 -'!H51,'- 20 -'!B51)</f>
        <v>863165</v>
      </c>
      <c r="C51" s="227">
        <f>B51/'- 3 -'!D51</f>
        <v>0.6865827758731775</v>
      </c>
      <c r="D51" s="28">
        <f>B51/'- 7 -'!C51</f>
        <v>5952.862068965517</v>
      </c>
      <c r="E51" s="28">
        <f>SUM('- 21 -'!B51,'- 21 -'!E51,'- 21 -'!H51,'- 22 -'!B51,'- 22 -'!E51,'- 22 -'!H51)</f>
        <v>96827</v>
      </c>
      <c r="F51" s="227">
        <f>E51/'- 3 -'!D51</f>
        <v>0.07701858907563694</v>
      </c>
      <c r="G51" s="229">
        <f>E51/'- 7 -'!F51</f>
        <v>667.7724137931034</v>
      </c>
      <c r="H51" s="28">
        <f>SUM('- 23 -'!D51,'- 23 -'!B51)</f>
        <v>0</v>
      </c>
      <c r="I51" s="227">
        <f>H51/'- 3 -'!D51</f>
        <v>0</v>
      </c>
    </row>
    <row r="52" spans="1:9" ht="13.5" customHeight="1">
      <c r="A52" s="25" t="s">
        <v>396</v>
      </c>
      <c r="B52" s="26">
        <f>SUM('- 18 -'!B52,'- 18 -'!E52,'- 19 -'!B52,'- 19 -'!E52,'- 19 -'!H52,'- 20 -'!B52)</f>
        <v>1529848</v>
      </c>
      <c r="C52" s="226">
        <f>B52/'- 3 -'!D52</f>
        <v>0.6319980600276042</v>
      </c>
      <c r="D52" s="26">
        <f>B52/'- 7 -'!C52</f>
        <v>5532.904159132007</v>
      </c>
      <c r="E52" s="26">
        <f>SUM('- 21 -'!B52,'- 21 -'!E52,'- 21 -'!H52,'- 22 -'!B52,'- 22 -'!E52,'- 22 -'!H52)</f>
        <v>270036</v>
      </c>
      <c r="F52" s="226">
        <f>E52/'- 3 -'!D52</f>
        <v>0.11155502254970043</v>
      </c>
      <c r="G52" s="230">
        <f>E52/'- 7 -'!F52</f>
        <v>976.622061482821</v>
      </c>
      <c r="H52" s="26">
        <f>SUM('- 23 -'!D52,'- 23 -'!B52)</f>
        <v>0</v>
      </c>
      <c r="I52" s="226">
        <f>H52/'- 3 -'!D52</f>
        <v>0</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2"/>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ustomWidth="1"/>
  </cols>
  <sheetData>
    <row r="1" spans="1:9" ht="6.75" customHeight="1">
      <c r="A1" s="5"/>
      <c r="B1" s="6"/>
      <c r="C1" s="6"/>
      <c r="D1" s="6"/>
      <c r="E1" s="6"/>
      <c r="F1" s="6"/>
      <c r="G1" s="6"/>
      <c r="H1" s="6"/>
      <c r="I1" s="6"/>
    </row>
    <row r="2" spans="1:9" ht="15.75" customHeight="1">
      <c r="A2" s="219"/>
      <c r="B2" s="7" t="s">
        <v>76</v>
      </c>
      <c r="C2" s="8"/>
      <c r="D2" s="8"/>
      <c r="E2" s="8"/>
      <c r="F2" s="8"/>
      <c r="G2" s="105"/>
      <c r="H2" s="118"/>
      <c r="I2" s="220" t="s">
        <v>79</v>
      </c>
    </row>
    <row r="3" spans="1:9" ht="15.75" customHeight="1">
      <c r="A3" s="221"/>
      <c r="B3" s="9" t="str">
        <f>OPYEAR</f>
        <v>OPERATING FUND 2003/2004 ACTUAL</v>
      </c>
      <c r="C3" s="10"/>
      <c r="D3" s="10"/>
      <c r="E3" s="10"/>
      <c r="F3" s="10"/>
      <c r="G3" s="107"/>
      <c r="H3" s="94"/>
      <c r="I3" s="94"/>
    </row>
    <row r="4" spans="2:9" ht="15.75" customHeight="1">
      <c r="B4" s="6"/>
      <c r="C4" s="6"/>
      <c r="D4" s="6"/>
      <c r="E4" s="6"/>
      <c r="F4" s="6"/>
      <c r="G4" s="6"/>
      <c r="H4" s="6"/>
      <c r="I4" s="6"/>
    </row>
    <row r="5" spans="2:9" ht="15.75" customHeight="1">
      <c r="B5" s="6"/>
      <c r="C5" s="6"/>
      <c r="D5" s="6"/>
      <c r="E5" s="6"/>
      <c r="F5" s="6"/>
      <c r="G5" s="6"/>
      <c r="H5" s="6"/>
      <c r="I5" s="6"/>
    </row>
    <row r="6" spans="2:9" ht="15.75" customHeight="1">
      <c r="B6" s="209" t="s">
        <v>140</v>
      </c>
      <c r="C6" s="211"/>
      <c r="D6" s="209" t="s">
        <v>293</v>
      </c>
      <c r="E6" s="211"/>
      <c r="F6" s="210"/>
      <c r="G6" s="209" t="s">
        <v>105</v>
      </c>
      <c r="H6" s="211"/>
      <c r="I6" s="210"/>
    </row>
    <row r="7" spans="2:9" ht="15.75" customHeight="1">
      <c r="B7" s="108" t="s">
        <v>321</v>
      </c>
      <c r="C7" s="71"/>
      <c r="D7" s="108" t="s">
        <v>113</v>
      </c>
      <c r="E7" s="71"/>
      <c r="F7" s="70"/>
      <c r="G7" s="108" t="s">
        <v>120</v>
      </c>
      <c r="H7" s="71"/>
      <c r="I7" s="70"/>
    </row>
    <row r="8" spans="1:9" ht="15.75" customHeight="1">
      <c r="A8" s="96"/>
      <c r="B8" s="12" t="s">
        <v>78</v>
      </c>
      <c r="C8" s="224"/>
      <c r="D8" s="223"/>
      <c r="E8" s="225"/>
      <c r="F8" s="225" t="s">
        <v>150</v>
      </c>
      <c r="G8" s="223"/>
      <c r="H8" s="225"/>
      <c r="I8" s="225" t="s">
        <v>150</v>
      </c>
    </row>
    <row r="9" spans="1:9" ht="15.75" customHeight="1">
      <c r="A9" s="49" t="s">
        <v>175</v>
      </c>
      <c r="B9" s="113" t="s">
        <v>176</v>
      </c>
      <c r="C9" s="113" t="s">
        <v>177</v>
      </c>
      <c r="D9" s="113" t="s">
        <v>176</v>
      </c>
      <c r="E9" s="113" t="s">
        <v>177</v>
      </c>
      <c r="F9" s="113" t="s">
        <v>178</v>
      </c>
      <c r="G9" s="113" t="s">
        <v>176</v>
      </c>
      <c r="H9" s="113" t="s">
        <v>177</v>
      </c>
      <c r="I9" s="113" t="s">
        <v>178</v>
      </c>
    </row>
    <row r="10" ht="4.5" customHeight="1">
      <c r="A10" s="4"/>
    </row>
    <row r="11" spans="1:9" ht="13.5" customHeight="1">
      <c r="A11" s="25" t="s">
        <v>359</v>
      </c>
      <c r="B11" s="26">
        <f>SUM('- 24 -'!H11,'- 24 -'!F11,'- 24 -'!D11,'- 24 -'!B11)</f>
        <v>2932</v>
      </c>
      <c r="C11" s="226">
        <f>B11/'- 3 -'!D11</f>
        <v>0.0002568895823388938</v>
      </c>
      <c r="D11" s="26">
        <f>SUM('- 25 -'!B11,'- 25 -'!E11,'- 25 -'!H11,'- 26 -'!B11)</f>
        <v>430327</v>
      </c>
      <c r="E11" s="226">
        <f>D11/'- 3 -'!D11</f>
        <v>0.03770345269411635</v>
      </c>
      <c r="F11" s="26">
        <f>D11/'- 7 -'!F11</f>
        <v>275.49743918053775</v>
      </c>
      <c r="G11" s="26">
        <f>SUM('- 27 -'!B11,'- 27 -'!E11,'- 27 -'!H11,'- 28 -'!B11,'- 28 -'!E11,'- 28 -'!H11,'- 29 -'!B11,'- 29 -'!E11)</f>
        <v>375054</v>
      </c>
      <c r="H11" s="226">
        <f>G11/'- 3 -'!D11</f>
        <v>0.03286066351109532</v>
      </c>
      <c r="I11" s="26">
        <f>G11/'- 7 -'!F11</f>
        <v>240.11139564660692</v>
      </c>
    </row>
    <row r="12" spans="1:9" ht="13.5" customHeight="1">
      <c r="A12" s="27" t="s">
        <v>360</v>
      </c>
      <c r="B12" s="28">
        <f>SUM('- 24 -'!H12,'- 24 -'!F12,'- 24 -'!D12,'- 24 -'!B12)</f>
        <v>18089</v>
      </c>
      <c r="C12" s="227">
        <f>B12/'- 3 -'!D12</f>
        <v>0.0009434200402881924</v>
      </c>
      <c r="D12" s="28">
        <f>SUM('- 25 -'!B12,'- 25 -'!E12,'- 25 -'!H12,'- 26 -'!B12)</f>
        <v>661902</v>
      </c>
      <c r="E12" s="227">
        <f>D12/'- 3 -'!D12</f>
        <v>0.03452106868853088</v>
      </c>
      <c r="F12" s="28">
        <f>D12/'- 7 -'!F12</f>
        <v>278.6721118221624</v>
      </c>
      <c r="G12" s="28">
        <f>SUM('- 27 -'!B12,'- 27 -'!E12,'- 27 -'!H12,'- 28 -'!B12,'- 28 -'!E12,'- 28 -'!H12,'- 29 -'!B12,'- 29 -'!E12)</f>
        <v>539597</v>
      </c>
      <c r="H12" s="227">
        <f>G12/'- 3 -'!D12</f>
        <v>0.028142330890562648</v>
      </c>
      <c r="I12" s="28">
        <f>G12/'- 7 -'!F12</f>
        <v>227.17960592792187</v>
      </c>
    </row>
    <row r="13" spans="1:9" ht="13.5" customHeight="1">
      <c r="A13" s="25" t="s">
        <v>361</v>
      </c>
      <c r="B13" s="26">
        <f>SUM('- 24 -'!H13,'- 24 -'!F13,'- 24 -'!D13,'- 24 -'!B13)</f>
        <v>69001</v>
      </c>
      <c r="C13" s="226">
        <f>B13/'- 3 -'!D13</f>
        <v>0.001410062197465271</v>
      </c>
      <c r="D13" s="26">
        <f>SUM('- 25 -'!B13,'- 25 -'!E13,'- 25 -'!H13,'- 26 -'!B13)</f>
        <v>1864841</v>
      </c>
      <c r="E13" s="226">
        <f>D13/'- 3 -'!D13</f>
        <v>0.038108749125133456</v>
      </c>
      <c r="F13" s="26">
        <f>D13/'- 7 -'!F13</f>
        <v>262.32114221409483</v>
      </c>
      <c r="G13" s="26">
        <f>SUM('- 27 -'!B13,'- 27 -'!E13,'- 27 -'!H13,'- 28 -'!B13,'- 28 -'!E13,'- 28 -'!H13,'- 29 -'!B13,'- 29 -'!E13)</f>
        <v>2972371</v>
      </c>
      <c r="H13" s="226">
        <f>G13/'- 3 -'!D13</f>
        <v>0.06074155423750446</v>
      </c>
      <c r="I13" s="26">
        <f>G13/'- 7 -'!F13</f>
        <v>418.1137994091996</v>
      </c>
    </row>
    <row r="14" spans="1:9" ht="13.5" customHeight="1">
      <c r="A14" s="27" t="s">
        <v>398</v>
      </c>
      <c r="B14" s="28">
        <f>SUM('- 24 -'!H14,'- 24 -'!F14,'- 24 -'!D14,'- 24 -'!B14)</f>
        <v>140270</v>
      </c>
      <c r="C14" s="227">
        <f>B14/'- 3 -'!D14</f>
        <v>0.003311369434806579</v>
      </c>
      <c r="D14" s="28">
        <f>SUM('- 25 -'!B14,'- 25 -'!E14,'- 25 -'!H14,'- 26 -'!B14)</f>
        <v>1693998</v>
      </c>
      <c r="E14" s="227">
        <f>D14/'- 3 -'!D14</f>
        <v>0.039990398515887045</v>
      </c>
      <c r="F14" s="28">
        <f>D14/'- 7 -'!F14</f>
        <v>396.5165488507092</v>
      </c>
      <c r="G14" s="28">
        <f>SUM('- 27 -'!B14,'- 27 -'!E14,'- 27 -'!H14,'- 28 -'!B14,'- 28 -'!E14,'- 28 -'!H14,'- 29 -'!B14,'- 29 -'!E14)</f>
        <v>2524579</v>
      </c>
      <c r="H14" s="227">
        <f>G14/'- 3 -'!D14</f>
        <v>0.059598016228377834</v>
      </c>
      <c r="I14" s="28">
        <f>G14/'- 7 -'!F14</f>
        <v>590.9318383970788</v>
      </c>
    </row>
    <row r="15" spans="1:9" ht="13.5" customHeight="1">
      <c r="A15" s="25" t="s">
        <v>362</v>
      </c>
      <c r="B15" s="26">
        <f>SUM('- 24 -'!H15,'- 24 -'!F15,'- 24 -'!D15,'- 24 -'!B15)</f>
        <v>169427</v>
      </c>
      <c r="C15" s="226">
        <f>B15/'- 3 -'!D15</f>
        <v>0.012964701687208695</v>
      </c>
      <c r="D15" s="26">
        <f>SUM('- 25 -'!B15,'- 25 -'!E15,'- 25 -'!H15,'- 26 -'!B15)</f>
        <v>516521</v>
      </c>
      <c r="E15" s="226">
        <f>D15/'- 3 -'!D15</f>
        <v>0.03952463704237649</v>
      </c>
      <c r="F15" s="26">
        <f>D15/'- 7 -'!F15</f>
        <v>310.87631658140236</v>
      </c>
      <c r="G15" s="26">
        <f>SUM('- 27 -'!B15,'- 27 -'!E15,'- 27 -'!H15,'- 28 -'!B15,'- 28 -'!E15,'- 28 -'!H15,'- 29 -'!B15,'- 29 -'!E15)</f>
        <v>530462</v>
      </c>
      <c r="H15" s="226">
        <f>G15/'- 3 -'!D15</f>
        <v>0.04059141451126502</v>
      </c>
      <c r="I15" s="26">
        <f>G15/'- 7 -'!F15</f>
        <v>319.266927475173</v>
      </c>
    </row>
    <row r="16" spans="1:9" ht="13.5" customHeight="1">
      <c r="A16" s="27" t="s">
        <v>363</v>
      </c>
      <c r="B16" s="28">
        <f>SUM('- 24 -'!H16,'- 24 -'!F16,'- 24 -'!D16,'- 24 -'!B16)</f>
        <v>5000</v>
      </c>
      <c r="C16" s="227">
        <f>B16/'- 3 -'!D16</f>
        <v>0.0004667044417241798</v>
      </c>
      <c r="D16" s="28">
        <f>SUM('- 25 -'!B16,'- 25 -'!E16,'- 25 -'!H16,'- 26 -'!B16)</f>
        <v>497154</v>
      </c>
      <c r="E16" s="227">
        <f>D16/'- 3 -'!D16</f>
        <v>0.04640479600418858</v>
      </c>
      <c r="F16" s="28">
        <f>D16/'- 7 -'!F16</f>
        <v>357.1765213018176</v>
      </c>
      <c r="G16" s="28">
        <f>SUM('- 27 -'!B16,'- 27 -'!E16,'- 27 -'!H16,'- 28 -'!B16,'- 28 -'!E16,'- 28 -'!H16,'- 29 -'!B16,'- 29 -'!E16)</f>
        <v>484055</v>
      </c>
      <c r="H16" s="227">
        <f>G16/'- 3 -'!D16</f>
        <v>0.04518212370775957</v>
      </c>
      <c r="I16" s="28">
        <f>G16/'- 7 -'!F16</f>
        <v>347.7656440836267</v>
      </c>
    </row>
    <row r="17" spans="1:9" ht="13.5" customHeight="1">
      <c r="A17" s="25" t="s">
        <v>364</v>
      </c>
      <c r="B17" s="26">
        <f>SUM('- 24 -'!H17,'- 24 -'!F17,'- 24 -'!D17,'- 24 -'!B17)</f>
        <v>21937</v>
      </c>
      <c r="C17" s="226">
        <f>B17/'- 3 -'!D17</f>
        <v>0.0017770173342828257</v>
      </c>
      <c r="D17" s="26">
        <f>SUM('- 25 -'!B17,'- 25 -'!E17,'- 25 -'!H17,'- 26 -'!B17)</f>
        <v>492036</v>
      </c>
      <c r="E17" s="226">
        <f>D17/'- 3 -'!D17</f>
        <v>0.039857615038117536</v>
      </c>
      <c r="F17" s="26">
        <f>D17/'- 7 -'!F17</f>
        <v>311.61241291956935</v>
      </c>
      <c r="G17" s="26">
        <f>SUM('- 27 -'!B17,'- 27 -'!E17,'- 27 -'!H17,'- 28 -'!B17,'- 28 -'!E17,'- 28 -'!H17,'- 29 -'!B17,'- 29 -'!E17)</f>
        <v>447338</v>
      </c>
      <c r="H17" s="226">
        <f>G17/'- 3 -'!D17</f>
        <v>0.03623683184954236</v>
      </c>
      <c r="I17" s="26">
        <f>G17/'- 7 -'!F17</f>
        <v>283.30462317922735</v>
      </c>
    </row>
    <row r="18" spans="1:9" ht="13.5" customHeight="1">
      <c r="A18" s="27" t="s">
        <v>365</v>
      </c>
      <c r="B18" s="28">
        <f>SUM('- 24 -'!H18,'- 24 -'!F18,'- 24 -'!D18,'- 24 -'!B18)</f>
        <v>986331</v>
      </c>
      <c r="C18" s="227">
        <f>B18/'- 3 -'!D18</f>
        <v>0.013421381432448696</v>
      </c>
      <c r="D18" s="28">
        <f>SUM('- 25 -'!B18,'- 25 -'!E18,'- 25 -'!H18,'- 26 -'!B18)</f>
        <v>4069375</v>
      </c>
      <c r="E18" s="227">
        <f>D18/'- 3 -'!D18</f>
        <v>0.05537353491542992</v>
      </c>
      <c r="F18" s="28">
        <f>D18/'- 7 -'!F18</f>
        <v>694.5392637094434</v>
      </c>
      <c r="G18" s="28">
        <f>SUM('- 27 -'!B18,'- 27 -'!E18,'- 27 -'!H18,'- 28 -'!B18,'- 28 -'!E18,'- 28 -'!H18,'- 29 -'!B18,'- 29 -'!E18)</f>
        <v>4335810</v>
      </c>
      <c r="H18" s="227">
        <f>G18/'- 3 -'!D18</f>
        <v>0.05899901739743087</v>
      </c>
      <c r="I18" s="28">
        <f>G18/'- 7 -'!F18</f>
        <v>740.0129712754518</v>
      </c>
    </row>
    <row r="19" spans="1:9" ht="13.5" customHeight="1">
      <c r="A19" s="25" t="s">
        <v>366</v>
      </c>
      <c r="B19" s="26">
        <f>SUM('- 24 -'!H19,'- 24 -'!F19,'- 24 -'!D19,'- 24 -'!B19)</f>
        <v>10895</v>
      </c>
      <c r="C19" s="226">
        <f>B19/'- 3 -'!D19</f>
        <v>0.0005938427419390004</v>
      </c>
      <c r="D19" s="26">
        <f>SUM('- 25 -'!B19,'- 25 -'!E19,'- 25 -'!H19,'- 26 -'!B19)</f>
        <v>577432</v>
      </c>
      <c r="E19" s="226">
        <f>D19/'- 3 -'!D19</f>
        <v>0.03147350180480228</v>
      </c>
      <c r="F19" s="26">
        <f>D19/'- 7 -'!F19</f>
        <v>191.8442473171866</v>
      </c>
      <c r="G19" s="26">
        <f>SUM('- 27 -'!B19,'- 27 -'!E19,'- 27 -'!H19,'- 28 -'!B19,'- 28 -'!E19,'- 28 -'!H19,'- 29 -'!B19,'- 29 -'!E19)</f>
        <v>690935</v>
      </c>
      <c r="H19" s="226">
        <f>G19/'- 3 -'!D19</f>
        <v>0.037660094988675834</v>
      </c>
      <c r="I19" s="26">
        <f>G19/'- 7 -'!F19</f>
        <v>229.5541380112296</v>
      </c>
    </row>
    <row r="20" spans="1:9" ht="13.5" customHeight="1">
      <c r="A20" s="27" t="s">
        <v>367</v>
      </c>
      <c r="B20" s="28">
        <f>SUM('- 24 -'!H20,'- 24 -'!F20,'- 24 -'!D20,'- 24 -'!B20)</f>
        <v>115185</v>
      </c>
      <c r="C20" s="227">
        <f>B20/'- 3 -'!D20</f>
        <v>0.003140134224960432</v>
      </c>
      <c r="D20" s="28">
        <f>SUM('- 25 -'!B20,'- 25 -'!E20,'- 25 -'!H20,'- 26 -'!B20)</f>
        <v>1004545</v>
      </c>
      <c r="E20" s="227">
        <f>D20/'- 3 -'!D20</f>
        <v>0.027385563528348977</v>
      </c>
      <c r="F20" s="28">
        <f>D20/'- 7 -'!F20</f>
        <v>158.75859344132755</v>
      </c>
      <c r="G20" s="28">
        <f>SUM('- 27 -'!B20,'- 27 -'!E20,'- 27 -'!H20,'- 28 -'!B20,'- 28 -'!E20,'- 28 -'!H20,'- 29 -'!B20,'- 29 -'!E20)</f>
        <v>1361598</v>
      </c>
      <c r="H20" s="227">
        <f>G20/'- 3 -'!D20</f>
        <v>0.03711942076171093</v>
      </c>
      <c r="I20" s="28">
        <f>G20/'- 7 -'!F20</f>
        <v>215.18735677597786</v>
      </c>
    </row>
    <row r="21" spans="1:9" ht="13.5" customHeight="1">
      <c r="A21" s="25" t="s">
        <v>368</v>
      </c>
      <c r="B21" s="26">
        <f>SUM('- 24 -'!H21,'- 24 -'!F21,'- 24 -'!D21,'- 24 -'!B21)</f>
        <v>76869</v>
      </c>
      <c r="C21" s="226">
        <f>B21/'- 3 -'!D21</f>
        <v>0.0031932232167255123</v>
      </c>
      <c r="D21" s="26">
        <f>SUM('- 25 -'!B21,'- 25 -'!E21,'- 25 -'!H21,'- 26 -'!B21)</f>
        <v>823416</v>
      </c>
      <c r="E21" s="226">
        <f>D21/'- 3 -'!D21</f>
        <v>0.03420561069121823</v>
      </c>
      <c r="F21" s="26">
        <f>D21/'- 7 -'!F21</f>
        <v>247.75567925379872</v>
      </c>
      <c r="G21" s="26">
        <f>SUM('- 27 -'!B21,'- 27 -'!E21,'- 27 -'!H21,'- 28 -'!B21,'- 28 -'!E21,'- 28 -'!H21,'- 29 -'!B21,'- 29 -'!E21)</f>
        <v>1250014</v>
      </c>
      <c r="H21" s="226">
        <f>G21/'- 3 -'!D21</f>
        <v>0.05192696309346973</v>
      </c>
      <c r="I21" s="26">
        <f>G21/'- 7 -'!F21</f>
        <v>376.11373551978335</v>
      </c>
    </row>
    <row r="22" spans="1:9" ht="13.5" customHeight="1">
      <c r="A22" s="27" t="s">
        <v>369</v>
      </c>
      <c r="B22" s="28">
        <f>SUM('- 24 -'!H22,'- 24 -'!F22,'- 24 -'!D22,'- 24 -'!B22)</f>
        <v>55204</v>
      </c>
      <c r="C22" s="227">
        <f>B22/'- 3 -'!D22</f>
        <v>0.004094697254311303</v>
      </c>
      <c r="D22" s="28">
        <f>SUM('- 25 -'!B22,'- 25 -'!E22,'- 25 -'!H22,'- 26 -'!B22)</f>
        <v>476359</v>
      </c>
      <c r="E22" s="227">
        <f>D22/'- 3 -'!D22</f>
        <v>0.035333415864185175</v>
      </c>
      <c r="F22" s="28">
        <f>D22/'- 7 -'!F22</f>
        <v>281.5360520094563</v>
      </c>
      <c r="G22" s="28">
        <f>SUM('- 27 -'!B22,'- 27 -'!E22,'- 27 -'!H22,'- 28 -'!B22,'- 28 -'!E22,'- 28 -'!H22,'- 29 -'!B22,'- 29 -'!E22)</f>
        <v>845273</v>
      </c>
      <c r="H22" s="227">
        <f>G22/'- 3 -'!D22</f>
        <v>0.06269721455408084</v>
      </c>
      <c r="I22" s="28">
        <f>G22/'- 7 -'!F22</f>
        <v>499.57033096926716</v>
      </c>
    </row>
    <row r="23" spans="1:9" ht="13.5" customHeight="1">
      <c r="A23" s="25" t="s">
        <v>370</v>
      </c>
      <c r="B23" s="26">
        <f>SUM('- 24 -'!H23,'- 24 -'!F23,'- 24 -'!D23,'- 24 -'!B23)</f>
        <v>114574</v>
      </c>
      <c r="C23" s="226">
        <f>B23/'- 3 -'!D23</f>
        <v>0.01012803557532827</v>
      </c>
      <c r="D23" s="26">
        <f>SUM('- 25 -'!B23,'- 25 -'!E23,'- 25 -'!H23,'- 26 -'!B23)</f>
        <v>379506</v>
      </c>
      <c r="E23" s="226">
        <f>D23/'- 3 -'!D23</f>
        <v>0.03354731674769608</v>
      </c>
      <c r="F23" s="26">
        <f>D23/'- 7 -'!F23</f>
        <v>285.88022598870054</v>
      </c>
      <c r="G23" s="26">
        <f>SUM('- 27 -'!B23,'- 27 -'!E23,'- 27 -'!H23,'- 28 -'!B23,'- 28 -'!E23,'- 28 -'!H23,'- 29 -'!B23,'- 29 -'!E23)</f>
        <v>450969</v>
      </c>
      <c r="H23" s="226">
        <f>G23/'- 3 -'!D23</f>
        <v>0.03986445507157134</v>
      </c>
      <c r="I23" s="26">
        <f>G23/'- 7 -'!F23</f>
        <v>339.7129943502825</v>
      </c>
    </row>
    <row r="24" spans="1:9" ht="13.5" customHeight="1">
      <c r="A24" s="27" t="s">
        <v>371</v>
      </c>
      <c r="B24" s="28">
        <f>SUM('- 24 -'!H24,'- 24 -'!F24,'- 24 -'!D24,'- 24 -'!B24)</f>
        <v>297351</v>
      </c>
      <c r="C24" s="227">
        <f>B24/'- 3 -'!D24</f>
        <v>0.008537084067248542</v>
      </c>
      <c r="D24" s="28">
        <f>SUM('- 25 -'!B24,'- 25 -'!E24,'- 25 -'!H24,'- 26 -'!B24)</f>
        <v>1010400</v>
      </c>
      <c r="E24" s="227">
        <f>D24/'- 3 -'!D24</f>
        <v>0.029009049041529796</v>
      </c>
      <c r="F24" s="28">
        <f>D24/'- 7 -'!F24</f>
        <v>216.80077244930803</v>
      </c>
      <c r="G24" s="28">
        <f>SUM('- 27 -'!B24,'- 27 -'!E24,'- 27 -'!H24,'- 28 -'!B24,'- 28 -'!E24,'- 28 -'!H24,'- 29 -'!B24,'- 29 -'!E24)</f>
        <v>1423093</v>
      </c>
      <c r="H24" s="227">
        <f>G24/'- 3 -'!D24</f>
        <v>0.0408576550154966</v>
      </c>
      <c r="I24" s="28">
        <f>G24/'- 7 -'!F24</f>
        <v>305.352000858277</v>
      </c>
    </row>
    <row r="25" spans="1:9" ht="13.5" customHeight="1">
      <c r="A25" s="25" t="s">
        <v>372</v>
      </c>
      <c r="B25" s="26">
        <f>SUM('- 24 -'!H25,'- 24 -'!F25,'- 24 -'!D25,'- 24 -'!B25)</f>
        <v>450709</v>
      </c>
      <c r="C25" s="226">
        <f>B25/'- 3 -'!D25</f>
        <v>0.004079528286700946</v>
      </c>
      <c r="D25" s="26">
        <f>SUM('- 25 -'!B25,'- 25 -'!E25,'- 25 -'!H25,'- 26 -'!B25)</f>
        <v>3254783.59</v>
      </c>
      <c r="E25" s="226">
        <f>D25/'- 3 -'!D25</f>
        <v>0.02946020985268777</v>
      </c>
      <c r="F25" s="26">
        <f>D25/'- 7 -'!F25</f>
        <v>216.76158569478204</v>
      </c>
      <c r="G25" s="26">
        <f>SUM('- 27 -'!B25,'- 27 -'!E25,'- 27 -'!H25,'- 28 -'!B25,'- 28 -'!E25,'- 28 -'!H25,'- 29 -'!B25,'- 29 -'!E25)</f>
        <v>7302110.78</v>
      </c>
      <c r="H25" s="226">
        <f>G25/'- 3 -'!D25</f>
        <v>0.0660940151619646</v>
      </c>
      <c r="I25" s="26">
        <f>G25/'- 7 -'!F25</f>
        <v>486.3048703006893</v>
      </c>
    </row>
    <row r="26" spans="1:9" ht="13.5" customHeight="1">
      <c r="A26" s="27" t="s">
        <v>373</v>
      </c>
      <c r="B26" s="28">
        <f>SUM('- 24 -'!H26,'- 24 -'!F26,'- 24 -'!D26,'- 24 -'!B26)</f>
        <v>22961</v>
      </c>
      <c r="C26" s="227">
        <f>B26/'- 3 -'!D26</f>
        <v>0.0008480381771932577</v>
      </c>
      <c r="D26" s="28">
        <f>SUM('- 25 -'!B26,'- 25 -'!E26,'- 25 -'!H26,'- 26 -'!B26)</f>
        <v>1005200</v>
      </c>
      <c r="E26" s="227">
        <f>D26/'- 3 -'!D26</f>
        <v>0.037125908092620646</v>
      </c>
      <c r="F26" s="28">
        <f>D26/'- 7 -'!F26</f>
        <v>304.5876007514696</v>
      </c>
      <c r="G26" s="28">
        <f>SUM('- 27 -'!B26,'- 27 -'!E26,'- 27 -'!H26,'- 28 -'!B26,'- 28 -'!E26,'- 28 -'!H26,'- 29 -'!B26,'- 29 -'!E26)</f>
        <v>1387783</v>
      </c>
      <c r="H26" s="227">
        <f>G26/'- 3 -'!D26</f>
        <v>0.051256172016018064</v>
      </c>
      <c r="I26" s="28">
        <f>G26/'- 7 -'!F26</f>
        <v>420.514817283801</v>
      </c>
    </row>
    <row r="27" spans="1:9" ht="13.5" customHeight="1">
      <c r="A27" s="25" t="s">
        <v>374</v>
      </c>
      <c r="B27" s="26">
        <f>SUM('- 24 -'!H27,'- 24 -'!F27,'- 24 -'!D27,'- 24 -'!B27)</f>
        <v>25379</v>
      </c>
      <c r="C27" s="226">
        <f>B27/'- 3 -'!D27</f>
        <v>0.000936230407894816</v>
      </c>
      <c r="D27" s="26">
        <f>SUM('- 25 -'!B27,'- 25 -'!E27,'- 25 -'!H27,'- 26 -'!B27)</f>
        <v>994088</v>
      </c>
      <c r="E27" s="226">
        <f>D27/'- 3 -'!D27</f>
        <v>0.036671870984804046</v>
      </c>
      <c r="F27" s="26">
        <f>D27/'- 7 -'!F27</f>
        <v>306.0615763546798</v>
      </c>
      <c r="G27" s="26">
        <f>SUM('- 27 -'!B27,'- 27 -'!E27,'- 27 -'!H27,'- 28 -'!B27,'- 28 -'!E27,'- 28 -'!H27,'- 29 -'!B27,'- 29 -'!E27)</f>
        <v>1726805</v>
      </c>
      <c r="H27" s="226">
        <f>G27/'- 3 -'!D27</f>
        <v>0.06370177507012915</v>
      </c>
      <c r="I27" s="26">
        <f>G27/'- 7 -'!F27</f>
        <v>531.6517857142857</v>
      </c>
    </row>
    <row r="28" spans="1:9" ht="13.5" customHeight="1">
      <c r="A28" s="27" t="s">
        <v>375</v>
      </c>
      <c r="B28" s="28">
        <f>SUM('- 24 -'!H28,'- 24 -'!F28,'- 24 -'!D28,'- 24 -'!B28)</f>
        <v>9558</v>
      </c>
      <c r="C28" s="227">
        <f>B28/'- 3 -'!D28</f>
        <v>0.0005732327708968261</v>
      </c>
      <c r="D28" s="28">
        <f>SUM('- 25 -'!B28,'- 25 -'!E28,'- 25 -'!H28,'- 26 -'!B28)</f>
        <v>683989</v>
      </c>
      <c r="E28" s="227">
        <f>D28/'- 3 -'!D28</f>
        <v>0.041021647806334924</v>
      </c>
      <c r="F28" s="28">
        <f>D28/'- 7 -'!F28</f>
        <v>328.36725876140184</v>
      </c>
      <c r="G28" s="28">
        <f>SUM('- 27 -'!B28,'- 27 -'!E28,'- 27 -'!H28,'- 28 -'!B28,'- 28 -'!E28,'- 28 -'!H28,'- 29 -'!B28,'- 29 -'!E28)</f>
        <v>602842</v>
      </c>
      <c r="H28" s="227">
        <f>G28/'- 3 -'!D28</f>
        <v>0.036154926770557066</v>
      </c>
      <c r="I28" s="28">
        <f>G28/'- 7 -'!F28</f>
        <v>289.4104656745079</v>
      </c>
    </row>
    <row r="29" spans="1:9" ht="13.5" customHeight="1">
      <c r="A29" s="25" t="s">
        <v>376</v>
      </c>
      <c r="B29" s="26">
        <f>SUM('- 24 -'!H29,'- 24 -'!F29,'- 24 -'!D29,'- 24 -'!B29)</f>
        <v>191657</v>
      </c>
      <c r="C29" s="226">
        <f>B29/'- 3 -'!D29</f>
        <v>0.0018816645948985455</v>
      </c>
      <c r="D29" s="26">
        <f>SUM('- 25 -'!B29,'- 25 -'!E29,'- 25 -'!H29,'- 26 -'!B29)</f>
        <v>3344065</v>
      </c>
      <c r="E29" s="226">
        <f>D29/'- 3 -'!D29</f>
        <v>0.032831614360755955</v>
      </c>
      <c r="F29" s="26">
        <f>D29/'- 7 -'!F29</f>
        <v>254.1275932821643</v>
      </c>
      <c r="G29" s="26">
        <f>SUM('- 27 -'!B29,'- 27 -'!E29,'- 27 -'!H29,'- 28 -'!B29,'- 28 -'!E29,'- 28 -'!H29,'- 29 -'!B29,'- 29 -'!E29)</f>
        <v>6769715</v>
      </c>
      <c r="H29" s="226">
        <f>G29/'- 3 -'!D29</f>
        <v>0.06646422010703291</v>
      </c>
      <c r="I29" s="26">
        <f>G29/'- 7 -'!F29</f>
        <v>514.4551257694353</v>
      </c>
    </row>
    <row r="30" spans="1:9" ht="13.5" customHeight="1">
      <c r="A30" s="27" t="s">
        <v>377</v>
      </c>
      <c r="B30" s="28">
        <f>SUM('- 24 -'!H30,'- 24 -'!F30,'- 24 -'!D30,'- 24 -'!B30)</f>
        <v>4702</v>
      </c>
      <c r="C30" s="227">
        <f>B30/'- 3 -'!D30</f>
        <v>0.00047859352538891833</v>
      </c>
      <c r="D30" s="28">
        <f>SUM('- 25 -'!B30,'- 25 -'!E30,'- 25 -'!H30,'- 26 -'!B30)</f>
        <v>426541</v>
      </c>
      <c r="E30" s="227">
        <f>D30/'- 3 -'!D30</f>
        <v>0.04341551699551566</v>
      </c>
      <c r="F30" s="28">
        <f>D30/'- 7 -'!F30</f>
        <v>334.67320517850135</v>
      </c>
      <c r="G30" s="28">
        <f>SUM('- 27 -'!B30,'- 27 -'!E30,'- 27 -'!H30,'- 28 -'!B30,'- 28 -'!E30,'- 28 -'!H30,'- 29 -'!B30,'- 29 -'!E30)</f>
        <v>397038</v>
      </c>
      <c r="H30" s="227">
        <f>G30/'- 3 -'!D30</f>
        <v>0.04041255128314873</v>
      </c>
      <c r="I30" s="28">
        <f>G30/'- 7 -'!F30</f>
        <v>311.52451941938017</v>
      </c>
    </row>
    <row r="31" spans="1:9" ht="13.5" customHeight="1">
      <c r="A31" s="25" t="s">
        <v>378</v>
      </c>
      <c r="B31" s="26">
        <f>SUM('- 24 -'!H31,'- 24 -'!F31,'- 24 -'!D31,'- 24 -'!B31)</f>
        <v>14819</v>
      </c>
      <c r="C31" s="226">
        <f>B31/'- 3 -'!D31</f>
        <v>0.0005945203748298712</v>
      </c>
      <c r="D31" s="26">
        <f>SUM('- 25 -'!B31,'- 25 -'!E31,'- 25 -'!H31,'- 26 -'!B31)</f>
        <v>813908</v>
      </c>
      <c r="E31" s="226">
        <f>D31/'- 3 -'!D31</f>
        <v>0.03265300554943187</v>
      </c>
      <c r="F31" s="26">
        <f>D31/'- 7 -'!F31</f>
        <v>239.18772775361467</v>
      </c>
      <c r="G31" s="26">
        <f>SUM('- 27 -'!B31,'- 27 -'!E31,'- 27 -'!H31,'- 28 -'!B31,'- 28 -'!E31,'- 28 -'!H31,'- 29 -'!B31,'- 29 -'!E31)</f>
        <v>1177112</v>
      </c>
      <c r="H31" s="226">
        <f>G31/'- 3 -'!D31</f>
        <v>0.04722431118542003</v>
      </c>
      <c r="I31" s="26">
        <f>G31/'- 7 -'!F31</f>
        <v>345.9245327377454</v>
      </c>
    </row>
    <row r="32" spans="1:9" ht="13.5" customHeight="1">
      <c r="A32" s="27" t="s">
        <v>379</v>
      </c>
      <c r="B32" s="28">
        <f>SUM('- 24 -'!H32,'- 24 -'!F32,'- 24 -'!D32,'- 24 -'!B32)</f>
        <v>15642</v>
      </c>
      <c r="C32" s="227">
        <f>B32/'- 3 -'!D32</f>
        <v>0.0008444503733164911</v>
      </c>
      <c r="D32" s="28">
        <f>SUM('- 25 -'!B32,'- 25 -'!E32,'- 25 -'!H32,'- 26 -'!B32)</f>
        <v>672710</v>
      </c>
      <c r="E32" s="227">
        <f>D32/'- 3 -'!D32</f>
        <v>0.036316980605660194</v>
      </c>
      <c r="F32" s="28">
        <f>D32/'- 7 -'!F32</f>
        <v>289.7114556416882</v>
      </c>
      <c r="G32" s="28">
        <f>SUM('- 27 -'!B32,'- 27 -'!E32,'- 27 -'!H32,'- 28 -'!B32,'- 28 -'!E32,'- 28 -'!H32,'- 29 -'!B32,'- 29 -'!E32)</f>
        <v>619216</v>
      </c>
      <c r="H32" s="227">
        <f>G32/'- 3 -'!D32</f>
        <v>0.03342904886610052</v>
      </c>
      <c r="I32" s="28">
        <f>G32/'- 7 -'!F32</f>
        <v>266.6735572782084</v>
      </c>
    </row>
    <row r="33" spans="1:9" ht="13.5" customHeight="1">
      <c r="A33" s="25" t="s">
        <v>380</v>
      </c>
      <c r="B33" s="26">
        <f>SUM('- 24 -'!H33,'- 24 -'!F33,'- 24 -'!D33,'- 24 -'!B33)</f>
        <v>11730</v>
      </c>
      <c r="C33" s="226">
        <f>B33/'- 3 -'!D33</f>
        <v>0.0005337056502775656</v>
      </c>
      <c r="D33" s="26">
        <f>SUM('- 25 -'!B33,'- 25 -'!E33,'- 25 -'!H33,'- 26 -'!B33)</f>
        <v>665494</v>
      </c>
      <c r="E33" s="226">
        <f>D33/'- 3 -'!D33</f>
        <v>0.030279446549515622</v>
      </c>
      <c r="F33" s="26">
        <f>D33/'- 7 -'!F33</f>
        <v>263.635067147328</v>
      </c>
      <c r="G33" s="26">
        <f>SUM('- 27 -'!B33,'- 27 -'!E33,'- 27 -'!H33,'- 28 -'!B33,'- 28 -'!E33,'- 28 -'!H33,'- 29 -'!B33,'- 29 -'!E33)</f>
        <v>683608</v>
      </c>
      <c r="H33" s="226">
        <f>G33/'- 3 -'!D33</f>
        <v>0.0311036191112486</v>
      </c>
      <c r="I33" s="26">
        <f>G33/'- 7 -'!F33</f>
        <v>270.8109178782237</v>
      </c>
    </row>
    <row r="34" spans="1:9" ht="13.5" customHeight="1">
      <c r="A34" s="27" t="s">
        <v>381</v>
      </c>
      <c r="B34" s="28">
        <f>SUM('- 24 -'!H34,'- 24 -'!F34,'- 24 -'!D34,'- 24 -'!B34)</f>
        <v>13142</v>
      </c>
      <c r="C34" s="227">
        <f>B34/'- 3 -'!D34</f>
        <v>0.0007742328337640452</v>
      </c>
      <c r="D34" s="28">
        <f>SUM('- 25 -'!B34,'- 25 -'!E34,'- 25 -'!H34,'- 26 -'!B34)</f>
        <v>602924</v>
      </c>
      <c r="E34" s="227">
        <f>D34/'- 3 -'!D34</f>
        <v>0.03551997847088367</v>
      </c>
      <c r="F34" s="28">
        <f>D34/'- 7 -'!F34</f>
        <v>275.4335312928277</v>
      </c>
      <c r="G34" s="28">
        <f>SUM('- 27 -'!B34,'- 27 -'!E34,'- 27 -'!H34,'- 28 -'!B34,'- 28 -'!E34,'- 28 -'!H34,'- 29 -'!B34,'- 29 -'!E34)</f>
        <v>595071</v>
      </c>
      <c r="H34" s="227">
        <f>G34/'- 3 -'!D34</f>
        <v>0.03505733576478498</v>
      </c>
      <c r="I34" s="28">
        <f>G34/'- 7 -'!F34</f>
        <v>271.8460484239378</v>
      </c>
    </row>
    <row r="35" spans="1:9" ht="13.5" customHeight="1">
      <c r="A35" s="25" t="s">
        <v>382</v>
      </c>
      <c r="B35" s="26">
        <f>SUM('- 24 -'!H35,'- 24 -'!F35,'- 24 -'!D35,'- 24 -'!B35)</f>
        <v>726560</v>
      </c>
      <c r="C35" s="226">
        <f>B35/'- 3 -'!D35</f>
        <v>0.0057582095320569075</v>
      </c>
      <c r="D35" s="26">
        <f>SUM('- 25 -'!B35,'- 25 -'!E35,'- 25 -'!H35,'- 26 -'!B35)</f>
        <v>3902441.99</v>
      </c>
      <c r="E35" s="226">
        <f>D35/'- 3 -'!D35</f>
        <v>0.030928042646329455</v>
      </c>
      <c r="F35" s="26">
        <f>D35/'- 7 -'!F35</f>
        <v>218.7283574811535</v>
      </c>
      <c r="G35" s="26">
        <f>SUM('- 27 -'!B35,'- 27 -'!E35,'- 27 -'!H35,'- 28 -'!B35,'- 28 -'!E35,'- 28 -'!H35,'- 29 -'!B35,'- 29 -'!E35)</f>
        <v>7509076</v>
      </c>
      <c r="H35" s="226">
        <f>G35/'- 3 -'!D35</f>
        <v>0.05951171685771272</v>
      </c>
      <c r="I35" s="26">
        <f>G35/'- 7 -'!F35</f>
        <v>420.8769442031219</v>
      </c>
    </row>
    <row r="36" spans="1:9" ht="13.5" customHeight="1">
      <c r="A36" s="27" t="s">
        <v>383</v>
      </c>
      <c r="B36" s="28">
        <f>SUM('- 24 -'!H36,'- 24 -'!F36,'- 24 -'!D36,'- 24 -'!B36)</f>
        <v>9359</v>
      </c>
      <c r="C36" s="227">
        <f>B36/'- 3 -'!D36</f>
        <v>0.0005606665264051828</v>
      </c>
      <c r="D36" s="28">
        <f>SUM('- 25 -'!B36,'- 25 -'!E36,'- 25 -'!H36,'- 26 -'!B36)</f>
        <v>601643</v>
      </c>
      <c r="E36" s="227">
        <f>D36/'- 3 -'!D36</f>
        <v>0.03604242877935607</v>
      </c>
      <c r="F36" s="28">
        <f>D36/'- 7 -'!F36</f>
        <v>287.38619536661093</v>
      </c>
      <c r="G36" s="28">
        <f>SUM('- 27 -'!B36,'- 27 -'!E36,'- 27 -'!H36,'- 28 -'!B36,'- 28 -'!E36,'- 28 -'!H36,'- 29 -'!B36,'- 29 -'!E36)</f>
        <v>735438</v>
      </c>
      <c r="H36" s="227">
        <f>G36/'- 3 -'!D36</f>
        <v>0.04405764171881343</v>
      </c>
      <c r="I36" s="28">
        <f>G36/'- 7 -'!F36</f>
        <v>351.2959159302603</v>
      </c>
    </row>
    <row r="37" spans="1:9" ht="13.5" customHeight="1">
      <c r="A37" s="25" t="s">
        <v>384</v>
      </c>
      <c r="B37" s="26">
        <f>SUM('- 24 -'!H37,'- 24 -'!F37,'- 24 -'!D37,'- 24 -'!B37)</f>
        <v>13310</v>
      </c>
      <c r="C37" s="226">
        <f>B37/'- 3 -'!D37</f>
        <v>0.0005276663547323337</v>
      </c>
      <c r="D37" s="26">
        <f>SUM('- 25 -'!B37,'- 25 -'!E37,'- 25 -'!H37,'- 26 -'!B37)</f>
        <v>1008684</v>
      </c>
      <c r="E37" s="226">
        <f>D37/'- 3 -'!D37</f>
        <v>0.03998862579690678</v>
      </c>
      <c r="F37" s="26">
        <f>D37/'- 7 -'!F37</f>
        <v>299.3749443504585</v>
      </c>
      <c r="G37" s="26">
        <f>SUM('- 27 -'!B37,'- 27 -'!E37,'- 27 -'!H37,'- 28 -'!B37,'- 28 -'!E37,'- 28 -'!H37,'- 29 -'!B37,'- 29 -'!E37)</f>
        <v>1109087</v>
      </c>
      <c r="H37" s="226">
        <f>G37/'- 3 -'!D37</f>
        <v>0.04396903789414122</v>
      </c>
      <c r="I37" s="26">
        <f>G37/'- 7 -'!F37</f>
        <v>329.17430920369213</v>
      </c>
    </row>
    <row r="38" spans="1:9" ht="13.5" customHeight="1">
      <c r="A38" s="27" t="s">
        <v>385</v>
      </c>
      <c r="B38" s="28">
        <f>SUM('- 24 -'!H38,'- 24 -'!F38,'- 24 -'!D38,'- 24 -'!B38)</f>
        <v>427416</v>
      </c>
      <c r="C38" s="227">
        <f>B38/'- 3 -'!D38</f>
        <v>0.00654880672289513</v>
      </c>
      <c r="D38" s="28">
        <f>SUM('- 25 -'!B38,'- 25 -'!E38,'- 25 -'!H38,'- 26 -'!B38)</f>
        <v>2041450</v>
      </c>
      <c r="E38" s="227">
        <f>D38/'- 3 -'!D38</f>
        <v>0.031278804453867576</v>
      </c>
      <c r="F38" s="28">
        <f>D38/'- 7 -'!F38</f>
        <v>240.02939447383892</v>
      </c>
      <c r="G38" s="28">
        <f>SUM('- 27 -'!B38,'- 27 -'!E38,'- 27 -'!H38,'- 28 -'!B38,'- 28 -'!E38,'- 28 -'!H38,'- 29 -'!B38,'- 29 -'!E38)</f>
        <v>3737840</v>
      </c>
      <c r="H38" s="227">
        <f>G38/'- 3 -'!D38</f>
        <v>0.05727064901900335</v>
      </c>
      <c r="I38" s="28">
        <f>G38/'- 7 -'!F38</f>
        <v>439.4873603762493</v>
      </c>
    </row>
    <row r="39" spans="1:9" ht="13.5" customHeight="1">
      <c r="A39" s="25" t="s">
        <v>386</v>
      </c>
      <c r="B39" s="26">
        <f>SUM('- 24 -'!H39,'- 24 -'!F39,'- 24 -'!D39,'- 24 -'!B39)</f>
        <v>54246</v>
      </c>
      <c r="C39" s="226">
        <f>B39/'- 3 -'!D39</f>
        <v>0.00353829658473433</v>
      </c>
      <c r="D39" s="26">
        <f>SUM('- 25 -'!B39,'- 25 -'!E39,'- 25 -'!H39,'- 26 -'!B39)</f>
        <v>641786</v>
      </c>
      <c r="E39" s="226">
        <f>D39/'- 3 -'!D39</f>
        <v>0.04186168956107929</v>
      </c>
      <c r="F39" s="26">
        <f>D39/'- 7 -'!F39</f>
        <v>352.6296703296703</v>
      </c>
      <c r="G39" s="26">
        <f>SUM('- 27 -'!B39,'- 27 -'!E39,'- 27 -'!H39,'- 28 -'!B39,'- 28 -'!E39,'- 28 -'!H39,'- 29 -'!B39,'- 29 -'!E39)</f>
        <v>608197</v>
      </c>
      <c r="H39" s="226">
        <f>G39/'- 3 -'!D39</f>
        <v>0.039670784351761704</v>
      </c>
      <c r="I39" s="26">
        <f>G39/'- 7 -'!F39</f>
        <v>334.17417582417585</v>
      </c>
    </row>
    <row r="40" spans="1:9" ht="13.5" customHeight="1">
      <c r="A40" s="27" t="s">
        <v>387</v>
      </c>
      <c r="B40" s="28">
        <f>SUM('- 24 -'!H40,'- 24 -'!F40,'- 24 -'!D40,'- 24 -'!B40)</f>
        <v>484276</v>
      </c>
      <c r="C40" s="227">
        <f>B40/'- 3 -'!D40</f>
        <v>0.007370534800111116</v>
      </c>
      <c r="D40" s="28">
        <f>SUM('- 25 -'!B40,'- 25 -'!E40,'- 25 -'!H40,'- 26 -'!B40)</f>
        <v>2332415</v>
      </c>
      <c r="E40" s="227">
        <f>D40/'- 3 -'!D40</f>
        <v>0.03549865350709341</v>
      </c>
      <c r="F40" s="28">
        <f>D40/'- 7 -'!F40</f>
        <v>260.1869844874939</v>
      </c>
      <c r="G40" s="28">
        <f>SUM('- 27 -'!B40,'- 27 -'!E40,'- 27 -'!H40,'- 28 -'!B40,'- 28 -'!E40,'- 28 -'!H40,'- 29 -'!B40,'- 29 -'!E40)</f>
        <v>2654210</v>
      </c>
      <c r="H40" s="227">
        <f>G40/'- 3 -'!D40</f>
        <v>0.040396276445256264</v>
      </c>
      <c r="I40" s="28">
        <f>G40/'- 7 -'!F40</f>
        <v>296.0840571238613</v>
      </c>
    </row>
    <row r="41" spans="1:9" ht="13.5" customHeight="1">
      <c r="A41" s="25" t="s">
        <v>388</v>
      </c>
      <c r="B41" s="26">
        <f>SUM('- 24 -'!H41,'- 24 -'!F41,'- 24 -'!D41,'- 24 -'!B41)</f>
        <v>109231</v>
      </c>
      <c r="C41" s="226">
        <f>B41/'- 3 -'!D41</f>
        <v>0.002794010584248534</v>
      </c>
      <c r="D41" s="26">
        <f>SUM('- 25 -'!B41,'- 25 -'!E41,'- 25 -'!H41,'- 26 -'!B41)</f>
        <v>1348700</v>
      </c>
      <c r="E41" s="226">
        <f>D41/'- 3 -'!D41</f>
        <v>0.03449828414072926</v>
      </c>
      <c r="F41" s="26">
        <f>D41/'- 7 -'!F41</f>
        <v>282.03680468423255</v>
      </c>
      <c r="G41" s="26">
        <f>SUM('- 27 -'!B41,'- 27 -'!E41,'- 27 -'!H41,'- 28 -'!B41,'- 28 -'!E41,'- 28 -'!H41,'- 29 -'!B41,'- 29 -'!E41)</f>
        <v>1779414</v>
      </c>
      <c r="H41" s="226">
        <f>G41/'- 3 -'!D41</f>
        <v>0.04551548140875778</v>
      </c>
      <c r="I41" s="26">
        <f>G41/'- 7 -'!F41</f>
        <v>372.10664993726476</v>
      </c>
    </row>
    <row r="42" spans="1:9" ht="13.5" customHeight="1">
      <c r="A42" s="27" t="s">
        <v>389</v>
      </c>
      <c r="B42" s="28">
        <f>SUM('- 24 -'!H42,'- 24 -'!F42,'- 24 -'!D42,'- 24 -'!B42)</f>
        <v>47950</v>
      </c>
      <c r="C42" s="227">
        <f>B42/'- 3 -'!D42</f>
        <v>0.003172650128216088</v>
      </c>
      <c r="D42" s="28">
        <f>SUM('- 25 -'!B42,'- 25 -'!E42,'- 25 -'!H42,'- 26 -'!B42)</f>
        <v>568164</v>
      </c>
      <c r="E42" s="227">
        <f>D42/'- 3 -'!D42</f>
        <v>0.037593025807044114</v>
      </c>
      <c r="F42" s="28">
        <f>D42/'- 7 -'!F42</f>
        <v>303.73356142414195</v>
      </c>
      <c r="G42" s="28">
        <f>SUM('- 27 -'!B42,'- 27 -'!E42,'- 27 -'!H42,'- 28 -'!B42,'- 28 -'!E42,'- 28 -'!H42,'- 29 -'!B42,'- 29 -'!E42)</f>
        <v>480538</v>
      </c>
      <c r="H42" s="227">
        <f>G42/'- 3 -'!D42</f>
        <v>0.031795181382955215</v>
      </c>
      <c r="I42" s="28">
        <f>G42/'- 7 -'!F42</f>
        <v>256.8897679888806</v>
      </c>
    </row>
    <row r="43" spans="1:9" ht="13.5" customHeight="1">
      <c r="A43" s="25" t="s">
        <v>390</v>
      </c>
      <c r="B43" s="26">
        <f>SUM('- 24 -'!H43,'- 24 -'!F43,'- 24 -'!D43,'- 24 -'!B43)</f>
        <v>5198</v>
      </c>
      <c r="C43" s="226">
        <f>B43/'- 3 -'!D43</f>
        <v>0.0005628360178669576</v>
      </c>
      <c r="D43" s="26">
        <f>SUM('- 25 -'!B43,'- 25 -'!E43,'- 25 -'!H43,'- 26 -'!B43)</f>
        <v>441233</v>
      </c>
      <c r="E43" s="226">
        <f>D43/'- 3 -'!D43</f>
        <v>0.04777641875172976</v>
      </c>
      <c r="F43" s="26">
        <f>D43/'- 7 -'!F43</f>
        <v>364.9569892473118</v>
      </c>
      <c r="G43" s="26">
        <f>SUM('- 27 -'!B43,'- 27 -'!E43,'- 27 -'!H43,'- 28 -'!B43,'- 28 -'!E43,'- 28 -'!H43,'- 29 -'!B43,'- 29 -'!E43)</f>
        <v>326199</v>
      </c>
      <c r="H43" s="226">
        <f>G43/'- 3 -'!D43</f>
        <v>0.035320612965021876</v>
      </c>
      <c r="I43" s="26">
        <f>G43/'- 7 -'!F43</f>
        <v>269.8089330024814</v>
      </c>
    </row>
    <row r="44" spans="1:9" ht="13.5" customHeight="1">
      <c r="A44" s="27" t="s">
        <v>391</v>
      </c>
      <c r="B44" s="28">
        <f>SUM('- 24 -'!H44,'- 24 -'!F44,'- 24 -'!D44,'- 24 -'!B44)</f>
        <v>0</v>
      </c>
      <c r="C44" s="227">
        <f>B44/'- 3 -'!D44</f>
        <v>0</v>
      </c>
      <c r="D44" s="28">
        <f>SUM('- 25 -'!B44,'- 25 -'!E44,'- 25 -'!H44,'- 26 -'!B44)</f>
        <v>264098</v>
      </c>
      <c r="E44" s="227">
        <f>D44/'- 3 -'!D44</f>
        <v>0.03830182267876652</v>
      </c>
      <c r="F44" s="28">
        <f>D44/'- 7 -'!F44</f>
        <v>334.08981657179</v>
      </c>
      <c r="G44" s="28">
        <f>SUM('- 27 -'!B44,'- 27 -'!E44,'- 27 -'!H44,'- 28 -'!B44,'- 28 -'!E44,'- 28 -'!H44,'- 29 -'!B44,'- 29 -'!E44)</f>
        <v>228629</v>
      </c>
      <c r="H44" s="227">
        <f>G44/'- 3 -'!D44</f>
        <v>0.0331577952776004</v>
      </c>
      <c r="I44" s="28">
        <f>G44/'- 7 -'!F44</f>
        <v>289.2207463630614</v>
      </c>
    </row>
    <row r="45" spans="1:9" ht="13.5" customHeight="1">
      <c r="A45" s="25" t="s">
        <v>392</v>
      </c>
      <c r="B45" s="26">
        <f>SUM('- 24 -'!H45,'- 24 -'!F45,'- 24 -'!D45,'- 24 -'!B45)</f>
        <v>133736</v>
      </c>
      <c r="C45" s="226">
        <f>B45/'- 3 -'!D45</f>
        <v>0.012793699594661777</v>
      </c>
      <c r="D45" s="26">
        <f>SUM('- 25 -'!B45,'- 25 -'!E45,'- 25 -'!H45,'- 26 -'!B45)</f>
        <v>367596</v>
      </c>
      <c r="E45" s="226">
        <f>D45/'- 3 -'!D45</f>
        <v>0.035165645721416006</v>
      </c>
      <c r="F45" s="26">
        <f>D45/'- 7 -'!F45</f>
        <v>251.39926138695117</v>
      </c>
      <c r="G45" s="26">
        <f>SUM('- 27 -'!B45,'- 27 -'!E45,'- 27 -'!H45,'- 28 -'!B45,'- 28 -'!E45,'- 28 -'!H45,'- 29 -'!B45,'- 29 -'!E45)</f>
        <v>582116</v>
      </c>
      <c r="H45" s="226">
        <f>G45/'- 3 -'!D45</f>
        <v>0.05568745314086061</v>
      </c>
      <c r="I45" s="26">
        <f>G45/'- 7 -'!F45</f>
        <v>398.1096977157707</v>
      </c>
    </row>
    <row r="46" spans="1:9" ht="13.5" customHeight="1">
      <c r="A46" s="27" t="s">
        <v>393</v>
      </c>
      <c r="B46" s="28">
        <f>SUM('- 24 -'!H46,'- 24 -'!F46,'- 24 -'!D46,'- 24 -'!B46)</f>
        <v>4915163</v>
      </c>
      <c r="C46" s="227">
        <f>B46/'- 3 -'!D46</f>
        <v>0.01889737456889511</v>
      </c>
      <c r="D46" s="28">
        <f>SUM('- 25 -'!B46,'- 25 -'!E46,'- 25 -'!H46,'- 26 -'!B46)</f>
        <v>7224285</v>
      </c>
      <c r="E46" s="227">
        <f>D46/'- 3 -'!D46</f>
        <v>0.027775278182524246</v>
      </c>
      <c r="F46" s="28">
        <f>D46/'- 7 -'!F46</f>
        <v>232.9017105865513</v>
      </c>
      <c r="G46" s="28">
        <f>SUM('- 27 -'!B46,'- 27 -'!E46,'- 27 -'!H46,'- 28 -'!B46,'- 28 -'!E46,'- 28 -'!H46,'- 29 -'!B46,'- 29 -'!E46)</f>
        <v>12114688</v>
      </c>
      <c r="H46" s="227">
        <f>G46/'- 3 -'!D46</f>
        <v>0.046577457740729813</v>
      </c>
      <c r="I46" s="28">
        <f>G46/'- 7 -'!F46</f>
        <v>390.5620498668541</v>
      </c>
    </row>
    <row r="47" spans="1:9" ht="13.5" customHeight="1">
      <c r="A47" s="25" t="s">
        <v>397</v>
      </c>
      <c r="B47" s="26">
        <f>SUM('- 24 -'!H47,'- 24 -'!F47,'- 24 -'!D47,'- 24 -'!B47)</f>
        <v>329701</v>
      </c>
      <c r="C47" s="226">
        <f>B47/'- 3 -'!D47</f>
        <v>0.05628914469612576</v>
      </c>
      <c r="D47" s="26">
        <f>SUM('- 25 -'!B47,'- 25 -'!E47,'- 25 -'!H47,'- 26 -'!B47)</f>
        <v>687932</v>
      </c>
      <c r="E47" s="226">
        <f>D47/'- 3 -'!D47</f>
        <v>0.11744915511052495</v>
      </c>
      <c r="F47" s="26">
        <f>D47/'- 7 -'!F47</f>
        <v>1106</v>
      </c>
      <c r="G47" s="26">
        <f>SUM('- 27 -'!B47,'- 27 -'!E47,'- 27 -'!H47,'- 28 -'!B47,'- 28 -'!E47,'- 28 -'!H47,'- 29 -'!B47,'- 29 -'!E47)</f>
        <v>747857</v>
      </c>
      <c r="H47" s="226">
        <f>G47/'- 3 -'!D47</f>
        <v>0.12768002185316552</v>
      </c>
      <c r="I47" s="26">
        <f>G47/'- 7 -'!F47</f>
        <v>1202.3424437299036</v>
      </c>
    </row>
    <row r="48" spans="1:9" ht="4.5" customHeight="1">
      <c r="A48" s="29"/>
      <c r="B48" s="30"/>
      <c r="C48" s="215"/>
      <c r="D48" s="30"/>
      <c r="E48" s="215"/>
      <c r="F48" s="30"/>
      <c r="G48" s="30"/>
      <c r="H48" s="215"/>
      <c r="I48" s="30"/>
    </row>
    <row r="49" spans="1:9" ht="13.5" customHeight="1">
      <c r="A49" s="31" t="s">
        <v>394</v>
      </c>
      <c r="B49" s="32">
        <f>SUM(B11:B47)</f>
        <v>10099510</v>
      </c>
      <c r="C49" s="228">
        <f>B49/'- 3 -'!D49</f>
        <v>0.007179133765565025</v>
      </c>
      <c r="D49" s="32">
        <f>SUM(D11:D47)</f>
        <v>48391942.58</v>
      </c>
      <c r="E49" s="228">
        <f>D49/'- 3 -'!D49</f>
        <v>0.03439891925027668</v>
      </c>
      <c r="F49" s="32">
        <f>D49/'- 7 -'!F49</f>
        <v>270.3193482342079</v>
      </c>
      <c r="G49" s="32">
        <f>SUM(G11:G47)</f>
        <v>72105737.78</v>
      </c>
      <c r="H49" s="228">
        <f>G49/'- 3 -'!D49</f>
        <v>0.05125562891540042</v>
      </c>
      <c r="I49" s="32">
        <f>G49/'- 7 -'!F49</f>
        <v>402.7855672132495</v>
      </c>
    </row>
    <row r="50" spans="1:9" ht="4.5" customHeight="1">
      <c r="A50" s="29" t="s">
        <v>78</v>
      </c>
      <c r="B50" s="30"/>
      <c r="C50" s="215"/>
      <c r="D50" s="30"/>
      <c r="E50" s="215"/>
      <c r="G50" s="30"/>
      <c r="H50" s="215"/>
      <c r="I50" s="30"/>
    </row>
    <row r="51" spans="1:9" ht="13.5" customHeight="1">
      <c r="A51" s="27" t="s">
        <v>395</v>
      </c>
      <c r="B51" s="28">
        <f>SUM('- 24 -'!H51,'- 24 -'!F51,'- 24 -'!D51,'- 24 -'!B51)</f>
        <v>478</v>
      </c>
      <c r="C51" s="227">
        <f>B51/'- 3 -'!D51</f>
        <v>0.00038021301473922</v>
      </c>
      <c r="D51" s="28">
        <f>SUM('- 25 -'!B51,'- 25 -'!E51,'- 25 -'!H51,'- 26 -'!B51)</f>
        <v>56913</v>
      </c>
      <c r="E51" s="227">
        <f>D51/'- 3 -'!D51</f>
        <v>0.04527000692019504</v>
      </c>
      <c r="F51" s="229">
        <f>D51/'- 7 -'!F51</f>
        <v>392.50344827586207</v>
      </c>
      <c r="G51" s="28">
        <f>SUM('- 27 -'!B51,'- 27 -'!E51,'- 27 -'!H51,'- 28 -'!B51,'- 28 -'!E51,'- 28 -'!H51,'- 29 -'!B51,'- 29 -'!E51)</f>
        <v>32283</v>
      </c>
      <c r="H51" s="227">
        <f>G51/'- 3 -'!D51</f>
        <v>0.02567869613980385</v>
      </c>
      <c r="I51" s="28">
        <f>G51/'- 7 -'!F51</f>
        <v>222.64137931034483</v>
      </c>
    </row>
    <row r="52" spans="1:9" ht="13.5" customHeight="1">
      <c r="A52" s="25" t="s">
        <v>396</v>
      </c>
      <c r="B52" s="26">
        <f>SUM('- 24 -'!H52,'- 24 -'!F52,'- 24 -'!D52,'- 24 -'!B52)</f>
        <v>2939</v>
      </c>
      <c r="C52" s="226">
        <f>B52/'- 3 -'!D52</f>
        <v>0.001214135194098452</v>
      </c>
      <c r="D52" s="26">
        <f>SUM('- 25 -'!B52,'- 25 -'!E52,'- 25 -'!H52,'- 26 -'!B52)</f>
        <v>127928</v>
      </c>
      <c r="E52" s="226">
        <f>D52/'- 3 -'!D52</f>
        <v>0.05284854954427586</v>
      </c>
      <c r="F52" s="230">
        <f>D52/'- 7 -'!F52</f>
        <v>462.66907775768533</v>
      </c>
      <c r="G52" s="26">
        <f>SUM('- 27 -'!B52,'- 27 -'!E52,'- 27 -'!H52,'- 28 -'!B52,'- 28 -'!E52,'- 28 -'!H52,'- 29 -'!B52,'- 29 -'!E52)</f>
        <v>111989</v>
      </c>
      <c r="H52" s="226">
        <f>G52/'- 3 -'!D52</f>
        <v>0.04626396265801005</v>
      </c>
      <c r="I52" s="26">
        <f>G52/'- 7 -'!F52</f>
        <v>405.0235081374322</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2"/>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219"/>
      <c r="B2" s="7" t="s">
        <v>76</v>
      </c>
      <c r="C2" s="8"/>
      <c r="D2" s="8"/>
      <c r="E2" s="8"/>
      <c r="F2" s="8"/>
      <c r="G2" s="8"/>
      <c r="H2" s="105"/>
      <c r="I2" s="105"/>
      <c r="J2" s="220" t="s">
        <v>80</v>
      </c>
    </row>
    <row r="3" spans="1:10" ht="15.75" customHeight="1">
      <c r="A3" s="221"/>
      <c r="B3" s="9" t="str">
        <f>OPYEAR</f>
        <v>OPERATING FUND 2003/2004 ACTUAL</v>
      </c>
      <c r="C3" s="10"/>
      <c r="D3" s="10"/>
      <c r="E3" s="10"/>
      <c r="F3" s="10"/>
      <c r="G3" s="10"/>
      <c r="H3" s="107"/>
      <c r="I3" s="107"/>
      <c r="J3" s="94"/>
    </row>
    <row r="4" spans="2:10" ht="15.75" customHeight="1">
      <c r="B4" s="6"/>
      <c r="C4" s="6"/>
      <c r="D4" s="6"/>
      <c r="E4" s="6"/>
      <c r="F4" s="6"/>
      <c r="G4" s="6"/>
      <c r="H4" s="6"/>
      <c r="I4" s="6"/>
      <c r="J4" s="6"/>
    </row>
    <row r="5" spans="2:10" ht="15.75" customHeight="1">
      <c r="B5" s="6"/>
      <c r="C5" s="6"/>
      <c r="D5" s="6"/>
      <c r="E5" s="6"/>
      <c r="F5" s="6"/>
      <c r="G5" s="6"/>
      <c r="H5" s="6"/>
      <c r="I5" s="6"/>
      <c r="J5" s="6"/>
    </row>
    <row r="6" spans="2:10" ht="15.75" customHeight="1">
      <c r="B6" s="209" t="s">
        <v>106</v>
      </c>
      <c r="C6" s="211"/>
      <c r="D6" s="210"/>
      <c r="E6" s="209" t="s">
        <v>107</v>
      </c>
      <c r="F6" s="211"/>
      <c r="G6" s="210"/>
      <c r="H6" s="209" t="s">
        <v>78</v>
      </c>
      <c r="I6" s="211"/>
      <c r="J6" s="210"/>
    </row>
    <row r="7" spans="2:10" ht="15.75" customHeight="1">
      <c r="B7" s="108" t="s">
        <v>141</v>
      </c>
      <c r="C7" s="71"/>
      <c r="D7" s="70"/>
      <c r="E7" s="108" t="s">
        <v>142</v>
      </c>
      <c r="F7" s="71"/>
      <c r="G7" s="70"/>
      <c r="H7" s="108" t="s">
        <v>143</v>
      </c>
      <c r="I7" s="71"/>
      <c r="J7" s="70"/>
    </row>
    <row r="8" spans="1:10" ht="15.75" customHeight="1">
      <c r="A8" s="96"/>
      <c r="B8" s="223"/>
      <c r="C8" s="225"/>
      <c r="D8" s="225" t="s">
        <v>150</v>
      </c>
      <c r="E8" s="223"/>
      <c r="F8" s="225"/>
      <c r="G8" s="225" t="s">
        <v>150</v>
      </c>
      <c r="H8" s="223"/>
      <c r="I8" s="225"/>
      <c r="J8" s="225" t="s">
        <v>150</v>
      </c>
    </row>
    <row r="9" spans="1:10" ht="15.75" customHeight="1">
      <c r="A9" s="49" t="s">
        <v>175</v>
      </c>
      <c r="B9" s="113" t="s">
        <v>176</v>
      </c>
      <c r="C9" s="113" t="s">
        <v>177</v>
      </c>
      <c r="D9" s="113" t="s">
        <v>178</v>
      </c>
      <c r="E9" s="113" t="s">
        <v>176</v>
      </c>
      <c r="F9" s="113" t="s">
        <v>177</v>
      </c>
      <c r="G9" s="113" t="s">
        <v>178</v>
      </c>
      <c r="H9" s="113" t="s">
        <v>176</v>
      </c>
      <c r="I9" s="113" t="s">
        <v>177</v>
      </c>
      <c r="J9" s="113" t="s">
        <v>178</v>
      </c>
    </row>
    <row r="10" ht="4.5" customHeight="1">
      <c r="A10" s="4"/>
    </row>
    <row r="11" spans="1:10" ht="13.5" customHeight="1">
      <c r="A11" s="25" t="s">
        <v>359</v>
      </c>
      <c r="B11" s="26">
        <f>SUM('- 31 -'!D11,'- 31 -'!B11,'- 30 -'!F11,'- 30 -'!D11,'- 30 -'!B11)</f>
        <v>831561</v>
      </c>
      <c r="C11" s="226">
        <f>B11/'- 3 -'!D11</f>
        <v>0.07285789835583659</v>
      </c>
      <c r="D11" s="26">
        <f>B11/'- 7 -'!F11</f>
        <v>532.3693982074263</v>
      </c>
      <c r="E11" s="26">
        <f>SUM('- 33 -'!D11,'- 33 -'!B11,'- 32 -'!F11,'- 32 -'!D11,'- 32 -'!B11)</f>
        <v>1328139</v>
      </c>
      <c r="F11" s="226">
        <f>E11/'- 3 -'!D11</f>
        <v>0.11636598669781584</v>
      </c>
      <c r="G11" s="26">
        <f>E11/'- 7 -'!F11</f>
        <v>850.2810499359795</v>
      </c>
      <c r="H11" s="26">
        <f>SUM('- 34 -'!B11,'- 34 -'!D11)</f>
        <v>206658</v>
      </c>
      <c r="I11" s="226">
        <f>H11/'- 3 -'!D11</f>
        <v>0.018106509995563135</v>
      </c>
      <c r="J11" s="26">
        <f>H11/'- 7 -'!F11</f>
        <v>132.303457106274</v>
      </c>
    </row>
    <row r="12" spans="1:10" ht="13.5" customHeight="1">
      <c r="A12" s="27" t="s">
        <v>360</v>
      </c>
      <c r="B12" s="28">
        <f>SUM('- 31 -'!D12,'- 31 -'!B12,'- 30 -'!F12,'- 30 -'!D12,'- 30 -'!B12)</f>
        <v>1411481</v>
      </c>
      <c r="C12" s="227">
        <f>B12/'- 3 -'!D12</f>
        <v>0.07361487433722252</v>
      </c>
      <c r="D12" s="28">
        <f>B12/'- 7 -'!F12</f>
        <v>594.2577467160661</v>
      </c>
      <c r="E12" s="28">
        <f>SUM('- 33 -'!D12,'- 33 -'!B12,'- 32 -'!F12,'- 32 -'!D12,'- 32 -'!B12)</f>
        <v>2232067</v>
      </c>
      <c r="F12" s="227">
        <f>E12/'- 3 -'!D12</f>
        <v>0.1164120039286829</v>
      </c>
      <c r="G12" s="28">
        <f>E12/'- 7 -'!F12</f>
        <v>939.7385483327721</v>
      </c>
      <c r="H12" s="28">
        <f>SUM('- 34 -'!B12,'- 34 -'!D12)</f>
        <v>361936</v>
      </c>
      <c r="I12" s="227">
        <f>H12/'- 3 -'!D12</f>
        <v>0.018876536884390914</v>
      </c>
      <c r="J12" s="28">
        <f>H12/'- 7 -'!F12</f>
        <v>152.38127315594477</v>
      </c>
    </row>
    <row r="13" spans="1:10" ht="13.5" customHeight="1">
      <c r="A13" s="25" t="s">
        <v>361</v>
      </c>
      <c r="B13" s="26">
        <f>SUM('- 31 -'!D13,'- 31 -'!B13,'- 30 -'!F13,'- 30 -'!D13,'- 30 -'!B13)</f>
        <v>1250559</v>
      </c>
      <c r="C13" s="226">
        <f>B13/'- 3 -'!D13</f>
        <v>0.025555658202054635</v>
      </c>
      <c r="D13" s="26">
        <f>B13/'- 7 -'!F13</f>
        <v>175.9120832747222</v>
      </c>
      <c r="E13" s="26">
        <f>SUM('- 33 -'!D13,'- 33 -'!B13,'- 32 -'!F13,'- 32 -'!D13,'- 32 -'!B13)</f>
        <v>4907886</v>
      </c>
      <c r="F13" s="226">
        <f>E13/'- 3 -'!D13</f>
        <v>0.1002945539639866</v>
      </c>
      <c r="G13" s="26">
        <f>E13/'- 7 -'!F13</f>
        <v>690.3764242509495</v>
      </c>
      <c r="H13" s="26">
        <f>SUM('- 34 -'!B13,'- 34 -'!D13)</f>
        <v>844122.9199999999</v>
      </c>
      <c r="I13" s="226">
        <f>H13/'- 3 -'!D13</f>
        <v>0.01724997926850337</v>
      </c>
      <c r="J13" s="26">
        <f>H13/'- 7 -'!F13</f>
        <v>118.7400365733577</v>
      </c>
    </row>
    <row r="14" spans="1:10" ht="13.5" customHeight="1">
      <c r="A14" s="27" t="s">
        <v>398</v>
      </c>
      <c r="B14" s="28">
        <f>SUM('- 31 -'!D14,'- 31 -'!B14,'- 30 -'!F14,'- 30 -'!D14,'- 30 -'!B14)</f>
        <v>3503911</v>
      </c>
      <c r="C14" s="227">
        <f>B14/'- 3 -'!D14</f>
        <v>0.08271721528254478</v>
      </c>
      <c r="D14" s="28">
        <f>B14/'- 7 -'!F14</f>
        <v>820.1654885070924</v>
      </c>
      <c r="E14" s="28">
        <f>SUM('- 33 -'!D14,'- 33 -'!B14,'- 32 -'!F14,'- 32 -'!D14,'- 32 -'!B14)</f>
        <v>4588256</v>
      </c>
      <c r="F14" s="227">
        <f>E14/'- 3 -'!D14</f>
        <v>0.10831546786531615</v>
      </c>
      <c r="G14" s="28">
        <f>E14/'- 7 -'!F14</f>
        <v>1073.9796825991293</v>
      </c>
      <c r="H14" s="28">
        <f>SUM('- 34 -'!B14,'- 34 -'!D14)</f>
        <v>683949</v>
      </c>
      <c r="I14" s="227">
        <f>H14/'- 3 -'!D14</f>
        <v>0.01614605983864351</v>
      </c>
      <c r="J14" s="28">
        <f>H14/'- 7 -'!F14</f>
        <v>160.09292636112542</v>
      </c>
    </row>
    <row r="15" spans="1:10" ht="13.5" customHeight="1">
      <c r="A15" s="25" t="s">
        <v>362</v>
      </c>
      <c r="B15" s="26">
        <f>SUM('- 31 -'!D15,'- 31 -'!B15,'- 30 -'!F15,'- 30 -'!D15,'- 30 -'!B15)</f>
        <v>874804</v>
      </c>
      <c r="C15" s="226">
        <f>B15/'- 3 -'!D15</f>
        <v>0.06694076442820161</v>
      </c>
      <c r="D15" s="26">
        <f>B15/'- 7 -'!F15</f>
        <v>526.5145952452604</v>
      </c>
      <c r="E15" s="26">
        <f>SUM('- 33 -'!D15,'- 33 -'!B15,'- 32 -'!F15,'- 32 -'!D15,'- 32 -'!B15)</f>
        <v>1633400</v>
      </c>
      <c r="F15" s="226">
        <f>E15/'- 3 -'!D15</f>
        <v>0.12498919142690765</v>
      </c>
      <c r="G15" s="26">
        <f>E15/'- 7 -'!F15</f>
        <v>983.0875714715619</v>
      </c>
      <c r="H15" s="26">
        <f>SUM('- 34 -'!B15,'- 34 -'!D15)</f>
        <v>244153</v>
      </c>
      <c r="I15" s="226">
        <f>H15/'- 3 -'!D15</f>
        <v>0.018682800327203247</v>
      </c>
      <c r="J15" s="26">
        <f>H15/'- 7 -'!F15</f>
        <v>146.9473367439061</v>
      </c>
    </row>
    <row r="16" spans="1:10" ht="13.5" customHeight="1">
      <c r="A16" s="27" t="s">
        <v>363</v>
      </c>
      <c r="B16" s="28">
        <f>SUM('- 31 -'!D16,'- 31 -'!B16,'- 30 -'!F16,'- 30 -'!D16,'- 30 -'!B16)</f>
        <v>190485</v>
      </c>
      <c r="C16" s="227">
        <f>B16/'- 3 -'!D16</f>
        <v>0.017780039116366077</v>
      </c>
      <c r="D16" s="28">
        <f>B16/'- 7 -'!F16</f>
        <v>136.85250377182268</v>
      </c>
      <c r="E16" s="28">
        <f>SUM('- 33 -'!D16,'- 33 -'!B16,'- 32 -'!F16,'- 32 -'!D16,'- 32 -'!B16)</f>
        <v>1580623.5</v>
      </c>
      <c r="F16" s="227">
        <f>E16/'- 3 -'!D16</f>
        <v>0.14753680162872382</v>
      </c>
      <c r="G16" s="28">
        <f>E16/'- 7 -'!F16</f>
        <v>1135.5869674545584</v>
      </c>
      <c r="H16" s="28">
        <f>SUM('- 34 -'!B16,'- 34 -'!D16)</f>
        <v>212734</v>
      </c>
      <c r="I16" s="227">
        <f>H16/'- 3 -'!D16</f>
        <v>0.019856780541150334</v>
      </c>
      <c r="J16" s="28">
        <f>H16/'- 7 -'!F16</f>
        <v>152.8371291041023</v>
      </c>
    </row>
    <row r="17" spans="1:10" ht="13.5" customHeight="1">
      <c r="A17" s="25" t="s">
        <v>364</v>
      </c>
      <c r="B17" s="26">
        <f>SUM('- 31 -'!D17,'- 31 -'!B17,'- 30 -'!F17,'- 30 -'!D17,'- 30 -'!B17)</f>
        <v>1077968</v>
      </c>
      <c r="C17" s="226">
        <f>B17/'- 3 -'!D17</f>
        <v>0.0873213211379035</v>
      </c>
      <c r="D17" s="26">
        <f>B17/'- 7 -'!F17</f>
        <v>682.6903103229893</v>
      </c>
      <c r="E17" s="26">
        <f>SUM('- 33 -'!D17,'- 33 -'!B17,'- 32 -'!F17,'- 32 -'!D17,'- 32 -'!B17)</f>
        <v>1380764</v>
      </c>
      <c r="F17" s="226">
        <f>E17/'- 3 -'!D17</f>
        <v>0.11184945810975482</v>
      </c>
      <c r="G17" s="26">
        <f>E17/'- 7 -'!F17</f>
        <v>874.4547181760609</v>
      </c>
      <c r="H17" s="26">
        <f>SUM('- 34 -'!B17,'- 34 -'!D17)</f>
        <v>251344</v>
      </c>
      <c r="I17" s="226">
        <f>H17/'- 3 -'!D17</f>
        <v>0.020360242734557256</v>
      </c>
      <c r="J17" s="26">
        <f>H17/'- 7 -'!F17</f>
        <v>159.17922735908803</v>
      </c>
    </row>
    <row r="18" spans="1:10" ht="13.5" customHeight="1">
      <c r="A18" s="27" t="s">
        <v>365</v>
      </c>
      <c r="B18" s="28">
        <f>SUM('- 31 -'!D18,'- 31 -'!B18,'- 30 -'!F18,'- 30 -'!D18,'- 30 -'!B18)</f>
        <v>5294484</v>
      </c>
      <c r="C18" s="227">
        <f>B18/'- 3 -'!D18</f>
        <v>0.07204405950132024</v>
      </c>
      <c r="D18" s="28">
        <f>B18/'- 7 -'!F18</f>
        <v>903.634346571999</v>
      </c>
      <c r="E18" s="28">
        <f>SUM('- 33 -'!D18,'- 33 -'!B18,'- 32 -'!F18,'- 32 -'!D18,'- 32 -'!B18)</f>
        <v>13266918</v>
      </c>
      <c r="F18" s="227">
        <f>E18/'- 3 -'!D18</f>
        <v>0.18052800420043513</v>
      </c>
      <c r="G18" s="28">
        <f>E18/'- 7 -'!F18</f>
        <v>2264.3269444112575</v>
      </c>
      <c r="H18" s="28">
        <f>SUM('- 34 -'!B18,'- 34 -'!D18)</f>
        <v>1153577</v>
      </c>
      <c r="I18" s="227">
        <f>H18/'- 3 -'!D18</f>
        <v>0.015697161428262794</v>
      </c>
      <c r="J18" s="28">
        <f>H18/'- 7 -'!F18</f>
        <v>196.88638186752232</v>
      </c>
    </row>
    <row r="19" spans="1:10" ht="13.5" customHeight="1">
      <c r="A19" s="25" t="s">
        <v>366</v>
      </c>
      <c r="B19" s="26">
        <f>SUM('- 31 -'!D19,'- 31 -'!B19,'- 30 -'!F19,'- 30 -'!D19,'- 30 -'!B19)</f>
        <v>704972</v>
      </c>
      <c r="C19" s="226">
        <f>B19/'- 3 -'!D19</f>
        <v>0.03842519554568343</v>
      </c>
      <c r="D19" s="26">
        <f>B19/'- 7 -'!F19</f>
        <v>234.21774809794346</v>
      </c>
      <c r="E19" s="26">
        <f>SUM('- 33 -'!D19,'- 33 -'!B19,'- 32 -'!F19,'- 32 -'!D19,'- 32 -'!B19)</f>
        <v>1650133</v>
      </c>
      <c r="F19" s="226">
        <f>E19/'- 3 -'!D19</f>
        <v>0.08994212990215956</v>
      </c>
      <c r="G19" s="26">
        <f>E19/'- 7 -'!F19</f>
        <v>548.2351573141965</v>
      </c>
      <c r="H19" s="26">
        <f>SUM('- 34 -'!B19,'- 34 -'!D19)</f>
        <v>348081</v>
      </c>
      <c r="I19" s="226">
        <f>H19/'- 3 -'!D19</f>
        <v>0.018972498894618557</v>
      </c>
      <c r="J19" s="26">
        <f>H19/'- 7 -'!F19</f>
        <v>115.64537027808232</v>
      </c>
    </row>
    <row r="20" spans="1:10" ht="13.5" customHeight="1">
      <c r="A20" s="27" t="s">
        <v>367</v>
      </c>
      <c r="B20" s="28">
        <f>SUM('- 31 -'!D20,'- 31 -'!B20,'- 30 -'!F20,'- 30 -'!D20,'- 30 -'!B20)</f>
        <v>1899638</v>
      </c>
      <c r="C20" s="227">
        <f>B20/'- 3 -'!D20</f>
        <v>0.051787283924429266</v>
      </c>
      <c r="D20" s="28">
        <f>B20/'- 7 -'!F20</f>
        <v>300.21935993678386</v>
      </c>
      <c r="E20" s="28">
        <f>SUM('- 33 -'!D20,'- 33 -'!B20,'- 32 -'!F20,'- 32 -'!D20,'- 32 -'!B20)</f>
        <v>4021687</v>
      </c>
      <c r="F20" s="227">
        <f>E20/'- 3 -'!D20</f>
        <v>0.10963786075251503</v>
      </c>
      <c r="G20" s="28">
        <f>E20/'- 7 -'!F20</f>
        <v>635.58862109838</v>
      </c>
      <c r="H20" s="28">
        <f>SUM('- 34 -'!B20,'- 34 -'!D20)</f>
        <v>679859</v>
      </c>
      <c r="I20" s="227">
        <f>H20/'- 3 -'!D20</f>
        <v>0.01853408442112579</v>
      </c>
      <c r="J20" s="28">
        <f>H20/'- 7 -'!F20</f>
        <v>107.44512050572897</v>
      </c>
    </row>
    <row r="21" spans="1:10" ht="13.5" customHeight="1">
      <c r="A21" s="25" t="s">
        <v>368</v>
      </c>
      <c r="B21" s="26">
        <f>SUM('- 31 -'!D21,'- 31 -'!B21,'- 30 -'!F21,'- 30 -'!D21,'- 30 -'!B21)</f>
        <v>1657985</v>
      </c>
      <c r="C21" s="226">
        <f>B21/'- 3 -'!D21</f>
        <v>0.06887452932889264</v>
      </c>
      <c r="D21" s="26">
        <f>B21/'- 7 -'!F21</f>
        <v>498.86715811644353</v>
      </c>
      <c r="E21" s="26">
        <f>SUM('- 33 -'!D21,'- 33 -'!B21,'- 32 -'!F21,'- 32 -'!D21,'- 32 -'!B21)</f>
        <v>2772572</v>
      </c>
      <c r="F21" s="226">
        <f>E21/'- 3 -'!D21</f>
        <v>0.11517570516649218</v>
      </c>
      <c r="G21" s="26">
        <f>E21/'- 7 -'!F21</f>
        <v>834.2325861290808</v>
      </c>
      <c r="H21" s="26">
        <f>SUM('- 34 -'!B21,'- 34 -'!D21)</f>
        <v>458337</v>
      </c>
      <c r="I21" s="226">
        <f>H21/'- 3 -'!D21</f>
        <v>0.019039825540651253</v>
      </c>
      <c r="J21" s="26">
        <f>H21/'- 7 -'!F21</f>
        <v>137.9079283887468</v>
      </c>
    </row>
    <row r="22" spans="1:10" ht="13.5" customHeight="1">
      <c r="A22" s="27" t="s">
        <v>369</v>
      </c>
      <c r="B22" s="28">
        <f>SUM('- 31 -'!D22,'- 31 -'!B22,'- 30 -'!F22,'- 30 -'!D22,'- 30 -'!B22)</f>
        <v>367505</v>
      </c>
      <c r="C22" s="227">
        <f>B22/'- 3 -'!D22</f>
        <v>0.02725928763215846</v>
      </c>
      <c r="D22" s="28">
        <f>B22/'- 7 -'!F22</f>
        <v>217.201536643026</v>
      </c>
      <c r="E22" s="28">
        <f>SUM('- 33 -'!D22,'- 33 -'!B22,'- 32 -'!F22,'- 32 -'!D22,'- 32 -'!B22)</f>
        <v>1674983</v>
      </c>
      <c r="F22" s="227">
        <f>E22/'- 3 -'!D22</f>
        <v>0.12424006034196997</v>
      </c>
      <c r="G22" s="28">
        <f>E22/'- 7 -'!F22</f>
        <v>989.942671394799</v>
      </c>
      <c r="H22" s="28">
        <f>SUM('- 34 -'!B22,'- 34 -'!D22)</f>
        <v>259662</v>
      </c>
      <c r="I22" s="227">
        <f>H22/'- 3 -'!D22</f>
        <v>0.019260149236449926</v>
      </c>
      <c r="J22" s="28">
        <f>H22/'- 7 -'!F22</f>
        <v>153.46453900709218</v>
      </c>
    </row>
    <row r="23" spans="1:10" ht="13.5" customHeight="1">
      <c r="A23" s="25" t="s">
        <v>370</v>
      </c>
      <c r="B23" s="26">
        <f>SUM('- 31 -'!D23,'- 31 -'!B23,'- 30 -'!F23,'- 30 -'!D23,'- 30 -'!B23)</f>
        <v>1174390</v>
      </c>
      <c r="C23" s="226">
        <f>B23/'- 3 -'!D23</f>
        <v>0.1038129392297534</v>
      </c>
      <c r="D23" s="26">
        <f>B23/'- 7 -'!F23</f>
        <v>884.6629001883239</v>
      </c>
      <c r="E23" s="26">
        <f>SUM('- 33 -'!D23,'- 33 -'!B23,'- 32 -'!F23,'- 32 -'!D23,'- 32 -'!B23)</f>
        <v>1047241</v>
      </c>
      <c r="F23" s="226">
        <f>E23/'- 3 -'!D23</f>
        <v>0.0925733072419777</v>
      </c>
      <c r="G23" s="26">
        <f>E23/'- 7 -'!F23</f>
        <v>788.882109227872</v>
      </c>
      <c r="H23" s="26">
        <f>SUM('- 34 -'!B23,'- 34 -'!D23)</f>
        <v>203690</v>
      </c>
      <c r="I23" s="226">
        <f>H23/'- 3 -'!D23</f>
        <v>0.018005651948422987</v>
      </c>
      <c r="J23" s="26">
        <f>H23/'- 7 -'!F23</f>
        <v>153.43879472693033</v>
      </c>
    </row>
    <row r="24" spans="1:10" ht="13.5" customHeight="1">
      <c r="A24" s="27" t="s">
        <v>371</v>
      </c>
      <c r="B24" s="28">
        <f>SUM('- 31 -'!D24,'- 31 -'!B24,'- 30 -'!F24,'- 30 -'!D24,'- 30 -'!B24)</f>
        <v>1729179</v>
      </c>
      <c r="C24" s="227">
        <f>B24/'- 3 -'!D24</f>
        <v>0.04964552495307151</v>
      </c>
      <c r="D24" s="28">
        <f>B24/'- 7 -'!F24</f>
        <v>371.0286449951722</v>
      </c>
      <c r="E24" s="28">
        <f>SUM('- 33 -'!D24,'- 33 -'!B24,'- 32 -'!F24,'- 32 -'!D24,'- 32 -'!B24)</f>
        <v>3885013</v>
      </c>
      <c r="F24" s="227">
        <f>E24/'- 3 -'!D24</f>
        <v>0.11154051132618843</v>
      </c>
      <c r="G24" s="28">
        <f>E24/'- 7 -'!F24</f>
        <v>833.604334298895</v>
      </c>
      <c r="H24" s="28">
        <f>SUM('- 34 -'!B24,'- 34 -'!D24)</f>
        <v>669053</v>
      </c>
      <c r="I24" s="227">
        <f>H24/'- 3 -'!D24</f>
        <v>0.019208819564907595</v>
      </c>
      <c r="J24" s="28">
        <f>H24/'- 7 -'!F24</f>
        <v>143.55820190966634</v>
      </c>
    </row>
    <row r="25" spans="1:10" ht="13.5" customHeight="1">
      <c r="A25" s="25" t="s">
        <v>372</v>
      </c>
      <c r="B25" s="26">
        <f>SUM('- 31 -'!D25,'- 31 -'!B25,'- 30 -'!F25,'- 30 -'!D25,'- 30 -'!B25)</f>
        <v>1555028</v>
      </c>
      <c r="C25" s="226">
        <f>B25/'- 3 -'!D25</f>
        <v>0.014075114347865247</v>
      </c>
      <c r="D25" s="26">
        <f>B25/'- 7 -'!F25</f>
        <v>103.56151976291166</v>
      </c>
      <c r="E25" s="26">
        <f>SUM('- 33 -'!D25,'- 33 -'!B25,'- 32 -'!F25,'- 32 -'!D25,'- 32 -'!B25)</f>
        <v>12654539</v>
      </c>
      <c r="F25" s="226">
        <f>E25/'- 3 -'!D25</f>
        <v>0.11454075646516998</v>
      </c>
      <c r="G25" s="26">
        <f>E25/'- 7 -'!F25</f>
        <v>842.7650760880424</v>
      </c>
      <c r="H25" s="26">
        <f>SUM('- 34 -'!B25,'- 34 -'!D25)</f>
        <v>1680791.91</v>
      </c>
      <c r="I25" s="226">
        <f>H25/'- 3 -'!D25</f>
        <v>0.015213448457659175</v>
      </c>
      <c r="J25" s="26">
        <f>H25/'- 7 -'!F25</f>
        <v>111.93712563684193</v>
      </c>
    </row>
    <row r="26" spans="1:10" ht="13.5" customHeight="1">
      <c r="A26" s="27" t="s">
        <v>373</v>
      </c>
      <c r="B26" s="28">
        <f>SUM('- 31 -'!D26,'- 31 -'!B26,'- 30 -'!F26,'- 30 -'!D26,'- 30 -'!B26)</f>
        <v>1915225</v>
      </c>
      <c r="C26" s="227">
        <f>B26/'- 3 -'!D26</f>
        <v>0.07073663681525008</v>
      </c>
      <c r="D26" s="28">
        <f>B26/'- 7 -'!F26</f>
        <v>580.3360402399854</v>
      </c>
      <c r="E26" s="28">
        <f>SUM('- 33 -'!D26,'- 33 -'!B26,'- 32 -'!F26,'- 32 -'!D26,'- 32 -'!B26)</f>
        <v>3149825</v>
      </c>
      <c r="F26" s="227">
        <f>E26/'- 3 -'!D26</f>
        <v>0.1163351705708703</v>
      </c>
      <c r="G26" s="28">
        <f>E26/'- 7 -'!F26</f>
        <v>954.4345797224411</v>
      </c>
      <c r="H26" s="28">
        <f>SUM('- 34 -'!B26,'- 34 -'!D26)</f>
        <v>532608</v>
      </c>
      <c r="I26" s="227">
        <f>H26/'- 3 -'!D26</f>
        <v>0.01967126507898378</v>
      </c>
      <c r="J26" s="28">
        <f>H26/'- 7 -'!F26</f>
        <v>161.38658263135568</v>
      </c>
    </row>
    <row r="27" spans="1:10" ht="13.5" customHeight="1">
      <c r="A27" s="25" t="s">
        <v>374</v>
      </c>
      <c r="B27" s="26">
        <f>SUM('- 31 -'!D27,'- 31 -'!B27,'- 30 -'!F27,'- 30 -'!D27,'- 30 -'!B27)</f>
        <v>122976</v>
      </c>
      <c r="C27" s="226">
        <f>B27/'- 3 -'!D27</f>
        <v>0.004536580268776268</v>
      </c>
      <c r="D27" s="26">
        <f>B27/'- 7 -'!F27</f>
        <v>37.86206896551724</v>
      </c>
      <c r="E27" s="26">
        <f>SUM('- 33 -'!D27,'- 33 -'!B27,'- 32 -'!F27,'- 32 -'!D27,'- 32 -'!B27)</f>
        <v>3538489.36</v>
      </c>
      <c r="F27" s="226">
        <f>E27/'- 3 -'!D27</f>
        <v>0.13053474671359258</v>
      </c>
      <c r="G27" s="26">
        <f>E27/'- 7 -'!F27</f>
        <v>1089.4363793103448</v>
      </c>
      <c r="H27" s="26">
        <f>SUM('- 34 -'!B27,'- 34 -'!D27)</f>
        <v>492538</v>
      </c>
      <c r="I27" s="226">
        <f>H27/'- 3 -'!D27</f>
        <v>0.018169709312569324</v>
      </c>
      <c r="J27" s="26">
        <f>H27/'- 7 -'!F27</f>
        <v>151.64347290640393</v>
      </c>
    </row>
    <row r="28" spans="1:10" ht="13.5" customHeight="1">
      <c r="A28" s="27" t="s">
        <v>375</v>
      </c>
      <c r="B28" s="28">
        <f>SUM('- 31 -'!D28,'- 31 -'!B28,'- 30 -'!F28,'- 30 -'!D28,'- 30 -'!B28)</f>
        <v>1792072.28</v>
      </c>
      <c r="C28" s="227">
        <f>B28/'- 3 -'!D28</f>
        <v>0.10747798270682075</v>
      </c>
      <c r="D28" s="28">
        <f>B28/'- 7 -'!F28</f>
        <v>860.3323475756121</v>
      </c>
      <c r="E28" s="28">
        <f>SUM('- 33 -'!D28,'- 33 -'!B28,'- 32 -'!F28,'- 32 -'!D28,'- 32 -'!B28)</f>
        <v>1876225.54</v>
      </c>
      <c r="F28" s="227">
        <f>E28/'- 3 -'!D28</f>
        <v>0.11252500158208767</v>
      </c>
      <c r="G28" s="28">
        <f>E28/'- 7 -'!F28</f>
        <v>900.7323763802209</v>
      </c>
      <c r="H28" s="28">
        <f>SUM('- 34 -'!B28,'- 34 -'!D28)</f>
        <v>266998</v>
      </c>
      <c r="I28" s="227">
        <f>H28/'- 3 -'!D28</f>
        <v>0.016012973777349945</v>
      </c>
      <c r="J28" s="28">
        <f>H28/'- 7 -'!F28</f>
        <v>128.17954872779646</v>
      </c>
    </row>
    <row r="29" spans="1:10" ht="13.5" customHeight="1">
      <c r="A29" s="25" t="s">
        <v>376</v>
      </c>
      <c r="B29" s="26">
        <f>SUM('- 31 -'!D29,'- 31 -'!B29,'- 30 -'!F29,'- 30 -'!D29,'- 30 -'!B29)</f>
        <v>1419789</v>
      </c>
      <c r="C29" s="226">
        <f>B29/'- 3 -'!D29</f>
        <v>0.013939311861953442</v>
      </c>
      <c r="D29" s="26">
        <f>B29/'- 7 -'!F29</f>
        <v>107.89490082833042</v>
      </c>
      <c r="E29" s="26">
        <f>SUM('- 33 -'!D29,'- 33 -'!B29,'- 32 -'!F29,'- 32 -'!D29,'- 32 -'!B29)</f>
        <v>10600325</v>
      </c>
      <c r="F29" s="226">
        <f>E29/'- 3 -'!D29</f>
        <v>0.10407267277959022</v>
      </c>
      <c r="G29" s="26">
        <f>E29/'- 7 -'!F29</f>
        <v>805.5570332092104</v>
      </c>
      <c r="H29" s="26">
        <f>SUM('- 34 -'!B29,'- 34 -'!D29)</f>
        <v>1971163</v>
      </c>
      <c r="I29" s="226">
        <f>H29/'- 3 -'!D29</f>
        <v>0.019352633234757933</v>
      </c>
      <c r="J29" s="26">
        <f>H29/'- 7 -'!F29</f>
        <v>149.7958051523672</v>
      </c>
    </row>
    <row r="30" spans="1:10" ht="13.5" customHeight="1">
      <c r="A30" s="27" t="s">
        <v>377</v>
      </c>
      <c r="B30" s="28">
        <f>SUM('- 31 -'!D30,'- 31 -'!B30,'- 30 -'!F30,'- 30 -'!D30,'- 30 -'!B30)</f>
        <v>921799</v>
      </c>
      <c r="C30" s="227">
        <f>B30/'- 3 -'!D30</f>
        <v>0.09382540049127595</v>
      </c>
      <c r="D30" s="28">
        <f>B30/'- 7 -'!F30</f>
        <v>723.2632404864653</v>
      </c>
      <c r="E30" s="28">
        <f>SUM('- 33 -'!D30,'- 33 -'!B30,'- 32 -'!F30,'- 32 -'!D30,'- 32 -'!B30)</f>
        <v>1126554</v>
      </c>
      <c r="F30" s="227">
        <f>E30/'- 3 -'!D30</f>
        <v>0.1146664079968072</v>
      </c>
      <c r="G30" s="28">
        <f>E30/'- 7 -'!F30</f>
        <v>883.9183993723028</v>
      </c>
      <c r="H30" s="28">
        <f>SUM('- 34 -'!B30,'- 34 -'!D30)</f>
        <v>170205</v>
      </c>
      <c r="I30" s="227">
        <f>H30/'- 3 -'!D30</f>
        <v>0.017324332409362153</v>
      </c>
      <c r="J30" s="28">
        <f>H30/'- 7 -'!F30</f>
        <v>133.54648881914477</v>
      </c>
    </row>
    <row r="31" spans="1:10" ht="13.5" customHeight="1">
      <c r="A31" s="25" t="s">
        <v>378</v>
      </c>
      <c r="B31" s="26">
        <f>SUM('- 31 -'!D31,'- 31 -'!B31,'- 30 -'!F31,'- 30 -'!D31,'- 30 -'!B31)</f>
        <v>749497</v>
      </c>
      <c r="C31" s="226">
        <f>B31/'- 3 -'!D31</f>
        <v>0.03006891405451542</v>
      </c>
      <c r="D31" s="26">
        <f>B31/'- 7 -'!F31</f>
        <v>220.2589044316445</v>
      </c>
      <c r="E31" s="26">
        <f>SUM('- 33 -'!D31,'- 33 -'!B31,'- 32 -'!F31,'- 32 -'!D31,'- 32 -'!B31)</f>
        <v>3181787</v>
      </c>
      <c r="F31" s="226">
        <f>E31/'- 3 -'!D31</f>
        <v>0.1276494500215137</v>
      </c>
      <c r="G31" s="26">
        <f>E31/'- 7 -'!F31</f>
        <v>935.0496649817796</v>
      </c>
      <c r="H31" s="26">
        <f>SUM('- 34 -'!B31,'- 34 -'!D31)</f>
        <v>437096</v>
      </c>
      <c r="I31" s="226">
        <f>H31/'- 3 -'!D31</f>
        <v>0.01753576339541382</v>
      </c>
      <c r="J31" s="26">
        <f>H31/'- 7 -'!F31</f>
        <v>128.4518631715058</v>
      </c>
    </row>
    <row r="32" spans="1:10" ht="13.5" customHeight="1">
      <c r="A32" s="27" t="s">
        <v>379</v>
      </c>
      <c r="B32" s="28">
        <f>SUM('- 31 -'!D32,'- 31 -'!B32,'- 30 -'!F32,'- 30 -'!D32,'- 30 -'!B32)</f>
        <v>1317461</v>
      </c>
      <c r="C32" s="227">
        <f>B32/'- 3 -'!D32</f>
        <v>0.07112456420406071</v>
      </c>
      <c r="D32" s="28">
        <f>B32/'- 7 -'!F32</f>
        <v>567.3819982773471</v>
      </c>
      <c r="E32" s="28">
        <f>SUM('- 33 -'!D32,'- 33 -'!B32,'- 32 -'!F32,'- 32 -'!D32,'- 32 -'!B32)</f>
        <v>2033844</v>
      </c>
      <c r="F32" s="227">
        <f>E32/'- 3 -'!D32</f>
        <v>0.10979927918856319</v>
      </c>
      <c r="G32" s="28">
        <f>E32/'- 7 -'!F32</f>
        <v>875.9018087855297</v>
      </c>
      <c r="H32" s="28">
        <f>SUM('- 34 -'!B32,'- 34 -'!D32)</f>
        <v>306674</v>
      </c>
      <c r="I32" s="227">
        <f>H32/'- 3 -'!D32</f>
        <v>0.01655612925370551</v>
      </c>
      <c r="J32" s="28">
        <f>H32/'- 7 -'!F32</f>
        <v>132.07321274763135</v>
      </c>
    </row>
    <row r="33" spans="1:10" ht="13.5" customHeight="1">
      <c r="A33" s="25" t="s">
        <v>380</v>
      </c>
      <c r="B33" s="26">
        <f>SUM('- 31 -'!D33,'- 31 -'!B33,'- 30 -'!F33,'- 30 -'!D33,'- 30 -'!B33)</f>
        <v>1991015</v>
      </c>
      <c r="C33" s="226">
        <f>B33/'- 3 -'!D33</f>
        <v>0.09058959550617113</v>
      </c>
      <c r="D33" s="26">
        <f>B33/'- 7 -'!F33</f>
        <v>788.7394525214912</v>
      </c>
      <c r="E33" s="26">
        <f>SUM('- 33 -'!D33,'- 33 -'!B33,'- 32 -'!F33,'- 32 -'!D33,'- 32 -'!B33)</f>
        <v>2447650</v>
      </c>
      <c r="F33" s="226">
        <f>E33/'- 3 -'!D33</f>
        <v>0.11136612403255614</v>
      </c>
      <c r="G33" s="26">
        <f>E33/'- 7 -'!F33</f>
        <v>969.6351463772136</v>
      </c>
      <c r="H33" s="26">
        <f>SUM('- 34 -'!B33,'- 34 -'!D33)</f>
        <v>387467</v>
      </c>
      <c r="I33" s="226">
        <f>H33/'- 3 -'!D33</f>
        <v>0.01762943965866134</v>
      </c>
      <c r="J33" s="26">
        <f>H33/'- 7 -'!F33</f>
        <v>153.4948302499703</v>
      </c>
    </row>
    <row r="34" spans="1:10" ht="13.5" customHeight="1">
      <c r="A34" s="27" t="s">
        <v>381</v>
      </c>
      <c r="B34" s="28">
        <f>SUM('- 31 -'!D34,'- 31 -'!B34,'- 30 -'!F34,'- 30 -'!D34,'- 30 -'!B34)</f>
        <v>1672538</v>
      </c>
      <c r="C34" s="227">
        <f>B34/'- 3 -'!D34</f>
        <v>0.09853400055684437</v>
      </c>
      <c r="D34" s="28">
        <f>B34/'- 7 -'!F34</f>
        <v>764.064869803563</v>
      </c>
      <c r="E34" s="28">
        <f>SUM('- 33 -'!D34,'- 33 -'!B34,'- 32 -'!F34,'- 32 -'!D34,'- 32 -'!B34)</f>
        <v>1840658</v>
      </c>
      <c r="F34" s="227">
        <f>E34/'- 3 -'!D34</f>
        <v>0.10843843093368286</v>
      </c>
      <c r="G34" s="28">
        <f>E34/'- 7 -'!F34</f>
        <v>840.8670625856554</v>
      </c>
      <c r="H34" s="28">
        <f>SUM('- 34 -'!B34,'- 34 -'!D34)</f>
        <v>306200</v>
      </c>
      <c r="I34" s="227">
        <f>H34/'- 3 -'!D34</f>
        <v>0.018039118376088164</v>
      </c>
      <c r="J34" s="28">
        <f>H34/'- 7 -'!F34</f>
        <v>139.88122430333482</v>
      </c>
    </row>
    <row r="35" spans="1:10" ht="13.5" customHeight="1">
      <c r="A35" s="25" t="s">
        <v>382</v>
      </c>
      <c r="B35" s="26">
        <f>SUM('- 31 -'!D35,'- 31 -'!B35,'- 30 -'!F35,'- 30 -'!D35,'- 30 -'!B35)</f>
        <v>2344103</v>
      </c>
      <c r="C35" s="226">
        <f>B35/'- 3 -'!D35</f>
        <v>0.018577731004628926</v>
      </c>
      <c r="D35" s="26">
        <f>B35/'- 7 -'!F35</f>
        <v>131.3848611383572</v>
      </c>
      <c r="E35" s="26">
        <f>SUM('- 33 -'!D35,'- 33 -'!B35,'- 32 -'!F35,'- 32 -'!D35,'- 32 -'!B35)</f>
        <v>14099023.75</v>
      </c>
      <c r="F35" s="226">
        <f>E35/'- 3 -'!D35</f>
        <v>0.11173906208702203</v>
      </c>
      <c r="G35" s="26">
        <f>E35/'- 7 -'!F35</f>
        <v>790.2375781184318</v>
      </c>
      <c r="H35" s="26">
        <f>SUM('- 34 -'!B35,'- 34 -'!D35)</f>
        <v>2114100</v>
      </c>
      <c r="I35" s="226">
        <f>H35/'- 3 -'!D35</f>
        <v>0.01675488710047554</v>
      </c>
      <c r="J35" s="26">
        <f>H35/'- 7 -'!F35</f>
        <v>118.49340021859149</v>
      </c>
    </row>
    <row r="36" spans="1:10" ht="13.5" customHeight="1">
      <c r="A36" s="27" t="s">
        <v>383</v>
      </c>
      <c r="B36" s="28">
        <f>SUM('- 31 -'!D36,'- 31 -'!B36,'- 30 -'!F36,'- 30 -'!D36,'- 30 -'!B36)</f>
        <v>1197948</v>
      </c>
      <c r="C36" s="227">
        <f>B36/'- 3 -'!D36</f>
        <v>0.0717650757531826</v>
      </c>
      <c r="D36" s="28">
        <f>B36/'- 7 -'!F36</f>
        <v>572.2225937425364</v>
      </c>
      <c r="E36" s="28">
        <f>SUM('- 33 -'!D36,'- 33 -'!B36,'- 32 -'!F36,'- 32 -'!D36,'- 32 -'!B36)</f>
        <v>1827125</v>
      </c>
      <c r="F36" s="227">
        <f>E36/'- 3 -'!D36</f>
        <v>0.10945697478983542</v>
      </c>
      <c r="G36" s="28">
        <f>E36/'- 7 -'!F36</f>
        <v>872.7609266778122</v>
      </c>
      <c r="H36" s="28">
        <f>SUM('- 34 -'!B36,'- 34 -'!D36)</f>
        <v>327192</v>
      </c>
      <c r="I36" s="227">
        <f>H36/'- 3 -'!D36</f>
        <v>0.019600983236196665</v>
      </c>
      <c r="J36" s="28">
        <f>H36/'- 7 -'!F36</f>
        <v>156.28946739909242</v>
      </c>
    </row>
    <row r="37" spans="1:10" ht="13.5" customHeight="1">
      <c r="A37" s="25" t="s">
        <v>384</v>
      </c>
      <c r="B37" s="26">
        <f>SUM('- 31 -'!D37,'- 31 -'!B37,'- 30 -'!F37,'- 30 -'!D37,'- 30 -'!B37)</f>
        <v>1631655</v>
      </c>
      <c r="C37" s="226">
        <f>B37/'- 3 -'!D37</f>
        <v>0.06468590879269616</v>
      </c>
      <c r="D37" s="26">
        <f>B37/'- 7 -'!F37</f>
        <v>484.2712136051999</v>
      </c>
      <c r="E37" s="26">
        <f>SUM('- 33 -'!D37,'- 33 -'!B37,'- 32 -'!F37,'- 32 -'!D37,'- 32 -'!B37)</f>
        <v>2978716</v>
      </c>
      <c r="F37" s="226">
        <f>E37/'- 3 -'!D37</f>
        <v>0.11808927223913432</v>
      </c>
      <c r="G37" s="26">
        <f>E37/'- 7 -'!F37</f>
        <v>884.075624016858</v>
      </c>
      <c r="H37" s="26">
        <f>SUM('- 34 -'!B37,'- 34 -'!D37)</f>
        <v>417925</v>
      </c>
      <c r="I37" s="226">
        <f>H37/'- 3 -'!D37</f>
        <v>0.016568366739407252</v>
      </c>
      <c r="J37" s="26">
        <f>H37/'- 7 -'!F37</f>
        <v>124.03911791766835</v>
      </c>
    </row>
    <row r="38" spans="1:10" ht="13.5" customHeight="1">
      <c r="A38" s="27" t="s">
        <v>385</v>
      </c>
      <c r="B38" s="28">
        <f>SUM('- 31 -'!D38,'- 31 -'!B38,'- 30 -'!F38,'- 30 -'!D38,'- 30 -'!B38)</f>
        <v>1932952</v>
      </c>
      <c r="C38" s="227">
        <f>B38/'- 3 -'!D38</f>
        <v>0.029616413640653573</v>
      </c>
      <c r="D38" s="28">
        <f>B38/'- 7 -'!F38</f>
        <v>227.2724279835391</v>
      </c>
      <c r="E38" s="28">
        <f>SUM('- 33 -'!D38,'- 33 -'!B38,'- 32 -'!F38,'- 32 -'!D38,'- 32 -'!B38)</f>
        <v>7797239</v>
      </c>
      <c r="F38" s="227">
        <f>E38/'- 3 -'!D38</f>
        <v>0.11946817897135367</v>
      </c>
      <c r="G38" s="28">
        <f>E38/'- 7 -'!F38</f>
        <v>916.7829512051734</v>
      </c>
      <c r="H38" s="28">
        <f>SUM('- 34 -'!B38,'- 34 -'!D38)</f>
        <v>1158869</v>
      </c>
      <c r="I38" s="227">
        <f>H38/'- 3 -'!D38</f>
        <v>0.017756024805236015</v>
      </c>
      <c r="J38" s="28">
        <f>H38/'- 7 -'!F38</f>
        <v>136.25737801293357</v>
      </c>
    </row>
    <row r="39" spans="1:10" ht="13.5" customHeight="1">
      <c r="A39" s="25" t="s">
        <v>386</v>
      </c>
      <c r="B39" s="26">
        <f>SUM('- 31 -'!D39,'- 31 -'!B39,'- 30 -'!F39,'- 30 -'!D39,'- 30 -'!B39)</f>
        <v>1425106</v>
      </c>
      <c r="C39" s="226">
        <f>B39/'- 3 -'!D39</f>
        <v>0.09295519840512485</v>
      </c>
      <c r="D39" s="26">
        <f>B39/'- 7 -'!F39</f>
        <v>783.0252747252747</v>
      </c>
      <c r="E39" s="26">
        <f>SUM('- 33 -'!D39,'- 33 -'!B39,'- 32 -'!F39,'- 32 -'!D39,'- 32 -'!B39)</f>
        <v>1682488</v>
      </c>
      <c r="F39" s="226">
        <f>E39/'- 3 -'!D39</f>
        <v>0.10974341968544213</v>
      </c>
      <c r="G39" s="26">
        <f>E39/'- 7 -'!F39</f>
        <v>924.4439560439561</v>
      </c>
      <c r="H39" s="26">
        <f>SUM('- 34 -'!B39,'- 34 -'!D39)</f>
        <v>291409</v>
      </c>
      <c r="I39" s="226">
        <f>H39/'- 3 -'!D39</f>
        <v>0.01900769585703732</v>
      </c>
      <c r="J39" s="26">
        <f>H39/'- 7 -'!F39</f>
        <v>160.11483516483517</v>
      </c>
    </row>
    <row r="40" spans="1:10" ht="13.5" customHeight="1">
      <c r="A40" s="27" t="s">
        <v>387</v>
      </c>
      <c r="B40" s="28">
        <f>SUM('- 31 -'!D40,'- 31 -'!B40,'- 30 -'!F40,'- 30 -'!D40,'- 30 -'!B40)</f>
        <v>1018094</v>
      </c>
      <c r="C40" s="227">
        <f>B40/'- 3 -'!D40</f>
        <v>0.015495083912447295</v>
      </c>
      <c r="D40" s="28">
        <f>B40/'- 7 -'!F40</f>
        <v>113.57104451172307</v>
      </c>
      <c r="E40" s="28">
        <f>SUM('- 33 -'!D40,'- 33 -'!B40,'- 32 -'!F40,'- 32 -'!D40,'- 32 -'!B40)</f>
        <v>7713573</v>
      </c>
      <c r="F40" s="227">
        <f>E40/'- 3 -'!D40</f>
        <v>0.11739825684051552</v>
      </c>
      <c r="G40" s="28">
        <f>E40/'- 7 -'!F40</f>
        <v>860.4692125947362</v>
      </c>
      <c r="H40" s="28">
        <f>SUM('- 34 -'!B40,'- 34 -'!D40)</f>
        <v>1140462.11</v>
      </c>
      <c r="I40" s="227">
        <f>H40/'- 3 -'!D40</f>
        <v>0.017357489675233033</v>
      </c>
      <c r="J40" s="28">
        <f>H40/'- 7 -'!F40</f>
        <v>127.22152675366286</v>
      </c>
    </row>
    <row r="41" spans="1:10" ht="13.5" customHeight="1">
      <c r="A41" s="25" t="s">
        <v>388</v>
      </c>
      <c r="B41" s="26">
        <f>SUM('- 31 -'!D41,'- 31 -'!B41,'- 30 -'!F41,'- 30 -'!D41,'- 30 -'!B41)</f>
        <v>3162086</v>
      </c>
      <c r="C41" s="226">
        <f>B41/'- 3 -'!D41</f>
        <v>0.0808827324871521</v>
      </c>
      <c r="D41" s="26">
        <f>B41/'- 7 -'!F41</f>
        <v>661.2475951484735</v>
      </c>
      <c r="E41" s="26">
        <f>SUM('- 33 -'!D41,'- 33 -'!B41,'- 32 -'!F41,'- 32 -'!D41,'- 32 -'!B41)</f>
        <v>3606913</v>
      </c>
      <c r="F41" s="226">
        <f>E41/'- 3 -'!D41</f>
        <v>0.09226092499806496</v>
      </c>
      <c r="G41" s="26">
        <f>E41/'- 7 -'!F41</f>
        <v>754.2687160184023</v>
      </c>
      <c r="H41" s="26">
        <f>SUM('- 34 -'!B41,'- 34 -'!D41)</f>
        <v>759764</v>
      </c>
      <c r="I41" s="226">
        <f>H41/'- 3 -'!D41</f>
        <v>0.01943393960991846</v>
      </c>
      <c r="J41" s="26">
        <f>H41/'- 7 -'!F41</f>
        <v>158.87996654119615</v>
      </c>
    </row>
    <row r="42" spans="1:10" ht="13.5" customHeight="1">
      <c r="A42" s="27" t="s">
        <v>389</v>
      </c>
      <c r="B42" s="28">
        <f>SUM('- 31 -'!D42,'- 31 -'!B42,'- 30 -'!F42,'- 30 -'!D42,'- 30 -'!B42)</f>
        <v>1161680</v>
      </c>
      <c r="C42" s="227">
        <f>B42/'- 3 -'!D42</f>
        <v>0.07686348698531939</v>
      </c>
      <c r="D42" s="28">
        <f>B42/'- 7 -'!F42</f>
        <v>621.019993584946</v>
      </c>
      <c r="E42" s="28">
        <f>SUM('- 33 -'!D42,'- 33 -'!B42,'- 32 -'!F42,'- 32 -'!D42,'- 32 -'!B42)</f>
        <v>1814214</v>
      </c>
      <c r="F42" s="227">
        <f>E42/'- 3 -'!D42</f>
        <v>0.12003892137041547</v>
      </c>
      <c r="G42" s="28">
        <f>E42/'- 7 -'!F42</f>
        <v>969.8567304608147</v>
      </c>
      <c r="H42" s="28">
        <f>SUM('- 34 -'!B42,'- 34 -'!D42)</f>
        <v>237770</v>
      </c>
      <c r="I42" s="227">
        <f>H42/'- 3 -'!D42</f>
        <v>0.01573224235632824</v>
      </c>
      <c r="J42" s="28">
        <f>H42/'- 7 -'!F42</f>
        <v>127.10894900032075</v>
      </c>
    </row>
    <row r="43" spans="1:10" ht="13.5" customHeight="1">
      <c r="A43" s="25" t="s">
        <v>390</v>
      </c>
      <c r="B43" s="26">
        <f>SUM('- 31 -'!D43,'- 31 -'!B43,'- 30 -'!F43,'- 30 -'!D43,'- 30 -'!B43)</f>
        <v>696974</v>
      </c>
      <c r="C43" s="226">
        <f>B43/'- 3 -'!D43</f>
        <v>0.0754678858631791</v>
      </c>
      <c r="D43" s="26">
        <f>B43/'- 7 -'!F43</f>
        <v>576.4880066170389</v>
      </c>
      <c r="E43" s="26">
        <f>SUM('- 33 -'!D43,'- 33 -'!B43,'- 32 -'!F43,'- 32 -'!D43,'- 32 -'!B43)</f>
        <v>859919</v>
      </c>
      <c r="F43" s="226">
        <f>E43/'- 3 -'!D43</f>
        <v>0.09311146318740599</v>
      </c>
      <c r="G43" s="26">
        <f>E43/'- 7 -'!F43</f>
        <v>711.2646815550041</v>
      </c>
      <c r="H43" s="26">
        <f>SUM('- 34 -'!B43,'- 34 -'!D43)</f>
        <v>180715</v>
      </c>
      <c r="I43" s="226">
        <f>H43/'- 3 -'!D43</f>
        <v>0.019567701225245718</v>
      </c>
      <c r="J43" s="26">
        <f>H43/'- 7 -'!F43</f>
        <v>149.47477253928867</v>
      </c>
    </row>
    <row r="44" spans="1:10" ht="13.5" customHeight="1">
      <c r="A44" s="27" t="s">
        <v>391</v>
      </c>
      <c r="B44" s="28">
        <f>SUM('- 31 -'!D44,'- 31 -'!B44,'- 30 -'!F44,'- 30 -'!D44,'- 30 -'!B44)</f>
        <v>704406</v>
      </c>
      <c r="C44" s="227">
        <f>B44/'- 3 -'!D44</f>
        <v>0.10215917464675692</v>
      </c>
      <c r="D44" s="28">
        <f>B44/'- 7 -'!F44</f>
        <v>891.0891840607211</v>
      </c>
      <c r="E44" s="28">
        <f>SUM('- 33 -'!D44,'- 33 -'!B44,'- 32 -'!F44,'- 32 -'!D44,'- 32 -'!B44)</f>
        <v>920756</v>
      </c>
      <c r="F44" s="227">
        <f>E44/'- 3 -'!D44</f>
        <v>0.13353616097967552</v>
      </c>
      <c r="G44" s="28">
        <f>E44/'- 7 -'!F44</f>
        <v>1164.7767235926628</v>
      </c>
      <c r="H44" s="28">
        <f>SUM('- 34 -'!B44,'- 34 -'!D44)</f>
        <v>111320</v>
      </c>
      <c r="I44" s="227">
        <f>H44/'- 3 -'!D44</f>
        <v>0.016144608821726362</v>
      </c>
      <c r="J44" s="28">
        <f>H44/'- 7 -'!F44</f>
        <v>140.8222643896268</v>
      </c>
    </row>
    <row r="45" spans="1:10" ht="13.5" customHeight="1">
      <c r="A45" s="25" t="s">
        <v>392</v>
      </c>
      <c r="B45" s="26">
        <f>SUM('- 31 -'!D45,'- 31 -'!B45,'- 30 -'!F45,'- 30 -'!D45,'- 30 -'!B45)</f>
        <v>424180</v>
      </c>
      <c r="C45" s="226">
        <f>B45/'- 3 -'!D45</f>
        <v>0.0405786885660079</v>
      </c>
      <c r="D45" s="26">
        <f>B45/'- 7 -'!F45</f>
        <v>290.0971139379018</v>
      </c>
      <c r="E45" s="26">
        <f>SUM('- 33 -'!D45,'- 33 -'!B45,'- 32 -'!F45,'- 32 -'!D45,'- 32 -'!B45)</f>
        <v>1157819</v>
      </c>
      <c r="F45" s="226">
        <f>E45/'- 3 -'!D45</f>
        <v>0.11076141406197063</v>
      </c>
      <c r="G45" s="26">
        <f>E45/'- 7 -'!F45</f>
        <v>791.8335385036246</v>
      </c>
      <c r="H45" s="26">
        <f>SUM('- 34 -'!B45,'- 34 -'!D45)</f>
        <v>190939</v>
      </c>
      <c r="I45" s="226">
        <f>H45/'- 3 -'!D45</f>
        <v>0.018265958357548642</v>
      </c>
      <c r="J45" s="26">
        <f>H45/'- 7 -'!F45</f>
        <v>130.5833675283819</v>
      </c>
    </row>
    <row r="46" spans="1:10" ht="13.5" customHeight="1">
      <c r="A46" s="27" t="s">
        <v>393</v>
      </c>
      <c r="B46" s="28">
        <f>SUM('- 31 -'!D46,'- 31 -'!B46,'- 30 -'!F46,'- 30 -'!D46,'- 30 -'!B46)</f>
        <v>3277045</v>
      </c>
      <c r="C46" s="227">
        <f>B46/'- 3 -'!D46</f>
        <v>0.012599286502629694</v>
      </c>
      <c r="D46" s="28">
        <f>B46/'- 7 -'!F46</f>
        <v>105.64774038802526</v>
      </c>
      <c r="E46" s="28">
        <f>SUM('- 33 -'!D46,'- 33 -'!B46,'- 32 -'!F46,'- 32 -'!D46,'- 32 -'!B46)</f>
        <v>36241394</v>
      </c>
      <c r="F46" s="227">
        <f>E46/'- 3 -'!D46</f>
        <v>0.13933763688343762</v>
      </c>
      <c r="G46" s="28">
        <f>E46/'- 7 -'!F46</f>
        <v>1168.3762000863999</v>
      </c>
      <c r="H46" s="28">
        <f>SUM('- 34 -'!B46,'- 34 -'!D46)</f>
        <v>4541248</v>
      </c>
      <c r="I46" s="227">
        <f>H46/'- 3 -'!D46</f>
        <v>0.017459779963807057</v>
      </c>
      <c r="J46" s="28">
        <f>H46/'- 7 -'!F46</f>
        <v>146.40402855061157</v>
      </c>
    </row>
    <row r="47" spans="1:10" ht="13.5" customHeight="1">
      <c r="A47" s="25" t="s">
        <v>397</v>
      </c>
      <c r="B47" s="26">
        <f>SUM('- 31 -'!D47,'- 31 -'!B47,'- 30 -'!F47,'- 30 -'!D47,'- 30 -'!B47)</f>
        <v>0</v>
      </c>
      <c r="C47" s="226">
        <f>B47/'- 3 -'!D47</f>
        <v>0</v>
      </c>
      <c r="D47" s="26">
        <f>B47/'- 7 -'!F47</f>
        <v>0</v>
      </c>
      <c r="E47" s="26">
        <f>SUM('- 33 -'!D47,'- 33 -'!B47,'- 32 -'!F47,'- 32 -'!D47,'- 32 -'!B47)</f>
        <v>643067</v>
      </c>
      <c r="F47" s="226">
        <f>E47/'- 3 -'!D47</f>
        <v>0.10978944987216752</v>
      </c>
      <c r="G47" s="26">
        <f>E47/'- 7 -'!F47</f>
        <v>1033.8697749196142</v>
      </c>
      <c r="H47" s="26">
        <f>SUM('- 34 -'!B47,'- 34 -'!D47)</f>
        <v>107545</v>
      </c>
      <c r="I47" s="226">
        <f>H47/'- 3 -'!D47</f>
        <v>0.018360927222983384</v>
      </c>
      <c r="J47" s="26">
        <f>H47/'- 7 -'!F47</f>
        <v>172.90192926045017</v>
      </c>
    </row>
    <row r="48" spans="1:10" ht="4.5" customHeight="1">
      <c r="A48" s="29"/>
      <c r="B48" s="30"/>
      <c r="C48" s="215"/>
      <c r="D48" s="30"/>
      <c r="E48" s="30"/>
      <c r="F48" s="215"/>
      <c r="G48" s="30"/>
      <c r="H48" s="30"/>
      <c r="I48" s="215"/>
      <c r="J48" s="30"/>
    </row>
    <row r="49" spans="1:10" ht="13.5" customHeight="1">
      <c r="A49" s="31" t="s">
        <v>394</v>
      </c>
      <c r="B49" s="32">
        <f>SUM(B11:B47)</f>
        <v>54402551.28</v>
      </c>
      <c r="C49" s="228">
        <f>B49/'- 3 -'!D49</f>
        <v>0.03867149919423128</v>
      </c>
      <c r="D49" s="32">
        <f>B49/'- 7 -'!F49</f>
        <v>303.8948515029353</v>
      </c>
      <c r="E49" s="32">
        <f>SUM(E11:E47)</f>
        <v>169761826.15</v>
      </c>
      <c r="F49" s="228">
        <f>E49/'- 3 -'!D49</f>
        <v>0.12067346417969235</v>
      </c>
      <c r="G49" s="32">
        <f>E49/'- 7 -'!F49</f>
        <v>948.2964260848424</v>
      </c>
      <c r="H49" s="32">
        <f>SUM(H11:H47)</f>
        <v>24708154.939999998</v>
      </c>
      <c r="I49" s="228">
        <f>H49/'- 3 -'!D49</f>
        <v>0.01756354015339024</v>
      </c>
      <c r="J49" s="32">
        <f>H49/'- 7 -'!F49</f>
        <v>138.02075269883954</v>
      </c>
    </row>
    <row r="50" spans="1:10" ht="4.5" customHeight="1">
      <c r="A50" s="29" t="s">
        <v>78</v>
      </c>
      <c r="B50" s="30"/>
      <c r="C50" s="215"/>
      <c r="D50" s="30"/>
      <c r="E50" s="30"/>
      <c r="F50" s="215"/>
      <c r="H50" s="30"/>
      <c r="I50" s="215"/>
      <c r="J50" s="30"/>
    </row>
    <row r="51" spans="1:10" ht="13.5" customHeight="1">
      <c r="A51" s="27" t="s">
        <v>395</v>
      </c>
      <c r="B51" s="28">
        <f>SUM('- 31 -'!D51,'- 31 -'!B51,'- 30 -'!F51,'- 30 -'!D51,'- 30 -'!B51)</f>
        <v>52736</v>
      </c>
      <c r="C51" s="227">
        <f>B51/'- 3 -'!D51</f>
        <v>0.04194751787717051</v>
      </c>
      <c r="D51" s="28">
        <f>B51/'- 7 -'!F51</f>
        <v>363.6965517241379</v>
      </c>
      <c r="E51" s="28">
        <f>SUM('- 33 -'!D51,'- 33 -'!B51,'- 32 -'!F51,'- 32 -'!D51,'- 32 -'!B51)</f>
        <v>154788</v>
      </c>
      <c r="F51" s="227">
        <f>E51/'- 3 -'!D51</f>
        <v>0.12312220109927696</v>
      </c>
      <c r="G51" s="229">
        <f>E51/'- 7 -'!F51</f>
        <v>1067.503448275862</v>
      </c>
      <c r="H51" s="28">
        <f>SUM('- 34 -'!B51,'- 34 -'!D51)</f>
        <v>0</v>
      </c>
      <c r="I51" s="227">
        <f>H51/'- 3 -'!D51</f>
        <v>0</v>
      </c>
      <c r="J51" s="28">
        <f>H51/'- 7 -'!F51</f>
        <v>0</v>
      </c>
    </row>
    <row r="52" spans="1:10" ht="13.5" customHeight="1">
      <c r="A52" s="25" t="s">
        <v>396</v>
      </c>
      <c r="B52" s="26">
        <f>SUM('- 31 -'!D52,'- 31 -'!B52,'- 30 -'!F52,'- 30 -'!D52,'- 30 -'!B52)</f>
        <v>26211</v>
      </c>
      <c r="C52" s="226">
        <f>B52/'- 3 -'!D52</f>
        <v>0.010828069946415286</v>
      </c>
      <c r="D52" s="26">
        <f>B52/'- 7 -'!F52</f>
        <v>94.79566003616637</v>
      </c>
      <c r="E52" s="26">
        <f>SUM('- 33 -'!D52,'- 33 -'!B52,'- 32 -'!F52,'- 32 -'!D52,'- 32 -'!B52)</f>
        <v>313997</v>
      </c>
      <c r="F52" s="226">
        <f>E52/'- 3 -'!D52</f>
        <v>0.1297158246142673</v>
      </c>
      <c r="G52" s="230">
        <f>E52/'- 7 -'!F52</f>
        <v>1135.613019891501</v>
      </c>
      <c r="H52" s="26">
        <f>SUM('- 34 -'!B52,'- 34 -'!D52)</f>
        <v>37705</v>
      </c>
      <c r="I52" s="226">
        <f>H52/'- 3 -'!D52</f>
        <v>0.015576375465628489</v>
      </c>
      <c r="J52" s="26">
        <f>H52/'- 7 -'!F52</f>
        <v>136.3652802893309</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3"/>
  <sheetViews>
    <sheetView showGridLines="0" showZeros="0" workbookViewId="0" topLeftCell="A1">
      <selection activeCell="A1" sqref="A1"/>
    </sheetView>
  </sheetViews>
  <sheetFormatPr defaultColWidth="15.83203125" defaultRowHeight="12"/>
  <cols>
    <col min="1" max="1" width="33.83203125" style="1" customWidth="1"/>
    <col min="2" max="2" width="21.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5"/>
      <c r="B1" s="130"/>
      <c r="C1" s="130"/>
      <c r="D1" s="130"/>
      <c r="E1" s="130"/>
      <c r="F1" s="130"/>
      <c r="G1" s="130"/>
    </row>
    <row r="2" spans="1:7" ht="15.75" customHeight="1">
      <c r="A2" s="219"/>
      <c r="B2" s="131" t="s">
        <v>75</v>
      </c>
      <c r="C2" s="363"/>
      <c r="D2" s="132"/>
      <c r="E2" s="132"/>
      <c r="F2" s="132"/>
      <c r="G2" s="220" t="s">
        <v>323</v>
      </c>
    </row>
    <row r="3" spans="1:7" ht="15.75" customHeight="1">
      <c r="A3" s="221"/>
      <c r="B3" s="364" t="str">
        <f>OPYEAR</f>
        <v>OPERATING FUND 2003/2004 ACTUAL</v>
      </c>
      <c r="C3" s="135"/>
      <c r="D3" s="365"/>
      <c r="E3" s="135"/>
      <c r="F3" s="135"/>
      <c r="G3" s="137"/>
    </row>
    <row r="4" spans="2:7" ht="15.75" customHeight="1">
      <c r="B4" s="130"/>
      <c r="C4" s="130"/>
      <c r="D4" s="130"/>
      <c r="E4" s="130"/>
      <c r="F4" s="130"/>
      <c r="G4" s="130"/>
    </row>
    <row r="5" spans="2:7" ht="15.75" customHeight="1">
      <c r="B5" s="326" t="s">
        <v>89</v>
      </c>
      <c r="C5" s="295"/>
      <c r="D5" s="296"/>
      <c r="E5" s="296"/>
      <c r="F5" s="296"/>
      <c r="G5" s="298"/>
    </row>
    <row r="6" spans="2:7" ht="15.75" customHeight="1">
      <c r="B6" s="299"/>
      <c r="C6" s="300"/>
      <c r="D6" s="301"/>
      <c r="E6" s="302" t="s">
        <v>300</v>
      </c>
      <c r="F6" s="303"/>
      <c r="G6" s="304"/>
    </row>
    <row r="7" spans="2:7" ht="15.75" customHeight="1">
      <c r="B7" s="305" t="s">
        <v>113</v>
      </c>
      <c r="C7" s="306"/>
      <c r="D7" s="307"/>
      <c r="E7" s="305" t="s">
        <v>354</v>
      </c>
      <c r="F7" s="306"/>
      <c r="G7" s="307"/>
    </row>
    <row r="8" spans="1:7" ht="15.75" customHeight="1">
      <c r="A8" s="96"/>
      <c r="B8" s="308"/>
      <c r="C8" s="309"/>
      <c r="D8" s="310" t="s">
        <v>150</v>
      </c>
      <c r="E8" s="311"/>
      <c r="F8" s="309"/>
      <c r="G8" s="310" t="s">
        <v>150</v>
      </c>
    </row>
    <row r="9" spans="1:7" ht="15.75" customHeight="1">
      <c r="A9" s="49" t="s">
        <v>175</v>
      </c>
      <c r="B9" s="144" t="s">
        <v>176</v>
      </c>
      <c r="C9" s="144" t="s">
        <v>177</v>
      </c>
      <c r="D9" s="144" t="s">
        <v>178</v>
      </c>
      <c r="E9" s="312" t="s">
        <v>176</v>
      </c>
      <c r="F9" s="144" t="s">
        <v>177</v>
      </c>
      <c r="G9" s="144" t="s">
        <v>178</v>
      </c>
    </row>
    <row r="10" spans="1:7" ht="4.5" customHeight="1">
      <c r="A10" s="4"/>
      <c r="B10" s="125"/>
      <c r="C10" s="125"/>
      <c r="D10" s="125"/>
      <c r="E10" s="125"/>
      <c r="F10" s="125"/>
      <c r="G10" s="125"/>
    </row>
    <row r="11" spans="1:7" ht="13.5" customHeight="1">
      <c r="A11" s="25" t="s">
        <v>359</v>
      </c>
      <c r="B11" s="26">
        <v>619664</v>
      </c>
      <c r="C11" s="226">
        <f>B11/'- 3 -'!D11</f>
        <v>0.05429236908269041</v>
      </c>
      <c r="D11" s="26">
        <f>B11/'- 7 -'!C11</f>
        <v>406.87065003282993</v>
      </c>
      <c r="E11" s="26">
        <v>0</v>
      </c>
      <c r="F11" s="226">
        <f>E11/'- 3 -'!D11</f>
        <v>0</v>
      </c>
      <c r="G11" s="26">
        <f>IF('- 7 -'!B11=0,"",E11/'- 7 -'!B11)</f>
      </c>
    </row>
    <row r="12" spans="1:7" ht="13.5" customHeight="1">
      <c r="A12" s="27" t="s">
        <v>360</v>
      </c>
      <c r="B12" s="28">
        <v>1280244</v>
      </c>
      <c r="C12" s="227">
        <f>B12/'- 3 -'!D12</f>
        <v>0.06677029388350471</v>
      </c>
      <c r="D12" s="28">
        <f>B12/'- 7 -'!C12</f>
        <v>539.0047153923881</v>
      </c>
      <c r="E12" s="28">
        <v>562338</v>
      </c>
      <c r="F12" s="227">
        <f>E12/'- 3 -'!D12</f>
        <v>0.0293283729678579</v>
      </c>
      <c r="G12" s="28">
        <f>IF('- 7 -'!B12=0,"",E12/'- 7 -'!B12)</f>
        <v>4749.476351351351</v>
      </c>
    </row>
    <row r="13" spans="1:7" ht="13.5" customHeight="1">
      <c r="A13" s="25" t="s">
        <v>361</v>
      </c>
      <c r="B13" s="26">
        <v>2993627</v>
      </c>
      <c r="C13" s="226">
        <f>B13/'- 3 -'!D13</f>
        <v>0.06117592884177573</v>
      </c>
      <c r="D13" s="26">
        <f>B13/'- 7 -'!C13</f>
        <v>434.67794395237405</v>
      </c>
      <c r="E13" s="26">
        <v>1899209</v>
      </c>
      <c r="F13" s="226">
        <f>E13/'- 3 -'!D13</f>
        <v>0.03881107253497514</v>
      </c>
      <c r="G13" s="26">
        <f>IF('- 7 -'!B13=0,"",E13/'- 7 -'!B13)</f>
        <v>5831.160577218299</v>
      </c>
    </row>
    <row r="14" spans="1:7" ht="13.5" customHeight="1">
      <c r="A14" s="27" t="s">
        <v>398</v>
      </c>
      <c r="B14" s="28">
        <v>3496678</v>
      </c>
      <c r="C14" s="227">
        <f>B14/'- 3 -'!D14</f>
        <v>0.08254646504997933</v>
      </c>
      <c r="D14" s="28">
        <f>B14/'- 7 -'!C14</f>
        <v>832.5027379648589</v>
      </c>
      <c r="E14" s="28">
        <v>0</v>
      </c>
      <c r="F14" s="227">
        <f>E14/'- 3 -'!D14</f>
        <v>0</v>
      </c>
      <c r="G14" s="28">
        <f>IF('- 7 -'!B14=0,"",E14/'- 7 -'!B14)</f>
      </c>
    </row>
    <row r="15" spans="1:7" ht="13.5" customHeight="1">
      <c r="A15" s="25" t="s">
        <v>362</v>
      </c>
      <c r="B15" s="26">
        <v>937962</v>
      </c>
      <c r="C15" s="226">
        <f>B15/'- 3 -'!D15</f>
        <v>0.07177366962725919</v>
      </c>
      <c r="D15" s="26">
        <f>B15/'- 7 -'!C15</f>
        <v>564.5272344267229</v>
      </c>
      <c r="E15" s="26">
        <v>0</v>
      </c>
      <c r="F15" s="226">
        <f>E15/'- 3 -'!D15</f>
        <v>0</v>
      </c>
      <c r="G15" s="26">
        <f>IF('- 7 -'!B15=0,"",E15/'- 7 -'!B15)</f>
      </c>
    </row>
    <row r="16" spans="1:7" ht="13.5" customHeight="1">
      <c r="A16" s="27" t="s">
        <v>363</v>
      </c>
      <c r="B16" s="28">
        <v>921572</v>
      </c>
      <c r="C16" s="227">
        <f>B16/'- 3 -'!D16</f>
        <v>0.08602034915372717</v>
      </c>
      <c r="D16" s="28">
        <f>B16/'- 7 -'!C16</f>
        <v>665.9238384276321</v>
      </c>
      <c r="E16" s="28">
        <v>68788</v>
      </c>
      <c r="F16" s="227">
        <f>E16/'- 3 -'!D16</f>
        <v>0.006420733027464576</v>
      </c>
      <c r="G16" s="28">
        <f>IF('- 7 -'!B16=0,"",E16/'- 7 -'!B16)</f>
        <v>5732.333333333333</v>
      </c>
    </row>
    <row r="17" spans="1:7" ht="13.5" customHeight="1">
      <c r="A17" s="25" t="s">
        <v>364</v>
      </c>
      <c r="B17" s="26">
        <v>776252</v>
      </c>
      <c r="C17" s="226">
        <f>B17/'- 3 -'!D17</f>
        <v>0.0628806700903365</v>
      </c>
      <c r="D17" s="26">
        <f>B17/'- 7 -'!C17</f>
        <v>491.6098796706776</v>
      </c>
      <c r="E17" s="26">
        <v>134375</v>
      </c>
      <c r="F17" s="226">
        <f>E17/'- 3 -'!D17</f>
        <v>0.010885112107136559</v>
      </c>
      <c r="G17" s="26">
        <f>IF('- 7 -'!B17=0,"",E17/'- 7 -'!B17)</f>
        <v>4479.166666666667</v>
      </c>
    </row>
    <row r="18" spans="1:7" ht="13.5" customHeight="1">
      <c r="A18" s="27" t="s">
        <v>365</v>
      </c>
      <c r="B18" s="28">
        <v>3794805</v>
      </c>
      <c r="C18" s="227">
        <f>B18/'- 3 -'!D18</f>
        <v>0.05163735639127583</v>
      </c>
      <c r="D18" s="28">
        <f>B18/'- 7 -'!C18</f>
        <v>648.1195880514423</v>
      </c>
      <c r="E18" s="28">
        <v>176030</v>
      </c>
      <c r="F18" s="227">
        <f>E18/'- 3 -'!D18</f>
        <v>0.002395307228054217</v>
      </c>
      <c r="G18" s="28">
        <f>IF('- 7 -'!B18=0,"",E18/'- 7 -'!B18)</f>
        <v>8801.5</v>
      </c>
    </row>
    <row r="19" spans="1:7" ht="13.5" customHeight="1">
      <c r="A19" s="25" t="s">
        <v>366</v>
      </c>
      <c r="B19" s="26">
        <v>1023657</v>
      </c>
      <c r="C19" s="226">
        <f>B19/'- 3 -'!D19</f>
        <v>0.055795436409825726</v>
      </c>
      <c r="D19" s="26">
        <f>B19/'- 7 -'!C19</f>
        <v>348.0050994390617</v>
      </c>
      <c r="E19" s="26">
        <v>549880</v>
      </c>
      <c r="F19" s="226">
        <f>E19/'- 3 -'!D19</f>
        <v>0.02997175281665145</v>
      </c>
      <c r="G19" s="26">
        <f>IF('- 7 -'!B19=0,"",E19/'- 7 -'!B19)</f>
        <v>6024.10166520596</v>
      </c>
    </row>
    <row r="20" spans="1:7" ht="13.5" customHeight="1">
      <c r="A20" s="27" t="s">
        <v>367</v>
      </c>
      <c r="B20" s="28">
        <v>2312950</v>
      </c>
      <c r="C20" s="227">
        <f>B20/'- 3 -'!D20</f>
        <v>0.06305485484761236</v>
      </c>
      <c r="D20" s="28">
        <f>B20/'- 7 -'!C20</f>
        <v>365.88626117219013</v>
      </c>
      <c r="E20" s="28">
        <v>1300818</v>
      </c>
      <c r="F20" s="227">
        <f>E20/'- 3 -'!D20</f>
        <v>0.03546245711025375</v>
      </c>
      <c r="G20" s="28">
        <f>IF('- 7 -'!B20=0,"",E20/'- 7 -'!B20)</f>
        <v>4242.7201565557725</v>
      </c>
    </row>
    <row r="21" spans="1:7" ht="13.5" customHeight="1">
      <c r="A21" s="25" t="s">
        <v>368</v>
      </c>
      <c r="B21" s="26">
        <v>1781904</v>
      </c>
      <c r="C21" s="226">
        <f>B21/'- 3 -'!D21</f>
        <v>0.07402226154595555</v>
      </c>
      <c r="D21" s="26">
        <f>B21/'- 7 -'!C21</f>
        <v>540.2164620281947</v>
      </c>
      <c r="E21" s="26">
        <v>0</v>
      </c>
      <c r="F21" s="226">
        <f>E21/'- 3 -'!D21</f>
        <v>0</v>
      </c>
      <c r="G21" s="26">
        <f>IF('- 7 -'!B21=0,"",E21/'- 7 -'!B21)</f>
      </c>
    </row>
    <row r="22" spans="1:7" ht="13.5" customHeight="1">
      <c r="A22" s="27" t="s">
        <v>369</v>
      </c>
      <c r="B22" s="28">
        <v>782505</v>
      </c>
      <c r="C22" s="227">
        <f>B22/'- 3 -'!D22</f>
        <v>0.05804146574496172</v>
      </c>
      <c r="D22" s="28">
        <f>B22/'- 7 -'!C22</f>
        <v>477.1371951219512</v>
      </c>
      <c r="E22" s="28">
        <v>0</v>
      </c>
      <c r="F22" s="227">
        <f>E22/'- 3 -'!D22</f>
        <v>0</v>
      </c>
      <c r="G22" s="28">
        <f>IF('- 7 -'!B22=0,"",E22/'- 7 -'!B22)</f>
      </c>
    </row>
    <row r="23" spans="1:7" ht="13.5" customHeight="1">
      <c r="A23" s="25" t="s">
        <v>370</v>
      </c>
      <c r="B23" s="26">
        <v>695205</v>
      </c>
      <c r="C23" s="226">
        <f>B23/'- 3 -'!D23</f>
        <v>0.06145426512250676</v>
      </c>
      <c r="D23" s="26">
        <f>B23/'- 7 -'!C23</f>
        <v>523.6949152542373</v>
      </c>
      <c r="E23" s="26">
        <v>230151</v>
      </c>
      <c r="F23" s="226">
        <f>E23/'- 3 -'!D23</f>
        <v>0.02034473367166527</v>
      </c>
      <c r="G23" s="26">
        <f>IF('- 7 -'!B23=0,"",E23/'- 7 -'!B23)</f>
        <v>5753.775</v>
      </c>
    </row>
    <row r="24" spans="1:7" ht="13.5" customHeight="1">
      <c r="A24" s="27" t="s">
        <v>371</v>
      </c>
      <c r="B24" s="28">
        <v>2341743.68</v>
      </c>
      <c r="C24" s="227">
        <f>B24/'- 3 -'!D24</f>
        <v>0.06723253885175422</v>
      </c>
      <c r="D24" s="28">
        <f>B24/'- 7 -'!C24</f>
        <v>507.0355483382051</v>
      </c>
      <c r="E24" s="28">
        <v>1293440.26</v>
      </c>
      <c r="F24" s="227">
        <f>E24/'- 3 -'!D24</f>
        <v>0.03713526517679043</v>
      </c>
      <c r="G24" s="28">
        <f>IF('- 7 -'!B24=0,"",E24/'- 7 -'!B24)</f>
        <v>4652.662805755395</v>
      </c>
    </row>
    <row r="25" spans="1:7" ht="13.5" customHeight="1">
      <c r="A25" s="25" t="s">
        <v>372</v>
      </c>
      <c r="B25" s="26">
        <v>9191334</v>
      </c>
      <c r="C25" s="226">
        <f>B25/'- 3 -'!D25</f>
        <v>0.08319404992027261</v>
      </c>
      <c r="D25" s="26">
        <f>B25/'- 7 -'!C25</f>
        <v>619.0909642003165</v>
      </c>
      <c r="E25" s="26">
        <v>1058450</v>
      </c>
      <c r="F25" s="226">
        <f>E25/'- 3 -'!D25</f>
        <v>0.009580409344074815</v>
      </c>
      <c r="G25" s="26">
        <f>IF('- 7 -'!B25=0,"",E25/'- 7 -'!B25)</f>
        <v>4601.95652173913</v>
      </c>
    </row>
    <row r="26" spans="1:7" ht="13.5" customHeight="1">
      <c r="A26" s="27" t="s">
        <v>373</v>
      </c>
      <c r="B26" s="28">
        <v>1854607</v>
      </c>
      <c r="C26" s="227">
        <f>B26/'- 3 -'!D26</f>
        <v>0.0684977805709619</v>
      </c>
      <c r="D26" s="28">
        <f>B26/'- 7 -'!C26</f>
        <v>565.5669065625763</v>
      </c>
      <c r="E26" s="28">
        <v>761301</v>
      </c>
      <c r="F26" s="227">
        <f>E26/'- 3 -'!D26</f>
        <v>0.028117778508575598</v>
      </c>
      <c r="G26" s="28">
        <f>IF('- 7 -'!B26=0,"",E26/'- 7 -'!B26)</f>
        <v>4308.438030560272</v>
      </c>
    </row>
    <row r="27" spans="1:7" ht="13.5" customHeight="1">
      <c r="A27" s="25" t="s">
        <v>374</v>
      </c>
      <c r="B27" s="26">
        <v>1877959</v>
      </c>
      <c r="C27" s="226">
        <f>B27/'- 3 -'!D27</f>
        <v>0.06927784075730883</v>
      </c>
      <c r="D27" s="26">
        <f>B27/'- 7 -'!C27</f>
        <v>596.1774603174604</v>
      </c>
      <c r="E27" s="26">
        <v>828656</v>
      </c>
      <c r="F27" s="226">
        <f>E27/'- 3 -'!D27</f>
        <v>0.030569090385140732</v>
      </c>
      <c r="G27" s="26">
        <f>IF('- 7 -'!B27=0,"",E27/'- 7 -'!B27)</f>
        <v>4792.689415847311</v>
      </c>
    </row>
    <row r="28" spans="1:7" ht="13.5" customHeight="1">
      <c r="A28" s="27" t="s">
        <v>375</v>
      </c>
      <c r="B28" s="28">
        <v>880140</v>
      </c>
      <c r="C28" s="227">
        <f>B28/'- 3 -'!D28</f>
        <v>0.052785634126086264</v>
      </c>
      <c r="D28" s="28">
        <f>B28/'- 7 -'!C28</f>
        <v>422.53480556889104</v>
      </c>
      <c r="E28" s="28">
        <v>0</v>
      </c>
      <c r="F28" s="227">
        <f>E28/'- 3 -'!D28</f>
        <v>0</v>
      </c>
      <c r="G28" s="28">
        <f>IF('- 7 -'!B28=0,"",E28/'- 7 -'!B28)</f>
      </c>
    </row>
    <row r="29" spans="1:7" ht="13.5" customHeight="1">
      <c r="A29" s="25" t="s">
        <v>376</v>
      </c>
      <c r="B29" s="26">
        <v>7543980</v>
      </c>
      <c r="C29" s="226">
        <f>B29/'- 3 -'!D29</f>
        <v>0.07406585760302378</v>
      </c>
      <c r="D29" s="26">
        <f>B29/'- 7 -'!C29</f>
        <v>575.3931812981466</v>
      </c>
      <c r="E29" s="26">
        <v>0</v>
      </c>
      <c r="F29" s="226">
        <f>E29/'- 3 -'!D29</f>
        <v>0</v>
      </c>
      <c r="G29" s="26">
        <f>IF('- 7 -'!B29=0,"",E29/'- 7 -'!B29)</f>
      </c>
    </row>
    <row r="30" spans="1:7" ht="13.5" customHeight="1">
      <c r="A30" s="27" t="s">
        <v>377</v>
      </c>
      <c r="B30" s="28">
        <v>578071</v>
      </c>
      <c r="C30" s="227">
        <f>B30/'- 3 -'!D30</f>
        <v>0.05883901272120319</v>
      </c>
      <c r="D30" s="28">
        <f>B30/'- 7 -'!C30</f>
        <v>453.56688897606904</v>
      </c>
      <c r="E30" s="28">
        <v>0</v>
      </c>
      <c r="F30" s="227">
        <f>E30/'- 3 -'!D30</f>
        <v>0</v>
      </c>
      <c r="G30" s="28">
        <f>IF('- 7 -'!B30=0,"",E30/'- 7 -'!B30)</f>
      </c>
    </row>
    <row r="31" spans="1:7" ht="13.5" customHeight="1">
      <c r="A31" s="25" t="s">
        <v>378</v>
      </c>
      <c r="B31" s="26">
        <v>1830736</v>
      </c>
      <c r="C31" s="226">
        <f>B31/'- 3 -'!D31</f>
        <v>0.07344691631922122</v>
      </c>
      <c r="D31" s="26">
        <f>B31/'- 7 -'!C31</f>
        <v>555.3069643290463</v>
      </c>
      <c r="E31" s="26">
        <v>391534</v>
      </c>
      <c r="F31" s="226">
        <f>E31/'- 3 -'!D31</f>
        <v>0.01570787100604891</v>
      </c>
      <c r="G31" s="26">
        <f>IF('- 7 -'!B31=0,"",E31/'- 7 -'!B31)</f>
        <v>6482.350993377484</v>
      </c>
    </row>
    <row r="32" spans="1:7" ht="13.5" customHeight="1">
      <c r="A32" s="27" t="s">
        <v>379</v>
      </c>
      <c r="B32" s="28">
        <v>1171205</v>
      </c>
      <c r="C32" s="227">
        <f>B32/'- 3 -'!D32</f>
        <v>0.06322877505946432</v>
      </c>
      <c r="D32" s="28">
        <f>B32/'- 7 -'!C32</f>
        <v>504.39491817398795</v>
      </c>
      <c r="E32" s="28">
        <v>0</v>
      </c>
      <c r="F32" s="227">
        <f>E32/'- 3 -'!D32</f>
        <v>0</v>
      </c>
      <c r="G32" s="28">
        <f>IF('- 7 -'!B32=0,"",E32/'- 7 -'!B32)</f>
      </c>
    </row>
    <row r="33" spans="1:7" ht="13.5" customHeight="1">
      <c r="A33" s="25" t="s">
        <v>380</v>
      </c>
      <c r="B33" s="26">
        <v>1313623</v>
      </c>
      <c r="C33" s="226">
        <f>B33/'- 3 -'!D33</f>
        <v>0.059768799440287006</v>
      </c>
      <c r="D33" s="26">
        <f>B33/'- 7 -'!C33</f>
        <v>520.3909994850058</v>
      </c>
      <c r="E33" s="26">
        <v>0</v>
      </c>
      <c r="F33" s="226">
        <f>E33/'- 3 -'!D33</f>
        <v>0</v>
      </c>
      <c r="G33" s="26">
        <f>IF('- 7 -'!B33=0,"",E33/'- 7 -'!B33)</f>
      </c>
    </row>
    <row r="34" spans="1:7" ht="13.5" customHeight="1">
      <c r="A34" s="27" t="s">
        <v>381</v>
      </c>
      <c r="B34" s="28">
        <v>1317357</v>
      </c>
      <c r="C34" s="227">
        <f>B34/'- 3 -'!D34</f>
        <v>0.07760927128206524</v>
      </c>
      <c r="D34" s="28">
        <f>B34/'- 7 -'!C34</f>
        <v>604.2922018348622</v>
      </c>
      <c r="E34" s="28">
        <v>174956</v>
      </c>
      <c r="F34" s="227">
        <f>E34/'- 3 -'!D34</f>
        <v>0.010307158702177925</v>
      </c>
      <c r="G34" s="28">
        <f>IF('- 7 -'!B34=0,"",E34/'- 7 -'!B34)</f>
        <v>7673.508771929824</v>
      </c>
    </row>
    <row r="35" spans="1:7" ht="13.5" customHeight="1">
      <c r="A35" s="25" t="s">
        <v>382</v>
      </c>
      <c r="B35" s="26">
        <v>9257561</v>
      </c>
      <c r="C35" s="226">
        <f>B35/'- 3 -'!D35</f>
        <v>0.07336899360520573</v>
      </c>
      <c r="D35" s="26">
        <f>B35/'- 7 -'!C35</f>
        <v>525.8334611343046</v>
      </c>
      <c r="E35" s="26">
        <v>2197994</v>
      </c>
      <c r="F35" s="226">
        <f>E35/'- 3 -'!D35</f>
        <v>0.017419772630207952</v>
      </c>
      <c r="G35" s="26">
        <f>IF('- 7 -'!B35=0,"",E35/'- 7 -'!B35)</f>
        <v>5664.932989690722</v>
      </c>
    </row>
    <row r="36" spans="1:7" ht="13.5" customHeight="1">
      <c r="A36" s="27" t="s">
        <v>383</v>
      </c>
      <c r="B36" s="28">
        <v>1060016</v>
      </c>
      <c r="C36" s="227">
        <f>B36/'- 3 -'!D36</f>
        <v>0.06350202891910635</v>
      </c>
      <c r="D36" s="28">
        <f>B36/'- 7 -'!C36</f>
        <v>507.1118978137109</v>
      </c>
      <c r="E36" s="28">
        <v>116819</v>
      </c>
      <c r="F36" s="227">
        <f>E36/'- 3 -'!D36</f>
        <v>0.0069982373061360246</v>
      </c>
      <c r="G36" s="28">
        <f>IF('- 7 -'!B36=0,"",E36/'- 7 -'!B36)</f>
        <v>7123.109756097561</v>
      </c>
    </row>
    <row r="37" spans="1:7" ht="13.5" customHeight="1">
      <c r="A37" s="25" t="s">
        <v>384</v>
      </c>
      <c r="B37" s="26">
        <v>2080905</v>
      </c>
      <c r="C37" s="226">
        <f>B37/'- 3 -'!D37</f>
        <v>0.08249613492819584</v>
      </c>
      <c r="D37" s="26">
        <f>B37/'- 7 -'!C37</f>
        <v>617.6075149140771</v>
      </c>
      <c r="E37" s="26">
        <v>0</v>
      </c>
      <c r="F37" s="226">
        <f>E37/'- 3 -'!D37</f>
        <v>0</v>
      </c>
      <c r="G37" s="26">
        <f>IF('- 7 -'!B37=0,"",E37/'- 7 -'!B37)</f>
      </c>
    </row>
    <row r="38" spans="1:7" ht="13.5" customHeight="1">
      <c r="A38" s="27" t="s">
        <v>385</v>
      </c>
      <c r="B38" s="28">
        <v>5170897</v>
      </c>
      <c r="C38" s="227">
        <f>B38/'- 3 -'!D38</f>
        <v>0.07922774308167747</v>
      </c>
      <c r="D38" s="28">
        <f>B38/'- 7 -'!C38</f>
        <v>611.1449001300083</v>
      </c>
      <c r="E38" s="28">
        <v>480343</v>
      </c>
      <c r="F38" s="227">
        <f>E38/'- 3 -'!D38</f>
        <v>0.007359746634884084</v>
      </c>
      <c r="G38" s="28">
        <f>IF('- 7 -'!B38=0,"",E38/'- 7 -'!B38)</f>
        <v>3518.996336996337</v>
      </c>
    </row>
    <row r="39" spans="1:7" ht="13.5" customHeight="1">
      <c r="A39" s="25" t="s">
        <v>386</v>
      </c>
      <c r="B39" s="26">
        <v>778567</v>
      </c>
      <c r="C39" s="226">
        <f>B39/'- 3 -'!D39</f>
        <v>0.05078348554892256</v>
      </c>
      <c r="D39" s="26">
        <f>B39/'- 7 -'!C39</f>
        <v>427.78406593406595</v>
      </c>
      <c r="E39" s="26">
        <v>0</v>
      </c>
      <c r="F39" s="226">
        <f>E39/'- 3 -'!D39</f>
        <v>0</v>
      </c>
      <c r="G39" s="26">
        <f>IF('- 7 -'!B39=0,"",E39/'- 7 -'!B39)</f>
      </c>
    </row>
    <row r="40" spans="1:7" ht="13.5" customHeight="1">
      <c r="A40" s="27" t="s">
        <v>387</v>
      </c>
      <c r="B40" s="28">
        <v>3436101</v>
      </c>
      <c r="C40" s="227">
        <f>B40/'- 3 -'!D40</f>
        <v>0.05229642186934022</v>
      </c>
      <c r="D40" s="28">
        <f>B40/'- 7 -'!C40</f>
        <v>389.12266516276765</v>
      </c>
      <c r="E40" s="28">
        <v>2613010</v>
      </c>
      <c r="F40" s="227">
        <f>E40/'- 3 -'!D40</f>
        <v>0.03976922485945689</v>
      </c>
      <c r="G40" s="28">
        <f>IF('- 7 -'!B40=0,"",E40/'- 7 -'!B40)</f>
        <v>4239.490549200941</v>
      </c>
    </row>
    <row r="41" spans="1:7" ht="13.5" customHeight="1">
      <c r="A41" s="25" t="s">
        <v>388</v>
      </c>
      <c r="B41" s="26">
        <v>2364126</v>
      </c>
      <c r="C41" s="226">
        <f>B41/'- 3 -'!D41</f>
        <v>0.060471780597972646</v>
      </c>
      <c r="D41" s="26">
        <f>B41/'- 7 -'!C41</f>
        <v>496.60252909297145</v>
      </c>
      <c r="E41" s="26">
        <v>0</v>
      </c>
      <c r="F41" s="226">
        <f>E41/'- 3 -'!D41</f>
        <v>0</v>
      </c>
      <c r="G41" s="26">
        <f>IF('- 7 -'!B41=0,"",E41/'- 7 -'!B41)</f>
      </c>
    </row>
    <row r="42" spans="1:7" ht="13.5" customHeight="1">
      <c r="A42" s="27" t="s">
        <v>389</v>
      </c>
      <c r="B42" s="28">
        <v>967347</v>
      </c>
      <c r="C42" s="227">
        <f>B42/'- 3 -'!D42</f>
        <v>0.06400528850009277</v>
      </c>
      <c r="D42" s="28">
        <f>B42/'- 7 -'!C42</f>
        <v>517.1319362771303</v>
      </c>
      <c r="E42" s="28">
        <v>742239</v>
      </c>
      <c r="F42" s="227">
        <f>E42/'- 3 -'!D42</f>
        <v>0.049110837508174784</v>
      </c>
      <c r="G42" s="28">
        <f>IF('- 7 -'!B42=0,"",E42/'- 7 -'!B42)</f>
        <v>5313.092340730136</v>
      </c>
    </row>
    <row r="43" spans="1:7" ht="13.5" customHeight="1">
      <c r="A43" s="25" t="s">
        <v>390</v>
      </c>
      <c r="B43" s="26">
        <v>520688</v>
      </c>
      <c r="C43" s="226">
        <f>B43/'- 3 -'!D43</f>
        <v>0.05637975384207588</v>
      </c>
      <c r="D43" s="26">
        <f>B43/'- 7 -'!C43</f>
        <v>430.67659222497934</v>
      </c>
      <c r="E43" s="26">
        <v>0</v>
      </c>
      <c r="F43" s="226">
        <f>E43/'- 3 -'!D43</f>
        <v>0</v>
      </c>
      <c r="G43" s="26">
        <f>IF('- 7 -'!B43=0,"",E43/'- 7 -'!B43)</f>
      </c>
    </row>
    <row r="44" spans="1:7" ht="13.5" customHeight="1">
      <c r="A44" s="27" t="s">
        <v>391</v>
      </c>
      <c r="B44" s="28">
        <v>361211</v>
      </c>
      <c r="C44" s="227">
        <f>B44/'- 3 -'!D44</f>
        <v>0.052386006980817475</v>
      </c>
      <c r="D44" s="28">
        <f>B44/'- 7 -'!C44</f>
        <v>456.93991144845035</v>
      </c>
      <c r="E44" s="28">
        <v>0</v>
      </c>
      <c r="F44" s="227">
        <f>E44/'- 3 -'!D44</f>
        <v>0</v>
      </c>
      <c r="G44" s="28">
        <f>IF('- 7 -'!B44=0,"",E44/'- 7 -'!B44)</f>
      </c>
    </row>
    <row r="45" spans="1:7" ht="13.5" customHeight="1">
      <c r="A45" s="25" t="s">
        <v>392</v>
      </c>
      <c r="B45" s="26">
        <v>671583</v>
      </c>
      <c r="C45" s="226">
        <f>B45/'- 3 -'!D45</f>
        <v>0.06424621010708964</v>
      </c>
      <c r="D45" s="26">
        <f>B45/'- 7 -'!C45</f>
        <v>461.50563496426605</v>
      </c>
      <c r="E45" s="26">
        <v>114127</v>
      </c>
      <c r="F45" s="226">
        <f>E45/'- 3 -'!D45</f>
        <v>0.010917827313812023</v>
      </c>
      <c r="G45" s="26">
        <f>IF('- 7 -'!B45=0,"",E45/'- 7 -'!B45)</f>
        <v>6340.388888888889</v>
      </c>
    </row>
    <row r="46" spans="1:7" ht="13.5" customHeight="1">
      <c r="A46" s="27" t="s">
        <v>393</v>
      </c>
      <c r="B46" s="28">
        <v>19925365</v>
      </c>
      <c r="C46" s="227">
        <f>B46/'- 3 -'!D46</f>
        <v>0.07660724289854735</v>
      </c>
      <c r="D46" s="28">
        <f>B46/'- 7 -'!C46</f>
        <v>664.0327461291849</v>
      </c>
      <c r="E46" s="28">
        <v>3812934</v>
      </c>
      <c r="F46" s="227">
        <f>E46/'- 3 -'!D46</f>
        <v>0.014659624106967665</v>
      </c>
      <c r="G46" s="28">
        <f>IF('- 7 -'!B46=0,"",E46/'- 7 -'!B46)</f>
        <v>6506.713310580205</v>
      </c>
    </row>
    <row r="47" spans="1:7" ht="13.5" customHeight="1">
      <c r="A47" s="25" t="s">
        <v>397</v>
      </c>
      <c r="B47" s="26">
        <v>126961</v>
      </c>
      <c r="C47" s="226">
        <f>B47/'- 3 -'!D47</f>
        <v>0.021675779265955587</v>
      </c>
      <c r="D47" s="26">
        <f>B47/'- 7 -'!C47</f>
        <v>204.11736334405145</v>
      </c>
      <c r="E47" s="26">
        <v>2957200</v>
      </c>
      <c r="F47" s="226">
        <f>E47/'- 3 -'!D47</f>
        <v>0.5048764143735781</v>
      </c>
      <c r="G47" s="26">
        <f>IF('- 7 -'!B47=0,"",E47/'- 7 -'!B47)</f>
        <v>4975.100942126514</v>
      </c>
    </row>
    <row r="48" spans="1:7" ht="4.5" customHeight="1">
      <c r="A48" s="29"/>
      <c r="B48" s="30"/>
      <c r="C48" s="215"/>
      <c r="D48" s="30"/>
      <c r="E48" s="30"/>
      <c r="F48" s="215"/>
      <c r="G48" s="30"/>
    </row>
    <row r="49" spans="1:7" ht="13.5" customHeight="1">
      <c r="A49" s="31" t="s">
        <v>394</v>
      </c>
      <c r="B49" s="32">
        <f>SUM(B11:B47)</f>
        <v>98039108.68</v>
      </c>
      <c r="C49" s="228">
        <f>B49/'- 3 -'!D49</f>
        <v>0.0696901013485295</v>
      </c>
      <c r="D49" s="32">
        <f>B49/'- 7 -'!C49</f>
        <v>555.240024448</v>
      </c>
      <c r="E49" s="32">
        <f>SUM(E11:E47)</f>
        <v>22464592.259999998</v>
      </c>
      <c r="F49" s="228">
        <f>E49/'- 3 -'!D49</f>
        <v>0.015968726485088555</v>
      </c>
      <c r="G49" s="32">
        <f>E49/'- 7 -'!B49</f>
        <v>5128.750119288697</v>
      </c>
    </row>
    <row r="50" spans="1:6" ht="4.5" customHeight="1">
      <c r="A50" s="29" t="s">
        <v>78</v>
      </c>
      <c r="B50" s="30"/>
      <c r="C50" s="215"/>
      <c r="D50" s="30"/>
      <c r="E50" s="30"/>
      <c r="F50" s="215"/>
    </row>
    <row r="51" spans="1:7" ht="13.5" customHeight="1">
      <c r="A51" s="27" t="s">
        <v>395</v>
      </c>
      <c r="B51" s="28">
        <v>36801</v>
      </c>
      <c r="C51" s="227">
        <f>B51/'- 3 -'!D51</f>
        <v>0.029272425011334802</v>
      </c>
      <c r="D51" s="28">
        <f>B51/'- 7 -'!C51</f>
        <v>253.8</v>
      </c>
      <c r="E51" s="28">
        <v>0</v>
      </c>
      <c r="F51" s="227">
        <f>E51/'- 3 -'!D51</f>
        <v>0</v>
      </c>
      <c r="G51" s="229">
        <f>IF('- 7 -'!B51=0,"",E51/'- 7 -'!B51)</f>
      </c>
    </row>
    <row r="52" spans="1:7" ht="13.5" customHeight="1">
      <c r="A52" s="25" t="s">
        <v>396</v>
      </c>
      <c r="B52" s="26">
        <v>207030</v>
      </c>
      <c r="C52" s="226">
        <f>B52/'- 3 -'!D52</f>
        <v>0.08552650875610837</v>
      </c>
      <c r="D52" s="26">
        <f>B52/'- 7 -'!C52</f>
        <v>748.75226039783</v>
      </c>
      <c r="E52" s="26">
        <v>0</v>
      </c>
      <c r="F52" s="226">
        <f>E52/'- 3 -'!D52</f>
        <v>0</v>
      </c>
      <c r="G52" s="230">
        <f>IF('- 7 -'!B52=0,"",E52/'- 7 -'!B52)</f>
      </c>
    </row>
    <row r="53" spans="2:7" ht="49.5" customHeight="1">
      <c r="B53" s="125"/>
      <c r="C53" s="125"/>
      <c r="D53" s="125"/>
      <c r="E53" s="125"/>
      <c r="F53" s="125"/>
      <c r="G53" s="125"/>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4"/>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5"/>
      <c r="C1" s="5"/>
      <c r="D1" s="5"/>
      <c r="E1" s="5"/>
      <c r="F1" s="5"/>
      <c r="G1" s="5"/>
      <c r="H1" s="130"/>
      <c r="I1" s="130"/>
      <c r="J1" s="130"/>
    </row>
    <row r="2" spans="1:10" ht="15.75" customHeight="1">
      <c r="A2" s="219"/>
      <c r="B2" s="131" t="s">
        <v>75</v>
      </c>
      <c r="C2" s="132"/>
      <c r="D2" s="132"/>
      <c r="E2" s="283"/>
      <c r="F2" s="283"/>
      <c r="G2" s="283"/>
      <c r="H2" s="283"/>
      <c r="I2" s="91"/>
      <c r="J2" s="220" t="s">
        <v>324</v>
      </c>
    </row>
    <row r="3" spans="1:10" ht="15.75" customHeight="1">
      <c r="A3" s="221"/>
      <c r="B3" s="106" t="str">
        <f>OPYEAR</f>
        <v>OPERATING FUND 2003/2004 ACTUAL</v>
      </c>
      <c r="C3" s="135"/>
      <c r="D3" s="135"/>
      <c r="E3" s="40"/>
      <c r="F3" s="40"/>
      <c r="G3" s="40"/>
      <c r="H3" s="40"/>
      <c r="I3" s="93"/>
      <c r="J3" s="324"/>
    </row>
    <row r="4" spans="8:10" ht="15.75" customHeight="1">
      <c r="H4" s="130"/>
      <c r="I4" s="130"/>
      <c r="J4" s="130"/>
    </row>
    <row r="5" spans="2:10" ht="15.75" customHeight="1">
      <c r="B5" s="326" t="s">
        <v>556</v>
      </c>
      <c r="C5" s="54"/>
      <c r="D5" s="54"/>
      <c r="E5" s="54"/>
      <c r="F5" s="54"/>
      <c r="G5" s="54"/>
      <c r="H5" s="54"/>
      <c r="I5" s="353"/>
      <c r="J5" s="354"/>
    </row>
    <row r="6" spans="2:10" ht="15.75" customHeight="1">
      <c r="B6" s="355" t="s">
        <v>557</v>
      </c>
      <c r="C6" s="356"/>
      <c r="D6" s="356"/>
      <c r="E6" s="356"/>
      <c r="F6" s="356"/>
      <c r="G6" s="357"/>
      <c r="H6" s="358"/>
      <c r="I6" s="356"/>
      <c r="J6" s="357"/>
    </row>
    <row r="7" spans="2:10" ht="15.75" customHeight="1">
      <c r="B7" s="359" t="s">
        <v>114</v>
      </c>
      <c r="C7" s="360"/>
      <c r="D7" s="361"/>
      <c r="E7" s="359" t="s">
        <v>115</v>
      </c>
      <c r="F7" s="360"/>
      <c r="G7" s="361"/>
      <c r="H7" s="359" t="s">
        <v>116</v>
      </c>
      <c r="I7" s="360"/>
      <c r="J7" s="361"/>
    </row>
    <row r="8" spans="1:10" ht="15.75" customHeight="1">
      <c r="A8" s="96"/>
      <c r="B8" s="362"/>
      <c r="C8" s="329"/>
      <c r="D8" s="310" t="s">
        <v>150</v>
      </c>
      <c r="E8" s="362"/>
      <c r="F8" s="329"/>
      <c r="G8" s="310" t="s">
        <v>150</v>
      </c>
      <c r="H8" s="311"/>
      <c r="I8" s="309"/>
      <c r="J8" s="310" t="s">
        <v>150</v>
      </c>
    </row>
    <row r="9" spans="1:10" ht="15.75" customHeight="1">
      <c r="A9" s="49" t="s">
        <v>175</v>
      </c>
      <c r="B9" s="144" t="s">
        <v>176</v>
      </c>
      <c r="C9" s="144" t="s">
        <v>177</v>
      </c>
      <c r="D9" s="144" t="s">
        <v>178</v>
      </c>
      <c r="E9" s="144" t="s">
        <v>176</v>
      </c>
      <c r="F9" s="144" t="s">
        <v>177</v>
      </c>
      <c r="G9" s="144" t="s">
        <v>178</v>
      </c>
      <c r="H9" s="312" t="s">
        <v>176</v>
      </c>
      <c r="I9" s="144" t="s">
        <v>177</v>
      </c>
      <c r="J9" s="144" t="s">
        <v>178</v>
      </c>
    </row>
    <row r="10" spans="1:10" ht="4.5" customHeight="1">
      <c r="A10" s="4"/>
      <c r="B10" s="125"/>
      <c r="C10" s="125"/>
      <c r="D10" s="125"/>
      <c r="E10" s="125"/>
      <c r="F10" s="125"/>
      <c r="G10" s="125"/>
      <c r="H10" s="125"/>
      <c r="I10" s="125"/>
      <c r="J10" s="125"/>
    </row>
    <row r="11" spans="1:10" ht="13.5" customHeight="1">
      <c r="A11" s="25" t="s">
        <v>359</v>
      </c>
      <c r="B11" s="26">
        <v>6237550</v>
      </c>
      <c r="C11" s="226">
        <f>B11/'- 3 -'!D11</f>
        <v>0.5465080539965781</v>
      </c>
      <c r="D11" s="26">
        <f>B11/'- 6 -'!B11</f>
        <v>4095.5679579776756</v>
      </c>
      <c r="E11" s="26">
        <v>0</v>
      </c>
      <c r="F11" s="226">
        <f>E11/'- 3 -'!D11</f>
        <v>0</v>
      </c>
      <c r="G11" s="26">
        <f>IF('- 6 -'!C11=0,"",E11/'- 6 -'!C11)</f>
      </c>
      <c r="H11" s="26">
        <v>0</v>
      </c>
      <c r="I11" s="226">
        <f>H11/'- 3 -'!D11</f>
        <v>0</v>
      </c>
      <c r="J11" s="26">
        <f>IF('- 6 -'!D11=0,"",H11/'- 6 -'!D11)</f>
      </c>
    </row>
    <row r="12" spans="1:10" ht="13.5" customHeight="1">
      <c r="A12" s="27" t="s">
        <v>360</v>
      </c>
      <c r="B12" s="28">
        <v>8983240</v>
      </c>
      <c r="C12" s="227">
        <f>B12/'- 3 -'!D12</f>
        <v>0.46851504465246846</v>
      </c>
      <c r="D12" s="28">
        <f>B12/'- 6 -'!B12</f>
        <v>4034.5100152699183</v>
      </c>
      <c r="E12" s="28">
        <v>0</v>
      </c>
      <c r="F12" s="227">
        <f>E12/'- 3 -'!D12</f>
        <v>0</v>
      </c>
      <c r="G12" s="28">
        <f>IF('- 6 -'!C12=0,"",E12/'- 6 -'!C12)</f>
      </c>
      <c r="H12" s="28">
        <v>188847</v>
      </c>
      <c r="I12" s="227">
        <f>H12/'- 3 -'!D12</f>
        <v>0.009849192567212355</v>
      </c>
      <c r="J12" s="28">
        <f>IF('- 6 -'!D12=0,"",H12/'- 6 -'!D12)</f>
        <v>6253.211920529801</v>
      </c>
    </row>
    <row r="13" spans="1:10" ht="13.5" customHeight="1">
      <c r="A13" s="25" t="s">
        <v>361</v>
      </c>
      <c r="B13" s="26">
        <v>20878652</v>
      </c>
      <c r="C13" s="226">
        <f>B13/'- 3 -'!D13</f>
        <v>0.4266633515345093</v>
      </c>
      <c r="D13" s="26">
        <f>B13/'- 6 -'!B13</f>
        <v>3788.33523850997</v>
      </c>
      <c r="E13" s="26">
        <v>0</v>
      </c>
      <c r="F13" s="226">
        <f>E13/'- 3 -'!D13</f>
        <v>0</v>
      </c>
      <c r="G13" s="26">
        <f>IF('- 6 -'!C13=0,"",E13/'- 6 -'!C13)</f>
      </c>
      <c r="H13" s="26">
        <v>0</v>
      </c>
      <c r="I13" s="226">
        <f>H13/'- 3 -'!D13</f>
        <v>0</v>
      </c>
      <c r="J13" s="26">
        <f>IF('- 6 -'!D13=0,"",H13/'- 6 -'!D13)</f>
      </c>
    </row>
    <row r="14" spans="1:10" ht="13.5" customHeight="1">
      <c r="A14" s="27" t="s">
        <v>398</v>
      </c>
      <c r="B14" s="28">
        <v>0</v>
      </c>
      <c r="C14" s="227">
        <f>B14/'- 3 -'!D14</f>
        <v>0</v>
      </c>
      <c r="D14" s="28"/>
      <c r="E14" s="28">
        <v>20760301</v>
      </c>
      <c r="F14" s="227">
        <f>E14/'- 3 -'!D14</f>
        <v>0.4900907263761635</v>
      </c>
      <c r="G14" s="28">
        <f>IF('- 6 -'!C14=0,"",E14/'- 6 -'!C14)</f>
        <v>4942.6934431693735</v>
      </c>
      <c r="H14" s="28">
        <v>0</v>
      </c>
      <c r="I14" s="227">
        <f>H14/'- 3 -'!D14</f>
        <v>0</v>
      </c>
      <c r="J14" s="28">
        <f>IF('- 6 -'!D14=0,"",H14/'- 6 -'!D14)</f>
      </c>
    </row>
    <row r="15" spans="1:10" ht="13.5" customHeight="1">
      <c r="A15" s="25" t="s">
        <v>362</v>
      </c>
      <c r="B15" s="26">
        <v>6517774</v>
      </c>
      <c r="C15" s="226">
        <f>B15/'- 3 -'!D15</f>
        <v>0.49874574639605823</v>
      </c>
      <c r="D15" s="26">
        <f>B15/'- 6 -'!B15</f>
        <v>3922.8251579897683</v>
      </c>
      <c r="E15" s="26">
        <v>0</v>
      </c>
      <c r="F15" s="226">
        <f>E15/'- 3 -'!D15</f>
        <v>0</v>
      </c>
      <c r="G15" s="26">
        <f>IF('- 6 -'!C15=0,"",E15/'- 6 -'!C15)</f>
      </c>
      <c r="H15" s="26">
        <v>0</v>
      </c>
      <c r="I15" s="226">
        <f>H15/'- 3 -'!D15</f>
        <v>0</v>
      </c>
      <c r="J15" s="26">
        <f>IF('- 6 -'!D15=0,"",H15/'- 6 -'!D15)</f>
      </c>
    </row>
    <row r="16" spans="1:10" ht="13.5" customHeight="1">
      <c r="A16" s="27" t="s">
        <v>363</v>
      </c>
      <c r="B16" s="28">
        <v>3981938</v>
      </c>
      <c r="C16" s="227">
        <f>B16/'- 3 -'!D16</f>
        <v>0.3716776302540594</v>
      </c>
      <c r="D16" s="28">
        <f>B16/'- 6 -'!B16</f>
        <v>4101.285405294057</v>
      </c>
      <c r="E16" s="28">
        <v>0</v>
      </c>
      <c r="F16" s="227">
        <f>E16/'- 3 -'!D16</f>
        <v>0</v>
      </c>
      <c r="G16" s="28">
        <f>IF('- 6 -'!C16=0,"",E16/'- 6 -'!C16)</f>
      </c>
      <c r="H16" s="28">
        <v>0</v>
      </c>
      <c r="I16" s="227">
        <f>H16/'- 3 -'!D16</f>
        <v>0</v>
      </c>
      <c r="J16" s="28">
        <f>IF('- 6 -'!D16=0,"",H16/'- 6 -'!D16)</f>
      </c>
    </row>
    <row r="17" spans="1:10" ht="13.5" customHeight="1">
      <c r="A17" s="25" t="s">
        <v>364</v>
      </c>
      <c r="B17" s="26">
        <v>6306952</v>
      </c>
      <c r="C17" s="226">
        <f>B17/'- 3 -'!D17</f>
        <v>0.5108977084601238</v>
      </c>
      <c r="D17" s="26">
        <f>B17/'- 6 -'!B17</f>
        <v>4071.6281471917364</v>
      </c>
      <c r="E17" s="26">
        <v>0</v>
      </c>
      <c r="F17" s="226">
        <f>E17/'- 3 -'!D17</f>
        <v>0</v>
      </c>
      <c r="G17" s="26">
        <f>IF('- 6 -'!C17=0,"",E17/'- 6 -'!C17)</f>
      </c>
      <c r="H17" s="26">
        <v>0</v>
      </c>
      <c r="I17" s="226">
        <f>H17/'- 3 -'!D17</f>
        <v>0</v>
      </c>
      <c r="J17" s="26">
        <f>IF('- 6 -'!D17=0,"",H17/'- 6 -'!D17)</f>
      </c>
    </row>
    <row r="18" spans="1:10" ht="13.5" customHeight="1">
      <c r="A18" s="27" t="s">
        <v>365</v>
      </c>
      <c r="B18" s="28">
        <v>29334997</v>
      </c>
      <c r="C18" s="227">
        <f>B18/'- 3 -'!D18</f>
        <v>0.3991724725844957</v>
      </c>
      <c r="D18" s="28">
        <f>B18/'- 6 -'!B18</f>
        <v>5027.334064540453</v>
      </c>
      <c r="E18" s="28">
        <v>0</v>
      </c>
      <c r="F18" s="227">
        <f>E18/'- 3 -'!D18</f>
        <v>0</v>
      </c>
      <c r="G18" s="28">
        <f>IF('- 6 -'!C18=0,"",E18/'- 6 -'!C18)</f>
      </c>
      <c r="H18" s="28">
        <v>0</v>
      </c>
      <c r="I18" s="227">
        <f>H18/'- 3 -'!D18</f>
        <v>0</v>
      </c>
      <c r="J18" s="28">
        <f>IF('- 6 -'!D18=0,"",H18/'- 6 -'!D18)</f>
      </c>
    </row>
    <row r="19" spans="1:10" ht="13.5" customHeight="1">
      <c r="A19" s="25" t="s">
        <v>366</v>
      </c>
      <c r="B19" s="26">
        <v>10284829</v>
      </c>
      <c r="C19" s="226">
        <f>B19/'- 3 -'!D19</f>
        <v>0.5605847685850158</v>
      </c>
      <c r="D19" s="26">
        <f>B19/'- 6 -'!B19</f>
        <v>3608.4333840896493</v>
      </c>
      <c r="E19" s="26">
        <v>0</v>
      </c>
      <c r="F19" s="226">
        <f>E19/'- 3 -'!D19</f>
        <v>0</v>
      </c>
      <c r="G19" s="26">
        <f>IF('- 6 -'!C19=0,"",E19/'- 6 -'!C19)</f>
      </c>
      <c r="H19" s="26">
        <v>0</v>
      </c>
      <c r="I19" s="226">
        <f>H19/'- 3 -'!D19</f>
        <v>0</v>
      </c>
      <c r="J19" s="26">
        <f>IF('- 6 -'!D19=0,"",H19/'- 6 -'!D19)</f>
      </c>
    </row>
    <row r="20" spans="1:10" ht="13.5" customHeight="1">
      <c r="A20" s="27" t="s">
        <v>367</v>
      </c>
      <c r="B20" s="28">
        <v>20238113</v>
      </c>
      <c r="C20" s="227">
        <f>B20/'- 3 -'!D20</f>
        <v>0.5517245412155805</v>
      </c>
      <c r="D20" s="28">
        <f>B20/'- 6 -'!B20</f>
        <v>3364.663252921911</v>
      </c>
      <c r="E20" s="28">
        <v>0</v>
      </c>
      <c r="F20" s="227">
        <f>E20/'- 3 -'!D20</f>
        <v>0</v>
      </c>
      <c r="G20" s="28">
        <f>IF('- 6 -'!C20=0,"",E20/'- 6 -'!C20)</f>
      </c>
      <c r="H20" s="28">
        <v>0</v>
      </c>
      <c r="I20" s="227">
        <f>H20/'- 3 -'!D20</f>
        <v>0</v>
      </c>
      <c r="J20" s="28">
        <f>IF('- 6 -'!D20=0,"",H20/'- 6 -'!D20)</f>
      </c>
    </row>
    <row r="21" spans="1:10" ht="13.5" customHeight="1">
      <c r="A21" s="25" t="s">
        <v>368</v>
      </c>
      <c r="B21" s="26">
        <v>12342639</v>
      </c>
      <c r="C21" s="226">
        <f>B21/'- 3 -'!D21</f>
        <v>0.5127268653223245</v>
      </c>
      <c r="D21" s="26">
        <f>B21/'- 6 -'!B21</f>
        <v>3741.894497498863</v>
      </c>
      <c r="E21" s="26">
        <v>0</v>
      </c>
      <c r="F21" s="226">
        <f>E21/'- 3 -'!D21</f>
        <v>0</v>
      </c>
      <c r="G21" s="26">
        <f>IF('- 6 -'!C21=0,"",E21/'- 6 -'!C21)</f>
      </c>
      <c r="H21" s="26">
        <v>0</v>
      </c>
      <c r="I21" s="226">
        <f>H21/'- 3 -'!D21</f>
        <v>0</v>
      </c>
      <c r="J21" s="26">
        <f>IF('- 6 -'!D21=0,"",H21/'- 6 -'!D21)</f>
      </c>
    </row>
    <row r="22" spans="1:10" ht="13.5" customHeight="1">
      <c r="A22" s="27" t="s">
        <v>369</v>
      </c>
      <c r="B22" s="28">
        <v>4306613</v>
      </c>
      <c r="C22" s="227">
        <f>B22/'- 3 -'!D22</f>
        <v>0.3194383817564192</v>
      </c>
      <c r="D22" s="28">
        <f>B22/'- 6 -'!B22</f>
        <v>3799.393912659903</v>
      </c>
      <c r="E22" s="28">
        <v>0</v>
      </c>
      <c r="F22" s="227">
        <f>E22/'- 3 -'!D22</f>
        <v>0</v>
      </c>
      <c r="G22" s="28">
        <f>IF('- 6 -'!C22=0,"",E22/'- 6 -'!C22)</f>
      </c>
      <c r="H22" s="28">
        <v>0</v>
      </c>
      <c r="I22" s="227">
        <f>H22/'- 3 -'!D22</f>
        <v>0</v>
      </c>
      <c r="J22" s="28">
        <f>IF('- 6 -'!D22=0,"",H22/'- 6 -'!D22)</f>
      </c>
    </row>
    <row r="23" spans="1:10" ht="13.5" customHeight="1">
      <c r="A23" s="25" t="s">
        <v>370</v>
      </c>
      <c r="B23" s="26">
        <v>5459144</v>
      </c>
      <c r="C23" s="226">
        <f>B23/'- 3 -'!D23</f>
        <v>0.4825737483446495</v>
      </c>
      <c r="D23" s="26">
        <f>B23/'- 6 -'!B23</f>
        <v>4240.111844660194</v>
      </c>
      <c r="E23" s="26">
        <v>0</v>
      </c>
      <c r="F23" s="226">
        <f>E23/'- 3 -'!D23</f>
        <v>0</v>
      </c>
      <c r="G23" s="26">
        <f>IF('- 6 -'!C23=0,"",E23/'- 6 -'!C23)</f>
      </c>
      <c r="H23" s="26">
        <v>0</v>
      </c>
      <c r="I23" s="226">
        <f>H23/'- 3 -'!D23</f>
        <v>0</v>
      </c>
      <c r="J23" s="26">
        <f>IF('- 6 -'!D23=0,"",H23/'- 6 -'!D23)</f>
      </c>
    </row>
    <row r="24" spans="1:10" ht="13.5" customHeight="1">
      <c r="A24" s="27" t="s">
        <v>371</v>
      </c>
      <c r="B24" s="28">
        <v>12551473</v>
      </c>
      <c r="C24" s="227">
        <f>B24/'- 3 -'!D24</f>
        <v>0.36035856670668753</v>
      </c>
      <c r="D24" s="28">
        <f>B24/'- 6 -'!B24</f>
        <v>4173.390856192851</v>
      </c>
      <c r="E24" s="28">
        <v>0</v>
      </c>
      <c r="F24" s="227">
        <f>E24/'- 3 -'!D24</f>
        <v>0</v>
      </c>
      <c r="G24" s="28">
        <f>IF('- 6 -'!C24=0,"",E24/'- 6 -'!C24)</f>
      </c>
      <c r="H24" s="28">
        <v>805510</v>
      </c>
      <c r="I24" s="227">
        <f>H24/'- 3 -'!D24</f>
        <v>0.023126562839907626</v>
      </c>
      <c r="J24" s="28">
        <f>IF('- 6 -'!D24=0,"",H24/'- 6 -'!D24)</f>
        <v>3987.6732673267325</v>
      </c>
    </row>
    <row r="25" spans="1:10" ht="13.5" customHeight="1">
      <c r="A25" s="25" t="s">
        <v>372</v>
      </c>
      <c r="B25" s="26">
        <v>43604588</v>
      </c>
      <c r="C25" s="226">
        <f>B25/'- 3 -'!D25</f>
        <v>0.3946807145540484</v>
      </c>
      <c r="D25" s="26">
        <f>B25/'- 6 -'!B25</f>
        <v>3973.9884256094783</v>
      </c>
      <c r="E25" s="26">
        <v>1362398</v>
      </c>
      <c r="F25" s="226">
        <f>E25/'- 3 -'!D25</f>
        <v>0.012331551352967868</v>
      </c>
      <c r="G25" s="26">
        <f>IF('- 6 -'!C25=0,"",E25/'- 6 -'!C25)</f>
        <v>3692.1355013550137</v>
      </c>
      <c r="H25" s="26">
        <v>11623286.209999999</v>
      </c>
      <c r="I25" s="226">
        <f>H25/'- 3 -'!D25</f>
        <v>0.10520651879176147</v>
      </c>
      <c r="J25" s="26">
        <f>IF('- 6 -'!D25=0,"",H25/'- 6 -'!D25)</f>
        <v>3549.0950259541983</v>
      </c>
    </row>
    <row r="26" spans="1:10" ht="13.5" customHeight="1">
      <c r="A26" s="27" t="s">
        <v>373</v>
      </c>
      <c r="B26" s="28">
        <v>11257250</v>
      </c>
      <c r="C26" s="227">
        <f>B26/'- 3 -'!D26</f>
        <v>0.41577360612381</v>
      </c>
      <c r="D26" s="28">
        <f>B26/'- 6 -'!B26</f>
        <v>4277.883336500095</v>
      </c>
      <c r="E26" s="28">
        <v>0</v>
      </c>
      <c r="F26" s="227">
        <f>E26/'- 3 -'!D26</f>
        <v>0</v>
      </c>
      <c r="G26" s="28">
        <f>IF('- 6 -'!C26=0,"",E26/'- 6 -'!C26)</f>
      </c>
      <c r="H26" s="28">
        <v>413834</v>
      </c>
      <c r="I26" s="227">
        <f>H26/'- 3 -'!D26</f>
        <v>0.015284483734183816</v>
      </c>
      <c r="J26" s="28">
        <f>IF('- 6 -'!D26=0,"",H26/'- 6 -'!D26)</f>
        <v>3728.234234234234</v>
      </c>
    </row>
    <row r="27" spans="1:10" ht="13.5" customHeight="1">
      <c r="A27" s="25" t="s">
        <v>374</v>
      </c>
      <c r="B27" s="26">
        <v>11632898</v>
      </c>
      <c r="C27" s="226">
        <f>B27/'- 3 -'!D27</f>
        <v>0.42913719372468534</v>
      </c>
      <c r="D27" s="26">
        <f>B27/'- 6 -'!B27</f>
        <v>4619.712481632977</v>
      </c>
      <c r="E27" s="26">
        <v>0</v>
      </c>
      <c r="F27" s="226">
        <f>E27/'- 3 -'!D27</f>
        <v>0</v>
      </c>
      <c r="G27" s="26">
        <f>IF('- 6 -'!C27=0,"",E27/'- 6 -'!C27)</f>
      </c>
      <c r="H27" s="26">
        <v>0</v>
      </c>
      <c r="I27" s="226">
        <f>H27/'- 3 -'!D27</f>
        <v>0</v>
      </c>
      <c r="J27" s="26">
        <f>IF('- 6 -'!D27=0,"",H27/'- 6 -'!D27)</f>
      </c>
    </row>
    <row r="28" spans="1:10" ht="13.5" customHeight="1">
      <c r="A28" s="27" t="s">
        <v>375</v>
      </c>
      <c r="B28" s="28">
        <v>8949338</v>
      </c>
      <c r="C28" s="227">
        <f>B28/'- 3 -'!D28</f>
        <v>0.5367287946675309</v>
      </c>
      <c r="D28" s="28">
        <f>B28/'- 6 -'!B28</f>
        <v>4296.369659145464</v>
      </c>
      <c r="E28" s="28">
        <v>0</v>
      </c>
      <c r="F28" s="227">
        <f>E28/'- 3 -'!D28</f>
        <v>0</v>
      </c>
      <c r="G28" s="28">
        <f>IF('- 6 -'!C28=0,"",E28/'- 6 -'!C28)</f>
      </c>
      <c r="H28" s="28">
        <v>0</v>
      </c>
      <c r="I28" s="227">
        <f>H28/'- 3 -'!D28</f>
        <v>0</v>
      </c>
      <c r="J28" s="28">
        <f>IF('- 6 -'!D28=0,"",H28/'- 6 -'!D28)</f>
      </c>
    </row>
    <row r="29" spans="1:10" ht="13.5" customHeight="1">
      <c r="A29" s="25" t="s">
        <v>376</v>
      </c>
      <c r="B29" s="26">
        <v>37339710</v>
      </c>
      <c r="C29" s="226">
        <f>B29/'- 3 -'!D29</f>
        <v>0.366596629868876</v>
      </c>
      <c r="D29" s="26">
        <f>B29/'- 6 -'!B29</f>
        <v>4211.79967288929</v>
      </c>
      <c r="E29" s="26">
        <v>0</v>
      </c>
      <c r="F29" s="226">
        <f>E29/'- 3 -'!D29</f>
        <v>0</v>
      </c>
      <c r="G29" s="26">
        <f>IF('- 6 -'!C29=0,"",E29/'- 6 -'!C29)</f>
      </c>
      <c r="H29" s="26">
        <v>5117121</v>
      </c>
      <c r="I29" s="226">
        <f>H29/'- 3 -'!D29</f>
        <v>0.05023925770262416</v>
      </c>
      <c r="J29" s="26">
        <f>IF('- 6 -'!D29=0,"",H29/'- 6 -'!D29)</f>
        <v>4110.137349397591</v>
      </c>
    </row>
    <row r="30" spans="1:10" ht="13.5" customHeight="1">
      <c r="A30" s="27" t="s">
        <v>377</v>
      </c>
      <c r="B30" s="28">
        <v>5182706</v>
      </c>
      <c r="C30" s="227">
        <f>B30/'- 3 -'!D30</f>
        <v>0.5275222321553167</v>
      </c>
      <c r="D30" s="28">
        <f>B30/'- 6 -'!B30</f>
        <v>4066.462142016477</v>
      </c>
      <c r="E30" s="28">
        <v>0</v>
      </c>
      <c r="F30" s="227">
        <f>E30/'- 3 -'!D30</f>
        <v>0</v>
      </c>
      <c r="G30" s="28">
        <f>IF('- 6 -'!C30=0,"",E30/'- 6 -'!C30)</f>
      </c>
      <c r="H30" s="28">
        <v>0</v>
      </c>
      <c r="I30" s="227">
        <f>H30/'- 3 -'!D30</f>
        <v>0</v>
      </c>
      <c r="J30" s="28">
        <f>IF('- 6 -'!D30=0,"",H30/'- 6 -'!D30)</f>
      </c>
    </row>
    <row r="31" spans="1:10" ht="13.5" customHeight="1">
      <c r="A31" s="25" t="s">
        <v>378</v>
      </c>
      <c r="B31" s="26">
        <v>11033527</v>
      </c>
      <c r="C31" s="226">
        <f>B31/'- 3 -'!D31</f>
        <v>0.4426517718965858</v>
      </c>
      <c r="D31" s="26">
        <f>B31/'- 6 -'!B31</f>
        <v>3988.4062319259688</v>
      </c>
      <c r="E31" s="26">
        <v>0</v>
      </c>
      <c r="F31" s="226">
        <f>E31/'- 3 -'!D31</f>
        <v>0</v>
      </c>
      <c r="G31" s="26">
        <f>IF('- 6 -'!C31=0,"",E31/'- 6 -'!C31)</f>
      </c>
      <c r="H31" s="26">
        <v>0</v>
      </c>
      <c r="I31" s="226">
        <f>H31/'- 3 -'!D31</f>
        <v>0</v>
      </c>
      <c r="J31" s="26">
        <f>IF('- 6 -'!D31=0,"",H31/'- 6 -'!D31)</f>
      </c>
    </row>
    <row r="32" spans="1:10" ht="13.5" customHeight="1">
      <c r="A32" s="27" t="s">
        <v>379</v>
      </c>
      <c r="B32" s="28">
        <v>8929522</v>
      </c>
      <c r="C32" s="227">
        <f>B32/'- 3 -'!D32</f>
        <v>0.4820699518244355</v>
      </c>
      <c r="D32" s="28">
        <f>B32/'- 6 -'!B32</f>
        <v>4404.203205918619</v>
      </c>
      <c r="E32" s="28">
        <v>0</v>
      </c>
      <c r="F32" s="227">
        <f>E32/'- 3 -'!D32</f>
        <v>0</v>
      </c>
      <c r="G32" s="28">
        <f>IF('- 6 -'!C32=0,"",E32/'- 6 -'!C32)</f>
      </c>
      <c r="H32" s="28">
        <v>480562</v>
      </c>
      <c r="I32" s="227">
        <f>H32/'- 3 -'!D32</f>
        <v>0.025943661955102903</v>
      </c>
      <c r="J32" s="28">
        <f>IF('- 6 -'!D32=0,"",H32/'- 6 -'!D32)</f>
        <v>4688.409756097561</v>
      </c>
    </row>
    <row r="33" spans="1:10" ht="13.5" customHeight="1">
      <c r="A33" s="25" t="s">
        <v>380</v>
      </c>
      <c r="B33" s="26">
        <v>9902379</v>
      </c>
      <c r="C33" s="226">
        <f>B33/'- 3 -'!D33</f>
        <v>0.4505503515336667</v>
      </c>
      <c r="D33" s="26">
        <f>B33/'- 6 -'!B33</f>
        <v>4748.88691732208</v>
      </c>
      <c r="E33" s="26">
        <v>0</v>
      </c>
      <c r="F33" s="226">
        <f>E33/'- 3 -'!D33</f>
        <v>0</v>
      </c>
      <c r="G33" s="26">
        <f>IF('- 6 -'!C33=0,"",E33/'- 6 -'!C33)</f>
      </c>
      <c r="H33" s="26">
        <v>261441</v>
      </c>
      <c r="I33" s="226">
        <f>H33/'- 3 -'!D33</f>
        <v>0.011895357111186448</v>
      </c>
      <c r="J33" s="26">
        <f>IF('- 6 -'!D33=0,"",H33/'- 6 -'!D33)</f>
        <v>4841.5</v>
      </c>
    </row>
    <row r="34" spans="1:10" ht="13.5" customHeight="1">
      <c r="A34" s="27" t="s">
        <v>381</v>
      </c>
      <c r="B34" s="28">
        <v>6904750</v>
      </c>
      <c r="C34" s="227">
        <f>B34/'- 3 -'!D34</f>
        <v>0.4067785846090619</v>
      </c>
      <c r="D34" s="28">
        <f>B34/'- 6 -'!B34</f>
        <v>3849.016110151067</v>
      </c>
      <c r="E34" s="28">
        <v>645922</v>
      </c>
      <c r="F34" s="227">
        <f>E34/'- 3 -'!D34</f>
        <v>0.03805311371560947</v>
      </c>
      <c r="G34" s="28">
        <f>IF('- 6 -'!C34=0,"",E34/'- 6 -'!C34)</f>
        <v>5665.982456140351</v>
      </c>
      <c r="H34" s="28">
        <v>1062160</v>
      </c>
      <c r="I34" s="227">
        <f>H34/'- 3 -'!D34</f>
        <v>0.0625748856118413</v>
      </c>
      <c r="J34" s="28">
        <f>IF('- 6 -'!D34=0,"",H34/'- 6 -'!D34)</f>
        <v>4260.569594865624</v>
      </c>
    </row>
    <row r="35" spans="1:10" ht="13.5" customHeight="1">
      <c r="A35" s="25" t="s">
        <v>382</v>
      </c>
      <c r="B35" s="26">
        <v>41781699</v>
      </c>
      <c r="C35" s="226">
        <f>B35/'- 3 -'!D35</f>
        <v>0.3311327040400415</v>
      </c>
      <c r="D35" s="26">
        <f>B35/'- 6 -'!B35</f>
        <v>3764.795368534871</v>
      </c>
      <c r="E35" s="26">
        <v>0</v>
      </c>
      <c r="F35" s="226">
        <f>E35/'- 3 -'!D35</f>
        <v>0</v>
      </c>
      <c r="G35" s="26">
        <f>IF('- 6 -'!C35=0,"",E35/'- 6 -'!C35)</f>
      </c>
      <c r="H35" s="26">
        <v>3705545</v>
      </c>
      <c r="I35" s="226">
        <f>H35/'- 3 -'!D35</f>
        <v>0.029367573965626805</v>
      </c>
      <c r="J35" s="26">
        <f>IF('- 6 -'!D35=0,"",H35/'- 6 -'!D35)</f>
        <v>3611.642300194932</v>
      </c>
    </row>
    <row r="36" spans="1:10" ht="13.5" customHeight="1">
      <c r="A36" s="27" t="s">
        <v>383</v>
      </c>
      <c r="B36" s="28">
        <v>9208061</v>
      </c>
      <c r="C36" s="227">
        <f>B36/'- 3 -'!D36</f>
        <v>0.5516242735118104</v>
      </c>
      <c r="D36" s="28">
        <f>B36/'- 6 -'!B36</f>
        <v>4439.973479917065</v>
      </c>
      <c r="E36" s="28">
        <v>0</v>
      </c>
      <c r="F36" s="227">
        <f>E36/'- 3 -'!D36</f>
        <v>0</v>
      </c>
      <c r="G36" s="28">
        <f>IF('- 6 -'!C36=0,"",E36/'- 6 -'!C36)</f>
      </c>
      <c r="H36" s="28">
        <v>0</v>
      </c>
      <c r="I36" s="227">
        <f>H36/'- 3 -'!D36</f>
        <v>0</v>
      </c>
      <c r="J36" s="28">
        <f>IF('- 6 -'!D36=0,"",H36/'- 6 -'!D36)</f>
      </c>
    </row>
    <row r="37" spans="1:10" ht="13.5" customHeight="1">
      <c r="A37" s="25" t="s">
        <v>384</v>
      </c>
      <c r="B37" s="26">
        <v>5803628.65</v>
      </c>
      <c r="C37" s="226">
        <f>B37/'- 3 -'!D37</f>
        <v>0.23008110998990494</v>
      </c>
      <c r="D37" s="26">
        <f>B37/'- 6 -'!B37</f>
        <v>3704.1285741639012</v>
      </c>
      <c r="E37" s="26">
        <v>0</v>
      </c>
      <c r="F37" s="226">
        <f>E37/'- 3 -'!D37</f>
        <v>0</v>
      </c>
      <c r="G37" s="26">
        <f>IF('- 6 -'!C37=0,"",E37/'- 6 -'!C37)</f>
      </c>
      <c r="H37" s="26">
        <v>2316341</v>
      </c>
      <c r="I37" s="226">
        <f>H37/'- 3 -'!D37</f>
        <v>0.0918298431094702</v>
      </c>
      <c r="J37" s="26">
        <f>IF('- 6 -'!D37=0,"",H37/'- 6 -'!D37)</f>
        <v>3835.001655629139</v>
      </c>
    </row>
    <row r="38" spans="1:10" ht="13.5" customHeight="1">
      <c r="A38" s="27" t="s">
        <v>385</v>
      </c>
      <c r="B38" s="28">
        <v>18246918</v>
      </c>
      <c r="C38" s="227">
        <f>B38/'- 3 -'!D38</f>
        <v>0.27957666364973743</v>
      </c>
      <c r="D38" s="28">
        <f>B38/'- 6 -'!B38</f>
        <v>4061.188070331627</v>
      </c>
      <c r="E38" s="28">
        <v>0</v>
      </c>
      <c r="F38" s="227">
        <f>E38/'- 3 -'!D38</f>
        <v>0</v>
      </c>
      <c r="G38" s="28">
        <f>IF('- 6 -'!C38=0,"",E38/'- 6 -'!C38)</f>
      </c>
      <c r="H38" s="28">
        <v>853081</v>
      </c>
      <c r="I38" s="227">
        <f>H38/'- 3 -'!D38</f>
        <v>0.013070784874628233</v>
      </c>
      <c r="J38" s="28">
        <f>IF('- 6 -'!D38=0,"",H38/'- 6 -'!D38)</f>
        <v>4297.637279596977</v>
      </c>
    </row>
    <row r="39" spans="1:10" ht="13.5" customHeight="1">
      <c r="A39" s="25" t="s">
        <v>386</v>
      </c>
      <c r="B39" s="26">
        <v>8046158</v>
      </c>
      <c r="C39" s="226">
        <f>B39/'- 3 -'!D39</f>
        <v>0.5248256714160088</v>
      </c>
      <c r="D39" s="26">
        <f>B39/'- 6 -'!B39</f>
        <v>4420.965934065934</v>
      </c>
      <c r="E39" s="26">
        <v>0</v>
      </c>
      <c r="F39" s="226">
        <f>E39/'- 3 -'!D39</f>
        <v>0</v>
      </c>
      <c r="G39" s="26">
        <f>IF('- 6 -'!C39=0,"",E39/'- 6 -'!C39)</f>
      </c>
      <c r="H39" s="26">
        <v>0</v>
      </c>
      <c r="I39" s="226">
        <f>H39/'- 3 -'!D39</f>
        <v>0</v>
      </c>
      <c r="J39" s="26">
        <f>IF('- 6 -'!D39=0,"",H39/'- 6 -'!D39)</f>
      </c>
    </row>
    <row r="40" spans="1:10" ht="13.5" customHeight="1">
      <c r="A40" s="27" t="s">
        <v>387</v>
      </c>
      <c r="B40" s="28">
        <v>26556021</v>
      </c>
      <c r="C40" s="227">
        <f>B40/'- 3 -'!D40</f>
        <v>0.40417463787794894</v>
      </c>
      <c r="D40" s="28">
        <f>B40/'- 6 -'!B40</f>
        <v>4389.758725456812</v>
      </c>
      <c r="E40" s="28">
        <v>0</v>
      </c>
      <c r="F40" s="227">
        <f>E40/'- 3 -'!D40</f>
        <v>0</v>
      </c>
      <c r="G40" s="28">
        <f>IF('- 6 -'!C40=0,"",E40/'- 6 -'!C40)</f>
      </c>
      <c r="H40" s="28">
        <v>3174894</v>
      </c>
      <c r="I40" s="227">
        <f>H40/'- 3 -'!D40</f>
        <v>0.04832093003507087</v>
      </c>
      <c r="J40" s="28">
        <f>IF('- 6 -'!D40=0,"",H40/'- 6 -'!D40)</f>
        <v>4244.510695187166</v>
      </c>
    </row>
    <row r="41" spans="1:10" ht="13.5" customHeight="1">
      <c r="A41" s="25" t="s">
        <v>388</v>
      </c>
      <c r="B41" s="26">
        <v>14157614</v>
      </c>
      <c r="C41" s="226">
        <f>B41/'- 3 -'!D41</f>
        <v>0.36213642064711693</v>
      </c>
      <c r="D41" s="26">
        <f>B41/'- 6 -'!B41</f>
        <v>4496.4790700628855</v>
      </c>
      <c r="E41" s="26">
        <v>0</v>
      </c>
      <c r="F41" s="226">
        <f>E41/'- 3 -'!D41</f>
        <v>0</v>
      </c>
      <c r="G41" s="26">
        <f>IF('- 6 -'!C41=0,"",E41/'- 6 -'!C41)</f>
      </c>
      <c r="H41" s="26">
        <v>0</v>
      </c>
      <c r="I41" s="226">
        <f>H41/'- 3 -'!D41</f>
        <v>0</v>
      </c>
      <c r="J41" s="26">
        <f>IF('- 6 -'!D41=0,"",H41/'- 6 -'!D41)</f>
      </c>
    </row>
    <row r="42" spans="1:10" ht="13.5" customHeight="1">
      <c r="A42" s="27" t="s">
        <v>389</v>
      </c>
      <c r="B42" s="28">
        <v>6009929</v>
      </c>
      <c r="C42" s="227">
        <f>B42/'- 3 -'!D42</f>
        <v>0.39765176251135737</v>
      </c>
      <c r="D42" s="28">
        <f>B42/'- 6 -'!B42</f>
        <v>4205.982923927497</v>
      </c>
      <c r="E42" s="28">
        <v>0</v>
      </c>
      <c r="F42" s="227">
        <f>E42/'- 3 -'!D42</f>
        <v>0</v>
      </c>
      <c r="G42" s="28">
        <f>IF('- 6 -'!C42=0,"",E42/'- 6 -'!C42)</f>
      </c>
      <c r="H42" s="28">
        <v>0</v>
      </c>
      <c r="I42" s="227">
        <f>H42/'- 3 -'!D42</f>
        <v>0</v>
      </c>
      <c r="J42" s="28">
        <f>IF('- 6 -'!D42=0,"",H42/'- 6 -'!D42)</f>
      </c>
    </row>
    <row r="43" spans="1:10" ht="13.5" customHeight="1">
      <c r="A43" s="25" t="s">
        <v>390</v>
      </c>
      <c r="B43" s="26">
        <v>4787864</v>
      </c>
      <c r="C43" s="226">
        <f>B43/'- 3 -'!D43</f>
        <v>0.5184267618023399</v>
      </c>
      <c r="D43" s="26">
        <f>B43/'- 6 -'!B43</f>
        <v>3960.185277088503</v>
      </c>
      <c r="E43" s="26">
        <v>0</v>
      </c>
      <c r="F43" s="226">
        <f>E43/'- 3 -'!D43</f>
        <v>0</v>
      </c>
      <c r="G43" s="26">
        <f>IF('- 6 -'!C43=0,"",E43/'- 6 -'!C43)</f>
      </c>
      <c r="H43" s="26">
        <v>0</v>
      </c>
      <c r="I43" s="226">
        <f>H43/'- 3 -'!D43</f>
        <v>0</v>
      </c>
      <c r="J43" s="26">
        <f>IF('- 6 -'!D43=0,"",H43/'- 6 -'!D43)</f>
      </c>
    </row>
    <row r="44" spans="1:10" ht="13.5" customHeight="1">
      <c r="A44" s="27" t="s">
        <v>391</v>
      </c>
      <c r="B44" s="28">
        <v>3256940</v>
      </c>
      <c r="C44" s="227">
        <f>B44/'- 3 -'!D44</f>
        <v>0.47235018196041556</v>
      </c>
      <c r="D44" s="28">
        <f>B44/'- 6 -'!B44</f>
        <v>4407.225981055481</v>
      </c>
      <c r="E44" s="28">
        <v>216211</v>
      </c>
      <c r="F44" s="227">
        <f>E44/'- 3 -'!D44</f>
        <v>0.031356827326215225</v>
      </c>
      <c r="G44" s="28">
        <f>IF('- 6 -'!C44=0,"",E44/'- 6 -'!C44)</f>
        <v>4198.271844660194</v>
      </c>
      <c r="H44" s="28">
        <v>0</v>
      </c>
      <c r="I44" s="227">
        <f>H44/'- 3 -'!D44</f>
        <v>0</v>
      </c>
      <c r="J44" s="28">
        <f>IF('- 6 -'!D44=0,"",H44/'- 6 -'!D44)</f>
      </c>
    </row>
    <row r="45" spans="1:10" ht="13.5" customHeight="1">
      <c r="A45" s="25" t="s">
        <v>392</v>
      </c>
      <c r="B45" s="26">
        <v>2422168</v>
      </c>
      <c r="C45" s="226">
        <f>B45/'- 3 -'!D45</f>
        <v>0.23171389722888922</v>
      </c>
      <c r="D45" s="26">
        <f>B45/'- 6 -'!B45</f>
        <v>3862.490830808483</v>
      </c>
      <c r="E45" s="26">
        <v>0</v>
      </c>
      <c r="F45" s="226">
        <f>E45/'- 3 -'!D45</f>
        <v>0</v>
      </c>
      <c r="G45" s="26">
        <f>IF('- 6 -'!C45=0,"",E45/'- 6 -'!C45)</f>
      </c>
      <c r="H45" s="26">
        <v>0</v>
      </c>
      <c r="I45" s="226">
        <f>H45/'- 3 -'!D45</f>
        <v>0</v>
      </c>
      <c r="J45" s="26">
        <f>IF('- 6 -'!D45=0,"",H45/'- 6 -'!D45)</f>
      </c>
    </row>
    <row r="46" spans="1:10" ht="13.5" customHeight="1">
      <c r="A46" s="27" t="s">
        <v>393</v>
      </c>
      <c r="B46" s="28">
        <v>94890700</v>
      </c>
      <c r="C46" s="227">
        <f>B46/'- 3 -'!D46</f>
        <v>0.36482718904839073</v>
      </c>
      <c r="D46" s="28">
        <f>B46/'- 6 -'!B46</f>
        <v>4132.402254100146</v>
      </c>
      <c r="E46" s="28">
        <v>0</v>
      </c>
      <c r="F46" s="227">
        <f>E46/'- 3 -'!D46</f>
        <v>0</v>
      </c>
      <c r="G46" s="28">
        <f>IF('- 6 -'!C46=0,"",E46/'- 6 -'!C46)</f>
      </c>
      <c r="H46" s="28">
        <v>3509332</v>
      </c>
      <c r="I46" s="227">
        <f>H46/'- 3 -'!D46</f>
        <v>0.013492362570805855</v>
      </c>
      <c r="J46" s="28">
        <f>IF('- 6 -'!D46=0,"",H46/'- 6 -'!D46)</f>
        <v>4143.249114521842</v>
      </c>
    </row>
    <row r="47" spans="1:10" ht="13.5" customHeight="1">
      <c r="A47" s="25" t="s">
        <v>397</v>
      </c>
      <c r="B47" s="26">
        <v>147002</v>
      </c>
      <c r="C47" s="226">
        <f>B47/'- 3 -'!D47</f>
        <v>0.02509733621863409</v>
      </c>
      <c r="D47" s="26">
        <f>B47/'- 6 -'!B47</f>
        <v>5326.159420289855</v>
      </c>
      <c r="E47" s="26">
        <v>0</v>
      </c>
      <c r="F47" s="226">
        <f>E47/'- 3 -'!D47</f>
        <v>0</v>
      </c>
      <c r="G47" s="26">
        <f>IF('- 6 -'!C47=0,"",E47/'- 6 -'!C47)</f>
      </c>
      <c r="H47" s="26">
        <v>0</v>
      </c>
      <c r="I47" s="226">
        <f>H47/'- 3 -'!D47</f>
        <v>0</v>
      </c>
      <c r="J47" s="26">
        <f>IF('- 6 -'!D47=0,"",H47/'- 6 -'!D47)</f>
      </c>
    </row>
    <row r="48" spans="1:10" ht="4.5" customHeight="1">
      <c r="A48" s="29"/>
      <c r="B48" s="30"/>
      <c r="C48" s="215"/>
      <c r="D48" s="30"/>
      <c r="E48" s="30"/>
      <c r="F48" s="215"/>
      <c r="G48" s="30"/>
      <c r="H48" s="30"/>
      <c r="I48" s="215"/>
      <c r="J48" s="30"/>
    </row>
    <row r="49" spans="1:10" ht="13.5" customHeight="1">
      <c r="A49" s="31" t="s">
        <v>394</v>
      </c>
      <c r="B49" s="32">
        <f>SUM(B11:B47)</f>
        <v>537475284.65</v>
      </c>
      <c r="C49" s="228">
        <f>B49/'- 3 -'!D49</f>
        <v>0.38205882901125776</v>
      </c>
      <c r="D49" s="32">
        <f>B49/'- 6 -'!B49</f>
        <v>4098.745372780303</v>
      </c>
      <c r="E49" s="32">
        <f>SUM(E11:E47)</f>
        <v>22984832</v>
      </c>
      <c r="F49" s="228">
        <f>E49/'- 3 -'!D49</f>
        <v>0.016338533602822263</v>
      </c>
      <c r="G49" s="32">
        <f>E49/'- 6 -'!C49</f>
        <v>4854.548757049021</v>
      </c>
      <c r="H49" s="32">
        <f>SUM(H11:H47)</f>
        <v>33511954.21</v>
      </c>
      <c r="I49" s="228">
        <f>H49/'- 3 -'!D49</f>
        <v>0.023821631150331056</v>
      </c>
      <c r="J49" s="32">
        <f>H49/'- 6 -'!D49</f>
        <v>3855.2722703480013</v>
      </c>
    </row>
    <row r="50" spans="1:10" ht="4.5" customHeight="1">
      <c r="A50" s="29" t="s">
        <v>78</v>
      </c>
      <c r="B50" s="30"/>
      <c r="C50" s="215"/>
      <c r="D50" s="30"/>
      <c r="E50" s="30"/>
      <c r="F50" s="215"/>
      <c r="H50" s="30"/>
      <c r="I50" s="215"/>
      <c r="J50" s="30"/>
    </row>
    <row r="51" spans="1:10" ht="13.5" customHeight="1">
      <c r="A51" s="27" t="s">
        <v>395</v>
      </c>
      <c r="B51" s="28">
        <v>826364</v>
      </c>
      <c r="C51" s="227">
        <f>B51/'- 3 -'!D51</f>
        <v>0.6573103508618426</v>
      </c>
      <c r="D51" s="28">
        <f>B51/'- 6 -'!B51</f>
        <v>5699.062068965517</v>
      </c>
      <c r="E51" s="28">
        <v>0</v>
      </c>
      <c r="F51" s="227">
        <f>E51/'- 3 -'!D51</f>
        <v>0</v>
      </c>
      <c r="G51" s="229">
        <f>IF('- 6 -'!C51=0,"",E51/'- 6 -'!C51)</f>
      </c>
      <c r="H51" s="28">
        <v>0</v>
      </c>
      <c r="I51" s="227">
        <f>H51/'- 3 -'!D51</f>
        <v>0</v>
      </c>
      <c r="J51" s="28">
        <f>IF('- 6 -'!D51=0,"",H51/'- 6 -'!D51)</f>
      </c>
    </row>
    <row r="52" spans="1:10" ht="13.5" customHeight="1">
      <c r="A52" s="25" t="s">
        <v>396</v>
      </c>
      <c r="B52" s="26">
        <v>1322818</v>
      </c>
      <c r="C52" s="226">
        <f>B52/'- 3 -'!D52</f>
        <v>0.5464715512714957</v>
      </c>
      <c r="D52" s="26">
        <f>B52/'- 6 -'!B52</f>
        <v>4784.151898734177</v>
      </c>
      <c r="E52" s="26">
        <v>0</v>
      </c>
      <c r="F52" s="226">
        <f>E52/'- 3 -'!D52</f>
        <v>0</v>
      </c>
      <c r="G52" s="230">
        <f>IF('- 6 -'!C52=0,"",E52/'- 6 -'!C52)</f>
      </c>
      <c r="H52" s="26">
        <v>0</v>
      </c>
      <c r="I52" s="226">
        <f>H52/'- 3 -'!D52</f>
        <v>0</v>
      </c>
      <c r="J52" s="26">
        <f>IF('- 6 -'!D52=0,"",H52/'- 6 -'!D52)</f>
      </c>
    </row>
    <row r="53" spans="1:10" ht="49.5" customHeight="1">
      <c r="A53" s="33"/>
      <c r="B53" s="33"/>
      <c r="C53" s="33"/>
      <c r="D53" s="33"/>
      <c r="E53" s="33"/>
      <c r="F53" s="33"/>
      <c r="G53" s="33"/>
      <c r="H53" s="162"/>
      <c r="I53" s="162"/>
      <c r="J53" s="162"/>
    </row>
    <row r="54" spans="1:10" ht="15" customHeight="1">
      <c r="A54" s="164" t="s">
        <v>558</v>
      </c>
      <c r="B54" s="125"/>
      <c r="C54" s="125"/>
      <c r="D54" s="125"/>
      <c r="E54" s="125"/>
      <c r="F54" s="125"/>
      <c r="G54" s="125"/>
      <c r="I54" s="125"/>
      <c r="J54" s="125"/>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4"/>
  <sheetViews>
    <sheetView showGridLines="0" showZeros="0" workbookViewId="0" topLeftCell="A1">
      <selection activeCell="A1" sqref="A1"/>
    </sheetView>
  </sheetViews>
  <sheetFormatPr defaultColWidth="15.83203125" defaultRowHeight="12"/>
  <cols>
    <col min="1" max="1" width="31.83203125" style="1" customWidth="1"/>
    <col min="2" max="2" width="14.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ustomWidth="1"/>
  </cols>
  <sheetData>
    <row r="1" spans="1:9" ht="6.75" customHeight="1">
      <c r="A1" s="5"/>
      <c r="B1" s="130"/>
      <c r="C1" s="130"/>
      <c r="D1" s="130"/>
      <c r="E1" s="130"/>
      <c r="F1" s="130"/>
      <c r="G1" s="130"/>
      <c r="H1" s="130"/>
      <c r="I1" s="130"/>
    </row>
    <row r="2" spans="1:9" ht="15.75" customHeight="1">
      <c r="A2" s="219"/>
      <c r="B2" s="131" t="s">
        <v>75</v>
      </c>
      <c r="C2" s="132"/>
      <c r="D2" s="132"/>
      <c r="E2" s="132"/>
      <c r="F2" s="132"/>
      <c r="G2" s="132"/>
      <c r="H2" s="323"/>
      <c r="I2" s="220" t="s">
        <v>325</v>
      </c>
    </row>
    <row r="3" spans="1:9" ht="15.75" customHeight="1">
      <c r="A3" s="221"/>
      <c r="B3" s="106" t="str">
        <f>OPYEAR</f>
        <v>OPERATING FUND 2003/2004 ACTUAL</v>
      </c>
      <c r="C3" s="135"/>
      <c r="D3" s="135"/>
      <c r="E3" s="135"/>
      <c r="F3" s="135"/>
      <c r="G3" s="135"/>
      <c r="H3" s="324"/>
      <c r="I3" s="325"/>
    </row>
    <row r="4" spans="2:9" ht="15.75" customHeight="1">
      <c r="B4" s="130"/>
      <c r="C4" s="130"/>
      <c r="D4" s="130"/>
      <c r="E4" s="130"/>
      <c r="F4" s="130"/>
      <c r="G4" s="130"/>
      <c r="H4" s="130"/>
      <c r="I4" s="130"/>
    </row>
    <row r="5" spans="2:9" ht="15.75" customHeight="1">
      <c r="B5" s="326" t="s">
        <v>556</v>
      </c>
      <c r="C5" s="327"/>
      <c r="D5" s="327"/>
      <c r="E5" s="327"/>
      <c r="F5" s="327"/>
      <c r="G5" s="327"/>
      <c r="H5" s="327"/>
      <c r="I5" s="328"/>
    </row>
    <row r="6" spans="2:9" ht="15.75" customHeight="1">
      <c r="B6" s="305" t="s">
        <v>559</v>
      </c>
      <c r="C6" s="306"/>
      <c r="D6" s="306"/>
      <c r="E6" s="306"/>
      <c r="F6" s="306"/>
      <c r="G6" s="306"/>
      <c r="H6" s="306"/>
      <c r="I6" s="307"/>
    </row>
    <row r="7" spans="2:9" ht="15.75" customHeight="1">
      <c r="B7" s="311"/>
      <c r="C7" s="329"/>
      <c r="D7" s="329"/>
      <c r="E7" s="330" t="s">
        <v>277</v>
      </c>
      <c r="F7" s="331" t="s">
        <v>278</v>
      </c>
      <c r="G7" s="331"/>
      <c r="H7" s="331"/>
      <c r="I7" s="332"/>
    </row>
    <row r="8" spans="1:9" ht="15.75" customHeight="1">
      <c r="A8" s="96"/>
      <c r="B8" s="333"/>
      <c r="C8" s="333"/>
      <c r="D8" s="310" t="s">
        <v>150</v>
      </c>
      <c r="E8" s="334" t="s">
        <v>279</v>
      </c>
      <c r="F8" s="333"/>
      <c r="G8" s="335"/>
      <c r="H8" s="336" t="s">
        <v>161</v>
      </c>
      <c r="I8" s="333"/>
    </row>
    <row r="9" spans="1:9" ht="15.75" customHeight="1">
      <c r="A9" s="49" t="s">
        <v>175</v>
      </c>
      <c r="B9" s="144" t="s">
        <v>176</v>
      </c>
      <c r="C9" s="144" t="s">
        <v>177</v>
      </c>
      <c r="D9" s="144" t="s">
        <v>178</v>
      </c>
      <c r="E9" s="337" t="s">
        <v>182</v>
      </c>
      <c r="F9" s="144" t="s">
        <v>160</v>
      </c>
      <c r="G9" s="338" t="s">
        <v>115</v>
      </c>
      <c r="H9" s="144" t="s">
        <v>180</v>
      </c>
      <c r="I9" s="144" t="s">
        <v>132</v>
      </c>
    </row>
    <row r="10" spans="1:9" ht="4.5" customHeight="1">
      <c r="A10" s="4"/>
      <c r="B10" s="125"/>
      <c r="C10" s="125"/>
      <c r="D10" s="125"/>
      <c r="E10" s="125"/>
      <c r="F10" s="125"/>
      <c r="G10" s="125"/>
      <c r="H10" s="125"/>
      <c r="I10" s="125"/>
    </row>
    <row r="11" spans="1:9" ht="13.5" customHeight="1">
      <c r="A11" s="25" t="s">
        <v>359</v>
      </c>
      <c r="B11" s="26">
        <v>0</v>
      </c>
      <c r="C11" s="226">
        <f>B11/'- 3 -'!D11</f>
        <v>0</v>
      </c>
      <c r="D11" s="339">
        <f>IF(E11=0,"",B11/E11)</f>
      </c>
      <c r="E11" s="340">
        <f>SUM('- 6 -'!E11:H11)</f>
        <v>0</v>
      </c>
      <c r="F11" s="226">
        <f>IF(E11=0,"",'- 6 -'!E11/E11)</f>
      </c>
      <c r="G11" s="341">
        <f>IF(E11=0,"",'- 6 -'!F11/E11)</f>
      </c>
      <c r="H11" s="341">
        <f>IF(E11=0,"",'- 6 -'!G11/E11)</f>
      </c>
      <c r="I11" s="226">
        <f>IF(E11=0,"",'- 6 -'!H11/E11)</f>
      </c>
    </row>
    <row r="12" spans="1:9" ht="13.5" customHeight="1">
      <c r="A12" s="27" t="s">
        <v>360</v>
      </c>
      <c r="B12" s="28">
        <v>0</v>
      </c>
      <c r="C12" s="227">
        <f>B12/'- 3 -'!D12</f>
        <v>0</v>
      </c>
      <c r="D12" s="342">
        <f aca="true" t="shared" si="0" ref="D12:D47">IF(E12=0,"",B12/E12)</f>
      </c>
      <c r="E12" s="343">
        <f>SUM('- 6 -'!E12:H12)</f>
        <v>0</v>
      </c>
      <c r="F12" s="227">
        <f>IF(E12=0,"",'- 6 -'!E12/E12)</f>
      </c>
      <c r="G12" s="344">
        <f>IF(E12=0,"",'- 6 -'!F12/E12)</f>
      </c>
      <c r="H12" s="344">
        <f>IF(E12=0,"",'- 6 -'!G12/E12)</f>
      </c>
      <c r="I12" s="227">
        <f>IF(E12=0,"",'- 6 -'!H12/E12)</f>
      </c>
    </row>
    <row r="13" spans="1:9" ht="13.5" customHeight="1">
      <c r="A13" s="25" t="s">
        <v>361</v>
      </c>
      <c r="B13" s="26">
        <v>3875948</v>
      </c>
      <c r="C13" s="226">
        <f>B13/'- 3 -'!D13</f>
        <v>0.07920650069044104</v>
      </c>
      <c r="D13" s="339">
        <f t="shared" si="0"/>
        <v>3691.3790476190475</v>
      </c>
      <c r="E13" s="340">
        <f>SUM('- 6 -'!E13:H13)</f>
        <v>1050</v>
      </c>
      <c r="F13" s="226">
        <f>IF(E13=0,"",'- 6 -'!E13/E13)</f>
        <v>0.5871428571428572</v>
      </c>
      <c r="G13" s="341">
        <f>IF(E13=0,"",'- 6 -'!F13/E13)</f>
        <v>0</v>
      </c>
      <c r="H13" s="341">
        <f>IF(E13=0,"",'- 6 -'!G13/E13)</f>
        <v>0.41285714285714287</v>
      </c>
      <c r="I13" s="226">
        <f>IF(E13=0,"",'- 6 -'!H13/E13)</f>
        <v>0</v>
      </c>
    </row>
    <row r="14" spans="1:9" ht="13.5" customHeight="1">
      <c r="A14" s="27" t="s">
        <v>398</v>
      </c>
      <c r="B14" s="28">
        <v>0</v>
      </c>
      <c r="C14" s="227">
        <f>B14/'- 3 -'!D14</f>
        <v>0</v>
      </c>
      <c r="D14" s="342">
        <f t="shared" si="0"/>
      </c>
      <c r="E14" s="343">
        <f>SUM('- 6 -'!E14:H14)</f>
        <v>0</v>
      </c>
      <c r="F14" s="227">
        <f>IF(E14=0,"",'- 6 -'!E14/E14)</f>
      </c>
      <c r="G14" s="344">
        <f>IF(E14=0,"",'- 6 -'!F14/E14)</f>
      </c>
      <c r="H14" s="344">
        <f>IF(E14=0,"",'- 6 -'!G14/E14)</f>
      </c>
      <c r="I14" s="227">
        <f>IF(E14=0,"",'- 6 -'!H14/E14)</f>
      </c>
    </row>
    <row r="15" spans="1:9" ht="13.5" customHeight="1">
      <c r="A15" s="25" t="s">
        <v>362</v>
      </c>
      <c r="B15" s="26">
        <v>0</v>
      </c>
      <c r="C15" s="226">
        <f>B15/'- 3 -'!D15</f>
        <v>0</v>
      </c>
      <c r="D15" s="339">
        <f t="shared" si="0"/>
      </c>
      <c r="E15" s="340">
        <f>SUM('- 6 -'!E15:H15)</f>
        <v>0</v>
      </c>
      <c r="F15" s="226">
        <f>IF(E15=0,"",'- 6 -'!E15/E15)</f>
      </c>
      <c r="G15" s="341">
        <f>IF(E15=0,"",'- 6 -'!F15/E15)</f>
      </c>
      <c r="H15" s="341">
        <f>IF(E15=0,"",'- 6 -'!G15/E15)</f>
      </c>
      <c r="I15" s="226">
        <f>IF(E15=0,"",'- 6 -'!H15/E15)</f>
      </c>
    </row>
    <row r="16" spans="1:9" ht="13.5" customHeight="1">
      <c r="A16" s="27" t="s">
        <v>363</v>
      </c>
      <c r="B16" s="28">
        <v>1566978</v>
      </c>
      <c r="C16" s="227">
        <f>B16/'- 3 -'!D16</f>
        <v>0.14626311853681437</v>
      </c>
      <c r="D16" s="342">
        <f t="shared" si="0"/>
        <v>3907.6758104738155</v>
      </c>
      <c r="E16" s="343">
        <f>SUM('- 6 -'!E16:H16)</f>
        <v>401</v>
      </c>
      <c r="F16" s="227">
        <f>IF(E16=0,"",'- 6 -'!E16/E16)</f>
        <v>0.7506234413965087</v>
      </c>
      <c r="G16" s="344">
        <f>IF(E16=0,"",'- 6 -'!F16/E16)</f>
        <v>0</v>
      </c>
      <c r="H16" s="344">
        <f>IF(E16=0,"",'- 6 -'!G16/E16)</f>
        <v>0.24937655860349128</v>
      </c>
      <c r="I16" s="227">
        <f>IF(E16=0,"",'- 6 -'!H16/E16)</f>
        <v>0</v>
      </c>
    </row>
    <row r="17" spans="1:9" ht="13.5" customHeight="1">
      <c r="A17" s="25" t="s">
        <v>364</v>
      </c>
      <c r="B17" s="26">
        <v>0</v>
      </c>
      <c r="C17" s="226">
        <f>B17/'- 3 -'!D17</f>
        <v>0</v>
      </c>
      <c r="D17" s="339">
        <f t="shared" si="0"/>
      </c>
      <c r="E17" s="340">
        <f>SUM('- 6 -'!E17:H17)</f>
        <v>0</v>
      </c>
      <c r="F17" s="226">
        <f>IF(E17=0,"",'- 6 -'!E17/E17)</f>
      </c>
      <c r="G17" s="341">
        <f>IF(E17=0,"",'- 6 -'!F17/E17)</f>
      </c>
      <c r="H17" s="341">
        <f>IF(E17=0,"",'- 6 -'!G17/E17)</f>
      </c>
      <c r="I17" s="226">
        <f>IF(E17=0,"",'- 6 -'!H17/E17)</f>
      </c>
    </row>
    <row r="18" spans="1:9" ht="13.5" customHeight="1">
      <c r="A18" s="27" t="s">
        <v>365</v>
      </c>
      <c r="B18" s="28">
        <v>0</v>
      </c>
      <c r="C18" s="227">
        <f>B18/'- 3 -'!D18</f>
        <v>0</v>
      </c>
      <c r="D18" s="342">
        <f t="shared" si="0"/>
      </c>
      <c r="E18" s="343">
        <f>SUM('- 6 -'!E18:H18)</f>
        <v>0</v>
      </c>
      <c r="F18" s="227">
        <f>IF(E18=0,"",'- 6 -'!E18/E18)</f>
      </c>
      <c r="G18" s="344">
        <f>IF(E18=0,"",'- 6 -'!F18/E18)</f>
      </c>
      <c r="H18" s="344">
        <f>IF(E18=0,"",'- 6 -'!G18/E18)</f>
      </c>
      <c r="I18" s="227">
        <f>IF(E18=0,"",'- 6 -'!H18/E18)</f>
      </c>
    </row>
    <row r="19" spans="1:9" ht="13.5" customHeight="1">
      <c r="A19" s="25" t="s">
        <v>366</v>
      </c>
      <c r="B19" s="26">
        <v>0</v>
      </c>
      <c r="C19" s="226">
        <f>B19/'- 3 -'!D19</f>
        <v>0</v>
      </c>
      <c r="D19" s="339">
        <f t="shared" si="0"/>
      </c>
      <c r="E19" s="340">
        <f>SUM('- 6 -'!E19:H19)</f>
        <v>0</v>
      </c>
      <c r="F19" s="226">
        <f>IF(E19=0,"",'- 6 -'!E19/E19)</f>
      </c>
      <c r="G19" s="341">
        <f>IF(E19=0,"",'- 6 -'!F19/E19)</f>
      </c>
      <c r="H19" s="341">
        <f>IF(E19=0,"",'- 6 -'!G19/E19)</f>
      </c>
      <c r="I19" s="226">
        <f>IF(E19=0,"",'- 6 -'!H19/E19)</f>
      </c>
    </row>
    <row r="20" spans="1:9" ht="13.5" customHeight="1">
      <c r="A20" s="27" t="s">
        <v>367</v>
      </c>
      <c r="B20" s="28">
        <v>0</v>
      </c>
      <c r="C20" s="227">
        <f>B20/'- 3 -'!D20</f>
        <v>0</v>
      </c>
      <c r="D20" s="342">
        <f t="shared" si="0"/>
      </c>
      <c r="E20" s="343">
        <f>SUM('- 6 -'!E20:H20)</f>
        <v>0</v>
      </c>
      <c r="F20" s="227">
        <f>IF(E20=0,"",'- 6 -'!E20/E20)</f>
      </c>
      <c r="G20" s="344">
        <f>IF(E20=0,"",'- 6 -'!F20/E20)</f>
      </c>
      <c r="H20" s="344">
        <f>IF(E20=0,"",'- 6 -'!G20/E20)</f>
      </c>
      <c r="I20" s="227">
        <f>IF(E20=0,"",'- 6 -'!H20/E20)</f>
      </c>
    </row>
    <row r="21" spans="1:9" ht="13.5" customHeight="1">
      <c r="A21" s="25" t="s">
        <v>368</v>
      </c>
      <c r="B21" s="26">
        <v>0</v>
      </c>
      <c r="C21" s="226">
        <f>B21/'- 3 -'!D21</f>
        <v>0</v>
      </c>
      <c r="D21" s="339">
        <f t="shared" si="0"/>
      </c>
      <c r="E21" s="340">
        <f>SUM('- 6 -'!E21:H21)</f>
        <v>0</v>
      </c>
      <c r="F21" s="226">
        <f>IF(E21=0,"",'- 6 -'!E21/E21)</f>
      </c>
      <c r="G21" s="341">
        <f>IF(E21=0,"",'- 6 -'!F21/E21)</f>
      </c>
      <c r="H21" s="341">
        <f>IF(E21=0,"",'- 6 -'!G21/E21)</f>
      </c>
      <c r="I21" s="226">
        <f>IF(E21=0,"",'- 6 -'!H21/E21)</f>
      </c>
    </row>
    <row r="22" spans="1:9" ht="13.5" customHeight="1">
      <c r="A22" s="27" t="s">
        <v>369</v>
      </c>
      <c r="B22" s="28">
        <v>2179738</v>
      </c>
      <c r="C22" s="227">
        <f>B22/'- 3 -'!D22</f>
        <v>0.16167971892830252</v>
      </c>
      <c r="D22" s="342">
        <f t="shared" si="0"/>
        <v>4303.530108588351</v>
      </c>
      <c r="E22" s="343">
        <f>SUM('- 6 -'!E22:H22)</f>
        <v>506.5</v>
      </c>
      <c r="F22" s="227">
        <f>IF(E22=0,"",'- 6 -'!E22/E22)</f>
        <v>0.7235932872655478</v>
      </c>
      <c r="G22" s="344">
        <f>IF(E22=0,"",'- 6 -'!F22/E22)</f>
        <v>0</v>
      </c>
      <c r="H22" s="344">
        <f>IF(E22=0,"",'- 6 -'!G22/E22)</f>
        <v>0.2764067127344521</v>
      </c>
      <c r="I22" s="227">
        <f>IF(E22=0,"",'- 6 -'!H22/E22)</f>
        <v>0</v>
      </c>
    </row>
    <row r="23" spans="1:9" ht="13.5" customHeight="1">
      <c r="A23" s="25" t="s">
        <v>370</v>
      </c>
      <c r="B23" s="26">
        <v>0</v>
      </c>
      <c r="C23" s="226">
        <f>B23/'- 3 -'!D23</f>
        <v>0</v>
      </c>
      <c r="D23" s="339">
        <f t="shared" si="0"/>
      </c>
      <c r="E23" s="340">
        <f>SUM('- 6 -'!E23:H23)</f>
        <v>0</v>
      </c>
      <c r="F23" s="226">
        <f>IF(E23=0,"",'- 6 -'!E23/E23)</f>
      </c>
      <c r="G23" s="341">
        <f>IF(E23=0,"",'- 6 -'!F23/E23)</f>
      </c>
      <c r="H23" s="341">
        <f>IF(E23=0,"",'- 6 -'!G23/E23)</f>
      </c>
      <c r="I23" s="226">
        <f>IF(E23=0,"",'- 6 -'!H23/E23)</f>
      </c>
    </row>
    <row r="24" spans="1:9" ht="13.5" customHeight="1">
      <c r="A24" s="27" t="s">
        <v>371</v>
      </c>
      <c r="B24" s="28">
        <v>3987750</v>
      </c>
      <c r="C24" s="227">
        <f>B24/'- 3 -'!D24</f>
        <v>0.11449013788139395</v>
      </c>
      <c r="D24" s="342">
        <f t="shared" si="0"/>
        <v>3525.862068965517</v>
      </c>
      <c r="E24" s="343">
        <f>SUM('- 6 -'!E24:H24)</f>
        <v>1131</v>
      </c>
      <c r="F24" s="227">
        <f>IF(E24=0,"",'- 6 -'!E24/E24)</f>
        <v>0.8488063660477454</v>
      </c>
      <c r="G24" s="344">
        <f>IF(E24=0,"",'- 6 -'!F24/E24)</f>
        <v>0</v>
      </c>
      <c r="H24" s="344">
        <f>IF(E24=0,"",'- 6 -'!G24/E24)</f>
        <v>0.05658709106984969</v>
      </c>
      <c r="I24" s="227">
        <f>IF(E24=0,"",'- 6 -'!H24/E24)</f>
        <v>0.09460654288240496</v>
      </c>
    </row>
    <row r="25" spans="1:9" ht="13.5" customHeight="1">
      <c r="A25" s="25" t="s">
        <v>372</v>
      </c>
      <c r="B25" s="26">
        <v>0</v>
      </c>
      <c r="C25" s="226">
        <f>B25/'- 3 -'!D25</f>
        <v>0</v>
      </c>
      <c r="D25" s="339">
        <f t="shared" si="0"/>
      </c>
      <c r="E25" s="340">
        <f>SUM('- 6 -'!E25:H25)</f>
        <v>0</v>
      </c>
      <c r="F25" s="226">
        <f>IF(E25=0,"",'- 6 -'!E25/E25)</f>
      </c>
      <c r="G25" s="341">
        <f>IF(E25=0,"",'- 6 -'!F25/E25)</f>
      </c>
      <c r="H25" s="341">
        <f>IF(E25=0,"",'- 6 -'!G25/E25)</f>
      </c>
      <c r="I25" s="226">
        <f>IF(E25=0,"",'- 6 -'!H25/E25)</f>
      </c>
    </row>
    <row r="26" spans="1:9" ht="13.5" customHeight="1">
      <c r="A26" s="27" t="s">
        <v>373</v>
      </c>
      <c r="B26" s="28">
        <v>1313554</v>
      </c>
      <c r="C26" s="227">
        <f>B26/'- 3 -'!D26</f>
        <v>0.04851460911131538</v>
      </c>
      <c r="D26" s="342">
        <f t="shared" si="0"/>
        <v>3648.761111111111</v>
      </c>
      <c r="E26" s="343">
        <f>SUM('- 6 -'!E26:H26)</f>
        <v>360</v>
      </c>
      <c r="F26" s="227">
        <f>IF(E26=0,"",'- 6 -'!E26/E26)</f>
        <v>0.6277777777777778</v>
      </c>
      <c r="G26" s="344">
        <f>IF(E26=0,"",'- 6 -'!F26/E26)</f>
        <v>0</v>
      </c>
      <c r="H26" s="344">
        <f>IF(E26=0,"",'- 6 -'!G26/E26)</f>
        <v>0.1111111111111111</v>
      </c>
      <c r="I26" s="227">
        <f>IF(E26=0,"",'- 6 -'!H26/E26)</f>
        <v>0.2611111111111111</v>
      </c>
    </row>
    <row r="27" spans="1:9" ht="13.5" customHeight="1">
      <c r="A27" s="25" t="s">
        <v>374</v>
      </c>
      <c r="B27" s="26">
        <v>1734463</v>
      </c>
      <c r="C27" s="226">
        <f>B27/'- 3 -'!D27</f>
        <v>0.06398427841792294</v>
      </c>
      <c r="D27" s="339">
        <f t="shared" si="0"/>
        <v>3778.7864923747275</v>
      </c>
      <c r="E27" s="340">
        <f>SUM('- 6 -'!E27:H27)</f>
        <v>459</v>
      </c>
      <c r="F27" s="226">
        <f>IF(E27=0,"",'- 6 -'!E27/E27)</f>
        <v>0.5054466230936819</v>
      </c>
      <c r="G27" s="341">
        <f>IF(E27=0,"",'- 6 -'!F27/E27)</f>
        <v>0</v>
      </c>
      <c r="H27" s="341">
        <f>IF(E27=0,"",'- 6 -'!G27/E27)</f>
        <v>0.49455337690631807</v>
      </c>
      <c r="I27" s="226">
        <f>IF(E27=0,"",'- 6 -'!H27/E27)</f>
        <v>0</v>
      </c>
    </row>
    <row r="28" spans="1:9" ht="13.5" customHeight="1">
      <c r="A28" s="27" t="s">
        <v>375</v>
      </c>
      <c r="B28" s="28">
        <v>0</v>
      </c>
      <c r="C28" s="227">
        <f>B28/'- 3 -'!D28</f>
        <v>0</v>
      </c>
      <c r="D28" s="342">
        <f t="shared" si="0"/>
      </c>
      <c r="E28" s="343">
        <f>SUM('- 6 -'!E28:H28)</f>
        <v>0</v>
      </c>
      <c r="F28" s="227">
        <f>IF(E28=0,"",'- 6 -'!E28/E28)</f>
      </c>
      <c r="G28" s="344">
        <f>IF(E28=0,"",'- 6 -'!F28/E28)</f>
      </c>
      <c r="H28" s="344">
        <f>IF(E28=0,"",'- 6 -'!G28/E28)</f>
      </c>
      <c r="I28" s="227">
        <f>IF(E28=0,"",'- 6 -'!H28/E28)</f>
      </c>
    </row>
    <row r="29" spans="1:9" ht="13.5" customHeight="1">
      <c r="A29" s="25" t="s">
        <v>376</v>
      </c>
      <c r="B29" s="26">
        <v>11303932</v>
      </c>
      <c r="C29" s="226">
        <f>B29/'- 3 -'!D29</f>
        <v>0.11098059881737012</v>
      </c>
      <c r="D29" s="339">
        <f t="shared" si="0"/>
        <v>3767.3494417597067</v>
      </c>
      <c r="E29" s="340">
        <f>SUM('- 6 -'!E29:H29)</f>
        <v>3000.5</v>
      </c>
      <c r="F29" s="226">
        <f>IF(E29=0,"",'- 6 -'!E29/E29)</f>
        <v>0.7667055490751541</v>
      </c>
      <c r="G29" s="341">
        <f>IF(E29=0,"",'- 6 -'!F29/E29)</f>
        <v>0</v>
      </c>
      <c r="H29" s="341">
        <f>IF(E29=0,"",'- 6 -'!G29/E29)</f>
        <v>0.23329445092484585</v>
      </c>
      <c r="I29" s="226">
        <f>IF(E29=0,"",'- 6 -'!H29/E29)</f>
        <v>0</v>
      </c>
    </row>
    <row r="30" spans="1:9" ht="13.5" customHeight="1">
      <c r="A30" s="27" t="s">
        <v>377</v>
      </c>
      <c r="B30" s="28">
        <v>0</v>
      </c>
      <c r="C30" s="227">
        <f>B30/'- 3 -'!D30</f>
        <v>0</v>
      </c>
      <c r="D30" s="342">
        <f t="shared" si="0"/>
      </c>
      <c r="E30" s="343">
        <f>SUM('- 6 -'!E30:H30)</f>
        <v>0</v>
      </c>
      <c r="F30" s="227">
        <f>IF(E30=0,"",'- 6 -'!E30/E30)</f>
      </c>
      <c r="G30" s="344">
        <f>IF(E30=0,"",'- 6 -'!F30/E30)</f>
      </c>
      <c r="H30" s="344">
        <f>IF(E30=0,"",'- 6 -'!G30/E30)</f>
      </c>
      <c r="I30" s="227">
        <f>IF(E30=0,"",'- 6 -'!H30/E30)</f>
      </c>
    </row>
    <row r="31" spans="1:9" ht="13.5" customHeight="1">
      <c r="A31" s="25" t="s">
        <v>378</v>
      </c>
      <c r="B31" s="26">
        <v>1586608</v>
      </c>
      <c r="C31" s="226">
        <f>B31/'- 3 -'!D31</f>
        <v>0.06365279592874501</v>
      </c>
      <c r="D31" s="339">
        <f t="shared" si="0"/>
        <v>3375.7617021276596</v>
      </c>
      <c r="E31" s="340">
        <f>SUM('- 6 -'!E31:H31)</f>
        <v>470</v>
      </c>
      <c r="F31" s="226">
        <f>IF(E31=0,"",'- 6 -'!E31/E31)</f>
        <v>0.6127659574468085</v>
      </c>
      <c r="G31" s="341">
        <f>IF(E31=0,"",'- 6 -'!F31/E31)</f>
        <v>0</v>
      </c>
      <c r="H31" s="341">
        <f>IF(E31=0,"",'- 6 -'!G31/E31)</f>
        <v>0.3872340425531915</v>
      </c>
      <c r="I31" s="226">
        <f>IF(E31=0,"",'- 6 -'!H31/E31)</f>
        <v>0</v>
      </c>
    </row>
    <row r="32" spans="1:9" ht="13.5" customHeight="1">
      <c r="A32" s="27" t="s">
        <v>379</v>
      </c>
      <c r="B32" s="28">
        <v>974255</v>
      </c>
      <c r="C32" s="227">
        <f>B32/'- 3 -'!D32</f>
        <v>0.052596215218991056</v>
      </c>
      <c r="D32" s="342">
        <f t="shared" si="0"/>
        <v>5074.244791666667</v>
      </c>
      <c r="E32" s="343">
        <f>SUM('- 6 -'!E32:H32)</f>
        <v>192</v>
      </c>
      <c r="F32" s="227">
        <f>IF(E32=0,"",'- 6 -'!E32/E32)</f>
        <v>0.6354166666666666</v>
      </c>
      <c r="G32" s="344">
        <f>IF(E32=0,"",'- 6 -'!F32/E32)</f>
        <v>0</v>
      </c>
      <c r="H32" s="344">
        <f>IF(E32=0,"",'- 6 -'!G32/E32)</f>
        <v>0.3645833333333333</v>
      </c>
      <c r="I32" s="227">
        <f>IF(E32=0,"",'- 6 -'!H32/E32)</f>
        <v>0</v>
      </c>
    </row>
    <row r="33" spans="1:9" ht="13.5" customHeight="1">
      <c r="A33" s="25" t="s">
        <v>380</v>
      </c>
      <c r="B33" s="26">
        <v>1750370</v>
      </c>
      <c r="C33" s="226">
        <f>B33/'- 3 -'!D33</f>
        <v>0.07964043981895504</v>
      </c>
      <c r="D33" s="339">
        <f t="shared" si="0"/>
        <v>4545.235003895092</v>
      </c>
      <c r="E33" s="340">
        <f>SUM('- 6 -'!E33:H33)</f>
        <v>385.1</v>
      </c>
      <c r="F33" s="226">
        <f>IF(E33=0,"",'- 6 -'!E33/E33)</f>
        <v>0.423526356790444</v>
      </c>
      <c r="G33" s="341">
        <f>IF(E33=0,"",'- 6 -'!F33/E33)</f>
        <v>0.39989613087509734</v>
      </c>
      <c r="H33" s="341">
        <f>IF(E33=0,"",'- 6 -'!G33/E33)</f>
        <v>0.17657751233445856</v>
      </c>
      <c r="I33" s="226">
        <f>IF(E33=0,"",'- 6 -'!H33/E33)</f>
        <v>0</v>
      </c>
    </row>
    <row r="34" spans="1:9" ht="13.5" customHeight="1">
      <c r="A34" s="27" t="s">
        <v>381</v>
      </c>
      <c r="B34" s="28">
        <v>0</v>
      </c>
      <c r="C34" s="227">
        <f>B34/'- 3 -'!D34</f>
        <v>0</v>
      </c>
      <c r="D34" s="342">
        <f t="shared" si="0"/>
      </c>
      <c r="E34" s="343">
        <f>SUM('- 6 -'!E34:H34)</f>
        <v>0</v>
      </c>
      <c r="F34" s="227">
        <f>IF(E34=0,"",'- 6 -'!E34/E34)</f>
      </c>
      <c r="G34" s="344">
        <f>IF(E34=0,"",'- 6 -'!F34/E34)</f>
      </c>
      <c r="H34" s="344">
        <f>IF(E34=0,"",'- 6 -'!G34/E34)</f>
      </c>
      <c r="I34" s="227">
        <f>IF(E34=0,"",'- 6 -'!H34/E34)</f>
      </c>
    </row>
    <row r="35" spans="1:9" ht="13.5" customHeight="1">
      <c r="A35" s="25" t="s">
        <v>382</v>
      </c>
      <c r="B35" s="26">
        <v>19257740</v>
      </c>
      <c r="C35" s="226">
        <f>B35/'- 3 -'!D35</f>
        <v>0.15262346128863905</v>
      </c>
      <c r="D35" s="339">
        <f t="shared" si="0"/>
        <v>3780.84617649946</v>
      </c>
      <c r="E35" s="340">
        <f>SUM('- 6 -'!E35:H35)</f>
        <v>5093.5</v>
      </c>
      <c r="F35" s="226">
        <f>IF(E35=0,"",'- 6 -'!E35/E35)</f>
        <v>0.6503386669284382</v>
      </c>
      <c r="G35" s="341">
        <f>IF(E35=0,"",'- 6 -'!F35/E35)</f>
        <v>0</v>
      </c>
      <c r="H35" s="341">
        <f>IF(E35=0,"",'- 6 -'!G35/E35)</f>
        <v>0.22960636104839502</v>
      </c>
      <c r="I35" s="226">
        <f>IF(E35=0,"",'- 6 -'!H35/E35)</f>
        <v>0.12005497202316678</v>
      </c>
    </row>
    <row r="36" spans="1:9" ht="13.5" customHeight="1">
      <c r="A36" s="27" t="s">
        <v>383</v>
      </c>
      <c r="B36" s="28">
        <v>0</v>
      </c>
      <c r="C36" s="227">
        <f>B36/'- 3 -'!D36</f>
        <v>0</v>
      </c>
      <c r="D36" s="342">
        <f t="shared" si="0"/>
      </c>
      <c r="E36" s="343">
        <f>SUM('- 6 -'!E36:H36)</f>
        <v>0</v>
      </c>
      <c r="F36" s="227">
        <f>IF(E36=0,"",'- 6 -'!E36/E36)</f>
      </c>
      <c r="G36" s="344">
        <f>IF(E36=0,"",'- 6 -'!F36/E36)</f>
      </c>
      <c r="H36" s="344">
        <f>IF(E36=0,"",'- 6 -'!G36/E36)</f>
      </c>
      <c r="I36" s="227">
        <f>IF(E36=0,"",'- 6 -'!H36/E36)</f>
      </c>
    </row>
    <row r="37" spans="1:9" ht="13.5" customHeight="1">
      <c r="A37" s="25" t="s">
        <v>384</v>
      </c>
      <c r="B37" s="26">
        <v>4300422</v>
      </c>
      <c r="C37" s="226">
        <f>B37/'- 3 -'!D37</f>
        <v>0.1704874530842022</v>
      </c>
      <c r="D37" s="339">
        <f t="shared" si="0"/>
        <v>3588.1702127659573</v>
      </c>
      <c r="E37" s="340">
        <f>SUM('- 6 -'!E37:H37)</f>
        <v>1198.5</v>
      </c>
      <c r="F37" s="226">
        <f>IF(E37=0,"",'- 6 -'!E37/E37)</f>
        <v>0.6495619524405507</v>
      </c>
      <c r="G37" s="341">
        <f>IF(E37=0,"",'- 6 -'!F37/E37)</f>
        <v>0</v>
      </c>
      <c r="H37" s="341">
        <f>IF(E37=0,"",'- 6 -'!G37/E37)</f>
        <v>0.3504380475594493</v>
      </c>
      <c r="I37" s="226">
        <f>IF(E37=0,"",'- 6 -'!H37/E37)</f>
        <v>0</v>
      </c>
    </row>
    <row r="38" spans="1:9" ht="13.5" customHeight="1">
      <c r="A38" s="27" t="s">
        <v>385</v>
      </c>
      <c r="B38" s="28">
        <v>14188643</v>
      </c>
      <c r="C38" s="227">
        <f>B38/'- 3 -'!D38</f>
        <v>0.21739635546436945</v>
      </c>
      <c r="D38" s="342">
        <f t="shared" si="0"/>
        <v>3905.4894026974953</v>
      </c>
      <c r="E38" s="343">
        <f>SUM('- 6 -'!E38:H38)</f>
        <v>3633</v>
      </c>
      <c r="F38" s="227">
        <f>IF(E38=0,"",'- 6 -'!E38/E38)</f>
        <v>0.7526837324525186</v>
      </c>
      <c r="G38" s="344">
        <f>IF(E38=0,"",'- 6 -'!F38/E38)</f>
        <v>0</v>
      </c>
      <c r="H38" s="344">
        <f>IF(E38=0,"",'- 6 -'!G38/E38)</f>
        <v>0.20423892100192678</v>
      </c>
      <c r="I38" s="227">
        <f>IF(E38=0,"",'- 6 -'!H38/E38)</f>
        <v>0.04307734654555464</v>
      </c>
    </row>
    <row r="39" spans="1:9" ht="13.5" customHeight="1">
      <c r="A39" s="25" t="s">
        <v>386</v>
      </c>
      <c r="B39" s="26">
        <v>0</v>
      </c>
      <c r="C39" s="226">
        <f>B39/'- 3 -'!D39</f>
        <v>0</v>
      </c>
      <c r="D39" s="339">
        <f t="shared" si="0"/>
      </c>
      <c r="E39" s="340">
        <f>SUM('- 6 -'!E39:H39)</f>
        <v>0</v>
      </c>
      <c r="F39" s="226">
        <f>IF(E39=0,"",'- 6 -'!E39/E39)</f>
      </c>
      <c r="G39" s="341">
        <f>IF(E39=0,"",'- 6 -'!F39/E39)</f>
      </c>
      <c r="H39" s="341">
        <f>IF(E39=0,"",'- 6 -'!G39/E39)</f>
      </c>
      <c r="I39" s="226">
        <f>IF(E39=0,"",'- 6 -'!H39/E39)</f>
      </c>
    </row>
    <row r="40" spans="1:9" ht="13.5" customHeight="1">
      <c r="A40" s="27" t="s">
        <v>387</v>
      </c>
      <c r="B40" s="28">
        <v>5741047</v>
      </c>
      <c r="C40" s="227">
        <f>B40/'- 3 -'!D40</f>
        <v>0.08737700547327044</v>
      </c>
      <c r="D40" s="342">
        <f t="shared" si="0"/>
        <v>4053.0091987942023</v>
      </c>
      <c r="E40" s="343">
        <f>SUM('- 6 -'!E40:H40)</f>
        <v>1416.49</v>
      </c>
      <c r="F40" s="227">
        <f>IF(E40=0,"",'- 6 -'!E40/E40)</f>
        <v>0.6350133075418817</v>
      </c>
      <c r="G40" s="344">
        <f>IF(E40=0,"",'- 6 -'!F40/E40)</f>
        <v>0</v>
      </c>
      <c r="H40" s="344">
        <f>IF(E40=0,"",'- 6 -'!G40/E40)</f>
        <v>0.3649866924581183</v>
      </c>
      <c r="I40" s="227">
        <f>IF(E40=0,"",'- 6 -'!H40/E40)</f>
        <v>0</v>
      </c>
    </row>
    <row r="41" spans="1:9" ht="13.5" customHeight="1">
      <c r="A41" s="25" t="s">
        <v>388</v>
      </c>
      <c r="B41" s="26">
        <v>6355950</v>
      </c>
      <c r="C41" s="226">
        <f>B41/'- 3 -'!D41</f>
        <v>0.16257831177005128</v>
      </c>
      <c r="D41" s="339">
        <f t="shared" si="0"/>
        <v>3942.8970223325064</v>
      </c>
      <c r="E41" s="340">
        <f>SUM('- 6 -'!E41:H41)</f>
        <v>1612</v>
      </c>
      <c r="F41" s="226">
        <f>IF(E41=0,"",'- 6 -'!E41/E41)</f>
        <v>0.6910669975186104</v>
      </c>
      <c r="G41" s="341">
        <f>IF(E41=0,"",'- 6 -'!F41/E41)</f>
        <v>0</v>
      </c>
      <c r="H41" s="341">
        <f>IF(E41=0,"",'- 6 -'!G41/E41)</f>
        <v>0.2655086848635236</v>
      </c>
      <c r="I41" s="226">
        <f>IF(E41=0,"",'- 6 -'!H41/E41)</f>
        <v>0.043424317617866005</v>
      </c>
    </row>
    <row r="42" spans="1:9" ht="13.5" customHeight="1">
      <c r="A42" s="27" t="s">
        <v>389</v>
      </c>
      <c r="B42" s="28">
        <v>1170713</v>
      </c>
      <c r="C42" s="227">
        <f>B42/'- 3 -'!D42</f>
        <v>0.07746116266015102</v>
      </c>
      <c r="D42" s="342">
        <f t="shared" si="0"/>
        <v>3876.5331125827815</v>
      </c>
      <c r="E42" s="343">
        <f>SUM('- 6 -'!E42:H42)</f>
        <v>302</v>
      </c>
      <c r="F42" s="227">
        <f>IF(E42=0,"",'- 6 -'!E42/E42)</f>
        <v>0.6490066225165563</v>
      </c>
      <c r="G42" s="344">
        <f>IF(E42=0,"",'- 6 -'!F42/E42)</f>
        <v>0</v>
      </c>
      <c r="H42" s="344">
        <f>IF(E42=0,"",'- 6 -'!G42/E42)</f>
        <v>0.3509933774834437</v>
      </c>
      <c r="I42" s="227">
        <f>IF(E42=0,"",'- 6 -'!H42/E42)</f>
        <v>0</v>
      </c>
    </row>
    <row r="43" spans="1:9" ht="13.5" customHeight="1">
      <c r="A43" s="25" t="s">
        <v>390</v>
      </c>
      <c r="B43" s="26">
        <v>0</v>
      </c>
      <c r="C43" s="226">
        <f>B43/'- 3 -'!D43</f>
        <v>0</v>
      </c>
      <c r="D43" s="339">
        <f t="shared" si="0"/>
      </c>
      <c r="E43" s="340">
        <f>SUM('- 6 -'!E43:H43)</f>
        <v>0</v>
      </c>
      <c r="F43" s="226">
        <f>IF(E43=0,"",'- 6 -'!E43/E43)</f>
      </c>
      <c r="G43" s="341">
        <f>IF(E43=0,"",'- 6 -'!F43/E43)</f>
      </c>
      <c r="H43" s="341">
        <f>IF(E43=0,"",'- 6 -'!G43/E43)</f>
      </c>
      <c r="I43" s="226">
        <f>IF(E43=0,"",'- 6 -'!H43/E43)</f>
      </c>
    </row>
    <row r="44" spans="1:9" ht="13.5" customHeight="1">
      <c r="A44" s="27" t="s">
        <v>391</v>
      </c>
      <c r="B44" s="28">
        <v>0</v>
      </c>
      <c r="C44" s="227">
        <f>B44/'- 3 -'!D44</f>
        <v>0</v>
      </c>
      <c r="D44" s="342">
        <f t="shared" si="0"/>
      </c>
      <c r="E44" s="343">
        <f>SUM('- 6 -'!E44:H44)</f>
        <v>0</v>
      </c>
      <c r="F44" s="227">
        <f>IF(E44=0,"",'- 6 -'!E44/E44)</f>
      </c>
      <c r="G44" s="344">
        <f>IF(E44=0,"",'- 6 -'!F44/E44)</f>
      </c>
      <c r="H44" s="344">
        <f>IF(E44=0,"",'- 6 -'!G44/E44)</f>
      </c>
      <c r="I44" s="227">
        <f>IF(E44=0,"",'- 6 -'!H44/E44)</f>
      </c>
    </row>
    <row r="45" spans="1:9" ht="13.5" customHeight="1">
      <c r="A45" s="25" t="s">
        <v>392</v>
      </c>
      <c r="B45" s="26">
        <v>2884783</v>
      </c>
      <c r="C45" s="226">
        <f>B45/'- 3 -'!D45</f>
        <v>0.27596942556818793</v>
      </c>
      <c r="D45" s="339">
        <f t="shared" si="0"/>
        <v>3561.020861622022</v>
      </c>
      <c r="E45" s="340">
        <f>SUM('- 6 -'!E45:H45)</f>
        <v>810.1</v>
      </c>
      <c r="F45" s="226">
        <f>IF(E45=0,"",'- 6 -'!E45/E45)</f>
        <v>0.8568078015059869</v>
      </c>
      <c r="G45" s="341">
        <f>IF(E45=0,"",'- 6 -'!F45/E45)</f>
        <v>0</v>
      </c>
      <c r="H45" s="341">
        <f>IF(E45=0,"",'- 6 -'!G45/E45)</f>
        <v>0.14319219849401307</v>
      </c>
      <c r="I45" s="226">
        <f>IF(E45=0,"",'- 6 -'!H45/E45)</f>
        <v>0</v>
      </c>
    </row>
    <row r="46" spans="1:9" ht="13.5" customHeight="1">
      <c r="A46" s="27" t="s">
        <v>393</v>
      </c>
      <c r="B46" s="28">
        <v>20109381</v>
      </c>
      <c r="C46" s="227">
        <f>B46/'- 3 -'!D46</f>
        <v>0.07731473098768496</v>
      </c>
      <c r="D46" s="342">
        <f t="shared" si="0"/>
        <v>3583.9210479415433</v>
      </c>
      <c r="E46" s="343">
        <f>SUM('- 6 -'!E46:H46)</f>
        <v>5611</v>
      </c>
      <c r="F46" s="227">
        <f>IF(E46=0,"",'- 6 -'!E46/E46)</f>
        <v>0.6338442345392978</v>
      </c>
      <c r="G46" s="344">
        <f>IF(E46=0,"",'- 6 -'!F46/E46)</f>
        <v>0</v>
      </c>
      <c r="H46" s="344">
        <f>IF(E46=0,"",'- 6 -'!G46/E46)</f>
        <v>0.3160755658527892</v>
      </c>
      <c r="I46" s="227">
        <f>IF(E46=0,"",'- 6 -'!H46/E46)</f>
        <v>0.05008019960791303</v>
      </c>
    </row>
    <row r="47" spans="1:9" ht="13.5" customHeight="1">
      <c r="A47" s="25" t="s">
        <v>397</v>
      </c>
      <c r="B47" s="26">
        <v>0</v>
      </c>
      <c r="C47" s="226">
        <f>B47/'- 3 -'!D47</f>
        <v>0</v>
      </c>
      <c r="D47" s="339">
        <f t="shared" si="0"/>
      </c>
      <c r="E47" s="340">
        <f>SUM('- 6 -'!E47:H47)</f>
        <v>0</v>
      </c>
      <c r="F47" s="226">
        <f>IF(E47=0,"",'- 6 -'!E47/E47)</f>
      </c>
      <c r="G47" s="341">
        <f>IF(E47=0,"",'- 6 -'!F47/E47)</f>
      </c>
      <c r="H47" s="341">
        <f>IF(E47=0,"",'- 6 -'!G47/E47)</f>
      </c>
      <c r="I47" s="226">
        <f>IF(E47=0,"",'- 6 -'!H47/E47)</f>
      </c>
    </row>
    <row r="48" spans="1:9" ht="4.5" customHeight="1">
      <c r="A48" s="29"/>
      <c r="B48" s="30"/>
      <c r="C48" s="215"/>
      <c r="D48" s="30"/>
      <c r="E48" s="345"/>
      <c r="F48" s="215"/>
      <c r="G48" s="346"/>
      <c r="H48" s="346"/>
      <c r="I48" s="215"/>
    </row>
    <row r="49" spans="1:9" ht="13.5" customHeight="1">
      <c r="A49" s="31" t="s">
        <v>394</v>
      </c>
      <c r="B49" s="32">
        <f>SUM(B11:B47)</f>
        <v>104282275</v>
      </c>
      <c r="C49" s="228">
        <f>B49/'- 3 -'!D49</f>
        <v>0.0741279925068085</v>
      </c>
      <c r="D49" s="347">
        <f>B49/E49</f>
        <v>3774.010022550195</v>
      </c>
      <c r="E49" s="348">
        <f>SUM(E11:E47)</f>
        <v>27631.69</v>
      </c>
      <c r="F49" s="228">
        <f>'- 6 -'!E49/E49</f>
        <v>0.682592704246465</v>
      </c>
      <c r="G49" s="349">
        <f>'- 6 -'!F49/E49</f>
        <v>0.005573310933931294</v>
      </c>
      <c r="H49" s="349">
        <f>'- 6 -'!G49/E49</f>
        <v>0.2640627482430499</v>
      </c>
      <c r="I49" s="228">
        <f>'- 6 -'!H49/E49</f>
        <v>0.04777123657655395</v>
      </c>
    </row>
    <row r="50" spans="1:9" ht="4.5" customHeight="1">
      <c r="A50" s="29" t="s">
        <v>78</v>
      </c>
      <c r="B50" s="30"/>
      <c r="C50" s="215"/>
      <c r="D50" s="30"/>
      <c r="E50" s="345"/>
      <c r="F50" s="215"/>
      <c r="G50" s="350"/>
      <c r="H50" s="346"/>
      <c r="I50" s="215"/>
    </row>
    <row r="51" spans="1:9" ht="13.5" customHeight="1">
      <c r="A51" s="27" t="s">
        <v>395</v>
      </c>
      <c r="B51" s="28">
        <v>0</v>
      </c>
      <c r="C51" s="227">
        <f>B51/'- 3 -'!D51</f>
        <v>0</v>
      </c>
      <c r="D51" s="28">
        <f>IF(E51=0,"",B51/E51)</f>
      </c>
      <c r="E51" s="343">
        <f>SUM('- 6 -'!E51:H51)</f>
        <v>0</v>
      </c>
      <c r="F51" s="227">
        <f>IF(E51=0,"",'- 6 -'!E51/E51)</f>
      </c>
      <c r="G51" s="351">
        <f>IF(E51=0,"",'- 6 -'!F51/E51)</f>
      </c>
      <c r="H51" s="344">
        <f>IF(E51=0,"",'- 6 -'!G51/E51)</f>
      </c>
      <c r="I51" s="227">
        <f>IF(E51=0,"",'- 6 -'!H51/E51)</f>
      </c>
    </row>
    <row r="52" spans="1:9" ht="13.5" customHeight="1">
      <c r="A52" s="25" t="s">
        <v>396</v>
      </c>
      <c r="B52" s="26">
        <v>0</v>
      </c>
      <c r="C52" s="226">
        <f>B52/'- 3 -'!D52</f>
        <v>0</v>
      </c>
      <c r="D52" s="26">
        <f>IF(E52=0,"",B52/E52)</f>
      </c>
      <c r="E52" s="340">
        <f>SUM('- 6 -'!E52:H52)</f>
        <v>0</v>
      </c>
      <c r="F52" s="226">
        <f>IF(E52=0,"",'- 6 -'!E52/E52)</f>
      </c>
      <c r="G52" s="352">
        <f>IF(E52=0,"",'- 6 -'!F52/E52)</f>
      </c>
      <c r="H52" s="341">
        <f>IF(E52=0,"",'- 6 -'!G52/E52)</f>
      </c>
      <c r="I52" s="226">
        <f>IF(E52=0,"",'- 6 -'!H52/E52)</f>
      </c>
    </row>
    <row r="53" spans="1:9" ht="49.5" customHeight="1">
      <c r="A53" s="33"/>
      <c r="B53" s="162"/>
      <c r="C53" s="162"/>
      <c r="D53" s="162"/>
      <c r="E53" s="162"/>
      <c r="F53" s="162"/>
      <c r="G53" s="162"/>
      <c r="H53" s="162"/>
      <c r="I53" s="162"/>
    </row>
    <row r="54" spans="1:9" ht="15" customHeight="1">
      <c r="A54" s="164" t="s">
        <v>560</v>
      </c>
      <c r="C54" s="125"/>
      <c r="D54" s="125"/>
      <c r="E54" s="125"/>
      <c r="F54" s="125"/>
      <c r="G54" s="125"/>
      <c r="H54" s="125"/>
      <c r="I54" s="125"/>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4"/>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219"/>
      <c r="B2" s="7" t="s">
        <v>75</v>
      </c>
      <c r="C2" s="8"/>
      <c r="D2" s="8"/>
      <c r="E2" s="8"/>
      <c r="F2" s="8"/>
      <c r="G2" s="105"/>
      <c r="H2" s="105"/>
      <c r="I2" s="322"/>
      <c r="J2" s="220" t="s">
        <v>326</v>
      </c>
    </row>
    <row r="3" spans="1:10" ht="15.75" customHeight="1">
      <c r="A3" s="221"/>
      <c r="B3" s="9" t="str">
        <f>OPYEAR</f>
        <v>OPERATING FUND 2003/2004 ACTUAL</v>
      </c>
      <c r="C3" s="10"/>
      <c r="D3" s="10"/>
      <c r="E3" s="10"/>
      <c r="F3" s="10"/>
      <c r="G3" s="107"/>
      <c r="H3" s="107"/>
      <c r="I3" s="107"/>
      <c r="J3" s="94"/>
    </row>
    <row r="4" spans="2:10" ht="15.75" customHeight="1">
      <c r="B4" s="6"/>
      <c r="C4" s="6"/>
      <c r="D4" s="94"/>
      <c r="E4" s="6"/>
      <c r="F4" s="6"/>
      <c r="G4" s="6"/>
      <c r="H4" s="6"/>
      <c r="I4" s="6"/>
      <c r="J4" s="6"/>
    </row>
    <row r="5" spans="2:10" ht="15.75" customHeight="1">
      <c r="B5" s="258" t="s">
        <v>87</v>
      </c>
      <c r="C5" s="279"/>
      <c r="D5" s="280"/>
      <c r="E5" s="280"/>
      <c r="F5" s="280"/>
      <c r="G5" s="280"/>
      <c r="H5" s="280"/>
      <c r="I5" s="280"/>
      <c r="J5" s="281"/>
    </row>
    <row r="6" spans="2:10" ht="15.75" customHeight="1">
      <c r="B6" s="209" t="s">
        <v>90</v>
      </c>
      <c r="C6" s="211"/>
      <c r="D6" s="210"/>
      <c r="E6" s="285"/>
      <c r="F6" s="211"/>
      <c r="G6" s="210"/>
      <c r="H6" s="209" t="s">
        <v>91</v>
      </c>
      <c r="I6" s="211"/>
      <c r="J6" s="210"/>
    </row>
    <row r="7" spans="2:10" ht="15.75" customHeight="1">
      <c r="B7" s="108" t="s">
        <v>117</v>
      </c>
      <c r="C7" s="71"/>
      <c r="D7" s="70"/>
      <c r="E7" s="108" t="s">
        <v>561</v>
      </c>
      <c r="F7" s="71"/>
      <c r="G7" s="70"/>
      <c r="H7" s="108" t="s">
        <v>118</v>
      </c>
      <c r="I7" s="71"/>
      <c r="J7" s="70"/>
    </row>
    <row r="8" spans="1:10" ht="15.75" customHeight="1">
      <c r="A8" s="96"/>
      <c r="B8" s="6"/>
      <c r="C8" s="98"/>
      <c r="D8" s="18" t="s">
        <v>150</v>
      </c>
      <c r="E8" s="225"/>
      <c r="F8" s="223"/>
      <c r="G8" s="18" t="s">
        <v>150</v>
      </c>
      <c r="H8" s="225"/>
      <c r="I8" s="223"/>
      <c r="J8" s="18" t="s">
        <v>150</v>
      </c>
    </row>
    <row r="9" spans="1:10" ht="15.75" customHeight="1">
      <c r="A9" s="49" t="s">
        <v>175</v>
      </c>
      <c r="B9" s="113" t="s">
        <v>176</v>
      </c>
      <c r="C9" s="113" t="s">
        <v>177</v>
      </c>
      <c r="D9" s="113" t="s">
        <v>178</v>
      </c>
      <c r="E9" s="113" t="s">
        <v>176</v>
      </c>
      <c r="F9" s="113" t="s">
        <v>177</v>
      </c>
      <c r="G9" s="113" t="s">
        <v>178</v>
      </c>
      <c r="H9" s="113" t="s">
        <v>176</v>
      </c>
      <c r="I9" s="113" t="s">
        <v>177</v>
      </c>
      <c r="J9" s="113" t="s">
        <v>178</v>
      </c>
    </row>
    <row r="10" ht="4.5" customHeight="1">
      <c r="A10" s="4"/>
    </row>
    <row r="11" spans="1:10" ht="13.5" customHeight="1">
      <c r="A11" s="25" t="s">
        <v>359</v>
      </c>
      <c r="B11" s="26">
        <v>95108</v>
      </c>
      <c r="C11" s="226">
        <f>B11/'- 3 -'!D11</f>
        <v>0.008332965346892056</v>
      </c>
      <c r="D11" s="26">
        <f>B11/'- 7 -'!F11</f>
        <v>60.888604353393085</v>
      </c>
      <c r="E11" s="26">
        <v>0</v>
      </c>
      <c r="F11" s="226">
        <f>E11/'- 3 -'!D11</f>
        <v>0</v>
      </c>
      <c r="G11" s="26">
        <f>E11/'- 7 -'!F11</f>
        <v>0</v>
      </c>
      <c r="H11" s="26">
        <v>135577</v>
      </c>
      <c r="I11" s="226">
        <f>H11/'- 3 -'!D11</f>
        <v>0.011878689940231993</v>
      </c>
      <c r="J11" s="26">
        <f>H11/'- 7 -'!F11</f>
        <v>86.79705505761844</v>
      </c>
    </row>
    <row r="12" spans="1:10" ht="13.5" customHeight="1">
      <c r="A12" s="27" t="s">
        <v>360</v>
      </c>
      <c r="B12" s="28">
        <v>178042</v>
      </c>
      <c r="C12" s="227">
        <f>B12/'- 3 -'!D12</f>
        <v>0.009285664813587835</v>
      </c>
      <c r="D12" s="28">
        <f>B12/'- 7 -'!F12</f>
        <v>74.95874031660492</v>
      </c>
      <c r="E12" s="28">
        <v>9193</v>
      </c>
      <c r="F12" s="227">
        <f>E12/'- 3 -'!D12</f>
        <v>0.0004794549411448589</v>
      </c>
      <c r="G12" s="28">
        <f>E12/'- 7 -'!F12</f>
        <v>3.8704109127652413</v>
      </c>
      <c r="H12" s="28">
        <v>473320</v>
      </c>
      <c r="I12" s="227">
        <f>H12/'- 3 -'!D12</f>
        <v>0.0246856970241145</v>
      </c>
      <c r="J12" s="28">
        <f>H12/'- 7 -'!F12</f>
        <v>199.27585045469857</v>
      </c>
    </row>
    <row r="13" spans="1:10" ht="13.5" customHeight="1">
      <c r="A13" s="25" t="s">
        <v>361</v>
      </c>
      <c r="B13" s="26">
        <v>198657</v>
      </c>
      <c r="C13" s="226">
        <f>B13/'- 3 -'!D13</f>
        <v>0.004059632845348014</v>
      </c>
      <c r="D13" s="26">
        <f>B13/'- 7 -'!F13</f>
        <v>27.94443662962442</v>
      </c>
      <c r="E13" s="26">
        <v>134553</v>
      </c>
      <c r="F13" s="226">
        <f>E13/'- 3 -'!D13</f>
        <v>0.0027496427422145277</v>
      </c>
      <c r="G13" s="26">
        <f>E13/'- 7 -'!F13</f>
        <v>18.927134618089745</v>
      </c>
      <c r="H13" s="26">
        <v>946528.92</v>
      </c>
      <c r="I13" s="226">
        <f>H13/'- 3 -'!D13</f>
        <v>0.01934268559730482</v>
      </c>
      <c r="J13" s="26">
        <f>H13/'- 7 -'!F13</f>
        <v>133.1451568434379</v>
      </c>
    </row>
    <row r="14" spans="1:10" ht="13.5" customHeight="1">
      <c r="A14" s="27" t="s">
        <v>398</v>
      </c>
      <c r="B14" s="28">
        <v>223792</v>
      </c>
      <c r="C14" s="227">
        <f>B14/'- 3 -'!D14</f>
        <v>0.005283082544765338</v>
      </c>
      <c r="D14" s="28">
        <f>B14/'- 7 -'!F14</f>
        <v>52.38331538785638</v>
      </c>
      <c r="E14" s="28">
        <v>0</v>
      </c>
      <c r="F14" s="227">
        <f>E14/'- 3 -'!D14</f>
        <v>0</v>
      </c>
      <c r="G14" s="28">
        <f>E14/'- 7 -'!F14</f>
        <v>0</v>
      </c>
      <c r="H14" s="28">
        <v>513073</v>
      </c>
      <c r="I14" s="227">
        <f>H14/'- 3 -'!D14</f>
        <v>0.012112171170061425</v>
      </c>
      <c r="J14" s="28">
        <f>H14/'- 7 -'!F14</f>
        <v>120.09573521838865</v>
      </c>
    </row>
    <row r="15" spans="1:10" ht="13.5" customHeight="1">
      <c r="A15" s="25" t="s">
        <v>362</v>
      </c>
      <c r="B15" s="26">
        <v>140057</v>
      </c>
      <c r="C15" s="226">
        <f>B15/'- 3 -'!D15</f>
        <v>0.010717283692713606</v>
      </c>
      <c r="D15" s="26">
        <f>B15/'- 7 -'!F15</f>
        <v>84.29551609990972</v>
      </c>
      <c r="E15" s="26">
        <v>0</v>
      </c>
      <c r="F15" s="226">
        <f>E15/'- 3 -'!D15</f>
        <v>0</v>
      </c>
      <c r="G15" s="26">
        <f>E15/'- 7 -'!F15</f>
        <v>0</v>
      </c>
      <c r="H15" s="26">
        <v>163513</v>
      </c>
      <c r="I15" s="226">
        <f>H15/'- 3 -'!D15</f>
        <v>0.012512157253451665</v>
      </c>
      <c r="J15" s="26">
        <f>H15/'- 7 -'!F15</f>
        <v>98.4128799277761</v>
      </c>
    </row>
    <row r="16" spans="1:10" ht="13.5" customHeight="1">
      <c r="A16" s="27" t="s">
        <v>363</v>
      </c>
      <c r="B16" s="28">
        <v>130716</v>
      </c>
      <c r="C16" s="227">
        <f>B16/'- 3 -'!D16</f>
        <v>0.012201147560883578</v>
      </c>
      <c r="D16" s="28">
        <f>B16/'- 7 -'!F16</f>
        <v>93.91191895969537</v>
      </c>
      <c r="E16" s="28">
        <v>0</v>
      </c>
      <c r="F16" s="227">
        <f>E16/'- 3 -'!D16</f>
        <v>0</v>
      </c>
      <c r="G16" s="28">
        <f>E16/'- 7 -'!F16</f>
        <v>0</v>
      </c>
      <c r="H16" s="28">
        <v>88655</v>
      </c>
      <c r="I16" s="227">
        <f>H16/'- 3 -'!D16</f>
        <v>0.008275136456211432</v>
      </c>
      <c r="J16" s="28">
        <f>H16/'- 7 -'!F16</f>
        <v>63.693512464975925</v>
      </c>
    </row>
    <row r="17" spans="1:10" ht="13.5" customHeight="1">
      <c r="A17" s="25" t="s">
        <v>364</v>
      </c>
      <c r="B17" s="26">
        <v>98090</v>
      </c>
      <c r="C17" s="226">
        <f>B17/'- 3 -'!D17</f>
        <v>0.007945828067639256</v>
      </c>
      <c r="D17" s="26">
        <f>B17/'- 7 -'!F17</f>
        <v>62.121595946801776</v>
      </c>
      <c r="E17" s="26">
        <v>0</v>
      </c>
      <c r="F17" s="226">
        <f>E17/'- 3 -'!D17</f>
        <v>0</v>
      </c>
      <c r="G17" s="26">
        <f>E17/'- 7 -'!F17</f>
        <v>0</v>
      </c>
      <c r="H17" s="26">
        <v>261758</v>
      </c>
      <c r="I17" s="226">
        <f>H17/'- 3 -'!D17</f>
        <v>0.0212038338600175</v>
      </c>
      <c r="J17" s="26">
        <f>H17/'- 7 -'!F17</f>
        <v>165.77454084863837</v>
      </c>
    </row>
    <row r="18" spans="1:10" ht="13.5" customHeight="1">
      <c r="A18" s="27" t="s">
        <v>365</v>
      </c>
      <c r="B18" s="28">
        <v>95302</v>
      </c>
      <c r="C18" s="227">
        <f>B18/'- 3 -'!D18</f>
        <v>0.0012968105973301311</v>
      </c>
      <c r="D18" s="28">
        <f>B18/'- 7 -'!F18</f>
        <v>16.265638067279955</v>
      </c>
      <c r="E18" s="28">
        <v>0</v>
      </c>
      <c r="F18" s="227">
        <f>E18/'- 3 -'!D18</f>
        <v>0</v>
      </c>
      <c r="G18" s="28">
        <f>E18/'- 7 -'!F18</f>
        <v>0</v>
      </c>
      <c r="H18" s="28">
        <v>1759468</v>
      </c>
      <c r="I18" s="227">
        <f>H18/'- 3 -'!D18</f>
        <v>0.023941750939783544</v>
      </c>
      <c r="J18" s="28">
        <f>H18/'- 7 -'!F18</f>
        <v>300.2966325886228</v>
      </c>
    </row>
    <row r="19" spans="1:10" ht="13.5" customHeight="1">
      <c r="A19" s="25" t="s">
        <v>366</v>
      </c>
      <c r="B19" s="26">
        <v>95178</v>
      </c>
      <c r="C19" s="226">
        <f>B19/'- 3 -'!D19</f>
        <v>0.00518777094926757</v>
      </c>
      <c r="D19" s="26">
        <f>B19/'- 7 -'!F19</f>
        <v>31.621648559752813</v>
      </c>
      <c r="E19" s="26">
        <v>6385</v>
      </c>
      <c r="F19" s="226">
        <f>E19/'- 3 -'!D19</f>
        <v>0.00034802073495002455</v>
      </c>
      <c r="G19" s="26">
        <f>E19/'- 7 -'!F19</f>
        <v>2.1213329346489918</v>
      </c>
      <c r="H19" s="26">
        <v>261468</v>
      </c>
      <c r="I19" s="226">
        <f>H19/'- 3 -'!D19</f>
        <v>0.014251571734677058</v>
      </c>
      <c r="J19" s="26">
        <f>H19/'- 7 -'!F19</f>
        <v>86.86933120701684</v>
      </c>
    </row>
    <row r="20" spans="1:10" ht="13.5" customHeight="1">
      <c r="A20" s="27" t="s">
        <v>367</v>
      </c>
      <c r="B20" s="28">
        <v>217364</v>
      </c>
      <c r="C20" s="227">
        <f>B20/'- 3 -'!D20</f>
        <v>0.005925703309235571</v>
      </c>
      <c r="D20" s="28">
        <f>B20/'- 7 -'!F20</f>
        <v>34.35227182931648</v>
      </c>
      <c r="E20" s="28">
        <v>5160</v>
      </c>
      <c r="F20" s="227">
        <f>E20/'- 3 -'!D20</f>
        <v>0.00014067016192035272</v>
      </c>
      <c r="G20" s="28">
        <f>E20/'- 7 -'!F20</f>
        <v>0.8154879494271039</v>
      </c>
      <c r="H20" s="28">
        <v>514369</v>
      </c>
      <c r="I20" s="227">
        <f>H20/'- 3 -'!D20</f>
        <v>0.014022552425738355</v>
      </c>
      <c r="J20" s="28">
        <f>H20/'- 7 -'!F20</f>
        <v>81.29103121295931</v>
      </c>
    </row>
    <row r="21" spans="1:10" ht="13.5" customHeight="1">
      <c r="A21" s="25" t="s">
        <v>368</v>
      </c>
      <c r="B21" s="26">
        <v>102036</v>
      </c>
      <c r="C21" s="226">
        <f>B21/'- 3 -'!D21</f>
        <v>0.0042386882116562516</v>
      </c>
      <c r="D21" s="26">
        <f>B21/'- 7 -'!F21</f>
        <v>30.70136903866406</v>
      </c>
      <c r="E21" s="26">
        <v>0</v>
      </c>
      <c r="F21" s="226">
        <f>E21/'- 3 -'!D21</f>
        <v>0</v>
      </c>
      <c r="G21" s="26">
        <f>E21/'- 7 -'!F21</f>
        <v>0</v>
      </c>
      <c r="H21" s="26">
        <v>343716</v>
      </c>
      <c r="I21" s="226">
        <f>H21/'- 3 -'!D21</f>
        <v>0.01427834251987181</v>
      </c>
      <c r="J21" s="26">
        <f>H21/'- 7 -'!F21</f>
        <v>103.41988867158116</v>
      </c>
    </row>
    <row r="22" spans="1:10" ht="13.5" customHeight="1">
      <c r="A22" s="27" t="s">
        <v>369</v>
      </c>
      <c r="B22" s="28">
        <v>95589</v>
      </c>
      <c r="C22" s="227">
        <f>B22/'- 3 -'!D22</f>
        <v>0.007090211141264459</v>
      </c>
      <c r="D22" s="28">
        <f>B22/'- 7 -'!F22</f>
        <v>56.494680851063826</v>
      </c>
      <c r="E22" s="28">
        <v>0</v>
      </c>
      <c r="F22" s="227">
        <f>E22/'- 3 -'!D22</f>
        <v>0</v>
      </c>
      <c r="G22" s="28">
        <f>E22/'- 7 -'!F22</f>
        <v>0</v>
      </c>
      <c r="H22" s="28">
        <v>115399</v>
      </c>
      <c r="I22" s="227">
        <f>H22/'- 3 -'!D22</f>
        <v>0.008559596559131043</v>
      </c>
      <c r="J22" s="28">
        <f>H22/'- 7 -'!F22</f>
        <v>68.20271867612293</v>
      </c>
    </row>
    <row r="23" spans="1:10" ht="13.5" customHeight="1">
      <c r="A23" s="25" t="s">
        <v>370</v>
      </c>
      <c r="B23" s="26">
        <v>83563</v>
      </c>
      <c r="C23" s="226">
        <f>B23/'- 3 -'!D23</f>
        <v>0.00738674600503741</v>
      </c>
      <c r="D23" s="26">
        <f>B23/'- 7 -'!F23</f>
        <v>62.94764595103578</v>
      </c>
      <c r="E23" s="26">
        <v>0</v>
      </c>
      <c r="F23" s="226">
        <f>E23/'- 3 -'!D23</f>
        <v>0</v>
      </c>
      <c r="G23" s="26">
        <f>E23/'- 7 -'!F23</f>
        <v>0</v>
      </c>
      <c r="H23" s="26">
        <v>171775</v>
      </c>
      <c r="I23" s="226">
        <f>H23/'- 3 -'!D23</f>
        <v>0.015184451192696543</v>
      </c>
      <c r="J23" s="26">
        <f>H23/'- 7 -'!F23</f>
        <v>129.39736346516008</v>
      </c>
    </row>
    <row r="24" spans="1:10" ht="13.5" customHeight="1">
      <c r="A24" s="27" t="s">
        <v>371</v>
      </c>
      <c r="B24" s="28">
        <v>130252</v>
      </c>
      <c r="C24" s="227">
        <f>B24/'- 3 -'!D24</f>
        <v>0.0037395948691185065</v>
      </c>
      <c r="D24" s="28">
        <f>B24/'- 7 -'!F24</f>
        <v>27.94807424096127</v>
      </c>
      <c r="E24" s="28">
        <v>8108</v>
      </c>
      <c r="F24" s="227">
        <f>E24/'- 3 -'!D24</f>
        <v>0.00023278441174655936</v>
      </c>
      <c r="G24" s="28">
        <f>E24/'- 7 -'!F24</f>
        <v>1.7397274970496728</v>
      </c>
      <c r="H24" s="28">
        <v>687276</v>
      </c>
      <c r="I24" s="227">
        <f>H24/'- 3 -'!D24</f>
        <v>0.019732010282132256</v>
      </c>
      <c r="J24" s="28">
        <f>H24/'- 7 -'!F24</f>
        <v>147.46829739298357</v>
      </c>
    </row>
    <row r="25" spans="1:10" ht="13.5" customHeight="1">
      <c r="A25" s="25" t="s">
        <v>372</v>
      </c>
      <c r="B25" s="26">
        <v>514836</v>
      </c>
      <c r="C25" s="226">
        <f>B25/'- 3 -'!D25</f>
        <v>0.00465996468899438</v>
      </c>
      <c r="D25" s="26">
        <f>B25/'- 7 -'!F25</f>
        <v>34.28697013086477</v>
      </c>
      <c r="E25" s="26">
        <v>140359</v>
      </c>
      <c r="F25" s="226">
        <f>E25/'- 3 -'!D25</f>
        <v>0.0012704394871037809</v>
      </c>
      <c r="G25" s="26">
        <f>E25/'- 7 -'!F25</f>
        <v>9.347607472278645</v>
      </c>
      <c r="H25" s="26">
        <v>2141984</v>
      </c>
      <c r="I25" s="226">
        <f>H25/'- 3 -'!D25</f>
        <v>0.019387862939636968</v>
      </c>
      <c r="J25" s="26">
        <f>H25/'- 7 -'!F25</f>
        <v>142.65152675568578</v>
      </c>
    </row>
    <row r="26" spans="1:10" ht="13.5" customHeight="1">
      <c r="A26" s="27" t="s">
        <v>373</v>
      </c>
      <c r="B26" s="28">
        <v>124997</v>
      </c>
      <c r="C26" s="227">
        <f>B26/'- 3 -'!D26</f>
        <v>0.0046166207061811605</v>
      </c>
      <c r="D26" s="28">
        <f>B26/'- 7 -'!F26</f>
        <v>37.87558329798194</v>
      </c>
      <c r="E26" s="28">
        <v>0</v>
      </c>
      <c r="F26" s="227">
        <f>E26/'- 3 -'!D26</f>
        <v>0</v>
      </c>
      <c r="G26" s="28">
        <f>E26/'- 7 -'!F26</f>
        <v>0</v>
      </c>
      <c r="H26" s="28">
        <v>359095</v>
      </c>
      <c r="I26" s="227">
        <f>H26/'- 3 -'!D26</f>
        <v>0.01326276160616754</v>
      </c>
      <c r="J26" s="28">
        <f>H26/'- 7 -'!F26</f>
        <v>108.81007211684141</v>
      </c>
    </row>
    <row r="27" spans="1:10" ht="13.5" customHeight="1">
      <c r="A27" s="25" t="s">
        <v>374</v>
      </c>
      <c r="B27" s="26">
        <v>144004</v>
      </c>
      <c r="C27" s="226">
        <f>B27/'- 3 -'!D27</f>
        <v>0.005312302441328858</v>
      </c>
      <c r="D27" s="26">
        <f>B27/'- 7 -'!F27</f>
        <v>44.33620689655172</v>
      </c>
      <c r="E27" s="26">
        <v>0</v>
      </c>
      <c r="F27" s="226">
        <f>E27/'- 3 -'!D27</f>
        <v>0</v>
      </c>
      <c r="G27" s="26">
        <f>E27/'- 7 -'!F27</f>
        <v>0</v>
      </c>
      <c r="H27" s="26">
        <v>481256</v>
      </c>
      <c r="I27" s="226">
        <f>H27/'- 3 -'!D27</f>
        <v>0.01775351673359185</v>
      </c>
      <c r="J27" s="26">
        <f>H27/'- 7 -'!F27</f>
        <v>148.16995073891624</v>
      </c>
    </row>
    <row r="28" spans="1:10" ht="13.5" customHeight="1">
      <c r="A28" s="27" t="s">
        <v>375</v>
      </c>
      <c r="B28" s="28">
        <v>90696</v>
      </c>
      <c r="C28" s="227">
        <f>B28/'- 3 -'!D28</f>
        <v>0.005439414039470448</v>
      </c>
      <c r="D28" s="28">
        <f>B28/'- 7 -'!F28</f>
        <v>43.54104656745079</v>
      </c>
      <c r="E28" s="28">
        <v>0</v>
      </c>
      <c r="F28" s="227">
        <f>E28/'- 3 -'!D28</f>
        <v>0</v>
      </c>
      <c r="G28" s="28">
        <f>E28/'- 7 -'!F28</f>
        <v>0</v>
      </c>
      <c r="H28" s="28">
        <v>207110</v>
      </c>
      <c r="I28" s="227">
        <f>H28/'- 3 -'!D28</f>
        <v>0.012421242852107309</v>
      </c>
      <c r="J28" s="28">
        <f>H28/'- 7 -'!F28</f>
        <v>99.42870859337494</v>
      </c>
    </row>
    <row r="29" spans="1:10" ht="13.5" customHeight="1">
      <c r="A29" s="25" t="s">
        <v>376</v>
      </c>
      <c r="B29" s="26">
        <v>411953</v>
      </c>
      <c r="C29" s="226">
        <f>B29/'- 3 -'!D29</f>
        <v>0.004044503330753588</v>
      </c>
      <c r="D29" s="26">
        <f>B29/'- 7 -'!F29</f>
        <v>31.305798312941715</v>
      </c>
      <c r="E29" s="26">
        <v>652994</v>
      </c>
      <c r="F29" s="226">
        <f>E29/'- 3 -'!D29</f>
        <v>0.00641101389712445</v>
      </c>
      <c r="G29" s="26">
        <f>E29/'- 7 -'!F29</f>
        <v>49.62337563644654</v>
      </c>
      <c r="H29" s="26">
        <v>1944466</v>
      </c>
      <c r="I29" s="226">
        <f>H29/'- 3 -'!D29</f>
        <v>0.019090525408328392</v>
      </c>
      <c r="J29" s="26">
        <f>H29/'- 7 -'!F29</f>
        <v>147.76700357169997</v>
      </c>
    </row>
    <row r="30" spans="1:10" ht="13.5" customHeight="1">
      <c r="A30" s="27" t="s">
        <v>377</v>
      </c>
      <c r="B30" s="28">
        <v>100931</v>
      </c>
      <c r="C30" s="227">
        <f>B30/'- 3 -'!D30</f>
        <v>0.010273271610172037</v>
      </c>
      <c r="D30" s="28">
        <f>B30/'- 7 -'!F30</f>
        <v>79.19262455865045</v>
      </c>
      <c r="E30" s="28">
        <v>0</v>
      </c>
      <c r="F30" s="227">
        <f>E30/'- 3 -'!D30</f>
        <v>0</v>
      </c>
      <c r="G30" s="28">
        <f>E30/'- 7 -'!F30</f>
        <v>0</v>
      </c>
      <c r="H30" s="28">
        <v>197135</v>
      </c>
      <c r="I30" s="227">
        <f>H30/'- 3 -'!D30</f>
        <v>0.020065405067533904</v>
      </c>
      <c r="J30" s="28">
        <f>H30/'- 7 -'!F30</f>
        <v>154.67634366418204</v>
      </c>
    </row>
    <row r="31" spans="1:10" ht="13.5" customHeight="1">
      <c r="A31" s="25" t="s">
        <v>378</v>
      </c>
      <c r="B31" s="26">
        <v>94978</v>
      </c>
      <c r="C31" s="226">
        <f>B31/'- 3 -'!D31</f>
        <v>0.003810402602104832</v>
      </c>
      <c r="D31" s="26">
        <f>B31/'- 7 -'!F31</f>
        <v>27.91171976019748</v>
      </c>
      <c r="E31" s="26">
        <v>859</v>
      </c>
      <c r="F31" s="226">
        <f>E31/'- 3 -'!D31</f>
        <v>3.4462042106677875E-05</v>
      </c>
      <c r="G31" s="26">
        <f>E31/'- 7 -'!F31</f>
        <v>0.25243916774421066</v>
      </c>
      <c r="H31" s="26">
        <v>436807</v>
      </c>
      <c r="I31" s="226">
        <f>H31/'- 3 -'!D31</f>
        <v>0.017524169064600283</v>
      </c>
      <c r="J31" s="26">
        <f>H31/'- 7 -'!F31</f>
        <v>128.36693311390619</v>
      </c>
    </row>
    <row r="32" spans="1:10" ht="13.5" customHeight="1">
      <c r="A32" s="27" t="s">
        <v>379</v>
      </c>
      <c r="B32" s="28">
        <v>88404</v>
      </c>
      <c r="C32" s="227">
        <f>B32/'- 3 -'!D32</f>
        <v>0.0047725860377618645</v>
      </c>
      <c r="D32" s="28">
        <f>B32/'- 7 -'!F32</f>
        <v>38.07235142118863</v>
      </c>
      <c r="E32" s="28">
        <v>4234</v>
      </c>
      <c r="F32" s="227">
        <f>E32/'- 3 -'!D32</f>
        <v>0.0002285770924831878</v>
      </c>
      <c r="G32" s="28">
        <f>E32/'- 7 -'!F32</f>
        <v>1.8234280792420328</v>
      </c>
      <c r="H32" s="28">
        <v>229445</v>
      </c>
      <c r="I32" s="227">
        <f>H32/'- 3 -'!D32</f>
        <v>0.01238683773849906</v>
      </c>
      <c r="J32" s="28">
        <f>H32/'- 7 -'!F32</f>
        <v>98.81352282515073</v>
      </c>
    </row>
    <row r="33" spans="1:10" ht="13.5" customHeight="1">
      <c r="A33" s="25" t="s">
        <v>380</v>
      </c>
      <c r="B33" s="26">
        <v>163522</v>
      </c>
      <c r="C33" s="226">
        <f>B33/'- 3 -'!D33</f>
        <v>0.007440120660246213</v>
      </c>
      <c r="D33" s="26">
        <f>B33/'- 7 -'!F33</f>
        <v>64.77914669413303</v>
      </c>
      <c r="E33" s="26">
        <v>0</v>
      </c>
      <c r="F33" s="226">
        <f>E33/'- 3 -'!D33</f>
        <v>0</v>
      </c>
      <c r="G33" s="26">
        <f>E33/'- 7 -'!F33</f>
        <v>0</v>
      </c>
      <c r="H33" s="26">
        <v>236992</v>
      </c>
      <c r="I33" s="226">
        <f>H33/'- 3 -'!D33</f>
        <v>0.010782947098941247</v>
      </c>
      <c r="J33" s="26">
        <f>H33/'- 7 -'!F33</f>
        <v>93.8842451372658</v>
      </c>
    </row>
    <row r="34" spans="1:10" ht="13.5" customHeight="1">
      <c r="A34" s="27" t="s">
        <v>381</v>
      </c>
      <c r="B34" s="28">
        <v>120232</v>
      </c>
      <c r="C34" s="227">
        <f>B34/'- 3 -'!D34</f>
        <v>0.007083211236426624</v>
      </c>
      <c r="D34" s="28">
        <f>B34/'- 7 -'!F34</f>
        <v>54.925536774783</v>
      </c>
      <c r="E34" s="28">
        <v>0</v>
      </c>
      <c r="F34" s="227">
        <f>E34/'- 3 -'!D34</f>
        <v>0</v>
      </c>
      <c r="G34" s="28">
        <f>E34/'- 7 -'!F34</f>
        <v>0</v>
      </c>
      <c r="H34" s="28">
        <v>217099</v>
      </c>
      <c r="I34" s="227">
        <f>H34/'- 3 -'!D34</f>
        <v>0.01278992344980524</v>
      </c>
      <c r="J34" s="28">
        <f>H34/'- 7 -'!F34</f>
        <v>99.17724988579258</v>
      </c>
    </row>
    <row r="35" spans="1:10" ht="13.5" customHeight="1">
      <c r="A35" s="25" t="s">
        <v>382</v>
      </c>
      <c r="B35" s="26">
        <v>525026</v>
      </c>
      <c r="C35" s="226">
        <f>B35/'- 3 -'!D35</f>
        <v>0.004160991133254941</v>
      </c>
      <c r="D35" s="26">
        <f>B35/'- 7 -'!F35</f>
        <v>29.427234257209314</v>
      </c>
      <c r="E35" s="26">
        <v>0</v>
      </c>
      <c r="F35" s="226">
        <f>E35/'- 3 -'!D35</f>
        <v>0</v>
      </c>
      <c r="G35" s="26">
        <f>E35/'- 7 -'!F35</f>
        <v>0</v>
      </c>
      <c r="H35" s="26">
        <v>2051545</v>
      </c>
      <c r="I35" s="226">
        <f>H35/'- 3 -'!D35</f>
        <v>0.01625911965211915</v>
      </c>
      <c r="J35" s="26">
        <f>H35/'- 7 -'!F35</f>
        <v>114.98724882997506</v>
      </c>
    </row>
    <row r="36" spans="1:10" ht="13.5" customHeight="1">
      <c r="A36" s="27" t="s">
        <v>383</v>
      </c>
      <c r="B36" s="28">
        <v>121299</v>
      </c>
      <c r="C36" s="227">
        <f>B36/'- 3 -'!D36</f>
        <v>0.007266619188633644</v>
      </c>
      <c r="D36" s="28">
        <f>B36/'- 7 -'!F36</f>
        <v>57.940769047050395</v>
      </c>
      <c r="E36" s="28">
        <v>0</v>
      </c>
      <c r="F36" s="227">
        <f>E36/'- 3 -'!D36</f>
        <v>0</v>
      </c>
      <c r="G36" s="28">
        <f>E36/'- 7 -'!F36</f>
        <v>0</v>
      </c>
      <c r="H36" s="28">
        <v>132333</v>
      </c>
      <c r="I36" s="227">
        <f>H36/'- 3 -'!D36</f>
        <v>0.007927629387624433</v>
      </c>
      <c r="J36" s="28">
        <f>H36/'- 7 -'!F36</f>
        <v>63.211368521614524</v>
      </c>
    </row>
    <row r="37" spans="1:10" ht="13.5" customHeight="1">
      <c r="A37" s="25" t="s">
        <v>384</v>
      </c>
      <c r="B37" s="26">
        <v>136009</v>
      </c>
      <c r="C37" s="226">
        <f>B37/'- 3 -'!D37</f>
        <v>0.005391988973763333</v>
      </c>
      <c r="D37" s="26">
        <f>B37/'- 7 -'!F37</f>
        <v>40.36713857477814</v>
      </c>
      <c r="E37" s="26">
        <v>0</v>
      </c>
      <c r="F37" s="226">
        <f>E37/'- 3 -'!D37</f>
        <v>0</v>
      </c>
      <c r="G37" s="26">
        <f>E37/'- 7 -'!F37</f>
        <v>0</v>
      </c>
      <c r="H37" s="26">
        <v>343119</v>
      </c>
      <c r="I37" s="226">
        <f>H37/'- 3 -'!D37</f>
        <v>0.013602731177265483</v>
      </c>
      <c r="J37" s="26">
        <f>H37/'- 7 -'!F37</f>
        <v>101.83688006410827</v>
      </c>
    </row>
    <row r="38" spans="1:10" ht="13.5" customHeight="1">
      <c r="A38" s="27" t="s">
        <v>385</v>
      </c>
      <c r="B38" s="28">
        <v>233513</v>
      </c>
      <c r="C38" s="227">
        <f>B38/'- 3 -'!D38</f>
        <v>0.0035778527342996296</v>
      </c>
      <c r="D38" s="28">
        <f>B38/'- 7 -'!F38</f>
        <v>27.4559670781893</v>
      </c>
      <c r="E38" s="28">
        <v>0</v>
      </c>
      <c r="F38" s="227">
        <f>E38/'- 3 -'!D38</f>
        <v>0</v>
      </c>
      <c r="G38" s="28">
        <f>E38/'- 7 -'!F38</f>
        <v>0</v>
      </c>
      <c r="H38" s="28">
        <v>1193020</v>
      </c>
      <c r="I38" s="227">
        <f>H38/'- 3 -'!D38</f>
        <v>0.01827928153496441</v>
      </c>
      <c r="J38" s="28">
        <f>H38/'- 7 -'!F38</f>
        <v>140.27278071722517</v>
      </c>
    </row>
    <row r="39" spans="1:10" ht="13.5" customHeight="1">
      <c r="A39" s="25" t="s">
        <v>386</v>
      </c>
      <c r="B39" s="26">
        <v>146964</v>
      </c>
      <c r="C39" s="226">
        <f>B39/'- 3 -'!D39</f>
        <v>0.009586001166517276</v>
      </c>
      <c r="D39" s="26">
        <f>B39/'- 7 -'!F39</f>
        <v>80.74945054945054</v>
      </c>
      <c r="E39" s="26">
        <v>4373</v>
      </c>
      <c r="F39" s="226">
        <f>E39/'- 3 -'!D39</f>
        <v>0.000285237085961052</v>
      </c>
      <c r="G39" s="26">
        <f>E39/'- 7 -'!F39</f>
        <v>2.4027472527472526</v>
      </c>
      <c r="H39" s="26">
        <v>166831</v>
      </c>
      <c r="I39" s="226">
        <f>H39/'- 3 -'!D39</f>
        <v>0.01088186331762366</v>
      </c>
      <c r="J39" s="26">
        <f>H39/'- 7 -'!F39</f>
        <v>91.66538461538461</v>
      </c>
    </row>
    <row r="40" spans="1:10" ht="13.5" customHeight="1">
      <c r="A40" s="27" t="s">
        <v>387</v>
      </c>
      <c r="B40" s="28">
        <v>304703</v>
      </c>
      <c r="C40" s="227">
        <f>B40/'- 3 -'!D40</f>
        <v>0.004637487848248224</v>
      </c>
      <c r="D40" s="28">
        <f>B40/'- 7 -'!F40</f>
        <v>33.990415399614925</v>
      </c>
      <c r="E40" s="28">
        <v>84034</v>
      </c>
      <c r="F40" s="227">
        <f>E40/'- 3 -'!D40</f>
        <v>0.001278972159249142</v>
      </c>
      <c r="G40" s="28">
        <f>E40/'- 7 -'!F40</f>
        <v>9.374212159680871</v>
      </c>
      <c r="H40" s="28">
        <v>1277037</v>
      </c>
      <c r="I40" s="227">
        <f>H40/'- 3 -'!D40</f>
        <v>0.01943611834889505</v>
      </c>
      <c r="J40" s="28">
        <f>H40/'- 7 -'!F40</f>
        <v>142.45681240643526</v>
      </c>
    </row>
    <row r="41" spans="1:10" ht="13.5" customHeight="1">
      <c r="A41" s="25" t="s">
        <v>388</v>
      </c>
      <c r="B41" s="26">
        <v>114905</v>
      </c>
      <c r="C41" s="226">
        <f>B41/'- 3 -'!D41</f>
        <v>0.0029391453541858796</v>
      </c>
      <c r="D41" s="26">
        <f>B41/'- 7 -'!F41</f>
        <v>24.028649100794645</v>
      </c>
      <c r="E41" s="26">
        <v>128701</v>
      </c>
      <c r="F41" s="226">
        <f>E41/'- 3 -'!D41</f>
        <v>0.003292032080667307</v>
      </c>
      <c r="G41" s="26">
        <f>E41/'- 7 -'!F41</f>
        <v>26.913634462567963</v>
      </c>
      <c r="H41" s="26">
        <v>452716</v>
      </c>
      <c r="I41" s="226">
        <f>H41/'- 3 -'!D41</f>
        <v>0.01157998458000622</v>
      </c>
      <c r="J41" s="26">
        <f>H41/'- 7 -'!F41</f>
        <v>94.67084901714763</v>
      </c>
    </row>
    <row r="42" spans="1:10" ht="13.5" customHeight="1">
      <c r="A42" s="27" t="s">
        <v>389</v>
      </c>
      <c r="B42" s="28">
        <v>103179</v>
      </c>
      <c r="C42" s="227">
        <f>B42/'- 3 -'!D42</f>
        <v>0.00682692111739745</v>
      </c>
      <c r="D42" s="28">
        <f>B42/'- 7 -'!F42</f>
        <v>55.15823799850315</v>
      </c>
      <c r="E42" s="28">
        <v>0</v>
      </c>
      <c r="F42" s="227">
        <f>E42/'- 3 -'!D42</f>
        <v>0</v>
      </c>
      <c r="G42" s="28">
        <f>E42/'- 7 -'!F42</f>
        <v>0</v>
      </c>
      <c r="H42" s="28">
        <v>217890</v>
      </c>
      <c r="I42" s="227">
        <f>H42/'- 3 -'!D42</f>
        <v>0.014416866244775879</v>
      </c>
      <c r="J42" s="28">
        <f>H42/'- 7 -'!F42</f>
        <v>116.48134288463594</v>
      </c>
    </row>
    <row r="43" spans="1:10" ht="13.5" customHeight="1">
      <c r="A43" s="25" t="s">
        <v>390</v>
      </c>
      <c r="B43" s="26">
        <v>103723</v>
      </c>
      <c r="C43" s="226">
        <f>B43/'- 3 -'!D43</f>
        <v>0.011231058153369458</v>
      </c>
      <c r="D43" s="26">
        <f>B43/'- 7 -'!F43</f>
        <v>85.79239040529363</v>
      </c>
      <c r="E43" s="26">
        <v>2000</v>
      </c>
      <c r="F43" s="226">
        <f>E43/'- 3 -'!D43</f>
        <v>0.0002165586832885562</v>
      </c>
      <c r="G43" s="26">
        <f>E43/'- 7 -'!F43</f>
        <v>1.6542597187758479</v>
      </c>
      <c r="H43" s="26">
        <v>104416</v>
      </c>
      <c r="I43" s="226">
        <f>H43/'- 3 -'!D43</f>
        <v>0.011306095737128943</v>
      </c>
      <c r="J43" s="26">
        <f>H43/'- 7 -'!F43</f>
        <v>86.36559139784946</v>
      </c>
    </row>
    <row r="44" spans="1:10" ht="13.5" customHeight="1">
      <c r="A44" s="27" t="s">
        <v>391</v>
      </c>
      <c r="B44" s="28">
        <v>62865</v>
      </c>
      <c r="C44" s="227">
        <f>B44/'- 3 -'!D44</f>
        <v>0.009117237096459107</v>
      </c>
      <c r="D44" s="28">
        <f>B44/'- 7 -'!F44</f>
        <v>79.52561669829223</v>
      </c>
      <c r="E44" s="28">
        <v>0</v>
      </c>
      <c r="F44" s="227">
        <f>E44/'- 3 -'!D44</f>
        <v>0</v>
      </c>
      <c r="G44" s="28">
        <f>E44/'- 7 -'!F44</f>
        <v>0</v>
      </c>
      <c r="H44" s="28">
        <v>84237</v>
      </c>
      <c r="I44" s="227">
        <f>H44/'- 3 -'!D44</f>
        <v>0.012216793148722274</v>
      </c>
      <c r="J44" s="28">
        <f>H44/'- 7 -'!F44</f>
        <v>106.56166982922201</v>
      </c>
    </row>
    <row r="45" spans="1:10" ht="13.5" customHeight="1">
      <c r="A45" s="25" t="s">
        <v>392</v>
      </c>
      <c r="B45" s="26">
        <v>63446</v>
      </c>
      <c r="C45" s="226">
        <f>B45/'- 3 -'!D45</f>
        <v>0.006069488129470831</v>
      </c>
      <c r="D45" s="26">
        <f>B45/'- 7 -'!F45</f>
        <v>43.39078101490904</v>
      </c>
      <c r="E45" s="26">
        <v>0</v>
      </c>
      <c r="F45" s="226">
        <f>E45/'- 3 -'!D45</f>
        <v>0</v>
      </c>
      <c r="G45" s="26">
        <f>E45/'- 7 -'!F45</f>
        <v>0</v>
      </c>
      <c r="H45" s="26">
        <v>114580</v>
      </c>
      <c r="I45" s="226">
        <f>H45/'- 3 -'!D45</f>
        <v>0.010961163034308984</v>
      </c>
      <c r="J45" s="26">
        <f>H45/'- 7 -'!F45</f>
        <v>78.36137327315005</v>
      </c>
    </row>
    <row r="46" spans="1:10" ht="13.5" customHeight="1">
      <c r="A46" s="27" t="s">
        <v>393</v>
      </c>
      <c r="B46" s="28">
        <v>1603229</v>
      </c>
      <c r="C46" s="227">
        <f>B46/'- 3 -'!D46</f>
        <v>0.006163949991631028</v>
      </c>
      <c r="D46" s="28">
        <f>B46/'- 7 -'!F46</f>
        <v>51.68605288439839</v>
      </c>
      <c r="E46" s="28">
        <v>85336</v>
      </c>
      <c r="F46" s="227">
        <f>E46/'- 3 -'!D46</f>
        <v>0.0003280921418498701</v>
      </c>
      <c r="G46" s="28">
        <f>E46/'- 7 -'!F46</f>
        <v>2.7511235194367254</v>
      </c>
      <c r="H46" s="28">
        <v>7352574</v>
      </c>
      <c r="I46" s="227">
        <f>H46/'- 3 -'!D46</f>
        <v>0.028268512137546487</v>
      </c>
      <c r="J46" s="28">
        <f>H46/'- 7 -'!F46</f>
        <v>237.03758390127214</v>
      </c>
    </row>
    <row r="47" spans="1:10" ht="13.5" customHeight="1">
      <c r="A47" s="25" t="s">
        <v>397</v>
      </c>
      <c r="B47" s="26">
        <v>0</v>
      </c>
      <c r="C47" s="226">
        <f>B47/'- 3 -'!D47</f>
        <v>0</v>
      </c>
      <c r="D47" s="26">
        <f>B47/'- 7 -'!F47</f>
        <v>0</v>
      </c>
      <c r="E47" s="26">
        <v>0</v>
      </c>
      <c r="F47" s="226">
        <f>E47/'- 3 -'!D47</f>
        <v>0</v>
      </c>
      <c r="G47" s="26">
        <f>E47/'- 7 -'!F47</f>
        <v>0</v>
      </c>
      <c r="H47" s="26">
        <v>0</v>
      </c>
      <c r="I47" s="226">
        <f>H47/'- 3 -'!D47</f>
        <v>0</v>
      </c>
      <c r="J47" s="26">
        <f>H47/'- 7 -'!F47</f>
        <v>0</v>
      </c>
    </row>
    <row r="48" spans="1:10" ht="4.5" customHeight="1">
      <c r="A48" s="29"/>
      <c r="B48" s="30"/>
      <c r="C48" s="215"/>
      <c r="D48" s="30"/>
      <c r="E48" s="30"/>
      <c r="F48" s="215"/>
      <c r="G48" s="30"/>
      <c r="H48" s="30"/>
      <c r="I48" s="215"/>
      <c r="J48" s="30"/>
    </row>
    <row r="49" spans="1:10" ht="13.5" customHeight="1">
      <c r="A49" s="31" t="s">
        <v>394</v>
      </c>
      <c r="B49" s="32">
        <f>SUM(B11:B47)</f>
        <v>7257160</v>
      </c>
      <c r="C49" s="228">
        <f>B49/'- 3 -'!D49</f>
        <v>0.005158678232717021</v>
      </c>
      <c r="D49" s="32">
        <f>B49/'- 7 -'!F49</f>
        <v>40.53878924137548</v>
      </c>
      <c r="E49" s="32">
        <f>SUM(E11:E47)</f>
        <v>1266289</v>
      </c>
      <c r="F49" s="228">
        <f>E49/'- 3 -'!D49</f>
        <v>0.0009001286316725831</v>
      </c>
      <c r="G49" s="32">
        <f>E49/'- 7 -'!F49</f>
        <v>7.073541563045616</v>
      </c>
      <c r="H49" s="32">
        <f>SUM(H11:H47)</f>
        <v>26377582.92</v>
      </c>
      <c r="I49" s="228">
        <f>H49/'- 3 -'!D49</f>
        <v>0.018750236020852823</v>
      </c>
      <c r="J49" s="32">
        <f>H49/'- 7 -'!F49</f>
        <v>147.3462449072069</v>
      </c>
    </row>
    <row r="50" spans="1:10" ht="4.5" customHeight="1">
      <c r="A50" s="29" t="s">
        <v>78</v>
      </c>
      <c r="B50" s="30"/>
      <c r="C50" s="215"/>
      <c r="D50" s="30"/>
      <c r="E50" s="30"/>
      <c r="F50" s="215"/>
      <c r="H50" s="30"/>
      <c r="I50" s="215"/>
      <c r="J50" s="30"/>
    </row>
    <row r="51" spans="1:10" ht="13.5" customHeight="1">
      <c r="A51" s="27" t="s">
        <v>395</v>
      </c>
      <c r="B51" s="28">
        <v>0</v>
      </c>
      <c r="C51" s="227">
        <f>B51/'- 3 -'!D51</f>
        <v>0</v>
      </c>
      <c r="D51" s="28">
        <f>B51/'- 7 -'!F51</f>
        <v>0</v>
      </c>
      <c r="E51" s="28">
        <v>32446</v>
      </c>
      <c r="F51" s="227">
        <f>E51/'- 3 -'!D51</f>
        <v>0.025808350368679355</v>
      </c>
      <c r="G51" s="229">
        <f>E51/'- 7 -'!F51</f>
        <v>223.7655172413793</v>
      </c>
      <c r="H51" s="28">
        <v>24839</v>
      </c>
      <c r="I51" s="227">
        <f>H51/'- 3 -'!D51</f>
        <v>0.01975755454624997</v>
      </c>
      <c r="J51" s="28">
        <f>H51/'- 7 -'!F51</f>
        <v>171.30344827586208</v>
      </c>
    </row>
    <row r="52" spans="1:10" ht="13.5" customHeight="1">
      <c r="A52" s="25" t="s">
        <v>396</v>
      </c>
      <c r="B52" s="26">
        <v>31785</v>
      </c>
      <c r="C52" s="226">
        <f>B52/'- 3 -'!D52</f>
        <v>0.0131307543873492</v>
      </c>
      <c r="D52" s="26">
        <f>B52/'- 7 -'!F52</f>
        <v>114.95479204339964</v>
      </c>
      <c r="E52" s="26">
        <v>0</v>
      </c>
      <c r="F52" s="226">
        <f>E52/'- 3 -'!D52</f>
        <v>0</v>
      </c>
      <c r="G52" s="230">
        <f>E52/'- 7 -'!F52</f>
        <v>0</v>
      </c>
      <c r="H52" s="26">
        <v>41287</v>
      </c>
      <c r="I52" s="226">
        <f>H52/'- 3 -'!D52</f>
        <v>0.01705614146265491</v>
      </c>
      <c r="J52" s="26">
        <f>H52/'- 7 -'!F52</f>
        <v>149.32007233273055</v>
      </c>
    </row>
    <row r="53" spans="1:10" ht="49.5" customHeight="1">
      <c r="A53" s="33"/>
      <c r="B53" s="33"/>
      <c r="C53" s="33"/>
      <c r="D53" s="33"/>
      <c r="E53" s="33"/>
      <c r="F53" s="33"/>
      <c r="G53" s="33"/>
      <c r="H53" s="33"/>
      <c r="I53" s="33"/>
      <c r="J53" s="33"/>
    </row>
    <row r="54" spans="1:10" ht="15" customHeight="1">
      <c r="A54" s="165" t="s">
        <v>562</v>
      </c>
      <c r="B54" s="3"/>
      <c r="C54" s="116"/>
      <c r="D54" s="116"/>
      <c r="E54" s="116"/>
      <c r="F54" s="116"/>
      <c r="G54" s="116"/>
      <c r="H54" s="116"/>
      <c r="I54" s="116"/>
      <c r="J54" s="116"/>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2"/>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219"/>
      <c r="B2" s="7" t="s">
        <v>75</v>
      </c>
      <c r="C2" s="8"/>
      <c r="D2" s="8"/>
      <c r="E2" s="8"/>
      <c r="F2" s="8"/>
      <c r="G2" s="8"/>
      <c r="H2" s="105"/>
      <c r="I2" s="105"/>
      <c r="J2" s="220" t="s">
        <v>327</v>
      </c>
    </row>
    <row r="3" spans="1:10" ht="15.75" customHeight="1">
      <c r="A3" s="221"/>
      <c r="B3" s="9" t="str">
        <f>OPYEAR</f>
        <v>OPERATING FUND 2003/2004 ACTUAL</v>
      </c>
      <c r="C3" s="10"/>
      <c r="D3" s="10"/>
      <c r="E3" s="10"/>
      <c r="F3" s="10"/>
      <c r="G3" s="10"/>
      <c r="H3" s="107"/>
      <c r="I3" s="107"/>
      <c r="J3" s="94"/>
    </row>
    <row r="4" spans="2:10" ht="15.75" customHeight="1">
      <c r="B4" s="6"/>
      <c r="C4" s="6"/>
      <c r="D4" s="6"/>
      <c r="E4" s="6"/>
      <c r="F4" s="6"/>
      <c r="G4" s="6"/>
      <c r="H4" s="6"/>
      <c r="I4" s="6"/>
      <c r="J4" s="6"/>
    </row>
    <row r="5" spans="2:10" ht="15.75" customHeight="1">
      <c r="B5" s="258" t="s">
        <v>555</v>
      </c>
      <c r="C5" s="287"/>
      <c r="D5" s="288"/>
      <c r="E5" s="288"/>
      <c r="F5" s="288"/>
      <c r="G5" s="288"/>
      <c r="H5" s="288"/>
      <c r="I5" s="288"/>
      <c r="J5" s="289"/>
    </row>
    <row r="6" spans="2:10" ht="15.75" customHeight="1">
      <c r="B6" s="209" t="s">
        <v>92</v>
      </c>
      <c r="C6" s="211"/>
      <c r="D6" s="210"/>
      <c r="E6" s="209" t="s">
        <v>295</v>
      </c>
      <c r="F6" s="211"/>
      <c r="G6" s="210"/>
      <c r="H6" s="209" t="s">
        <v>292</v>
      </c>
      <c r="I6" s="211"/>
      <c r="J6" s="210"/>
    </row>
    <row r="7" spans="2:10" ht="15.75" customHeight="1">
      <c r="B7" s="108" t="s">
        <v>119</v>
      </c>
      <c r="C7" s="71"/>
      <c r="D7" s="70"/>
      <c r="E7" s="108" t="s">
        <v>294</v>
      </c>
      <c r="F7" s="71"/>
      <c r="G7" s="70"/>
      <c r="H7" s="108" t="s">
        <v>247</v>
      </c>
      <c r="I7" s="71"/>
      <c r="J7" s="70"/>
    </row>
    <row r="8" spans="1:10" ht="15.75" customHeight="1">
      <c r="A8" s="96"/>
      <c r="B8" s="225"/>
      <c r="C8" s="98"/>
      <c r="D8" s="18" t="s">
        <v>150</v>
      </c>
      <c r="E8" s="225"/>
      <c r="F8" s="223"/>
      <c r="G8" s="18" t="s">
        <v>150</v>
      </c>
      <c r="H8" s="225"/>
      <c r="I8" s="223"/>
      <c r="J8" s="18" t="s">
        <v>150</v>
      </c>
    </row>
    <row r="9" spans="1:10" ht="15.75" customHeight="1">
      <c r="A9" s="49" t="s">
        <v>175</v>
      </c>
      <c r="B9" s="113" t="s">
        <v>176</v>
      </c>
      <c r="C9" s="113" t="s">
        <v>177</v>
      </c>
      <c r="D9" s="113" t="s">
        <v>178</v>
      </c>
      <c r="E9" s="113" t="s">
        <v>176</v>
      </c>
      <c r="F9" s="113" t="s">
        <v>177</v>
      </c>
      <c r="G9" s="113" t="s">
        <v>178</v>
      </c>
      <c r="H9" s="113" t="s">
        <v>176</v>
      </c>
      <c r="I9" s="113" t="s">
        <v>177</v>
      </c>
      <c r="J9" s="113" t="s">
        <v>178</v>
      </c>
    </row>
    <row r="10" ht="4.5" customHeight="1">
      <c r="A10" s="4"/>
    </row>
    <row r="11" spans="1:10" ht="13.5" customHeight="1">
      <c r="A11" s="25" t="s">
        <v>359</v>
      </c>
      <c r="B11" s="26">
        <v>541325</v>
      </c>
      <c r="C11" s="226">
        <f>B11/'- 3 -'!D11</f>
        <v>0.04742863341050535</v>
      </c>
      <c r="D11" s="26">
        <f>IF(AND(B11&gt;0,'- 7 -'!D11=0),"N/A ",IF(B11&gt;0,B11/'- 7 -'!D11,0))</f>
        <v>13880.128205128205</v>
      </c>
      <c r="E11" s="26">
        <v>399547</v>
      </c>
      <c r="F11" s="226">
        <f>E11/'- 3 -'!D11</f>
        <v>0.035006637774474075</v>
      </c>
      <c r="G11" s="26">
        <f>E11/'- 7 -'!F11</f>
        <v>255.791933418694</v>
      </c>
      <c r="H11" s="26">
        <v>210022</v>
      </c>
      <c r="I11" s="226">
        <f>H11/'- 3 -'!D11</f>
        <v>0.01840124961186192</v>
      </c>
      <c r="J11" s="26">
        <f>H11/'- 7 -'!F11</f>
        <v>134.45710627400769</v>
      </c>
    </row>
    <row r="12" spans="1:10" ht="13.5" customHeight="1">
      <c r="A12" s="27" t="s">
        <v>360</v>
      </c>
      <c r="B12" s="28">
        <v>0</v>
      </c>
      <c r="C12" s="227">
        <f>B12/'- 3 -'!D12</f>
        <v>0</v>
      </c>
      <c r="D12" s="28">
        <f>IF(AND(B12&gt;0,'- 7 -'!D12=0),"N/A ",IF(B12&gt;0,B12/'- 7 -'!D12,0))</f>
        <v>0</v>
      </c>
      <c r="E12" s="28">
        <v>876857</v>
      </c>
      <c r="F12" s="227">
        <f>E12/'- 3 -'!D12</f>
        <v>0.04573190703007261</v>
      </c>
      <c r="G12" s="28">
        <f>E12/'- 7 -'!F12</f>
        <v>369.17185921185586</v>
      </c>
      <c r="H12" s="28">
        <v>899992</v>
      </c>
      <c r="I12" s="227">
        <f>H12/'- 3 -'!D12</f>
        <v>0.04693849792133622</v>
      </c>
      <c r="J12" s="28">
        <f>H12/'- 7 -'!F12</f>
        <v>378.91209161333785</v>
      </c>
    </row>
    <row r="13" spans="1:10" ht="13.5" customHeight="1">
      <c r="A13" s="25" t="s">
        <v>361</v>
      </c>
      <c r="B13" s="26">
        <v>2075948</v>
      </c>
      <c r="C13" s="226">
        <f>B13/'- 3 -'!D13</f>
        <v>0.04242280254929109</v>
      </c>
      <c r="D13" s="26">
        <f>IF(AND(B13&gt;0,'- 7 -'!D13=0),"N/A ",IF(B13&gt;0,B13/'- 7 -'!D13,0))</f>
        <v>9351.117117117117</v>
      </c>
      <c r="E13" s="26">
        <v>2025019</v>
      </c>
      <c r="F13" s="226">
        <f>E13/'- 3 -'!D13</f>
        <v>0.041382048681162964</v>
      </c>
      <c r="G13" s="26">
        <f>E13/'- 7 -'!F13</f>
        <v>284.85286256857506</v>
      </c>
      <c r="H13" s="26">
        <v>1997798</v>
      </c>
      <c r="I13" s="226">
        <f>H13/'- 3 -'!D13</f>
        <v>0.040825776988329496</v>
      </c>
      <c r="J13" s="26">
        <f>H13/'- 7 -'!F13</f>
        <v>281.02377268251513</v>
      </c>
    </row>
    <row r="14" spans="1:10" ht="13.5" customHeight="1">
      <c r="A14" s="27" t="s">
        <v>398</v>
      </c>
      <c r="B14" s="28">
        <v>621206</v>
      </c>
      <c r="C14" s="227">
        <f>B14/'- 3 -'!D14</f>
        <v>0.014664878884426148</v>
      </c>
      <c r="D14" s="28">
        <f>IF(AND(B14&gt;0,'- 7 -'!D14=0),"N/A ",IF(B14&gt;0,B14/'- 7 -'!D14,0))</f>
        <v>8627.861111111111</v>
      </c>
      <c r="E14" s="28">
        <v>1987702</v>
      </c>
      <c r="F14" s="227">
        <f>E14/'- 3 -'!D14</f>
        <v>0.046923901392342676</v>
      </c>
      <c r="G14" s="28">
        <f>E14/'- 7 -'!F14</f>
        <v>465.2642666541829</v>
      </c>
      <c r="H14" s="28">
        <v>1622403</v>
      </c>
      <c r="I14" s="227">
        <f>H14/'- 3 -'!D14</f>
        <v>0.03830024741668567</v>
      </c>
      <c r="J14" s="28">
        <f>H14/'- 7 -'!F14</f>
        <v>379.75820420392307</v>
      </c>
    </row>
    <row r="15" spans="1:10" ht="13.5" customHeight="1">
      <c r="A15" s="25" t="s">
        <v>362</v>
      </c>
      <c r="B15" s="26">
        <v>0</v>
      </c>
      <c r="C15" s="226">
        <f>B15/'- 3 -'!D15</f>
        <v>0</v>
      </c>
      <c r="D15" s="26">
        <f>IF(AND(B15&gt;0,'- 7 -'!D15=0),"N/A ",IF(B15&gt;0,B15/'- 7 -'!D15,0))</f>
        <v>0</v>
      </c>
      <c r="E15" s="26">
        <v>603815</v>
      </c>
      <c r="F15" s="226">
        <f>E15/'- 3 -'!D15</f>
        <v>0.04620444999475832</v>
      </c>
      <c r="G15" s="26">
        <f>E15/'- 7 -'!F15</f>
        <v>363.4155883238038</v>
      </c>
      <c r="H15" s="26">
        <v>630814</v>
      </c>
      <c r="I15" s="226">
        <f>H15/'- 3 -'!D15</f>
        <v>0.048270437003044765</v>
      </c>
      <c r="J15" s="26">
        <f>H15/'- 7 -'!F15</f>
        <v>379.66536262413484</v>
      </c>
    </row>
    <row r="16" spans="1:10" ht="13.5" customHeight="1">
      <c r="A16" s="27" t="s">
        <v>363</v>
      </c>
      <c r="B16" s="28">
        <v>114569</v>
      </c>
      <c r="C16" s="227">
        <f>B16/'- 3 -'!D16</f>
        <v>0.010693972236779512</v>
      </c>
      <c r="D16" s="28">
        <f>IF(AND(B16&gt;0,'- 7 -'!D16=0),"N/A ",IF(B16&gt;0,B16/'- 7 -'!D16,0))</f>
        <v>14321.125</v>
      </c>
      <c r="E16" s="28">
        <v>412283</v>
      </c>
      <c r="F16" s="227">
        <f>E16/'- 3 -'!D16</f>
        <v>0.03848286146947401</v>
      </c>
      <c r="G16" s="28">
        <f>E16/'- 7 -'!F16</f>
        <v>296.20159494216534</v>
      </c>
      <c r="H16" s="28">
        <v>457868</v>
      </c>
      <c r="I16" s="227">
        <f>H16/'- 3 -'!D16</f>
        <v>0.04273780586467335</v>
      </c>
      <c r="J16" s="28">
        <f>H16/'- 7 -'!F16</f>
        <v>328.95179251383</v>
      </c>
    </row>
    <row r="17" spans="1:10" ht="13.5" customHeight="1">
      <c r="A17" s="25" t="s">
        <v>364</v>
      </c>
      <c r="B17" s="26">
        <v>0</v>
      </c>
      <c r="C17" s="226">
        <f>B17/'- 3 -'!D17</f>
        <v>0</v>
      </c>
      <c r="D17" s="26">
        <f>IF(AND(B17&gt;0,'- 7 -'!D17=0),"N/A ",IF(B17&gt;0,B17/'- 7 -'!D17,0))</f>
        <v>0</v>
      </c>
      <c r="E17" s="26">
        <v>387188</v>
      </c>
      <c r="F17" s="226">
        <f>E17/'- 3 -'!D17</f>
        <v>0.0313643518998176</v>
      </c>
      <c r="G17" s="26">
        <f>E17/'- 7 -'!F17</f>
        <v>245.2108929702343</v>
      </c>
      <c r="H17" s="26">
        <v>708028</v>
      </c>
      <c r="I17" s="226">
        <f>H17/'- 3 -'!D17</f>
        <v>0.057354151851100904</v>
      </c>
      <c r="J17" s="26">
        <f>H17/'- 7 -'!F17</f>
        <v>448.4027865737809</v>
      </c>
    </row>
    <row r="18" spans="1:10" ht="13.5" customHeight="1">
      <c r="A18" s="27" t="s">
        <v>365</v>
      </c>
      <c r="B18" s="28">
        <v>67234</v>
      </c>
      <c r="C18" s="227">
        <f>B18/'- 3 -'!D18</f>
        <v>0.0009148786352951044</v>
      </c>
      <c r="D18" s="28">
        <f>IF(AND(B18&gt;0,'- 7 -'!D18=0),"N/A ",IF(B18&gt;0,B18/'- 7 -'!D18,0))</f>
        <v>16808.5</v>
      </c>
      <c r="E18" s="28">
        <v>5022128</v>
      </c>
      <c r="F18" s="227">
        <f>E18/'- 3 -'!D18</f>
        <v>0.06833800771807913</v>
      </c>
      <c r="G18" s="28">
        <f>E18/'- 7 -'!F18</f>
        <v>857.1500742434845</v>
      </c>
      <c r="H18" s="28">
        <v>2912973</v>
      </c>
      <c r="I18" s="227">
        <f>H18/'- 3 -'!D18</f>
        <v>0.03963793263663453</v>
      </c>
      <c r="J18" s="28">
        <f>H18/'- 7 -'!F18</f>
        <v>497.17072587940123</v>
      </c>
    </row>
    <row r="19" spans="1:10" ht="13.5" customHeight="1">
      <c r="A19" s="25" t="s">
        <v>366</v>
      </c>
      <c r="B19" s="26">
        <v>728542</v>
      </c>
      <c r="C19" s="226">
        <f>B19/'- 3 -'!D19</f>
        <v>0.039709901688639124</v>
      </c>
      <c r="D19" s="26">
        <f>IF(AND(B19&gt;0,'- 7 -'!D19=0),"N/A ",IF(B19&gt;0,B19/'- 7 -'!D19,0))</f>
        <v>10651.198830409356</v>
      </c>
      <c r="E19" s="26">
        <v>747873</v>
      </c>
      <c r="F19" s="226">
        <f>E19/'- 3 -'!D19</f>
        <v>0.040763556947420475</v>
      </c>
      <c r="G19" s="26">
        <f>E19/'- 7 -'!F19</f>
        <v>248.47104554968604</v>
      </c>
      <c r="H19" s="26">
        <v>666348</v>
      </c>
      <c r="I19" s="226">
        <f>H19/'- 3 -'!D19</f>
        <v>0.03631995625567407</v>
      </c>
      <c r="J19" s="26">
        <f>H19/'- 7 -'!F19</f>
        <v>221.38542808731185</v>
      </c>
    </row>
    <row r="20" spans="1:10" ht="13.5" customHeight="1">
      <c r="A20" s="27" t="s">
        <v>367</v>
      </c>
      <c r="B20" s="28">
        <v>155421</v>
      </c>
      <c r="C20" s="227">
        <f>B20/'- 3 -'!D20</f>
        <v>0.00423703434802774</v>
      </c>
      <c r="D20" s="28">
        <f>IF(AND(B20&gt;0,'- 7 -'!D20=0),"N/A ",IF(B20&gt;0,B20/'- 7 -'!D20,0))</f>
        <v>25903.5</v>
      </c>
      <c r="E20" s="28">
        <v>1432205</v>
      </c>
      <c r="F20" s="227">
        <f>E20/'- 3 -'!D20</f>
        <v>0.03904428473898038</v>
      </c>
      <c r="G20" s="28">
        <f>E20/'- 7 -'!F20</f>
        <v>226.3461082576057</v>
      </c>
      <c r="H20" s="28">
        <v>1422641</v>
      </c>
      <c r="I20" s="227">
        <f>H20/'- 3 -'!D20</f>
        <v>0.03878355422956056</v>
      </c>
      <c r="J20" s="28">
        <f>H20/'- 7 -'!F20</f>
        <v>224.83461082576056</v>
      </c>
    </row>
    <row r="21" spans="1:10" ht="13.5" customHeight="1">
      <c r="A21" s="25" t="s">
        <v>368</v>
      </c>
      <c r="B21" s="26">
        <v>504085</v>
      </c>
      <c r="C21" s="226">
        <f>B21/'- 3 -'!D21</f>
        <v>0.020940248021999504</v>
      </c>
      <c r="D21" s="26">
        <f>IF(AND(B21&gt;0,'- 7 -'!D21=0),"N/A ",IF(B21&gt;0,B21/'- 7 -'!D21,0))</f>
        <v>20163.4</v>
      </c>
      <c r="E21" s="26">
        <v>570953</v>
      </c>
      <c r="F21" s="226">
        <f>E21/'- 3 -'!D21</f>
        <v>0.02371801864547583</v>
      </c>
      <c r="G21" s="26">
        <f>E21/'- 7 -'!F21</f>
        <v>171.79268843087107</v>
      </c>
      <c r="H21" s="26">
        <v>1388016</v>
      </c>
      <c r="I21" s="226">
        <f>H21/'- 3 -'!D21</f>
        <v>0.057659718695266995</v>
      </c>
      <c r="J21" s="26">
        <f>H21/'- 7 -'!F21</f>
        <v>417.6368286445013</v>
      </c>
    </row>
    <row r="22" spans="1:10" ht="13.5" customHeight="1">
      <c r="A22" s="27" t="s">
        <v>369</v>
      </c>
      <c r="B22" s="28">
        <v>591092</v>
      </c>
      <c r="C22" s="227">
        <f>B22/'- 3 -'!D22</f>
        <v>0.043843612590489404</v>
      </c>
      <c r="D22" s="28">
        <f>IF(AND(B22&gt;0,'- 7 -'!D22=0),"N/A ",IF(B22&gt;0,B22/'- 7 -'!D22,0))</f>
        <v>11367.153846153846</v>
      </c>
      <c r="E22" s="28">
        <v>809050</v>
      </c>
      <c r="F22" s="227">
        <f>E22/'- 3 -'!D22</f>
        <v>0.06001041253533367</v>
      </c>
      <c r="G22" s="28">
        <f>E22/'- 7 -'!F22</f>
        <v>478.16193853427893</v>
      </c>
      <c r="H22" s="28">
        <v>485286</v>
      </c>
      <c r="I22" s="227">
        <f>H22/'- 3 -'!D22</f>
        <v>0.03599556647626468</v>
      </c>
      <c r="J22" s="28">
        <f>H22/'- 7 -'!F22</f>
        <v>286.81205673758865</v>
      </c>
    </row>
    <row r="23" spans="1:10" ht="13.5" customHeight="1">
      <c r="A23" s="25" t="s">
        <v>370</v>
      </c>
      <c r="B23" s="26">
        <v>0</v>
      </c>
      <c r="C23" s="226">
        <f>B23/'- 3 -'!D23</f>
        <v>0</v>
      </c>
      <c r="D23" s="26">
        <f>IF(AND(B23&gt;0,'- 7 -'!D23=0),"N/A ",IF(B23&gt;0,B23/'- 7 -'!D23,0))</f>
        <v>0</v>
      </c>
      <c r="E23" s="26">
        <v>754850</v>
      </c>
      <c r="F23" s="226">
        <f>E23/'- 3 -'!D23</f>
        <v>0.06672672381200398</v>
      </c>
      <c r="G23" s="26">
        <f>E23/'- 7 -'!F23</f>
        <v>568.6252354048964</v>
      </c>
      <c r="H23" s="26">
        <v>399818</v>
      </c>
      <c r="I23" s="226">
        <f>H23/'- 3 -'!D23</f>
        <v>0.03534284329478414</v>
      </c>
      <c r="J23" s="26">
        <f>H23/'- 7 -'!F23</f>
        <v>301.1811676082863</v>
      </c>
    </row>
    <row r="24" spans="1:10" ht="13.5" customHeight="1">
      <c r="A24" s="27" t="s">
        <v>371</v>
      </c>
      <c r="B24" s="28">
        <v>596521</v>
      </c>
      <c r="C24" s="227">
        <f>B24/'- 3 -'!D24</f>
        <v>0.01712639246170071</v>
      </c>
      <c r="D24" s="28">
        <f>IF(AND(B24&gt;0,'- 7 -'!D24=0),"N/A ",IF(B24&gt;0,B24/'- 7 -'!D24,0))</f>
        <v>14202.880952380952</v>
      </c>
      <c r="E24" s="28">
        <v>1918052</v>
      </c>
      <c r="F24" s="227">
        <f>E24/'- 3 -'!D24</f>
        <v>0.05506815571279128</v>
      </c>
      <c r="G24" s="28">
        <f>E24/'- 7 -'!F24</f>
        <v>411.55498337088295</v>
      </c>
      <c r="H24" s="28">
        <v>1190316</v>
      </c>
      <c r="I24" s="227">
        <f>H24/'- 3 -'!D24</f>
        <v>0.03417452020874662</v>
      </c>
      <c r="J24" s="28">
        <f>H24/'- 7 -'!F24</f>
        <v>255.4052140328291</v>
      </c>
    </row>
    <row r="25" spans="1:10" ht="13.5" customHeight="1">
      <c r="A25" s="25" t="s">
        <v>372</v>
      </c>
      <c r="B25" s="26">
        <v>3518459</v>
      </c>
      <c r="C25" s="226">
        <f>B25/'- 3 -'!D25</f>
        <v>0.03184683025210839</v>
      </c>
      <c r="D25" s="26">
        <f>IF(AND(B25&gt;0,'- 7 -'!D25=0),"N/A ",IF(B25&gt;0,B25/'- 7 -'!D25,0))</f>
        <v>20819.28402366864</v>
      </c>
      <c r="E25" s="26">
        <v>4685607</v>
      </c>
      <c r="F25" s="226">
        <f>E25/'- 3 -'!D25</f>
        <v>0.042411104053533336</v>
      </c>
      <c r="G25" s="26">
        <f>E25/'- 7 -'!F25</f>
        <v>312.05134694149376</v>
      </c>
      <c r="H25" s="26">
        <v>5741402</v>
      </c>
      <c r="I25" s="226">
        <f>H25/'- 3 -'!D25</f>
        <v>0.05196748204345017</v>
      </c>
      <c r="J25" s="26">
        <f>H25/'- 7 -'!F25</f>
        <v>382.3650228097632</v>
      </c>
    </row>
    <row r="26" spans="1:10" ht="13.5" customHeight="1">
      <c r="A26" s="27" t="s">
        <v>373</v>
      </c>
      <c r="B26" s="28">
        <v>291714</v>
      </c>
      <c r="C26" s="227">
        <f>B26/'- 3 -'!D26</f>
        <v>0.010774121720384739</v>
      </c>
      <c r="D26" s="28">
        <f>IF(AND(B26&gt;0,'- 7 -'!D26=0),"N/A ",IF(B26&gt;0,B26/'- 7 -'!D26,0))</f>
        <v>13891.142857142857</v>
      </c>
      <c r="E26" s="28">
        <v>1572281</v>
      </c>
      <c r="F26" s="227">
        <f>E26/'- 3 -'!D26</f>
        <v>0.05807039385373426</v>
      </c>
      <c r="G26" s="28">
        <f>E26/'- 7 -'!F26</f>
        <v>476.41991394460945</v>
      </c>
      <c r="H26" s="28">
        <v>1043197</v>
      </c>
      <c r="I26" s="227">
        <f>H26/'- 3 -'!D26</f>
        <v>0.03852928366941662</v>
      </c>
      <c r="J26" s="28">
        <f>H26/'- 7 -'!F26</f>
        <v>316.1011453851282</v>
      </c>
    </row>
    <row r="27" spans="1:10" ht="13.5" customHeight="1">
      <c r="A27" s="25" t="s">
        <v>374</v>
      </c>
      <c r="B27" s="26">
        <v>1235411</v>
      </c>
      <c r="C27" s="226">
        <f>B27/'- 3 -'!D27</f>
        <v>0.04557426787689596</v>
      </c>
      <c r="D27" s="26">
        <f>IF(AND(B27&gt;0,'- 7 -'!D27=0),"N/A ",IF(B27&gt;0,B27/'- 7 -'!D27,0))</f>
        <v>12606.234693877552</v>
      </c>
      <c r="E27" s="26">
        <v>1255541</v>
      </c>
      <c r="F27" s="226">
        <f>E27/'- 3 -'!D27</f>
        <v>0.04631686286136826</v>
      </c>
      <c r="G27" s="26">
        <f>E27/'- 7 -'!F27</f>
        <v>386.55818965517244</v>
      </c>
      <c r="H27" s="26">
        <v>1017180</v>
      </c>
      <c r="I27" s="226">
        <f>H27/'- 3 -'!D27</f>
        <v>0.03752373404399105</v>
      </c>
      <c r="J27" s="26">
        <f>H27/'- 7 -'!F27</f>
        <v>313.17118226600985</v>
      </c>
    </row>
    <row r="28" spans="1:10" ht="13.5" customHeight="1">
      <c r="A28" s="27" t="s">
        <v>375</v>
      </c>
      <c r="B28" s="28">
        <v>0</v>
      </c>
      <c r="C28" s="227">
        <f>B28/'- 3 -'!D28</f>
        <v>0</v>
      </c>
      <c r="D28" s="28">
        <f>IF(AND(B28&gt;0,'- 7 -'!D28=0),"N/A ",IF(B28&gt;0,B28/'- 7 -'!D28,0))</f>
        <v>0</v>
      </c>
      <c r="E28" s="28">
        <v>816951</v>
      </c>
      <c r="F28" s="227">
        <f>E28/'- 3 -'!D28</f>
        <v>0.04899592858515725</v>
      </c>
      <c r="G28" s="28">
        <f>E28/'- 7 -'!F28</f>
        <v>392.1992318771003</v>
      </c>
      <c r="H28" s="28">
        <v>497935</v>
      </c>
      <c r="I28" s="227">
        <f>H28/'- 3 -'!D28</f>
        <v>0.02986322031560066</v>
      </c>
      <c r="J28" s="28">
        <f>H28/'- 7 -'!F28</f>
        <v>239.0470475276044</v>
      </c>
    </row>
    <row r="29" spans="1:10" ht="13.5" customHeight="1">
      <c r="A29" s="25" t="s">
        <v>376</v>
      </c>
      <c r="B29" s="26">
        <v>1352745</v>
      </c>
      <c r="C29" s="226">
        <f>B29/'- 3 -'!D29</f>
        <v>0.01328108220636884</v>
      </c>
      <c r="D29" s="26">
        <f>IF(AND(B29&gt;0,'- 7 -'!D29=0),"N/A ",IF(B29&gt;0,B29/'- 7 -'!D29,0))</f>
        <v>28182.1875</v>
      </c>
      <c r="E29" s="26">
        <v>6470396</v>
      </c>
      <c r="F29" s="226">
        <f>E29/'- 3 -'!D29</f>
        <v>0.0635255433830915</v>
      </c>
      <c r="G29" s="26">
        <f>E29/'- 7 -'!F29</f>
        <v>491.70879246143323</v>
      </c>
      <c r="H29" s="26">
        <v>5421017</v>
      </c>
      <c r="I29" s="226">
        <f>H29/'- 3 -'!D29</f>
        <v>0.05322287084345016</v>
      </c>
      <c r="J29" s="26">
        <f>H29/'- 7 -'!F29</f>
        <v>411.9626871342807</v>
      </c>
    </row>
    <row r="30" spans="1:10" ht="13.5" customHeight="1">
      <c r="A30" s="27" t="s">
        <v>377</v>
      </c>
      <c r="B30" s="28">
        <v>0</v>
      </c>
      <c r="C30" s="227">
        <f>B30/'- 3 -'!D30</f>
        <v>0</v>
      </c>
      <c r="D30" s="28">
        <f>IF(AND(B30&gt;0,'- 7 -'!D30=0),"N/A ",IF(B30&gt;0,B30/'- 7 -'!D30,0))</f>
        <v>0</v>
      </c>
      <c r="E30" s="28">
        <v>321333</v>
      </c>
      <c r="F30" s="227">
        <f>E30/'- 3 -'!D30</f>
        <v>0.03270691052611597</v>
      </c>
      <c r="G30" s="28">
        <f>E30/'- 7 -'!F30</f>
        <v>252.1247548058062</v>
      </c>
      <c r="H30" s="28">
        <v>397606</v>
      </c>
      <c r="I30" s="227">
        <f>H30/'- 3 -'!D30</f>
        <v>0.04047036521815956</v>
      </c>
      <c r="J30" s="28">
        <f>H30/'- 7 -'!F30</f>
        <v>311.97018438603374</v>
      </c>
    </row>
    <row r="31" spans="1:10" ht="13.5" customHeight="1">
      <c r="A31" s="25" t="s">
        <v>378</v>
      </c>
      <c r="B31" s="26">
        <v>973473</v>
      </c>
      <c r="C31" s="226">
        <f>B31/'- 3 -'!D31</f>
        <v>0.0390545605537998</v>
      </c>
      <c r="D31" s="26">
        <f>IF(AND(B31&gt;0,'- 7 -'!D31=0),"N/A ",IF(B31&gt;0,B31/'- 7 -'!D31,0))</f>
        <v>9183.707547169812</v>
      </c>
      <c r="E31" s="26">
        <v>1248688</v>
      </c>
      <c r="F31" s="226">
        <f>E31/'- 3 -'!D31</f>
        <v>0.05009585382317041</v>
      </c>
      <c r="G31" s="26">
        <f>E31/'- 7 -'!F31</f>
        <v>366.9589749617962</v>
      </c>
      <c r="H31" s="26">
        <v>847061</v>
      </c>
      <c r="I31" s="226">
        <f>H31/'- 3 -'!D31</f>
        <v>0.03398306385206597</v>
      </c>
      <c r="J31" s="26">
        <f>H31/'- 7 -'!F31</f>
        <v>248.9305865757611</v>
      </c>
    </row>
    <row r="32" spans="1:10" ht="13.5" customHeight="1">
      <c r="A32" s="27" t="s">
        <v>379</v>
      </c>
      <c r="B32" s="28">
        <v>0</v>
      </c>
      <c r="C32" s="227">
        <f>B32/'- 3 -'!D32</f>
        <v>0</v>
      </c>
      <c r="D32" s="28">
        <f>IF(AND(B32&gt;0,'- 7 -'!D32=0),"N/A ",IF(B32&gt;0,B32/'- 7 -'!D32,0))</f>
        <v>0</v>
      </c>
      <c r="E32" s="28">
        <v>657764</v>
      </c>
      <c r="F32" s="227">
        <f>E32/'- 3 -'!D32</f>
        <v>0.03551010454891628</v>
      </c>
      <c r="G32" s="28">
        <f>E32/'- 7 -'!F32</f>
        <v>283.2747631352282</v>
      </c>
      <c r="H32" s="28">
        <v>800996</v>
      </c>
      <c r="I32" s="227">
        <f>H32/'- 3 -'!D32</f>
        <v>0.04324263976633526</v>
      </c>
      <c r="J32" s="28">
        <f>H32/'- 7 -'!F32</f>
        <v>344.95951765719207</v>
      </c>
    </row>
    <row r="33" spans="1:10" ht="13.5" customHeight="1">
      <c r="A33" s="25" t="s">
        <v>380</v>
      </c>
      <c r="B33" s="26">
        <v>0</v>
      </c>
      <c r="C33" s="226">
        <f>B33/'- 3 -'!D33</f>
        <v>0</v>
      </c>
      <c r="D33" s="26">
        <f>IF(AND(B33&gt;0,'- 7 -'!D33=0),"N/A ",IF(B33&gt;0,B33/'- 7 -'!D33,0))</f>
        <v>0</v>
      </c>
      <c r="E33" s="26">
        <v>957580</v>
      </c>
      <c r="F33" s="226">
        <f>E33/'- 3 -'!D33</f>
        <v>0.043569126734253304</v>
      </c>
      <c r="G33" s="26">
        <f>E33/'- 7 -'!F33</f>
        <v>379.3447688468091</v>
      </c>
      <c r="H33" s="26">
        <v>1205536</v>
      </c>
      <c r="I33" s="226">
        <f>H33/'- 3 -'!D33</f>
        <v>0.054850927094033705</v>
      </c>
      <c r="J33" s="26">
        <f>H33/'- 7 -'!F33</f>
        <v>477.5723963078874</v>
      </c>
    </row>
    <row r="34" spans="1:10" ht="13.5" customHeight="1">
      <c r="A34" s="27" t="s">
        <v>381</v>
      </c>
      <c r="B34" s="28">
        <v>192531</v>
      </c>
      <c r="C34" s="227">
        <f>B34/'- 3 -'!D34</f>
        <v>0.011342552253646736</v>
      </c>
      <c r="D34" s="28">
        <f>IF(AND(B34&gt;0,'- 7 -'!D34=0),"N/A ",IF(B34&gt;0,B34/'- 7 -'!D34,0))</f>
        <v>21392.333333333332</v>
      </c>
      <c r="E34" s="28">
        <v>551963</v>
      </c>
      <c r="F34" s="227">
        <f>E34/'- 3 -'!D34</f>
        <v>0.0325177201052278</v>
      </c>
      <c r="G34" s="28">
        <f>E34/'- 7 -'!F34</f>
        <v>252.15303791685696</v>
      </c>
      <c r="H34" s="28">
        <v>660028</v>
      </c>
      <c r="I34" s="227">
        <f>H34/'- 3 -'!D34</f>
        <v>0.03888413854844128</v>
      </c>
      <c r="J34" s="28">
        <f>H34/'- 7 -'!F34</f>
        <v>301.5203289173138</v>
      </c>
    </row>
    <row r="35" spans="1:10" ht="13.5" customHeight="1">
      <c r="A35" s="25" t="s">
        <v>382</v>
      </c>
      <c r="B35" s="26">
        <v>4811020</v>
      </c>
      <c r="C35" s="226">
        <f>B35/'- 3 -'!D35</f>
        <v>0.03812880040590787</v>
      </c>
      <c r="D35" s="26">
        <f>IF(AND(B35&gt;0,'- 7 -'!D35=0),"N/A ",IF(B35&gt;0,B35/'- 7 -'!D35,0))</f>
        <v>20385.677966101695</v>
      </c>
      <c r="E35" s="26">
        <v>4519737</v>
      </c>
      <c r="F35" s="226">
        <f>E35/'- 3 -'!D35</f>
        <v>0.03582029381715246</v>
      </c>
      <c r="G35" s="26">
        <f>E35/'- 7 -'!F35</f>
        <v>253.32718661547514</v>
      </c>
      <c r="H35" s="26">
        <v>6605798</v>
      </c>
      <c r="I35" s="226">
        <f>H35/'- 3 -'!D35</f>
        <v>0.052352963293385894</v>
      </c>
      <c r="J35" s="26">
        <f>H35/'- 7 -'!F35</f>
        <v>370.24902614690467</v>
      </c>
    </row>
    <row r="36" spans="1:10" ht="13.5" customHeight="1">
      <c r="A36" s="27" t="s">
        <v>383</v>
      </c>
      <c r="B36" s="28">
        <v>85264</v>
      </c>
      <c r="C36" s="227">
        <f>B36/'- 3 -'!D36</f>
        <v>0.005107882327963619</v>
      </c>
      <c r="D36" s="28">
        <f>IF(AND(B36&gt;0,'- 7 -'!D36=0),"N/A ",IF(B36&gt;0,B36/'- 7 -'!D36,0))</f>
        <v>26645</v>
      </c>
      <c r="E36" s="28">
        <v>688992</v>
      </c>
      <c r="F36" s="227">
        <f>E36/'- 3 -'!D36</f>
        <v>0.041275216514687435</v>
      </c>
      <c r="G36" s="28">
        <f>E36/'- 7 -'!F36</f>
        <v>329.11010269882973</v>
      </c>
      <c r="H36" s="28">
        <v>448667</v>
      </c>
      <c r="I36" s="227">
        <f>H36/'- 3 -'!D36</f>
        <v>0.02687814599878557</v>
      </c>
      <c r="J36" s="28">
        <f>H36/'- 7 -'!F36</f>
        <v>214.31430618581322</v>
      </c>
    </row>
    <row r="37" spans="1:10" ht="13.5" customHeight="1">
      <c r="A37" s="25" t="s">
        <v>384</v>
      </c>
      <c r="B37" s="26">
        <v>0</v>
      </c>
      <c r="C37" s="226">
        <f>B37/'- 3 -'!D37</f>
        <v>0</v>
      </c>
      <c r="D37" s="26">
        <f>IF(AND(B37&gt;0,'- 7 -'!D37=0),"N/A ",IF(B37&gt;0,B37/'- 7 -'!D37,0))</f>
        <v>0</v>
      </c>
      <c r="E37" s="26">
        <v>2009319</v>
      </c>
      <c r="F37" s="226">
        <f>E37/'- 3 -'!D37</f>
        <v>0.07965815418665799</v>
      </c>
      <c r="G37" s="26">
        <f>E37/'- 7 -'!F37</f>
        <v>596.3609651856468</v>
      </c>
      <c r="H37" s="26">
        <v>787562</v>
      </c>
      <c r="I37" s="226">
        <f>H37/'- 3 -'!D37</f>
        <v>0.03122238690200647</v>
      </c>
      <c r="J37" s="26">
        <f>H37/'- 7 -'!F37</f>
        <v>233.74647552904162</v>
      </c>
    </row>
    <row r="38" spans="1:10" ht="13.5" customHeight="1">
      <c r="A38" s="27" t="s">
        <v>385</v>
      </c>
      <c r="B38" s="28">
        <v>1443296.33</v>
      </c>
      <c r="C38" s="227">
        <f>B38/'- 3 -'!D38</f>
        <v>0.02211397961010788</v>
      </c>
      <c r="D38" s="28">
        <f>IF(AND(B38&gt;0,'- 7 -'!D38=0),"N/A ",IF(B38&gt;0,B38/'- 7 -'!D38,0))</f>
        <v>32802.18931818182</v>
      </c>
      <c r="E38" s="28">
        <v>3990588</v>
      </c>
      <c r="F38" s="227">
        <f>E38/'- 3 -'!D38</f>
        <v>0.06114321766780989</v>
      </c>
      <c r="G38" s="28">
        <f>E38/'- 7 -'!F38</f>
        <v>469.20493827160493</v>
      </c>
      <c r="H38" s="28">
        <v>2332599</v>
      </c>
      <c r="I38" s="227">
        <f>H38/'- 3 -'!D38</f>
        <v>0.03573974772357249</v>
      </c>
      <c r="J38" s="28">
        <f>H38/'- 7 -'!F38</f>
        <v>274.2620811287478</v>
      </c>
    </row>
    <row r="39" spans="1:10" ht="13.5" customHeight="1">
      <c r="A39" s="25" t="s">
        <v>386</v>
      </c>
      <c r="B39" s="26">
        <v>0</v>
      </c>
      <c r="C39" s="226">
        <f>B39/'- 3 -'!D39</f>
        <v>0</v>
      </c>
      <c r="D39" s="26">
        <f>IF(AND(B39&gt;0,'- 7 -'!D39=0),"N/A ",IF(B39&gt;0,B39/'- 7 -'!D39,0))</f>
        <v>0</v>
      </c>
      <c r="E39" s="26">
        <v>953938</v>
      </c>
      <c r="F39" s="226">
        <f>E39/'- 3 -'!D39</f>
        <v>0.062222386304027905</v>
      </c>
      <c r="G39" s="26">
        <f>E39/'- 7 -'!F39</f>
        <v>524.1417582417582</v>
      </c>
      <c r="H39" s="26">
        <v>515618</v>
      </c>
      <c r="I39" s="226">
        <f>H39/'- 3 -'!D39</f>
        <v>0.033632146304382736</v>
      </c>
      <c r="J39" s="26">
        <f>H39/'- 7 -'!F39</f>
        <v>283.3065934065934</v>
      </c>
    </row>
    <row r="40" spans="1:10" ht="13.5" customHeight="1">
      <c r="A40" s="27" t="s">
        <v>387</v>
      </c>
      <c r="B40" s="28">
        <v>2669713</v>
      </c>
      <c r="C40" s="227">
        <f>B40/'- 3 -'!D40</f>
        <v>0.04063222743396131</v>
      </c>
      <c r="D40" s="28">
        <f>IF(AND(B40&gt;0,'- 7 -'!D40=0),"N/A ",IF(B40&gt;0,B40/'- 7 -'!D40,0))</f>
        <v>19923.231343283584</v>
      </c>
      <c r="E40" s="28">
        <v>2574789</v>
      </c>
      <c r="F40" s="227">
        <f>E40/'- 3 -'!D40</f>
        <v>0.039187512756038496</v>
      </c>
      <c r="G40" s="28">
        <f>E40/'- 7 -'!F40</f>
        <v>287.2244371612984</v>
      </c>
      <c r="H40" s="28">
        <v>1588944</v>
      </c>
      <c r="I40" s="227">
        <f>H40/'- 3 -'!D40</f>
        <v>0.024183248906466056</v>
      </c>
      <c r="J40" s="28">
        <f>H40/'- 7 -'!F40</f>
        <v>177.2508528197154</v>
      </c>
    </row>
    <row r="41" spans="1:10" ht="13.5" customHeight="1">
      <c r="A41" s="25" t="s">
        <v>388</v>
      </c>
      <c r="B41" s="26">
        <v>389723</v>
      </c>
      <c r="C41" s="226">
        <f>B41/'- 3 -'!D41</f>
        <v>0.009968691918274954</v>
      </c>
      <c r="D41" s="26">
        <f>IF(AND(B41&gt;0,'- 7 -'!D41=0),"N/A ",IF(B41&gt;0,B41/'- 7 -'!D41,0))</f>
        <v>18211.355140186915</v>
      </c>
      <c r="E41" s="26">
        <v>2052809</v>
      </c>
      <c r="F41" s="226">
        <f>E41/'- 3 -'!D41</f>
        <v>0.05250862917524008</v>
      </c>
      <c r="G41" s="26">
        <f>E41/'- 7 -'!F41</f>
        <v>429.27833542450855</v>
      </c>
      <c r="H41" s="26">
        <v>1303195</v>
      </c>
      <c r="I41" s="226">
        <f>H41/'- 3 -'!D41</f>
        <v>0.03333431556371148</v>
      </c>
      <c r="J41" s="26">
        <f>H41/'- 7 -'!F41</f>
        <v>272.52091175240486</v>
      </c>
    </row>
    <row r="42" spans="1:10" ht="13.5" customHeight="1">
      <c r="A42" s="27" t="s">
        <v>389</v>
      </c>
      <c r="B42" s="28">
        <v>0</v>
      </c>
      <c r="C42" s="227">
        <f>B42/'- 3 -'!D42</f>
        <v>0</v>
      </c>
      <c r="D42" s="28">
        <f>IF(AND(B42&gt;0,'- 7 -'!D42=0),"N/A ",IF(B42&gt;0,B42/'- 7 -'!D42,0))</f>
        <v>0</v>
      </c>
      <c r="E42" s="28">
        <v>1172256</v>
      </c>
      <c r="F42" s="227">
        <f>E42/'- 3 -'!D42</f>
        <v>0.07756325649013719</v>
      </c>
      <c r="G42" s="28">
        <f>E42/'- 7 -'!F42</f>
        <v>626.6737945044371</v>
      </c>
      <c r="H42" s="28">
        <v>419679</v>
      </c>
      <c r="I42" s="227">
        <f>H42/'- 3 -'!D42</f>
        <v>0.02776839693763503</v>
      </c>
      <c r="J42" s="28">
        <f>H42/'- 7 -'!F42</f>
        <v>224.35528707366618</v>
      </c>
    </row>
    <row r="43" spans="1:10" ht="13.5" customHeight="1">
      <c r="A43" s="25" t="s">
        <v>390</v>
      </c>
      <c r="B43" s="26">
        <v>0</v>
      </c>
      <c r="C43" s="226">
        <f>B43/'- 3 -'!D43</f>
        <v>0</v>
      </c>
      <c r="D43" s="26">
        <f>IF(AND(B43&gt;0,'- 7 -'!D43=0),"N/A ",IF(B43&gt;0,B43/'- 7 -'!D43,0))</f>
        <v>0</v>
      </c>
      <c r="E43" s="26">
        <v>328531</v>
      </c>
      <c r="F43" s="226">
        <f>E43/'- 3 -'!D43</f>
        <v>0.03557312038973633</v>
      </c>
      <c r="G43" s="26">
        <f>E43/'- 7 -'!F43</f>
        <v>271.73779983457405</v>
      </c>
      <c r="H43" s="26">
        <v>712616</v>
      </c>
      <c r="I43" s="226">
        <f>H43/'- 3 -'!D43</f>
        <v>0.07716159132517889</v>
      </c>
      <c r="J43" s="26">
        <f>H43/'- 7 -'!F43</f>
        <v>589.4259718775847</v>
      </c>
    </row>
    <row r="44" spans="1:10" ht="13.5" customHeight="1">
      <c r="A44" s="27" t="s">
        <v>391</v>
      </c>
      <c r="B44" s="28">
        <v>0</v>
      </c>
      <c r="C44" s="227">
        <f>B44/'- 3 -'!D44</f>
        <v>0</v>
      </c>
      <c r="D44" s="28">
        <f>IF(AND(B44&gt;0,'- 7 -'!D44=0),"N/A ",IF(B44&gt;0,B44/'- 7 -'!D44,0))</f>
        <v>0</v>
      </c>
      <c r="E44" s="28">
        <v>359400</v>
      </c>
      <c r="F44" s="227">
        <f>E44/'- 3 -'!D44</f>
        <v>0.05212335977837275</v>
      </c>
      <c r="G44" s="28">
        <f>E44/'- 7 -'!F44</f>
        <v>454.6489563567362</v>
      </c>
      <c r="H44" s="28">
        <v>325108</v>
      </c>
      <c r="I44" s="227">
        <f>H44/'- 3 -'!D44</f>
        <v>0.04715003130447192</v>
      </c>
      <c r="J44" s="28">
        <f>H44/'- 7 -'!F44</f>
        <v>411.26881720430106</v>
      </c>
    </row>
    <row r="45" spans="1:10" ht="13.5" customHeight="1">
      <c r="A45" s="25" t="s">
        <v>392</v>
      </c>
      <c r="B45" s="26">
        <v>142276</v>
      </c>
      <c r="C45" s="226">
        <f>B45/'- 3 -'!D45</f>
        <v>0.01361066880667957</v>
      </c>
      <c r="D45" s="26">
        <f>IF(AND(B45&gt;0,'- 7 -'!D45=0),"N/A ",IF(B45&gt;0,B45/'- 7 -'!D45,0))</f>
        <v>20325.14285714286</v>
      </c>
      <c r="E45" s="26">
        <v>366173</v>
      </c>
      <c r="F45" s="226">
        <f>E45/'- 3 -'!D45</f>
        <v>0.03502951607402709</v>
      </c>
      <c r="G45" s="26">
        <f>E45/'- 7 -'!F45</f>
        <v>250.42607030501983</v>
      </c>
      <c r="H45" s="26">
        <v>505549</v>
      </c>
      <c r="I45" s="226">
        <f>H45/'- 3 -'!D45</f>
        <v>0.048362759738452374</v>
      </c>
      <c r="J45" s="26">
        <f>H45/'- 7 -'!F45</f>
        <v>345.7454520585419</v>
      </c>
    </row>
    <row r="46" spans="1:10" ht="13.5" customHeight="1">
      <c r="A46" s="27" t="s">
        <v>393</v>
      </c>
      <c r="B46" s="28">
        <v>18453689</v>
      </c>
      <c r="C46" s="227">
        <f>B46/'- 3 -'!D46</f>
        <v>0.07094907599420394</v>
      </c>
      <c r="D46" s="28">
        <f>IF(AND(B46&gt;0,'- 7 -'!D46=0),"N/A ",IF(B46&gt;0,B46/'- 7 -'!D46,0))</f>
        <v>18234.870553359684</v>
      </c>
      <c r="E46" s="28">
        <v>5566566</v>
      </c>
      <c r="F46" s="227">
        <f>E46/'- 3 -'!D46</f>
        <v>0.021401829962602703</v>
      </c>
      <c r="G46" s="28">
        <f>E46/'- 7 -'!F46</f>
        <v>179.4589697794227</v>
      </c>
      <c r="H46" s="28">
        <v>16051802</v>
      </c>
      <c r="I46" s="227">
        <f>H46/'- 3 -'!D46</f>
        <v>0.06171451789080844</v>
      </c>
      <c r="J46" s="28">
        <f>H46/'- 7 -'!F46</f>
        <v>517.4895707736648</v>
      </c>
    </row>
    <row r="47" spans="1:10" ht="13.5" customHeight="1">
      <c r="A47" s="25" t="s">
        <v>397</v>
      </c>
      <c r="B47" s="26">
        <v>0</v>
      </c>
      <c r="C47" s="226">
        <f>B47/'- 3 -'!D47</f>
        <v>0</v>
      </c>
      <c r="D47" s="26">
        <f>IF(AND(B47&gt;0,'- 7 -'!D47=0),"N/A ",IF(B47&gt;0,B47/'- 7 -'!D47,0))</f>
        <v>0</v>
      </c>
      <c r="E47" s="26">
        <v>110010</v>
      </c>
      <c r="F47" s="226">
        <f>E47/'- 3 -'!D47</f>
        <v>0.018781771386865053</v>
      </c>
      <c r="G47" s="26">
        <f>E47/'- 7 -'!F47</f>
        <v>176.86495176848874</v>
      </c>
      <c r="H47" s="26">
        <v>0</v>
      </c>
      <c r="I47" s="226">
        <f>H47/'- 3 -'!D47</f>
        <v>0</v>
      </c>
      <c r="J47" s="26">
        <f>H47/'- 7 -'!F47</f>
        <v>0</v>
      </c>
    </row>
    <row r="48" spans="1:10" ht="4.5" customHeight="1">
      <c r="A48" s="29"/>
      <c r="B48" s="30"/>
      <c r="C48" s="215"/>
      <c r="D48" s="30"/>
      <c r="E48" s="30"/>
      <c r="F48" s="215"/>
      <c r="G48" s="30"/>
      <c r="H48" s="30"/>
      <c r="I48" s="215"/>
      <c r="J48" s="30"/>
    </row>
    <row r="49" spans="1:10" ht="13.5" customHeight="1">
      <c r="A49" s="31" t="s">
        <v>394</v>
      </c>
      <c r="B49" s="32">
        <f>SUM(B11:B47)</f>
        <v>41555257.33</v>
      </c>
      <c r="C49" s="228">
        <f>B49/'- 3 -'!D49</f>
        <v>0.02953913120879592</v>
      </c>
      <c r="D49" s="32">
        <f>B49/'- 7 -'!D49</f>
        <v>16982.12395995096</v>
      </c>
      <c r="E49" s="32">
        <f>SUM(E11:E47)</f>
        <v>61178734</v>
      </c>
      <c r="F49" s="228">
        <f>E49/'- 3 -'!D49</f>
        <v>0.04348827962880586</v>
      </c>
      <c r="G49" s="32">
        <f>E49/'- 7 -'!F49</f>
        <v>341.74688220738864</v>
      </c>
      <c r="H49" s="32">
        <f>SUM(H11:H47)</f>
        <v>64221418</v>
      </c>
      <c r="I49" s="228">
        <f>H49/'- 3 -'!D49</f>
        <v>0.04565114054407248</v>
      </c>
      <c r="J49" s="32">
        <f>H49/'- 7 -'!F49</f>
        <v>358.7434380782948</v>
      </c>
    </row>
    <row r="50" spans="1:10" ht="4.5" customHeight="1">
      <c r="A50" s="29" t="s">
        <v>78</v>
      </c>
      <c r="B50" s="30"/>
      <c r="C50" s="215"/>
      <c r="D50" s="30"/>
      <c r="E50" s="30"/>
      <c r="F50" s="215"/>
      <c r="H50" s="30"/>
      <c r="I50" s="215"/>
      <c r="J50" s="30"/>
    </row>
    <row r="51" spans="1:10" ht="13.5" customHeight="1">
      <c r="A51" s="27" t="s">
        <v>395</v>
      </c>
      <c r="B51" s="28">
        <v>0</v>
      </c>
      <c r="C51" s="227">
        <f>B51/'- 3 -'!D51</f>
        <v>0</v>
      </c>
      <c r="D51" s="28">
        <f>IF(AND(B51&gt;0,'- 7 -'!D51=0),"N/A ",IF(B51&gt;0,B51/'- 7 -'!D51,0))</f>
        <v>0</v>
      </c>
      <c r="E51" s="28">
        <v>3029</v>
      </c>
      <c r="F51" s="227">
        <f>E51/'- 3 -'!D51</f>
        <v>0.0024093414678767727</v>
      </c>
      <c r="G51" s="229">
        <f>E51/'- 7 -'!F51</f>
        <v>20.889655172413793</v>
      </c>
      <c r="H51" s="28">
        <v>36513</v>
      </c>
      <c r="I51" s="227">
        <f>H51/'- 3 -'!D51</f>
        <v>0.029043342692830838</v>
      </c>
      <c r="J51" s="28">
        <f>H51/'- 7 -'!F51</f>
        <v>251.81379310344826</v>
      </c>
    </row>
    <row r="52" spans="1:10" ht="13.5" customHeight="1">
      <c r="A52" s="25" t="s">
        <v>396</v>
      </c>
      <c r="B52" s="26">
        <v>0</v>
      </c>
      <c r="C52" s="226">
        <f>B52/'- 3 -'!D52</f>
        <v>0</v>
      </c>
      <c r="D52" s="26">
        <f>IF(AND(B52&gt;0,'- 7 -'!D52=0),"N/A ",IF(B52&gt;0,B52/'- 7 -'!D52,0))</f>
        <v>0</v>
      </c>
      <c r="E52" s="26">
        <v>162100</v>
      </c>
      <c r="F52" s="226">
        <f>E52/'- 3 -'!D52</f>
        <v>0.06696540148464071</v>
      </c>
      <c r="G52" s="230">
        <f>E52/'- 7 -'!F52</f>
        <v>586.25678119349</v>
      </c>
      <c r="H52" s="26">
        <v>34864</v>
      </c>
      <c r="I52" s="226">
        <f>H52/'- 3 -'!D52</f>
        <v>0.014402725215055607</v>
      </c>
      <c r="J52" s="26">
        <f>H52/'- 7 -'!F52</f>
        <v>126.09041591320073</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2"/>
  <sheetViews>
    <sheetView showGridLines="0" showZeros="0" workbookViewId="0" topLeftCell="A1">
      <selection activeCell="A1" sqref="A1"/>
    </sheetView>
  </sheetViews>
  <sheetFormatPr defaultColWidth="15.83203125" defaultRowHeight="12"/>
  <cols>
    <col min="1" max="1" width="32.83203125" style="1" customWidth="1"/>
    <col min="2" max="2" width="23.83203125" style="1" customWidth="1"/>
    <col min="3" max="3" width="12.83203125" style="1" customWidth="1"/>
    <col min="4" max="4" width="22.83203125" style="1" customWidth="1"/>
    <col min="5" max="5" width="12.83203125" style="1" customWidth="1"/>
    <col min="6" max="6" width="27.83203125" style="1" customWidth="1"/>
    <col min="7" max="16384" width="15.83203125" style="1" customWidth="1"/>
  </cols>
  <sheetData>
    <row r="1" spans="1:5" ht="6.75" customHeight="1">
      <c r="A1" s="5"/>
      <c r="B1" s="6"/>
      <c r="C1" s="6"/>
      <c r="D1" s="6"/>
      <c r="E1" s="6"/>
    </row>
    <row r="2" spans="1:6" ht="15.75" customHeight="1">
      <c r="A2" s="219"/>
      <c r="B2" s="7" t="s">
        <v>75</v>
      </c>
      <c r="C2" s="8"/>
      <c r="D2" s="8"/>
      <c r="E2" s="220"/>
      <c r="F2" s="220" t="s">
        <v>328</v>
      </c>
    </row>
    <row r="3" spans="1:6" ht="15.75" customHeight="1">
      <c r="A3" s="221"/>
      <c r="B3" s="9" t="str">
        <f>OPYEAR</f>
        <v>OPERATING FUND 2003/2004 ACTUAL</v>
      </c>
      <c r="C3" s="10"/>
      <c r="D3" s="10"/>
      <c r="E3" s="94"/>
      <c r="F3" s="94"/>
    </row>
    <row r="4" spans="2:5" ht="15.75" customHeight="1">
      <c r="B4" s="6"/>
      <c r="C4" s="6"/>
      <c r="D4" s="6"/>
      <c r="E4" s="6"/>
    </row>
    <row r="5" spans="2:5" ht="15.75" customHeight="1">
      <c r="B5" s="258" t="s">
        <v>404</v>
      </c>
      <c r="C5" s="288"/>
      <c r="D5" s="54"/>
      <c r="E5" s="315"/>
    </row>
    <row r="6" spans="2:5" ht="15.75" customHeight="1">
      <c r="B6" s="209" t="s">
        <v>113</v>
      </c>
      <c r="C6" s="211"/>
      <c r="D6" s="320"/>
      <c r="E6" s="321"/>
    </row>
    <row r="7" spans="2:5" ht="15.75" customHeight="1">
      <c r="B7" s="108" t="s">
        <v>343</v>
      </c>
      <c r="C7" s="71"/>
      <c r="D7" s="108" t="s">
        <v>273</v>
      </c>
      <c r="E7" s="70"/>
    </row>
    <row r="8" spans="1:5" ht="15.75" customHeight="1">
      <c r="A8" s="96"/>
      <c r="B8" s="225"/>
      <c r="C8" s="223"/>
      <c r="D8" s="225"/>
      <c r="E8" s="223"/>
    </row>
    <row r="9" spans="1:5" ht="15.75" customHeight="1">
      <c r="A9" s="49" t="s">
        <v>175</v>
      </c>
      <c r="B9" s="113" t="s">
        <v>176</v>
      </c>
      <c r="C9" s="113" t="s">
        <v>177</v>
      </c>
      <c r="D9" s="113" t="s">
        <v>176</v>
      </c>
      <c r="E9" s="113" t="s">
        <v>177</v>
      </c>
    </row>
    <row r="10" ht="4.5" customHeight="1">
      <c r="A10" s="4"/>
    </row>
    <row r="11" spans="1:5" ht="13.5" customHeight="1">
      <c r="A11" s="25" t="s">
        <v>359</v>
      </c>
      <c r="B11" s="26">
        <v>0</v>
      </c>
      <c r="C11" s="226">
        <f>B11/'- 3 -'!D11</f>
        <v>0</v>
      </c>
      <c r="D11" s="26">
        <v>0</v>
      </c>
      <c r="E11" s="226">
        <f>D11/'- 3 -'!D11</f>
        <v>0</v>
      </c>
    </row>
    <row r="12" spans="1:5" ht="13.5" customHeight="1">
      <c r="A12" s="27" t="s">
        <v>360</v>
      </c>
      <c r="B12" s="28">
        <v>91977</v>
      </c>
      <c r="C12" s="227">
        <f>B12/'- 3 -'!D12</f>
        <v>0.004797000665906743</v>
      </c>
      <c r="D12" s="28">
        <v>404734</v>
      </c>
      <c r="E12" s="227">
        <f>D12/'- 3 -'!D12</f>
        <v>0.021108638763115774</v>
      </c>
    </row>
    <row r="13" spans="1:5" ht="13.5" customHeight="1">
      <c r="A13" s="25" t="s">
        <v>361</v>
      </c>
      <c r="B13" s="26">
        <v>0</v>
      </c>
      <c r="C13" s="226">
        <f>B13/'- 3 -'!D13</f>
        <v>0</v>
      </c>
      <c r="D13" s="26">
        <v>0</v>
      </c>
      <c r="E13" s="226">
        <f>D13/'- 3 -'!D13</f>
        <v>0</v>
      </c>
    </row>
    <row r="14" spans="1:5" ht="13.5" customHeight="1">
      <c r="A14" s="27" t="s">
        <v>398</v>
      </c>
      <c r="B14" s="28">
        <v>0</v>
      </c>
      <c r="C14" s="227">
        <f>B14/'- 3 -'!D14</f>
        <v>0</v>
      </c>
      <c r="D14" s="28">
        <v>0</v>
      </c>
      <c r="E14" s="227">
        <f>D14/'- 3 -'!D14</f>
        <v>0</v>
      </c>
    </row>
    <row r="15" spans="1:5" ht="13.5" customHeight="1">
      <c r="A15" s="25" t="s">
        <v>362</v>
      </c>
      <c r="B15" s="26">
        <v>0</v>
      </c>
      <c r="C15" s="226">
        <f>B15/'- 3 -'!D15</f>
        <v>0</v>
      </c>
      <c r="D15" s="26">
        <v>105628</v>
      </c>
      <c r="E15" s="226">
        <f>D15/'- 3 -'!D15</f>
        <v>0.008082746609551487</v>
      </c>
    </row>
    <row r="16" spans="1:5" ht="13.5" customHeight="1">
      <c r="A16" s="27" t="s">
        <v>363</v>
      </c>
      <c r="B16" s="28">
        <v>0</v>
      </c>
      <c r="C16" s="227">
        <f>B16/'- 3 -'!D16</f>
        <v>0</v>
      </c>
      <c r="D16" s="28">
        <v>0</v>
      </c>
      <c r="E16" s="227">
        <f>D16/'- 3 -'!D16</f>
        <v>0</v>
      </c>
    </row>
    <row r="17" spans="1:5" ht="13.5" customHeight="1">
      <c r="A17" s="25" t="s">
        <v>364</v>
      </c>
      <c r="B17" s="26">
        <v>0</v>
      </c>
      <c r="C17" s="226">
        <f>B17/'- 3 -'!D17</f>
        <v>0</v>
      </c>
      <c r="D17" s="26">
        <v>813</v>
      </c>
      <c r="E17" s="226">
        <f>D17/'- 3 -'!D17</f>
        <v>6.585745966959644E-05</v>
      </c>
    </row>
    <row r="18" spans="1:5" ht="13.5" customHeight="1">
      <c r="A18" s="27" t="s">
        <v>365</v>
      </c>
      <c r="B18" s="28">
        <v>0</v>
      </c>
      <c r="C18" s="227">
        <f>B18/'- 3 -'!D18</f>
        <v>0</v>
      </c>
      <c r="D18" s="28">
        <v>1220097</v>
      </c>
      <c r="E18" s="227">
        <f>D18/'- 3 -'!D18</f>
        <v>0.016602324393724173</v>
      </c>
    </row>
    <row r="19" spans="1:5" ht="13.5" customHeight="1">
      <c r="A19" s="25" t="s">
        <v>366</v>
      </c>
      <c r="B19" s="26">
        <v>0</v>
      </c>
      <c r="C19" s="226">
        <f>B19/'- 3 -'!D19</f>
        <v>0</v>
      </c>
      <c r="D19" s="26">
        <v>0</v>
      </c>
      <c r="E19" s="226">
        <f>D19/'- 3 -'!D19</f>
        <v>0</v>
      </c>
    </row>
    <row r="20" spans="1:5" ht="13.5" customHeight="1">
      <c r="A20" s="27" t="s">
        <v>367</v>
      </c>
      <c r="B20" s="28">
        <v>0</v>
      </c>
      <c r="C20" s="227">
        <f>B20/'- 3 -'!D20</f>
        <v>0</v>
      </c>
      <c r="D20" s="28">
        <v>0</v>
      </c>
      <c r="E20" s="227">
        <f>D20/'- 3 -'!D20</f>
        <v>0</v>
      </c>
    </row>
    <row r="21" spans="1:5" ht="13.5" customHeight="1">
      <c r="A21" s="25" t="s">
        <v>368</v>
      </c>
      <c r="B21" s="26">
        <v>0</v>
      </c>
      <c r="C21" s="226">
        <f>B21/'- 3 -'!D21</f>
        <v>0</v>
      </c>
      <c r="D21" s="26">
        <v>0</v>
      </c>
      <c r="E21" s="226">
        <f>D21/'- 3 -'!D21</f>
        <v>0</v>
      </c>
    </row>
    <row r="22" spans="1:5" ht="13.5" customHeight="1">
      <c r="A22" s="27" t="s">
        <v>369</v>
      </c>
      <c r="B22" s="28">
        <v>111424</v>
      </c>
      <c r="C22" s="227">
        <f>B22/'- 3 -'!D22</f>
        <v>0.008264755214556602</v>
      </c>
      <c r="D22" s="28">
        <v>326145</v>
      </c>
      <c r="E22" s="227">
        <f>D22/'- 3 -'!D22</f>
        <v>0.02419145417012101</v>
      </c>
    </row>
    <row r="23" spans="1:5" ht="13.5" customHeight="1">
      <c r="A23" s="25" t="s">
        <v>370</v>
      </c>
      <c r="B23" s="26">
        <v>16099</v>
      </c>
      <c r="C23" s="226">
        <f>B23/'- 3 -'!D23</f>
        <v>0.0014231085999197883</v>
      </c>
      <c r="D23" s="26">
        <v>131584</v>
      </c>
      <c r="E23" s="226">
        <f>D23/'- 3 -'!D23</f>
        <v>0.011631674141986795</v>
      </c>
    </row>
    <row r="24" spans="1:5" ht="13.5" customHeight="1">
      <c r="A24" s="27" t="s">
        <v>371</v>
      </c>
      <c r="B24" s="28">
        <v>127233</v>
      </c>
      <c r="C24" s="227">
        <f>B24/'- 3 -'!D24</f>
        <v>0.0036529179896090266</v>
      </c>
      <c r="D24" s="28">
        <v>178747</v>
      </c>
      <c r="E24" s="227">
        <f>D24/'- 3 -'!D24</f>
        <v>0.005131908639178866</v>
      </c>
    </row>
    <row r="25" spans="1:5" ht="13.5" customHeight="1">
      <c r="A25" s="25" t="s">
        <v>372</v>
      </c>
      <c r="B25" s="26">
        <v>0</v>
      </c>
      <c r="C25" s="226">
        <f>B25/'- 3 -'!D25</f>
        <v>0</v>
      </c>
      <c r="D25" s="26">
        <v>0</v>
      </c>
      <c r="E25" s="226">
        <f>D25/'- 3 -'!D25</f>
        <v>0</v>
      </c>
    </row>
    <row r="26" spans="1:5" ht="13.5" customHeight="1">
      <c r="A26" s="27" t="s">
        <v>373</v>
      </c>
      <c r="B26" s="28">
        <v>4900</v>
      </c>
      <c r="C26" s="227">
        <f>B26/'- 3 -'!D26</f>
        <v>0.000180975875103304</v>
      </c>
      <c r="D26" s="28">
        <v>65100</v>
      </c>
      <c r="E26" s="227">
        <f>D26/'- 3 -'!D26</f>
        <v>0.00240439376922961</v>
      </c>
    </row>
    <row r="27" spans="1:5" ht="13.5" customHeight="1">
      <c r="A27" s="25" t="s">
        <v>374</v>
      </c>
      <c r="B27" s="26">
        <v>0</v>
      </c>
      <c r="C27" s="226">
        <f>B27/'- 3 -'!D27</f>
        <v>0</v>
      </c>
      <c r="D27" s="26">
        <v>0</v>
      </c>
      <c r="E27" s="226">
        <f>D27/'- 3 -'!D27</f>
        <v>0</v>
      </c>
    </row>
    <row r="28" spans="1:5" ht="13.5" customHeight="1">
      <c r="A28" s="27" t="s">
        <v>375</v>
      </c>
      <c r="B28" s="28">
        <v>0</v>
      </c>
      <c r="C28" s="227">
        <f>B28/'- 3 -'!D28</f>
        <v>0</v>
      </c>
      <c r="D28" s="28">
        <v>0</v>
      </c>
      <c r="E28" s="227">
        <f>D28/'- 3 -'!D28</f>
        <v>0</v>
      </c>
    </row>
    <row r="29" spans="1:5" ht="13.5" customHeight="1">
      <c r="A29" s="25" t="s">
        <v>376</v>
      </c>
      <c r="B29" s="26">
        <v>0</v>
      </c>
      <c r="C29" s="226">
        <f>B29/'- 3 -'!D29</f>
        <v>0</v>
      </c>
      <c r="D29" s="26">
        <v>0</v>
      </c>
      <c r="E29" s="226">
        <f>D29/'- 3 -'!D29</f>
        <v>0</v>
      </c>
    </row>
    <row r="30" spans="1:5" ht="13.5" customHeight="1">
      <c r="A30" s="27" t="s">
        <v>377</v>
      </c>
      <c r="B30" s="28">
        <v>0</v>
      </c>
      <c r="C30" s="227">
        <f>B30/'- 3 -'!D30</f>
        <v>0</v>
      </c>
      <c r="D30" s="28">
        <v>0</v>
      </c>
      <c r="E30" s="227">
        <f>D30/'- 3 -'!D30</f>
        <v>0</v>
      </c>
    </row>
    <row r="31" spans="1:5" ht="13.5" customHeight="1">
      <c r="A31" s="25" t="s">
        <v>378</v>
      </c>
      <c r="B31" s="26">
        <v>26748</v>
      </c>
      <c r="C31" s="226">
        <f>B31/'- 3 -'!D31</f>
        <v>0.0010730974415243536</v>
      </c>
      <c r="D31" s="26">
        <v>80737</v>
      </c>
      <c r="E31" s="226">
        <f>D31/'- 3 -'!D31</f>
        <v>0.003239070888902039</v>
      </c>
    </row>
    <row r="32" spans="1:5" ht="13.5" customHeight="1">
      <c r="A32" s="27" t="s">
        <v>379</v>
      </c>
      <c r="B32" s="28">
        <v>58753</v>
      </c>
      <c r="C32" s="227">
        <f>B32/'- 3 -'!D32</f>
        <v>0.003171844571248165</v>
      </c>
      <c r="D32" s="28">
        <v>162604</v>
      </c>
      <c r="E32" s="227">
        <f>D32/'- 3 -'!D32</f>
        <v>0.008778353695355755</v>
      </c>
    </row>
    <row r="33" spans="1:5" ht="13.5" customHeight="1">
      <c r="A33" s="25" t="s">
        <v>380</v>
      </c>
      <c r="B33" s="26">
        <v>0</v>
      </c>
      <c r="C33" s="226">
        <f>B33/'- 3 -'!D33</f>
        <v>0</v>
      </c>
      <c r="D33" s="26">
        <v>0</v>
      </c>
      <c r="E33" s="226">
        <f>D33/'- 3 -'!D33</f>
        <v>0</v>
      </c>
    </row>
    <row r="34" spans="1:5" ht="13.5" customHeight="1">
      <c r="A34" s="27" t="s">
        <v>381</v>
      </c>
      <c r="B34" s="28">
        <v>96691</v>
      </c>
      <c r="C34" s="227">
        <f>B34/'- 3 -'!D34</f>
        <v>0.005696343549648402</v>
      </c>
      <c r="D34" s="28">
        <v>0</v>
      </c>
      <c r="E34" s="227">
        <f>D34/'- 3 -'!D34</f>
        <v>0</v>
      </c>
    </row>
    <row r="35" spans="1:5" ht="13.5" customHeight="1">
      <c r="A35" s="25" t="s">
        <v>382</v>
      </c>
      <c r="B35" s="26">
        <v>140856</v>
      </c>
      <c r="C35" s="226">
        <f>B35/'- 3 -'!D35</f>
        <v>0.0011163267477529836</v>
      </c>
      <c r="D35" s="26">
        <v>628285</v>
      </c>
      <c r="E35" s="226">
        <f>D35/'- 3 -'!D35</f>
        <v>0.004979350192480145</v>
      </c>
    </row>
    <row r="36" spans="1:5" ht="13.5" customHeight="1">
      <c r="A36" s="27" t="s">
        <v>383</v>
      </c>
      <c r="B36" s="28">
        <v>9282</v>
      </c>
      <c r="C36" s="227">
        <f>B36/'- 3 -'!D36</f>
        <v>0.000556053712799755</v>
      </c>
      <c r="D36" s="28">
        <v>123194</v>
      </c>
      <c r="E36" s="227">
        <f>D36/'- 3 -'!D36</f>
        <v>0.0073801423286633284</v>
      </c>
    </row>
    <row r="37" spans="1:5" ht="13.5" customHeight="1">
      <c r="A37" s="25" t="s">
        <v>384</v>
      </c>
      <c r="B37" s="26">
        <v>100412</v>
      </c>
      <c r="C37" s="226">
        <f>B37/'- 3 -'!D37</f>
        <v>0.00398076889642247</v>
      </c>
      <c r="D37" s="26">
        <v>187178</v>
      </c>
      <c r="E37" s="226">
        <f>D37/'- 3 -'!D37</f>
        <v>0.007420550935093069</v>
      </c>
    </row>
    <row r="38" spans="1:5" ht="13.5" customHeight="1">
      <c r="A38" s="27" t="s">
        <v>385</v>
      </c>
      <c r="B38" s="28">
        <v>37577</v>
      </c>
      <c r="C38" s="227">
        <f>B38/'- 3 -'!D38</f>
        <v>0.0005757494109397643</v>
      </c>
      <c r="D38" s="28">
        <v>0</v>
      </c>
      <c r="E38" s="227">
        <f>D38/'- 3 -'!D38</f>
        <v>0</v>
      </c>
    </row>
    <row r="39" spans="1:5" ht="13.5" customHeight="1">
      <c r="A39" s="25" t="s">
        <v>386</v>
      </c>
      <c r="B39" s="26">
        <v>0</v>
      </c>
      <c r="C39" s="226">
        <f>B39/'- 3 -'!D39</f>
        <v>0</v>
      </c>
      <c r="D39" s="26">
        <v>15425</v>
      </c>
      <c r="E39" s="226">
        <f>D39/'- 3 -'!D39</f>
        <v>0.0010061244113764526</v>
      </c>
    </row>
    <row r="40" spans="1:5" ht="13.5" customHeight="1">
      <c r="A40" s="27" t="s">
        <v>387</v>
      </c>
      <c r="B40" s="28">
        <v>0</v>
      </c>
      <c r="C40" s="227">
        <f>B40/'- 3 -'!D40</f>
        <v>0</v>
      </c>
      <c r="D40" s="28">
        <v>341000</v>
      </c>
      <c r="E40" s="227">
        <f>D40/'- 3 -'!D40</f>
        <v>0.0051899172513977365</v>
      </c>
    </row>
    <row r="41" spans="1:5" ht="13.5" customHeight="1">
      <c r="A41" s="25" t="s">
        <v>388</v>
      </c>
      <c r="B41" s="26">
        <v>319107</v>
      </c>
      <c r="C41" s="226">
        <f>B41/'- 3 -'!D41</f>
        <v>0.00816241117913227</v>
      </c>
      <c r="D41" s="26">
        <v>718144</v>
      </c>
      <c r="E41" s="226">
        <f>D41/'- 3 -'!D41</f>
        <v>0.018369345121939554</v>
      </c>
    </row>
    <row r="42" spans="1:5" ht="13.5" customHeight="1">
      <c r="A42" s="27" t="s">
        <v>389</v>
      </c>
      <c r="B42" s="28">
        <v>0</v>
      </c>
      <c r="C42" s="227">
        <f>B42/'- 3 -'!D42</f>
        <v>0</v>
      </c>
      <c r="D42" s="28">
        <v>0</v>
      </c>
      <c r="E42" s="227">
        <f>D42/'- 3 -'!D42</f>
        <v>0</v>
      </c>
    </row>
    <row r="43" spans="1:5" ht="13.5" customHeight="1">
      <c r="A43" s="25" t="s">
        <v>390</v>
      </c>
      <c r="B43" s="26">
        <v>25934</v>
      </c>
      <c r="C43" s="226">
        <f>B43/'- 3 -'!D43</f>
        <v>0.0028081164462027083</v>
      </c>
      <c r="D43" s="26">
        <v>139362</v>
      </c>
      <c r="E43" s="226">
        <f>D43/'- 3 -'!D43</f>
        <v>0.015090025610229886</v>
      </c>
    </row>
    <row r="44" spans="1:5" ht="13.5" customHeight="1">
      <c r="A44" s="27" t="s">
        <v>391</v>
      </c>
      <c r="B44" s="28">
        <v>0</v>
      </c>
      <c r="C44" s="227">
        <f>B44/'- 3 -'!D44</f>
        <v>0</v>
      </c>
      <c r="D44" s="28">
        <v>0</v>
      </c>
      <c r="E44" s="227">
        <f>D44/'- 3 -'!D44</f>
        <v>0</v>
      </c>
    </row>
    <row r="45" spans="1:5" ht="13.5" customHeight="1">
      <c r="A45" s="25" t="s">
        <v>392</v>
      </c>
      <c r="B45" s="26">
        <v>93712.3</v>
      </c>
      <c r="C45" s="226">
        <f>B45/'- 3 -'!D45</f>
        <v>0.008964878675336655</v>
      </c>
      <c r="D45" s="26">
        <v>224887</v>
      </c>
      <c r="E45" s="226">
        <f>D45/'- 3 -'!D45</f>
        <v>0.021513554471082604</v>
      </c>
    </row>
    <row r="46" spans="1:5" ht="13.5" customHeight="1">
      <c r="A46" s="27" t="s">
        <v>393</v>
      </c>
      <c r="B46" s="28">
        <v>104424</v>
      </c>
      <c r="C46" s="227">
        <f>B46/'- 3 -'!D46</f>
        <v>0.0004014799594606126</v>
      </c>
      <c r="D46" s="28">
        <v>318510</v>
      </c>
      <c r="E46" s="227">
        <f>D46/'- 3 -'!D46</f>
        <v>0.0012245784674768227</v>
      </c>
    </row>
    <row r="47" spans="1:5" ht="13.5" customHeight="1">
      <c r="A47" s="25" t="s">
        <v>397</v>
      </c>
      <c r="B47" s="26">
        <v>0</v>
      </c>
      <c r="C47" s="226">
        <f>B47/'- 3 -'!D47</f>
        <v>0</v>
      </c>
      <c r="D47" s="26">
        <v>0</v>
      </c>
      <c r="E47" s="226">
        <f>D47/'- 3 -'!D47</f>
        <v>0</v>
      </c>
    </row>
    <row r="48" spans="1:5" ht="4.5" customHeight="1">
      <c r="A48" s="29"/>
      <c r="B48" s="30"/>
      <c r="C48" s="215"/>
      <c r="D48" s="30"/>
      <c r="E48" s="215"/>
    </row>
    <row r="49" spans="1:5" ht="13.5" customHeight="1">
      <c r="A49" s="31" t="s">
        <v>394</v>
      </c>
      <c r="B49" s="32">
        <f>SUM(B11:B47)</f>
        <v>1365129.3</v>
      </c>
      <c r="C49" s="228">
        <f>B49/'- 3 -'!D49</f>
        <v>0.0009703882517064835</v>
      </c>
      <c r="D49" s="32">
        <f>SUM(D11:D47)</f>
        <v>5372174</v>
      </c>
      <c r="E49" s="228">
        <f>D49/'- 3 -'!D49</f>
        <v>0.0038187551433575017</v>
      </c>
    </row>
    <row r="50" spans="1:5" ht="4.5" customHeight="1">
      <c r="A50" s="29" t="s">
        <v>78</v>
      </c>
      <c r="B50" s="30"/>
      <c r="C50" s="215"/>
      <c r="D50" s="30"/>
      <c r="E50" s="215"/>
    </row>
    <row r="51" spans="1:5" ht="13.5" customHeight="1">
      <c r="A51" s="27" t="s">
        <v>395</v>
      </c>
      <c r="B51" s="28">
        <v>0</v>
      </c>
      <c r="C51" s="227">
        <f>B51/'- 3 -'!D51</f>
        <v>0</v>
      </c>
      <c r="D51" s="28">
        <v>0</v>
      </c>
      <c r="E51" s="227">
        <f>D51/'- 3 -'!D51</f>
        <v>0</v>
      </c>
    </row>
    <row r="52" spans="1:5" ht="13.5" customHeight="1">
      <c r="A52" s="25" t="s">
        <v>396</v>
      </c>
      <c r="B52" s="26">
        <v>0</v>
      </c>
      <c r="C52" s="226">
        <f>B52/'- 3 -'!D52</f>
        <v>0</v>
      </c>
      <c r="D52" s="26">
        <v>0</v>
      </c>
      <c r="E52" s="226">
        <f>D52/'- 3 -'!D52</f>
        <v>0</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F59"/>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ustomWidth="1"/>
  </cols>
  <sheetData>
    <row r="1" spans="1:6" ht="6.75" customHeight="1">
      <c r="A1" s="5"/>
      <c r="B1" s="6"/>
      <c r="C1" s="6"/>
      <c r="D1" s="6"/>
      <c r="E1" s="6"/>
      <c r="F1" s="6"/>
    </row>
    <row r="2" spans="1:6" ht="15.75" customHeight="1">
      <c r="A2" s="7" t="s">
        <v>86</v>
      </c>
      <c r="B2" s="8"/>
      <c r="C2" s="8"/>
      <c r="D2" s="8"/>
      <c r="E2" s="8"/>
      <c r="F2" s="8"/>
    </row>
    <row r="3" spans="1:6" ht="15.75" customHeight="1">
      <c r="A3" s="9" t="s">
        <v>592</v>
      </c>
      <c r="B3" s="10"/>
      <c r="C3" s="11"/>
      <c r="D3" s="10"/>
      <c r="E3" s="10"/>
      <c r="F3" s="10"/>
    </row>
    <row r="4" spans="2:6" ht="15.75" customHeight="1">
      <c r="B4" s="6"/>
      <c r="C4" s="6"/>
      <c r="D4" s="6"/>
      <c r="E4" s="6"/>
      <c r="F4" s="6"/>
    </row>
    <row r="5" spans="2:6" ht="15.75" customHeight="1">
      <c r="B5" s="6"/>
      <c r="C5" s="6"/>
      <c r="D5" s="6"/>
      <c r="E5" s="6"/>
      <c r="F5" s="6"/>
    </row>
    <row r="6" spans="2:6" ht="15.75" customHeight="1">
      <c r="B6" s="12"/>
      <c r="C6" s="13" t="s">
        <v>111</v>
      </c>
      <c r="D6" s="14"/>
      <c r="E6" s="15" t="s">
        <v>111</v>
      </c>
      <c r="F6" s="15" t="s">
        <v>112</v>
      </c>
    </row>
    <row r="7" spans="2:6" ht="15.75" customHeight="1">
      <c r="B7" s="12"/>
      <c r="C7" s="16" t="s">
        <v>209</v>
      </c>
      <c r="D7" s="17"/>
      <c r="E7" s="18" t="s">
        <v>340</v>
      </c>
      <c r="F7" s="18" t="s">
        <v>149</v>
      </c>
    </row>
    <row r="8" spans="1:6" ht="15.75" customHeight="1">
      <c r="A8" s="19"/>
      <c r="B8" s="20" t="s">
        <v>144</v>
      </c>
      <c r="C8" s="16" t="s">
        <v>225</v>
      </c>
      <c r="D8" s="18" t="s">
        <v>171</v>
      </c>
      <c r="E8" s="18" t="s">
        <v>172</v>
      </c>
      <c r="F8" s="18" t="s">
        <v>173</v>
      </c>
    </row>
    <row r="9" spans="1:6" ht="14.25">
      <c r="A9" s="21" t="s">
        <v>175</v>
      </c>
      <c r="B9" s="22" t="s">
        <v>521</v>
      </c>
      <c r="C9" s="22" t="s">
        <v>522</v>
      </c>
      <c r="D9" s="23" t="s">
        <v>523</v>
      </c>
      <c r="E9" s="23" t="s">
        <v>524</v>
      </c>
      <c r="F9" s="23" t="s">
        <v>525</v>
      </c>
    </row>
    <row r="10" ht="4.5" customHeight="1">
      <c r="A10" s="24"/>
    </row>
    <row r="11" spans="1:6" ht="13.5" customHeight="1">
      <c r="A11" s="25" t="s">
        <v>359</v>
      </c>
      <c r="B11" s="26">
        <v>11453618</v>
      </c>
      <c r="C11" s="26">
        <v>-40154</v>
      </c>
      <c r="D11" s="26">
        <f>B11+C11</f>
        <v>11413464</v>
      </c>
      <c r="E11" s="26">
        <f>-'- 15 -'!H11-'- 16 -'!B11</f>
        <v>-2932</v>
      </c>
      <c r="F11" s="26">
        <f>D11+E11</f>
        <v>11410532</v>
      </c>
    </row>
    <row r="12" spans="1:6" ht="13.5" customHeight="1">
      <c r="A12" s="27" t="s">
        <v>360</v>
      </c>
      <c r="B12" s="28">
        <v>19319222</v>
      </c>
      <c r="C12" s="28">
        <v>-145366</v>
      </c>
      <c r="D12" s="28">
        <f aca="true" t="shared" si="0" ref="D12:D47">B12+C12</f>
        <v>19173856</v>
      </c>
      <c r="E12" s="28">
        <f>-'- 15 -'!H12-'- 16 -'!B12</f>
        <v>-514800</v>
      </c>
      <c r="F12" s="28">
        <f aca="true" t="shared" si="1" ref="F12:F47">D12+E12</f>
        <v>18659056</v>
      </c>
    </row>
    <row r="13" spans="1:6" ht="13.5" customHeight="1">
      <c r="A13" s="25" t="s">
        <v>361</v>
      </c>
      <c r="B13" s="26">
        <v>49046410.84</v>
      </c>
      <c r="C13" s="26">
        <v>-111690</v>
      </c>
      <c r="D13" s="26">
        <f t="shared" si="0"/>
        <v>48934720.84</v>
      </c>
      <c r="E13" s="26">
        <f>-'- 15 -'!H13-'- 16 -'!B13</f>
        <v>-69001</v>
      </c>
      <c r="F13" s="26">
        <f t="shared" si="1"/>
        <v>48865719.84</v>
      </c>
    </row>
    <row r="14" spans="1:6" ht="13.5" customHeight="1">
      <c r="A14" s="27" t="s">
        <v>398</v>
      </c>
      <c r="B14" s="28">
        <v>42468456</v>
      </c>
      <c r="C14" s="28">
        <v>-108338</v>
      </c>
      <c r="D14" s="28">
        <f t="shared" si="0"/>
        <v>42360118</v>
      </c>
      <c r="E14" s="28">
        <f>-'- 15 -'!H14-'- 16 -'!B14</f>
        <v>-140270</v>
      </c>
      <c r="F14" s="28">
        <f t="shared" si="1"/>
        <v>42219848</v>
      </c>
    </row>
    <row r="15" spans="1:6" ht="13.5" customHeight="1">
      <c r="A15" s="25" t="s">
        <v>362</v>
      </c>
      <c r="B15" s="26">
        <v>13143780</v>
      </c>
      <c r="C15" s="26">
        <v>-75450</v>
      </c>
      <c r="D15" s="26">
        <f t="shared" si="0"/>
        <v>13068330</v>
      </c>
      <c r="E15" s="26">
        <f>-'- 15 -'!H15-'- 16 -'!B15</f>
        <v>-275055</v>
      </c>
      <c r="F15" s="26">
        <f t="shared" si="1"/>
        <v>12793275</v>
      </c>
    </row>
    <row r="16" spans="1:6" ht="13.5" customHeight="1">
      <c r="A16" s="27" t="s">
        <v>363</v>
      </c>
      <c r="B16" s="28">
        <v>10713418.5</v>
      </c>
      <c r="C16" s="28">
        <v>0</v>
      </c>
      <c r="D16" s="28">
        <f t="shared" si="0"/>
        <v>10713418.5</v>
      </c>
      <c r="E16" s="28">
        <f>-'- 15 -'!H16-'- 16 -'!B16</f>
        <v>-5000</v>
      </c>
      <c r="F16" s="28">
        <f t="shared" si="1"/>
        <v>10708418.5</v>
      </c>
    </row>
    <row r="17" spans="1:6" ht="13.5" customHeight="1">
      <c r="A17" s="25" t="s">
        <v>364</v>
      </c>
      <c r="B17" s="26">
        <v>12375302</v>
      </c>
      <c r="C17" s="26">
        <v>-30459</v>
      </c>
      <c r="D17" s="26">
        <f t="shared" si="0"/>
        <v>12344843</v>
      </c>
      <c r="E17" s="26">
        <f>-'- 15 -'!H17-'- 16 -'!B17</f>
        <v>-22750</v>
      </c>
      <c r="F17" s="26">
        <f t="shared" si="1"/>
        <v>12322093</v>
      </c>
    </row>
    <row r="18" spans="1:6" ht="13.5" customHeight="1">
      <c r="A18" s="27" t="s">
        <v>365</v>
      </c>
      <c r="B18" s="28">
        <v>76582840</v>
      </c>
      <c r="C18" s="28">
        <v>-3093311</v>
      </c>
      <c r="D18" s="28">
        <f t="shared" si="0"/>
        <v>73489529</v>
      </c>
      <c r="E18" s="28">
        <f>-'- 15 -'!H18-'- 16 -'!B18</f>
        <v>-2206428</v>
      </c>
      <c r="F18" s="28">
        <f t="shared" si="1"/>
        <v>71283101</v>
      </c>
    </row>
    <row r="19" spans="1:6" ht="13.5" customHeight="1">
      <c r="A19" s="25" t="s">
        <v>366</v>
      </c>
      <c r="B19" s="26">
        <v>18520796</v>
      </c>
      <c r="C19" s="26">
        <v>-174188</v>
      </c>
      <c r="D19" s="26">
        <f t="shared" si="0"/>
        <v>18346608</v>
      </c>
      <c r="E19" s="26">
        <f>-'- 15 -'!H19-'- 16 -'!B19</f>
        <v>-10895</v>
      </c>
      <c r="F19" s="26">
        <f t="shared" si="1"/>
        <v>18335713</v>
      </c>
    </row>
    <row r="20" spans="1:6" ht="13.5" customHeight="1">
      <c r="A20" s="27" t="s">
        <v>367</v>
      </c>
      <c r="B20" s="28">
        <v>36891623</v>
      </c>
      <c r="C20" s="28">
        <v>-210070</v>
      </c>
      <c r="D20" s="28">
        <f t="shared" si="0"/>
        <v>36681553</v>
      </c>
      <c r="E20" s="28">
        <f>-'- 15 -'!H20-'- 16 -'!B20</f>
        <v>-115185</v>
      </c>
      <c r="F20" s="28">
        <f t="shared" si="1"/>
        <v>36566368</v>
      </c>
    </row>
    <row r="21" spans="1:6" ht="13.5" customHeight="1">
      <c r="A21" s="25" t="s">
        <v>368</v>
      </c>
      <c r="B21" s="26">
        <v>24293023</v>
      </c>
      <c r="C21" s="26">
        <v>-220481</v>
      </c>
      <c r="D21" s="26">
        <f t="shared" si="0"/>
        <v>24072542</v>
      </c>
      <c r="E21" s="26">
        <f>-'- 15 -'!H21-'- 16 -'!B21</f>
        <v>-76869</v>
      </c>
      <c r="F21" s="26">
        <f t="shared" si="1"/>
        <v>23995673</v>
      </c>
    </row>
    <row r="22" spans="1:6" ht="13.5" customHeight="1">
      <c r="A22" s="27" t="s">
        <v>369</v>
      </c>
      <c r="B22" s="28">
        <v>13494422</v>
      </c>
      <c r="C22" s="28">
        <v>-12595</v>
      </c>
      <c r="D22" s="28">
        <f t="shared" si="0"/>
        <v>13481827</v>
      </c>
      <c r="E22" s="28">
        <f>-'- 15 -'!H22-'- 16 -'!B22</f>
        <v>-492773</v>
      </c>
      <c r="F22" s="28">
        <f t="shared" si="1"/>
        <v>12989054</v>
      </c>
    </row>
    <row r="23" spans="1:6" ht="13.5" customHeight="1">
      <c r="A23" s="25" t="s">
        <v>370</v>
      </c>
      <c r="B23" s="26">
        <v>11341357</v>
      </c>
      <c r="C23" s="26">
        <v>-28798</v>
      </c>
      <c r="D23" s="26">
        <f t="shared" si="0"/>
        <v>11312559</v>
      </c>
      <c r="E23" s="26">
        <f>-'- 15 -'!H23-'- 16 -'!B23</f>
        <v>-262257</v>
      </c>
      <c r="F23" s="26">
        <f t="shared" si="1"/>
        <v>11050302</v>
      </c>
    </row>
    <row r="24" spans="1:6" ht="13.5" customHeight="1">
      <c r="A24" s="27" t="s">
        <v>371</v>
      </c>
      <c r="B24" s="28">
        <v>35009287.94</v>
      </c>
      <c r="C24" s="28">
        <v>-178777</v>
      </c>
      <c r="D24" s="28">
        <f t="shared" si="0"/>
        <v>34830510.94</v>
      </c>
      <c r="E24" s="28">
        <f>-'- 15 -'!H24-'- 16 -'!B24</f>
        <v>-603331</v>
      </c>
      <c r="F24" s="28">
        <f t="shared" si="1"/>
        <v>34227179.94</v>
      </c>
    </row>
    <row r="25" spans="1:6" ht="13.5" customHeight="1">
      <c r="A25" s="25" t="s">
        <v>372</v>
      </c>
      <c r="B25" s="26">
        <v>111820212.49000001</v>
      </c>
      <c r="C25" s="26">
        <v>-1339547</v>
      </c>
      <c r="D25" s="26">
        <f t="shared" si="0"/>
        <v>110480665.49000001</v>
      </c>
      <c r="E25" s="26">
        <f>-'- 15 -'!H25-'- 16 -'!B25</f>
        <v>-450709</v>
      </c>
      <c r="F25" s="26">
        <f t="shared" si="1"/>
        <v>110029956.49000001</v>
      </c>
    </row>
    <row r="26" spans="1:6" ht="13.5" customHeight="1">
      <c r="A26" s="27" t="s">
        <v>373</v>
      </c>
      <c r="B26" s="28">
        <v>27084330</v>
      </c>
      <c r="C26" s="28">
        <v>-8898</v>
      </c>
      <c r="D26" s="28">
        <f t="shared" si="0"/>
        <v>27075432</v>
      </c>
      <c r="E26" s="28">
        <f>-'- 15 -'!H26-'- 16 -'!B26</f>
        <v>-92961</v>
      </c>
      <c r="F26" s="28">
        <f t="shared" si="1"/>
        <v>26982471</v>
      </c>
    </row>
    <row r="27" spans="1:6" ht="13.5" customHeight="1">
      <c r="A27" s="25" t="s">
        <v>374</v>
      </c>
      <c r="B27" s="26">
        <v>27111577.36</v>
      </c>
      <c r="C27" s="26">
        <v>-3934</v>
      </c>
      <c r="D27" s="26">
        <f t="shared" si="0"/>
        <v>27107643.36</v>
      </c>
      <c r="E27" s="26">
        <f>-'- 15 -'!H27-'- 16 -'!B27</f>
        <v>-25379</v>
      </c>
      <c r="F27" s="26">
        <f t="shared" si="1"/>
        <v>27082264.36</v>
      </c>
    </row>
    <row r="28" spans="1:6" ht="13.5" customHeight="1">
      <c r="A28" s="27" t="s">
        <v>375</v>
      </c>
      <c r="B28" s="28">
        <v>16732215.82</v>
      </c>
      <c r="C28" s="28">
        <v>-58361</v>
      </c>
      <c r="D28" s="28">
        <f t="shared" si="0"/>
        <v>16673854.82</v>
      </c>
      <c r="E28" s="28">
        <f>-'- 15 -'!H28-'- 16 -'!B28</f>
        <v>-9558</v>
      </c>
      <c r="F28" s="28">
        <f t="shared" si="1"/>
        <v>16664296.82</v>
      </c>
    </row>
    <row r="29" spans="1:6" ht="13.5" customHeight="1">
      <c r="A29" s="25" t="s">
        <v>376</v>
      </c>
      <c r="B29" s="26">
        <v>105599752</v>
      </c>
      <c r="C29" s="26">
        <v>-3744724</v>
      </c>
      <c r="D29" s="26">
        <f t="shared" si="0"/>
        <v>101855028</v>
      </c>
      <c r="E29" s="26">
        <f>-'- 15 -'!H29-'- 16 -'!B29</f>
        <v>-191657</v>
      </c>
      <c r="F29" s="26">
        <f t="shared" si="1"/>
        <v>101663371</v>
      </c>
    </row>
    <row r="30" spans="1:6" ht="13.5" customHeight="1">
      <c r="A30" s="27" t="s">
        <v>377</v>
      </c>
      <c r="B30" s="28">
        <v>9846076</v>
      </c>
      <c r="C30" s="28">
        <v>-21455</v>
      </c>
      <c r="D30" s="28">
        <f t="shared" si="0"/>
        <v>9824621</v>
      </c>
      <c r="E30" s="28">
        <f>-'- 15 -'!H30-'- 16 -'!B30</f>
        <v>-4702</v>
      </c>
      <c r="F30" s="28">
        <f t="shared" si="1"/>
        <v>9819919</v>
      </c>
    </row>
    <row r="31" spans="1:6" ht="13.5" customHeight="1">
      <c r="A31" s="25" t="s">
        <v>378</v>
      </c>
      <c r="B31" s="26">
        <v>25225758</v>
      </c>
      <c r="C31" s="26">
        <v>-299783</v>
      </c>
      <c r="D31" s="26">
        <f t="shared" si="0"/>
        <v>24925975</v>
      </c>
      <c r="E31" s="26">
        <f>-'- 15 -'!H31-'- 16 -'!B31</f>
        <v>-122304</v>
      </c>
      <c r="F31" s="26">
        <f t="shared" si="1"/>
        <v>24803671</v>
      </c>
    </row>
    <row r="32" spans="1:6" ht="13.5" customHeight="1">
      <c r="A32" s="27" t="s">
        <v>379</v>
      </c>
      <c r="B32" s="28">
        <v>18698432</v>
      </c>
      <c r="C32" s="28">
        <v>-175141</v>
      </c>
      <c r="D32" s="28">
        <f t="shared" si="0"/>
        <v>18523291</v>
      </c>
      <c r="E32" s="28">
        <f>-'- 15 -'!H32-'- 16 -'!B32</f>
        <v>-236999</v>
      </c>
      <c r="F32" s="28">
        <f t="shared" si="1"/>
        <v>18286292</v>
      </c>
    </row>
    <row r="33" spans="1:6" ht="13.5" customHeight="1">
      <c r="A33" s="25" t="s">
        <v>380</v>
      </c>
      <c r="B33" s="26">
        <v>22107290</v>
      </c>
      <c r="C33" s="26">
        <v>-128883</v>
      </c>
      <c r="D33" s="26">
        <f t="shared" si="0"/>
        <v>21978407</v>
      </c>
      <c r="E33" s="26">
        <f>-'- 15 -'!H33-'- 16 -'!B33</f>
        <v>-11730</v>
      </c>
      <c r="F33" s="26">
        <f t="shared" si="1"/>
        <v>21966677</v>
      </c>
    </row>
    <row r="34" spans="1:6" ht="13.5" customHeight="1">
      <c r="A34" s="27" t="s">
        <v>381</v>
      </c>
      <c r="B34" s="28">
        <v>17305867</v>
      </c>
      <c r="C34" s="28">
        <v>-331645</v>
      </c>
      <c r="D34" s="28">
        <f t="shared" si="0"/>
        <v>16974222</v>
      </c>
      <c r="E34" s="28">
        <f>-'- 15 -'!H34-'- 16 -'!B34</f>
        <v>-109833</v>
      </c>
      <c r="F34" s="28">
        <f t="shared" si="1"/>
        <v>16864389</v>
      </c>
    </row>
    <row r="35" spans="1:6" ht="13.5" customHeight="1">
      <c r="A35" s="25" t="s">
        <v>382</v>
      </c>
      <c r="B35" s="26">
        <v>126995128.74</v>
      </c>
      <c r="C35" s="26">
        <v>-817018</v>
      </c>
      <c r="D35" s="26">
        <f t="shared" si="0"/>
        <v>126178110.74</v>
      </c>
      <c r="E35" s="26">
        <f>-'- 15 -'!H35-'- 16 -'!B35</f>
        <v>-1495701</v>
      </c>
      <c r="F35" s="26">
        <f t="shared" si="1"/>
        <v>124682409.74</v>
      </c>
    </row>
    <row r="36" spans="1:6" ht="13.5" customHeight="1">
      <c r="A36" s="27" t="s">
        <v>383</v>
      </c>
      <c r="B36" s="28">
        <v>16819269</v>
      </c>
      <c r="C36" s="28">
        <v>-126637</v>
      </c>
      <c r="D36" s="28">
        <f t="shared" si="0"/>
        <v>16692632</v>
      </c>
      <c r="E36" s="28">
        <f>-'- 15 -'!H36-'- 16 -'!B36</f>
        <v>-141835</v>
      </c>
      <c r="F36" s="28">
        <f t="shared" si="1"/>
        <v>16550797</v>
      </c>
    </row>
    <row r="37" spans="1:6" ht="13.5" customHeight="1">
      <c r="A37" s="25" t="s">
        <v>384</v>
      </c>
      <c r="B37" s="26">
        <v>25851996.65</v>
      </c>
      <c r="C37" s="26">
        <v>-627724</v>
      </c>
      <c r="D37" s="26">
        <f t="shared" si="0"/>
        <v>25224272.65</v>
      </c>
      <c r="E37" s="26">
        <f>-'- 15 -'!H37-'- 16 -'!B37</f>
        <v>-300900</v>
      </c>
      <c r="F37" s="26">
        <f t="shared" si="1"/>
        <v>24923372.65</v>
      </c>
    </row>
    <row r="38" spans="1:6" ht="13.5" customHeight="1">
      <c r="A38" s="27" t="s">
        <v>385</v>
      </c>
      <c r="B38" s="28">
        <v>66427956.33</v>
      </c>
      <c r="C38" s="28">
        <v>-1161715</v>
      </c>
      <c r="D38" s="28">
        <f t="shared" si="0"/>
        <v>65266241.33</v>
      </c>
      <c r="E38" s="28">
        <f>-'- 15 -'!H38-'- 16 -'!B38</f>
        <v>-464993</v>
      </c>
      <c r="F38" s="28">
        <f t="shared" si="1"/>
        <v>64801248.33</v>
      </c>
    </row>
    <row r="39" spans="1:6" ht="13.5" customHeight="1">
      <c r="A39" s="25" t="s">
        <v>386</v>
      </c>
      <c r="B39" s="26">
        <v>15429603</v>
      </c>
      <c r="C39" s="26">
        <v>-98497</v>
      </c>
      <c r="D39" s="26">
        <f t="shared" si="0"/>
        <v>15331106</v>
      </c>
      <c r="E39" s="26">
        <f>-'- 15 -'!H39-'- 16 -'!B39</f>
        <v>-69671</v>
      </c>
      <c r="F39" s="26">
        <f t="shared" si="1"/>
        <v>15261435</v>
      </c>
    </row>
    <row r="40" spans="1:6" ht="13.5" customHeight="1">
      <c r="A40" s="27" t="s">
        <v>387</v>
      </c>
      <c r="B40" s="28">
        <v>66351553.11</v>
      </c>
      <c r="C40" s="28">
        <v>-647230</v>
      </c>
      <c r="D40" s="28">
        <f t="shared" si="0"/>
        <v>65704323.11</v>
      </c>
      <c r="E40" s="28">
        <f>-'- 15 -'!H40-'- 16 -'!B40</f>
        <v>-825276</v>
      </c>
      <c r="F40" s="28">
        <f t="shared" si="1"/>
        <v>64879047.11</v>
      </c>
    </row>
    <row r="41" spans="1:6" ht="13.5" customHeight="1">
      <c r="A41" s="25" t="s">
        <v>388</v>
      </c>
      <c r="B41" s="26">
        <v>39824283</v>
      </c>
      <c r="C41" s="26">
        <v>-729585</v>
      </c>
      <c r="D41" s="26">
        <f t="shared" si="0"/>
        <v>39094698</v>
      </c>
      <c r="E41" s="26">
        <f>-'- 15 -'!H41-'- 16 -'!B41</f>
        <v>-1146482</v>
      </c>
      <c r="F41" s="26">
        <f t="shared" si="1"/>
        <v>37948216</v>
      </c>
    </row>
    <row r="42" spans="1:6" ht="13.5" customHeight="1">
      <c r="A42" s="27" t="s">
        <v>389</v>
      </c>
      <c r="B42" s="28">
        <v>15124888</v>
      </c>
      <c r="C42" s="28">
        <v>-11340</v>
      </c>
      <c r="D42" s="28">
        <f t="shared" si="0"/>
        <v>15113548</v>
      </c>
      <c r="E42" s="28">
        <f>-'- 15 -'!H42-'- 16 -'!B42</f>
        <v>-47950</v>
      </c>
      <c r="F42" s="28">
        <f t="shared" si="1"/>
        <v>15065598</v>
      </c>
    </row>
    <row r="43" spans="1:6" ht="13.5" customHeight="1">
      <c r="A43" s="25" t="s">
        <v>390</v>
      </c>
      <c r="B43" s="26">
        <v>9268889</v>
      </c>
      <c r="C43" s="26">
        <v>-33517</v>
      </c>
      <c r="D43" s="26">
        <f t="shared" si="0"/>
        <v>9235372</v>
      </c>
      <c r="E43" s="26">
        <f>-'- 15 -'!H43-'- 16 -'!B43</f>
        <v>-170494</v>
      </c>
      <c r="F43" s="26">
        <f t="shared" si="1"/>
        <v>9064878</v>
      </c>
    </row>
    <row r="44" spans="1:6" ht="13.5" customHeight="1">
      <c r="A44" s="27" t="s">
        <v>391</v>
      </c>
      <c r="B44" s="28">
        <v>7012272</v>
      </c>
      <c r="C44" s="28">
        <v>-117091</v>
      </c>
      <c r="D44" s="28">
        <f t="shared" si="0"/>
        <v>6895181</v>
      </c>
      <c r="E44" s="28">
        <f>-'- 15 -'!H44-'- 16 -'!B44</f>
        <v>0</v>
      </c>
      <c r="F44" s="28">
        <f t="shared" si="1"/>
        <v>6895181</v>
      </c>
    </row>
    <row r="45" spans="1:6" ht="13.5" customHeight="1">
      <c r="A45" s="25" t="s">
        <v>392</v>
      </c>
      <c r="B45" s="26">
        <v>10491088.3</v>
      </c>
      <c r="C45" s="26">
        <v>-37818</v>
      </c>
      <c r="D45" s="26">
        <f t="shared" si="0"/>
        <v>10453270.3</v>
      </c>
      <c r="E45" s="26">
        <f>-'- 15 -'!H45-'- 16 -'!B45</f>
        <v>-452335.3</v>
      </c>
      <c r="F45" s="26">
        <f t="shared" si="1"/>
        <v>10000935</v>
      </c>
    </row>
    <row r="46" spans="1:6" ht="13.5" customHeight="1">
      <c r="A46" s="27" t="s">
        <v>393</v>
      </c>
      <c r="B46" s="28">
        <v>262307479</v>
      </c>
      <c r="C46" s="28">
        <v>-2209814</v>
      </c>
      <c r="D46" s="28">
        <f t="shared" si="0"/>
        <v>260097665</v>
      </c>
      <c r="E46" s="28">
        <f>-'- 15 -'!H46-'- 16 -'!B46</f>
        <v>-5338097</v>
      </c>
      <c r="F46" s="28">
        <f t="shared" si="1"/>
        <v>254759568</v>
      </c>
    </row>
    <row r="47" spans="1:6" ht="13.5" customHeight="1">
      <c r="A47" s="25" t="s">
        <v>397</v>
      </c>
      <c r="B47" s="26">
        <v>9972592</v>
      </c>
      <c r="C47" s="26">
        <v>-4115317</v>
      </c>
      <c r="D47" s="26">
        <f t="shared" si="0"/>
        <v>5857275</v>
      </c>
      <c r="E47" s="26">
        <f>-'- 15 -'!H47-'- 16 -'!B47</f>
        <v>-329701</v>
      </c>
      <c r="F47" s="26">
        <f t="shared" si="1"/>
        <v>5527574</v>
      </c>
    </row>
    <row r="48" spans="1:6" ht="4.5" customHeight="1">
      <c r="A48" s="29" t="s">
        <v>78</v>
      </c>
      <c r="B48" s="30"/>
      <c r="C48" s="30"/>
      <c r="D48" s="30"/>
      <c r="E48" s="30"/>
      <c r="F48" s="30"/>
    </row>
    <row r="49" spans="1:6" ht="13.5" customHeight="1">
      <c r="A49" s="31" t="s">
        <v>394</v>
      </c>
      <c r="B49" s="32">
        <f>SUM(B11:B47)</f>
        <v>1428062065.08</v>
      </c>
      <c r="C49" s="32">
        <f>SUM(C11:C47)</f>
        <v>-21275351</v>
      </c>
      <c r="D49" s="32">
        <f>SUM(D11:D47)</f>
        <v>1406786714.0800002</v>
      </c>
      <c r="E49" s="32">
        <f>SUM(E11:E47)</f>
        <v>-16836813.3</v>
      </c>
      <c r="F49" s="32">
        <f>SUM(F11:F47)</f>
        <v>1389949900.7800002</v>
      </c>
    </row>
    <row r="50" spans="1:6" ht="4.5" customHeight="1">
      <c r="A50" s="29" t="s">
        <v>78</v>
      </c>
      <c r="B50" s="30"/>
      <c r="C50" s="30"/>
      <c r="D50" s="30"/>
      <c r="E50" s="30"/>
      <c r="F50" s="30"/>
    </row>
    <row r="51" spans="1:6" ht="13.5" customHeight="1">
      <c r="A51" s="27" t="s">
        <v>395</v>
      </c>
      <c r="B51" s="28">
        <v>1333610</v>
      </c>
      <c r="C51" s="28">
        <v>-76420</v>
      </c>
      <c r="D51" s="28">
        <f>B51+C51</f>
        <v>1257190</v>
      </c>
      <c r="E51" s="28">
        <f>-'- 15 -'!H51-'- 16 -'!B51</f>
        <v>-478</v>
      </c>
      <c r="F51" s="28">
        <f>D51+E51</f>
        <v>1256712</v>
      </c>
    </row>
    <row r="52" spans="1:6" ht="13.5" customHeight="1">
      <c r="A52" s="25" t="s">
        <v>396</v>
      </c>
      <c r="B52" s="26">
        <v>2431255</v>
      </c>
      <c r="C52" s="26">
        <v>-10602</v>
      </c>
      <c r="D52" s="26">
        <f>B52+C52</f>
        <v>2420653</v>
      </c>
      <c r="E52" s="26">
        <f>-'- 15 -'!H52-'- 16 -'!B52</f>
        <v>-2939</v>
      </c>
      <c r="F52" s="26">
        <f>D52+E52</f>
        <v>2417714</v>
      </c>
    </row>
    <row r="53" spans="1:6" ht="49.5" customHeight="1">
      <c r="A53" s="33"/>
      <c r="B53" s="33"/>
      <c r="C53" s="33"/>
      <c r="D53" s="33"/>
      <c r="E53" s="33"/>
      <c r="F53" s="33"/>
    </row>
    <row r="54" spans="1:6" ht="14.25" customHeight="1">
      <c r="A54" s="163" t="s">
        <v>526</v>
      </c>
      <c r="B54" s="35"/>
      <c r="C54" s="35"/>
      <c r="D54" s="35"/>
      <c r="E54" s="35"/>
      <c r="F54" s="35"/>
    </row>
    <row r="55" spans="1:6" ht="12" customHeight="1">
      <c r="A55" s="163" t="s">
        <v>527</v>
      </c>
      <c r="B55" s="35"/>
      <c r="C55" s="35"/>
      <c r="D55" s="35"/>
      <c r="E55" s="35"/>
      <c r="F55" s="35"/>
    </row>
    <row r="56" spans="1:6" ht="12" customHeight="1">
      <c r="A56" s="36" t="s">
        <v>519</v>
      </c>
      <c r="B56" s="35"/>
      <c r="C56" s="35"/>
      <c r="D56" s="35"/>
      <c r="E56" s="35"/>
      <c r="F56" s="35"/>
    </row>
    <row r="57" spans="1:6" ht="12" customHeight="1">
      <c r="A57" s="163" t="s">
        <v>528</v>
      </c>
      <c r="B57" s="35"/>
      <c r="C57" s="35"/>
      <c r="D57" s="35"/>
      <c r="E57" s="35"/>
      <c r="F57" s="35"/>
    </row>
    <row r="58" spans="1:6" ht="12" customHeight="1">
      <c r="A58" s="163" t="s">
        <v>529</v>
      </c>
      <c r="B58" s="35"/>
      <c r="C58" s="35"/>
      <c r="D58" s="35"/>
      <c r="E58" s="35"/>
      <c r="F58" s="35"/>
    </row>
    <row r="59" spans="1:6" ht="12" customHeight="1">
      <c r="A59" s="163" t="s">
        <v>530</v>
      </c>
      <c r="B59" s="35"/>
      <c r="C59" s="35"/>
      <c r="D59" s="35"/>
      <c r="E59" s="35"/>
      <c r="F59" s="3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I52"/>
  <sheetViews>
    <sheetView showGridLines="0" showZeros="0" workbookViewId="0" topLeftCell="A1">
      <selection activeCell="A1" sqref="A1"/>
    </sheetView>
  </sheetViews>
  <sheetFormatPr defaultColWidth="15.83203125" defaultRowHeight="12"/>
  <cols>
    <col min="1" max="1" width="32.83203125" style="1" customWidth="1"/>
    <col min="2" max="2" width="13.83203125" style="1" customWidth="1"/>
    <col min="3" max="3" width="8.83203125" style="1" customWidth="1"/>
    <col min="4" max="4" width="14.83203125" style="1" customWidth="1"/>
    <col min="5" max="5" width="8.83203125" style="1" customWidth="1"/>
    <col min="6" max="6" width="18.83203125" style="1" customWidth="1"/>
    <col min="7" max="7" width="8.83203125" style="1" customWidth="1"/>
    <col min="8" max="8" width="16.83203125" style="1" customWidth="1"/>
    <col min="9" max="9" width="8.83203125" style="1" customWidth="1"/>
    <col min="10" max="16384" width="15.83203125" style="1" customWidth="1"/>
  </cols>
  <sheetData>
    <row r="1" spans="1:9" ht="6.75" customHeight="1">
      <c r="A1" s="5"/>
      <c r="B1" s="6"/>
      <c r="C1" s="6"/>
      <c r="D1" s="6"/>
      <c r="E1" s="6"/>
      <c r="F1" s="6"/>
      <c r="G1" s="6"/>
      <c r="H1" s="6"/>
      <c r="I1" s="6"/>
    </row>
    <row r="2" spans="1:9" ht="15.75" customHeight="1">
      <c r="A2" s="219"/>
      <c r="B2" s="7" t="s">
        <v>75</v>
      </c>
      <c r="C2" s="8"/>
      <c r="D2" s="8"/>
      <c r="E2" s="8"/>
      <c r="F2" s="8"/>
      <c r="G2" s="105"/>
      <c r="H2" s="105"/>
      <c r="I2" s="220" t="s">
        <v>329</v>
      </c>
    </row>
    <row r="3" spans="1:9" ht="15.75" customHeight="1">
      <c r="A3" s="221"/>
      <c r="B3" s="9" t="str">
        <f>OPYEAR</f>
        <v>OPERATING FUND 2003/2004 ACTUAL</v>
      </c>
      <c r="C3" s="10"/>
      <c r="D3" s="10"/>
      <c r="E3" s="10"/>
      <c r="F3" s="10"/>
      <c r="G3" s="107"/>
      <c r="H3" s="107"/>
      <c r="I3" s="94"/>
    </row>
    <row r="4" spans="2:9" ht="15.75" customHeight="1">
      <c r="B4" s="6"/>
      <c r="C4" s="6"/>
      <c r="D4" s="6"/>
      <c r="E4" s="6"/>
      <c r="F4" s="6"/>
      <c r="G4" s="6"/>
      <c r="H4" s="6"/>
      <c r="I4" s="6"/>
    </row>
    <row r="5" spans="2:9" ht="15.75" customHeight="1">
      <c r="B5" s="6"/>
      <c r="C5" s="6"/>
      <c r="D5" s="6"/>
      <c r="E5" s="6"/>
      <c r="F5" s="6"/>
      <c r="G5" s="6"/>
      <c r="H5" s="6"/>
      <c r="I5" s="6"/>
    </row>
    <row r="6" spans="2:9" ht="15.75" customHeight="1">
      <c r="B6" s="278" t="s">
        <v>94</v>
      </c>
      <c r="C6" s="279"/>
      <c r="D6" s="280"/>
      <c r="E6" s="280"/>
      <c r="F6" s="280"/>
      <c r="G6" s="280"/>
      <c r="H6" s="280"/>
      <c r="I6" s="281"/>
    </row>
    <row r="7" spans="2:9" ht="15.75" customHeight="1">
      <c r="B7" s="209" t="s">
        <v>355</v>
      </c>
      <c r="C7" s="210"/>
      <c r="D7" s="209" t="s">
        <v>121</v>
      </c>
      <c r="E7" s="210"/>
      <c r="F7" s="209" t="s">
        <v>122</v>
      </c>
      <c r="G7" s="210"/>
      <c r="H7" s="318"/>
      <c r="I7" s="66"/>
    </row>
    <row r="8" spans="1:9" ht="15.75" customHeight="1">
      <c r="A8" s="96"/>
      <c r="B8" s="71" t="s">
        <v>172</v>
      </c>
      <c r="C8" s="70"/>
      <c r="D8" s="108" t="s">
        <v>151</v>
      </c>
      <c r="E8" s="70"/>
      <c r="F8" s="108" t="s">
        <v>152</v>
      </c>
      <c r="G8" s="70"/>
      <c r="H8" s="108" t="s">
        <v>298</v>
      </c>
      <c r="I8" s="70"/>
    </row>
    <row r="9" spans="1:9" ht="15.75" customHeight="1">
      <c r="A9" s="49" t="s">
        <v>175</v>
      </c>
      <c r="B9" s="282" t="s">
        <v>176</v>
      </c>
      <c r="C9" s="282" t="s">
        <v>177</v>
      </c>
      <c r="D9" s="282" t="s">
        <v>176</v>
      </c>
      <c r="E9" s="282" t="s">
        <v>177</v>
      </c>
      <c r="F9" s="282" t="s">
        <v>176</v>
      </c>
      <c r="G9" s="282" t="s">
        <v>177</v>
      </c>
      <c r="H9" s="282" t="s">
        <v>176</v>
      </c>
      <c r="I9" s="282" t="s">
        <v>177</v>
      </c>
    </row>
    <row r="10" ht="4.5" customHeight="1">
      <c r="A10" s="4"/>
    </row>
    <row r="11" spans="1:9" ht="13.5" customHeight="1">
      <c r="A11" s="25" t="s">
        <v>359</v>
      </c>
      <c r="B11" s="230">
        <v>0</v>
      </c>
      <c r="C11" s="226">
        <f>B11/'- 3 -'!D11</f>
        <v>0</v>
      </c>
      <c r="D11" s="230">
        <v>0</v>
      </c>
      <c r="E11" s="226">
        <f>D11/'- 3 -'!D11</f>
        <v>0</v>
      </c>
      <c r="F11" s="230">
        <v>0</v>
      </c>
      <c r="G11" s="226">
        <f>F11/'- 3 -'!D11</f>
        <v>0</v>
      </c>
      <c r="H11" s="230">
        <v>2932</v>
      </c>
      <c r="I11" s="226">
        <f>H11/'- 3 -'!D11</f>
        <v>0.0002568895823388938</v>
      </c>
    </row>
    <row r="12" spans="1:9" ht="13.5" customHeight="1">
      <c r="A12" s="27" t="s">
        <v>360</v>
      </c>
      <c r="B12" s="229">
        <v>0</v>
      </c>
      <c r="C12" s="227">
        <f>B12/'- 3 -'!D12</f>
        <v>0</v>
      </c>
      <c r="D12" s="229">
        <v>0</v>
      </c>
      <c r="E12" s="227">
        <f>D12/'- 3 -'!D12</f>
        <v>0</v>
      </c>
      <c r="F12" s="229">
        <v>0</v>
      </c>
      <c r="G12" s="227">
        <f>F12/'- 3 -'!D12</f>
        <v>0</v>
      </c>
      <c r="H12" s="229">
        <v>18089</v>
      </c>
      <c r="I12" s="227">
        <f>H12/'- 3 -'!D12</f>
        <v>0.0009434200402881924</v>
      </c>
    </row>
    <row r="13" spans="1:9" ht="13.5" customHeight="1">
      <c r="A13" s="25" t="s">
        <v>361</v>
      </c>
      <c r="B13" s="230">
        <v>0</v>
      </c>
      <c r="C13" s="226">
        <f>B13/'- 3 -'!D13</f>
        <v>0</v>
      </c>
      <c r="D13" s="230">
        <v>0</v>
      </c>
      <c r="E13" s="226">
        <f>D13/'- 3 -'!D13</f>
        <v>0</v>
      </c>
      <c r="F13" s="230">
        <v>41623</v>
      </c>
      <c r="G13" s="226">
        <f>F13/'- 3 -'!D13</f>
        <v>0.0008505821487383802</v>
      </c>
      <c r="H13" s="230">
        <v>27378</v>
      </c>
      <c r="I13" s="226">
        <f>H13/'- 3 -'!D13</f>
        <v>0.0005594800487268908</v>
      </c>
    </row>
    <row r="14" spans="1:9" ht="13.5" customHeight="1">
      <c r="A14" s="27" t="s">
        <v>398</v>
      </c>
      <c r="B14" s="229">
        <v>0</v>
      </c>
      <c r="C14" s="227">
        <f>B14/'- 3 -'!D14</f>
        <v>0</v>
      </c>
      <c r="D14" s="229">
        <v>0</v>
      </c>
      <c r="E14" s="227">
        <f>D14/'- 3 -'!D14</f>
        <v>0</v>
      </c>
      <c r="F14" s="229">
        <v>0</v>
      </c>
      <c r="G14" s="227">
        <f>F14/'- 3 -'!D14</f>
        <v>0</v>
      </c>
      <c r="H14" s="229">
        <v>140270</v>
      </c>
      <c r="I14" s="227">
        <f>H14/'- 3 -'!D14</f>
        <v>0.003311369434806579</v>
      </c>
    </row>
    <row r="15" spans="1:9" ht="13.5" customHeight="1">
      <c r="A15" s="25" t="s">
        <v>362</v>
      </c>
      <c r="B15" s="230">
        <v>162229</v>
      </c>
      <c r="C15" s="226">
        <f>B15/'- 3 -'!D15</f>
        <v>0.012413904454509489</v>
      </c>
      <c r="D15" s="230">
        <v>0</v>
      </c>
      <c r="E15" s="226">
        <f>D15/'- 3 -'!D15</f>
        <v>0</v>
      </c>
      <c r="F15" s="230">
        <v>0</v>
      </c>
      <c r="G15" s="226">
        <f>F15/'- 3 -'!D15</f>
        <v>0</v>
      </c>
      <c r="H15" s="230">
        <v>7198</v>
      </c>
      <c r="I15" s="226">
        <f>H15/'- 3 -'!D15</f>
        <v>0.0005507972326992049</v>
      </c>
    </row>
    <row r="16" spans="1:9" ht="13.5" customHeight="1">
      <c r="A16" s="27" t="s">
        <v>363</v>
      </c>
      <c r="B16" s="229">
        <v>0</v>
      </c>
      <c r="C16" s="227">
        <f>B16/'- 3 -'!D16</f>
        <v>0</v>
      </c>
      <c r="D16" s="229">
        <v>0</v>
      </c>
      <c r="E16" s="227">
        <f>D16/'- 3 -'!D16</f>
        <v>0</v>
      </c>
      <c r="F16" s="229">
        <v>0</v>
      </c>
      <c r="G16" s="227">
        <f>F16/'- 3 -'!D16</f>
        <v>0</v>
      </c>
      <c r="H16" s="229">
        <v>5000</v>
      </c>
      <c r="I16" s="227">
        <f>H16/'- 3 -'!D16</f>
        <v>0.0004667044417241798</v>
      </c>
    </row>
    <row r="17" spans="1:9" ht="13.5" customHeight="1">
      <c r="A17" s="25" t="s">
        <v>364</v>
      </c>
      <c r="B17" s="230">
        <v>0</v>
      </c>
      <c r="C17" s="226">
        <f>B17/'- 3 -'!D17</f>
        <v>0</v>
      </c>
      <c r="D17" s="230">
        <v>0</v>
      </c>
      <c r="E17" s="226">
        <f>D17/'- 3 -'!D17</f>
        <v>0</v>
      </c>
      <c r="F17" s="230">
        <v>0</v>
      </c>
      <c r="G17" s="226">
        <f>F17/'- 3 -'!D17</f>
        <v>0</v>
      </c>
      <c r="H17" s="230">
        <v>21937</v>
      </c>
      <c r="I17" s="226">
        <f>H17/'- 3 -'!D17</f>
        <v>0.0017770173342828257</v>
      </c>
    </row>
    <row r="18" spans="1:9" ht="13.5" customHeight="1">
      <c r="A18" s="27" t="s">
        <v>365</v>
      </c>
      <c r="B18" s="229">
        <v>14774</v>
      </c>
      <c r="C18" s="227">
        <f>B18/'- 3 -'!D18</f>
        <v>0.00020103544274994604</v>
      </c>
      <c r="D18" s="229">
        <v>0</v>
      </c>
      <c r="E18" s="227">
        <f>D18/'- 3 -'!D18</f>
        <v>0</v>
      </c>
      <c r="F18" s="229">
        <v>280503</v>
      </c>
      <c r="G18" s="227">
        <f>F18/'- 3 -'!D18</f>
        <v>0.0038169111139629156</v>
      </c>
      <c r="H18" s="229">
        <v>691054</v>
      </c>
      <c r="I18" s="227">
        <f>H18/'- 3 -'!D18</f>
        <v>0.009403434875735835</v>
      </c>
    </row>
    <row r="19" spans="1:9" ht="13.5" customHeight="1">
      <c r="A19" s="25" t="s">
        <v>366</v>
      </c>
      <c r="B19" s="230">
        <v>0</v>
      </c>
      <c r="C19" s="226">
        <f>B19/'- 3 -'!D19</f>
        <v>0</v>
      </c>
      <c r="D19" s="230">
        <v>0</v>
      </c>
      <c r="E19" s="226">
        <f>D19/'- 3 -'!D19</f>
        <v>0</v>
      </c>
      <c r="F19" s="230">
        <v>0</v>
      </c>
      <c r="G19" s="226">
        <f>F19/'- 3 -'!D19</f>
        <v>0</v>
      </c>
      <c r="H19" s="230">
        <v>10895</v>
      </c>
      <c r="I19" s="226">
        <f>H19/'- 3 -'!D19</f>
        <v>0.0005938427419390004</v>
      </c>
    </row>
    <row r="20" spans="1:9" ht="13.5" customHeight="1">
      <c r="A20" s="27" t="s">
        <v>367</v>
      </c>
      <c r="B20" s="229">
        <v>12595</v>
      </c>
      <c r="C20" s="227">
        <f>B20/'- 3 -'!D20</f>
        <v>0.00034336059871838034</v>
      </c>
      <c r="D20" s="229">
        <v>0</v>
      </c>
      <c r="E20" s="227">
        <f>D20/'- 3 -'!D20</f>
        <v>0</v>
      </c>
      <c r="F20" s="229">
        <v>0</v>
      </c>
      <c r="G20" s="227">
        <f>F20/'- 3 -'!D20</f>
        <v>0</v>
      </c>
      <c r="H20" s="229">
        <v>102590</v>
      </c>
      <c r="I20" s="227">
        <f>H20/'- 3 -'!D20</f>
        <v>0.0027967736262420515</v>
      </c>
    </row>
    <row r="21" spans="1:9" ht="13.5" customHeight="1">
      <c r="A21" s="25" t="s">
        <v>368</v>
      </c>
      <c r="B21" s="230">
        <v>65206</v>
      </c>
      <c r="C21" s="226">
        <f>B21/'- 3 -'!D21</f>
        <v>0.0027087293066099956</v>
      </c>
      <c r="D21" s="230">
        <v>0</v>
      </c>
      <c r="E21" s="226">
        <f>D21/'- 3 -'!D21</f>
        <v>0</v>
      </c>
      <c r="F21" s="230">
        <v>0</v>
      </c>
      <c r="G21" s="226">
        <f>F21/'- 3 -'!D21</f>
        <v>0</v>
      </c>
      <c r="H21" s="230">
        <v>11663</v>
      </c>
      <c r="I21" s="226">
        <f>H21/'- 3 -'!D21</f>
        <v>0.00048449391011551665</v>
      </c>
    </row>
    <row r="22" spans="1:9" ht="13.5" customHeight="1">
      <c r="A22" s="27" t="s">
        <v>369</v>
      </c>
      <c r="B22" s="229">
        <v>0</v>
      </c>
      <c r="C22" s="227">
        <f>B22/'- 3 -'!D22</f>
        <v>0</v>
      </c>
      <c r="D22" s="229">
        <v>0</v>
      </c>
      <c r="E22" s="227">
        <f>D22/'- 3 -'!D22</f>
        <v>0</v>
      </c>
      <c r="F22" s="229">
        <v>55204</v>
      </c>
      <c r="G22" s="227">
        <f>F22/'- 3 -'!D22</f>
        <v>0.004094697254311303</v>
      </c>
      <c r="H22" s="229">
        <v>0</v>
      </c>
      <c r="I22" s="227">
        <f>H22/'- 3 -'!D22</f>
        <v>0</v>
      </c>
    </row>
    <row r="23" spans="1:9" ht="13.5" customHeight="1">
      <c r="A23" s="25" t="s">
        <v>370</v>
      </c>
      <c r="B23" s="230">
        <v>98412</v>
      </c>
      <c r="C23" s="226">
        <f>B23/'- 3 -'!D23</f>
        <v>0.008699357943680116</v>
      </c>
      <c r="D23" s="230">
        <v>0</v>
      </c>
      <c r="E23" s="226">
        <f>D23/'- 3 -'!D23</f>
        <v>0</v>
      </c>
      <c r="F23" s="230">
        <v>12799</v>
      </c>
      <c r="G23" s="226">
        <f>F23/'- 3 -'!D23</f>
        <v>0.001131397414148293</v>
      </c>
      <c r="H23" s="230">
        <v>3363</v>
      </c>
      <c r="I23" s="226">
        <f>H23/'- 3 -'!D23</f>
        <v>0.0002972802174998601</v>
      </c>
    </row>
    <row r="24" spans="1:9" ht="13.5" customHeight="1">
      <c r="A24" s="27" t="s">
        <v>371</v>
      </c>
      <c r="B24" s="229">
        <v>179291</v>
      </c>
      <c r="C24" s="227">
        <f>B24/'- 3 -'!D24</f>
        <v>0.005147527129557521</v>
      </c>
      <c r="D24" s="229">
        <v>0</v>
      </c>
      <c r="E24" s="227">
        <f>D24/'- 3 -'!D24</f>
        <v>0</v>
      </c>
      <c r="F24" s="229">
        <v>118060</v>
      </c>
      <c r="G24" s="227">
        <f>F24/'- 3 -'!D24</f>
        <v>0.003389556937691021</v>
      </c>
      <c r="H24" s="229">
        <v>0</v>
      </c>
      <c r="I24" s="227">
        <f>H24/'- 3 -'!D24</f>
        <v>0</v>
      </c>
    </row>
    <row r="25" spans="1:9" ht="13.5" customHeight="1">
      <c r="A25" s="25" t="s">
        <v>372</v>
      </c>
      <c r="B25" s="230">
        <v>248794</v>
      </c>
      <c r="C25" s="226">
        <f>B25/'- 3 -'!D25</f>
        <v>0.0022519234374318575</v>
      </c>
      <c r="D25" s="230">
        <v>6985</v>
      </c>
      <c r="E25" s="226">
        <f>D25/'- 3 -'!D25</f>
        <v>6.322373212562009E-05</v>
      </c>
      <c r="F25" s="230">
        <v>65155</v>
      </c>
      <c r="G25" s="226">
        <f>F25/'- 3 -'!D25</f>
        <v>0.000589741197801686</v>
      </c>
      <c r="H25" s="230">
        <v>129775</v>
      </c>
      <c r="I25" s="226">
        <f>H25/'- 3 -'!D25</f>
        <v>0.0011746399193417818</v>
      </c>
    </row>
    <row r="26" spans="1:9" ht="13.5" customHeight="1">
      <c r="A26" s="27" t="s">
        <v>373</v>
      </c>
      <c r="B26" s="229">
        <v>0</v>
      </c>
      <c r="C26" s="227">
        <f>B26/'- 3 -'!D26</f>
        <v>0</v>
      </c>
      <c r="D26" s="229">
        <v>0</v>
      </c>
      <c r="E26" s="227">
        <f>D26/'- 3 -'!D26</f>
        <v>0</v>
      </c>
      <c r="F26" s="229">
        <v>0</v>
      </c>
      <c r="G26" s="227">
        <f>F26/'- 3 -'!D26</f>
        <v>0</v>
      </c>
      <c r="H26" s="229">
        <v>22961</v>
      </c>
      <c r="I26" s="227">
        <f>H26/'- 3 -'!D26</f>
        <v>0.0008480381771932577</v>
      </c>
    </row>
    <row r="27" spans="1:9" ht="13.5" customHeight="1">
      <c r="A27" s="25" t="s">
        <v>374</v>
      </c>
      <c r="B27" s="230">
        <v>0</v>
      </c>
      <c r="C27" s="226">
        <f>B27/'- 3 -'!D27</f>
        <v>0</v>
      </c>
      <c r="D27" s="230">
        <v>0</v>
      </c>
      <c r="E27" s="226">
        <f>D27/'- 3 -'!D27</f>
        <v>0</v>
      </c>
      <c r="F27" s="230">
        <v>14214</v>
      </c>
      <c r="G27" s="226">
        <f>F27/'- 3 -'!D27</f>
        <v>0.0005243539547585372</v>
      </c>
      <c r="H27" s="230">
        <v>11165</v>
      </c>
      <c r="I27" s="226">
        <f>H27/'- 3 -'!D27</f>
        <v>0.00041187645313627886</v>
      </c>
    </row>
    <row r="28" spans="1:9" ht="13.5" customHeight="1">
      <c r="A28" s="27" t="s">
        <v>375</v>
      </c>
      <c r="B28" s="229">
        <v>0</v>
      </c>
      <c r="C28" s="227">
        <f>B28/'- 3 -'!D28</f>
        <v>0</v>
      </c>
      <c r="D28" s="229">
        <v>0</v>
      </c>
      <c r="E28" s="227">
        <f>D28/'- 3 -'!D28</f>
        <v>0</v>
      </c>
      <c r="F28" s="229">
        <v>0</v>
      </c>
      <c r="G28" s="227">
        <f>F28/'- 3 -'!D28</f>
        <v>0</v>
      </c>
      <c r="H28" s="229">
        <v>9558</v>
      </c>
      <c r="I28" s="227">
        <f>H28/'- 3 -'!D28</f>
        <v>0.0005732327708968261</v>
      </c>
    </row>
    <row r="29" spans="1:9" ht="13.5" customHeight="1">
      <c r="A29" s="25" t="s">
        <v>376</v>
      </c>
      <c r="B29" s="230">
        <v>0</v>
      </c>
      <c r="C29" s="226">
        <f>B29/'- 3 -'!D29</f>
        <v>0</v>
      </c>
      <c r="D29" s="230">
        <v>0</v>
      </c>
      <c r="E29" s="226">
        <f>D29/'- 3 -'!D29</f>
        <v>0</v>
      </c>
      <c r="F29" s="230">
        <v>152008</v>
      </c>
      <c r="G29" s="226">
        <f>F29/'- 3 -'!D29</f>
        <v>0.001492395642952452</v>
      </c>
      <c r="H29" s="230">
        <v>39649</v>
      </c>
      <c r="I29" s="226">
        <f>H29/'- 3 -'!D29</f>
        <v>0.0003892689519460934</v>
      </c>
    </row>
    <row r="30" spans="1:9" ht="13.5" customHeight="1">
      <c r="A30" s="27" t="s">
        <v>377</v>
      </c>
      <c r="B30" s="229">
        <v>0</v>
      </c>
      <c r="C30" s="227">
        <f>B30/'- 3 -'!D30</f>
        <v>0</v>
      </c>
      <c r="D30" s="229">
        <v>0</v>
      </c>
      <c r="E30" s="227">
        <f>D30/'- 3 -'!D30</f>
        <v>0</v>
      </c>
      <c r="F30" s="229">
        <v>0</v>
      </c>
      <c r="G30" s="227">
        <f>F30/'- 3 -'!D30</f>
        <v>0</v>
      </c>
      <c r="H30" s="229">
        <v>4702</v>
      </c>
      <c r="I30" s="227">
        <f>H30/'- 3 -'!D30</f>
        <v>0.00047859352538891833</v>
      </c>
    </row>
    <row r="31" spans="1:9" ht="13.5" customHeight="1">
      <c r="A31" s="25" t="s">
        <v>378</v>
      </c>
      <c r="B31" s="230">
        <v>0</v>
      </c>
      <c r="C31" s="226">
        <f>B31/'- 3 -'!D31</f>
        <v>0</v>
      </c>
      <c r="D31" s="230">
        <v>0</v>
      </c>
      <c r="E31" s="226">
        <f>D31/'- 3 -'!D31</f>
        <v>0</v>
      </c>
      <c r="F31" s="230">
        <v>0</v>
      </c>
      <c r="G31" s="226">
        <f>F31/'- 3 -'!D31</f>
        <v>0</v>
      </c>
      <c r="H31" s="230">
        <v>14819</v>
      </c>
      <c r="I31" s="226">
        <f>H31/'- 3 -'!D31</f>
        <v>0.0005945203748298712</v>
      </c>
    </row>
    <row r="32" spans="1:9" ht="13.5" customHeight="1">
      <c r="A32" s="27" t="s">
        <v>379</v>
      </c>
      <c r="B32" s="229">
        <v>0</v>
      </c>
      <c r="C32" s="227">
        <f>B32/'- 3 -'!D32</f>
        <v>0</v>
      </c>
      <c r="D32" s="229">
        <v>0</v>
      </c>
      <c r="E32" s="227">
        <f>D32/'- 3 -'!D32</f>
        <v>0</v>
      </c>
      <c r="F32" s="229">
        <v>0</v>
      </c>
      <c r="G32" s="227">
        <f>F32/'- 3 -'!D32</f>
        <v>0</v>
      </c>
      <c r="H32" s="229">
        <v>15642</v>
      </c>
      <c r="I32" s="227">
        <f>H32/'- 3 -'!D32</f>
        <v>0.0008444503733164911</v>
      </c>
    </row>
    <row r="33" spans="1:9" ht="13.5" customHeight="1">
      <c r="A33" s="25" t="s">
        <v>380</v>
      </c>
      <c r="B33" s="230">
        <v>0</v>
      </c>
      <c r="C33" s="226">
        <f>B33/'- 3 -'!D33</f>
        <v>0</v>
      </c>
      <c r="D33" s="230">
        <v>0</v>
      </c>
      <c r="E33" s="226">
        <f>D33/'- 3 -'!D33</f>
        <v>0</v>
      </c>
      <c r="F33" s="230">
        <v>0</v>
      </c>
      <c r="G33" s="226">
        <f>F33/'- 3 -'!D33</f>
        <v>0</v>
      </c>
      <c r="H33" s="230">
        <v>11730</v>
      </c>
      <c r="I33" s="226">
        <f>H33/'- 3 -'!D33</f>
        <v>0.0005337056502775656</v>
      </c>
    </row>
    <row r="34" spans="1:9" ht="13.5" customHeight="1">
      <c r="A34" s="27" t="s">
        <v>381</v>
      </c>
      <c r="B34" s="229">
        <v>0</v>
      </c>
      <c r="C34" s="227">
        <f>B34/'- 3 -'!D34</f>
        <v>0</v>
      </c>
      <c r="D34" s="229">
        <v>0</v>
      </c>
      <c r="E34" s="227">
        <f>D34/'- 3 -'!D34</f>
        <v>0</v>
      </c>
      <c r="F34" s="229">
        <v>0</v>
      </c>
      <c r="G34" s="227">
        <f>F34/'- 3 -'!D34</f>
        <v>0</v>
      </c>
      <c r="H34" s="229">
        <v>13142</v>
      </c>
      <c r="I34" s="227">
        <f>H34/'- 3 -'!D34</f>
        <v>0.0007742328337640452</v>
      </c>
    </row>
    <row r="35" spans="1:9" ht="13.5" customHeight="1">
      <c r="A35" s="25" t="s">
        <v>382</v>
      </c>
      <c r="B35" s="230">
        <v>419443</v>
      </c>
      <c r="C35" s="226">
        <f>B35/'- 3 -'!D35</f>
        <v>0.003324213665429621</v>
      </c>
      <c r="D35" s="230">
        <v>14042</v>
      </c>
      <c r="E35" s="226">
        <f>D35/'- 3 -'!D35</f>
        <v>0.00011128713148142355</v>
      </c>
      <c r="F35" s="230">
        <v>258499</v>
      </c>
      <c r="G35" s="226">
        <f>F35/'- 3 -'!D35</f>
        <v>0.002048683392737253</v>
      </c>
      <c r="H35" s="230">
        <v>34576</v>
      </c>
      <c r="I35" s="226">
        <f>H35/'- 3 -'!D35</f>
        <v>0.00027402534240860994</v>
      </c>
    </row>
    <row r="36" spans="1:9" ht="13.5" customHeight="1">
      <c r="A36" s="27" t="s">
        <v>383</v>
      </c>
      <c r="B36" s="229">
        <v>0</v>
      </c>
      <c r="C36" s="227">
        <f>B36/'- 3 -'!D36</f>
        <v>0</v>
      </c>
      <c r="D36" s="229">
        <v>0</v>
      </c>
      <c r="E36" s="227">
        <f>D36/'- 3 -'!D36</f>
        <v>0</v>
      </c>
      <c r="F36" s="229">
        <v>0</v>
      </c>
      <c r="G36" s="227">
        <f>F36/'- 3 -'!D36</f>
        <v>0</v>
      </c>
      <c r="H36" s="229">
        <v>9359</v>
      </c>
      <c r="I36" s="227">
        <f>H36/'- 3 -'!D36</f>
        <v>0.0005606665264051828</v>
      </c>
    </row>
    <row r="37" spans="1:9" ht="13.5" customHeight="1">
      <c r="A37" s="25" t="s">
        <v>384</v>
      </c>
      <c r="B37" s="230">
        <v>0</v>
      </c>
      <c r="C37" s="226">
        <f>B37/'- 3 -'!D37</f>
        <v>0</v>
      </c>
      <c r="D37" s="230">
        <v>0</v>
      </c>
      <c r="E37" s="226">
        <f>D37/'- 3 -'!D37</f>
        <v>0</v>
      </c>
      <c r="F37" s="230">
        <v>0</v>
      </c>
      <c r="G37" s="226">
        <f>F37/'- 3 -'!D37</f>
        <v>0</v>
      </c>
      <c r="H37" s="230">
        <v>13310</v>
      </c>
      <c r="I37" s="226">
        <f>H37/'- 3 -'!D37</f>
        <v>0.0005276663547323337</v>
      </c>
    </row>
    <row r="38" spans="1:9" ht="13.5" customHeight="1">
      <c r="A38" s="27" t="s">
        <v>385</v>
      </c>
      <c r="B38" s="229">
        <v>56177</v>
      </c>
      <c r="C38" s="227">
        <f>B38/'- 3 -'!D38</f>
        <v>0.000860735946413049</v>
      </c>
      <c r="D38" s="229">
        <v>0</v>
      </c>
      <c r="E38" s="227">
        <f>D38/'- 3 -'!D38</f>
        <v>0</v>
      </c>
      <c r="F38" s="229">
        <v>72174</v>
      </c>
      <c r="G38" s="227">
        <f>F38/'- 3 -'!D38</f>
        <v>0.0011058396887768196</v>
      </c>
      <c r="H38" s="229">
        <v>299065</v>
      </c>
      <c r="I38" s="227">
        <f>H38/'- 3 -'!D38</f>
        <v>0.0045822310877052614</v>
      </c>
    </row>
    <row r="39" spans="1:9" ht="13.5" customHeight="1">
      <c r="A39" s="25" t="s">
        <v>386</v>
      </c>
      <c r="B39" s="230">
        <v>0</v>
      </c>
      <c r="C39" s="226">
        <f>B39/'- 3 -'!D39</f>
        <v>0</v>
      </c>
      <c r="D39" s="230">
        <v>0</v>
      </c>
      <c r="E39" s="226">
        <f>D39/'- 3 -'!D39</f>
        <v>0</v>
      </c>
      <c r="F39" s="230">
        <v>0</v>
      </c>
      <c r="G39" s="226">
        <f>F39/'- 3 -'!D39</f>
        <v>0</v>
      </c>
      <c r="H39" s="230">
        <v>54246</v>
      </c>
      <c r="I39" s="226">
        <f>H39/'- 3 -'!D39</f>
        <v>0.00353829658473433</v>
      </c>
    </row>
    <row r="40" spans="1:9" ht="13.5" customHeight="1">
      <c r="A40" s="27" t="s">
        <v>387</v>
      </c>
      <c r="B40" s="229">
        <v>332549</v>
      </c>
      <c r="C40" s="227">
        <f>B40/'- 3 -'!D40</f>
        <v>0.005061295577815443</v>
      </c>
      <c r="D40" s="229">
        <v>0</v>
      </c>
      <c r="E40" s="227">
        <f>D40/'- 3 -'!D40</f>
        <v>0</v>
      </c>
      <c r="F40" s="229">
        <v>98462</v>
      </c>
      <c r="G40" s="227">
        <f>F40/'- 3 -'!D40</f>
        <v>0.0014985619718683987</v>
      </c>
      <c r="H40" s="229">
        <v>53265</v>
      </c>
      <c r="I40" s="227">
        <f>H40/'- 3 -'!D40</f>
        <v>0.0008106772504272741</v>
      </c>
    </row>
    <row r="41" spans="1:9" ht="13.5" customHeight="1">
      <c r="A41" s="25" t="s">
        <v>388</v>
      </c>
      <c r="B41" s="230">
        <v>0</v>
      </c>
      <c r="C41" s="226">
        <f>B41/'- 3 -'!D41</f>
        <v>0</v>
      </c>
      <c r="D41" s="230">
        <v>0</v>
      </c>
      <c r="E41" s="226">
        <f>D41/'- 3 -'!D41</f>
        <v>0</v>
      </c>
      <c r="F41" s="230">
        <v>0</v>
      </c>
      <c r="G41" s="226">
        <f>F41/'- 3 -'!D41</f>
        <v>0</v>
      </c>
      <c r="H41" s="230">
        <v>109231</v>
      </c>
      <c r="I41" s="226">
        <f>H41/'- 3 -'!D41</f>
        <v>0.002794010584248534</v>
      </c>
    </row>
    <row r="42" spans="1:9" ht="13.5" customHeight="1">
      <c r="A42" s="27" t="s">
        <v>389</v>
      </c>
      <c r="B42" s="229">
        <v>2045</v>
      </c>
      <c r="C42" s="227">
        <f>B42/'- 3 -'!D42</f>
        <v>0.0001353090617768905</v>
      </c>
      <c r="D42" s="229">
        <v>0</v>
      </c>
      <c r="E42" s="227">
        <f>D42/'- 3 -'!D42</f>
        <v>0</v>
      </c>
      <c r="F42" s="229">
        <v>0</v>
      </c>
      <c r="G42" s="227">
        <f>F42/'- 3 -'!D42</f>
        <v>0</v>
      </c>
      <c r="H42" s="229">
        <v>45905</v>
      </c>
      <c r="I42" s="227">
        <f>H42/'- 3 -'!D42</f>
        <v>0.0030373410664391973</v>
      </c>
    </row>
    <row r="43" spans="1:9" ht="13.5" customHeight="1">
      <c r="A43" s="25" t="s">
        <v>390</v>
      </c>
      <c r="B43" s="230">
        <v>0</v>
      </c>
      <c r="C43" s="226">
        <f>B43/'- 3 -'!D43</f>
        <v>0</v>
      </c>
      <c r="D43" s="230">
        <v>0</v>
      </c>
      <c r="E43" s="226">
        <f>D43/'- 3 -'!D43</f>
        <v>0</v>
      </c>
      <c r="F43" s="230">
        <v>0</v>
      </c>
      <c r="G43" s="226">
        <f>F43/'- 3 -'!D43</f>
        <v>0</v>
      </c>
      <c r="H43" s="230">
        <v>5198</v>
      </c>
      <c r="I43" s="226">
        <f>H43/'- 3 -'!D43</f>
        <v>0.0005628360178669576</v>
      </c>
    </row>
    <row r="44" spans="1:9" ht="13.5" customHeight="1">
      <c r="A44" s="27" t="s">
        <v>391</v>
      </c>
      <c r="B44" s="229">
        <v>0</v>
      </c>
      <c r="C44" s="227">
        <f>B44/'- 3 -'!D44</f>
        <v>0</v>
      </c>
      <c r="D44" s="229">
        <v>0</v>
      </c>
      <c r="E44" s="227">
        <f>D44/'- 3 -'!D44</f>
        <v>0</v>
      </c>
      <c r="F44" s="229">
        <v>0</v>
      </c>
      <c r="G44" s="227">
        <f>F44/'- 3 -'!D44</f>
        <v>0</v>
      </c>
      <c r="H44" s="229">
        <v>0</v>
      </c>
      <c r="I44" s="227">
        <f>H44/'- 3 -'!D44</f>
        <v>0</v>
      </c>
    </row>
    <row r="45" spans="1:9" ht="13.5" customHeight="1">
      <c r="A45" s="25" t="s">
        <v>392</v>
      </c>
      <c r="B45" s="230">
        <v>0</v>
      </c>
      <c r="C45" s="226">
        <f>B45/'- 3 -'!D45</f>
        <v>0</v>
      </c>
      <c r="D45" s="230">
        <v>0</v>
      </c>
      <c r="E45" s="226">
        <f>D45/'- 3 -'!D45</f>
        <v>0</v>
      </c>
      <c r="F45" s="230">
        <v>115176</v>
      </c>
      <c r="G45" s="226">
        <f>F45/'- 3 -'!D45</f>
        <v>0.011018178684234348</v>
      </c>
      <c r="H45" s="230">
        <v>18560</v>
      </c>
      <c r="I45" s="226">
        <f>H45/'- 3 -'!D45</f>
        <v>0.0017755209104274286</v>
      </c>
    </row>
    <row r="46" spans="1:9" ht="13.5" customHeight="1">
      <c r="A46" s="27" t="s">
        <v>393</v>
      </c>
      <c r="B46" s="229">
        <v>0</v>
      </c>
      <c r="C46" s="227">
        <f>B46/'- 3 -'!D46</f>
        <v>0</v>
      </c>
      <c r="D46" s="229">
        <v>1815242</v>
      </c>
      <c r="E46" s="227">
        <f>D46/'- 3 -'!D46</f>
        <v>0.006979078416563255</v>
      </c>
      <c r="F46" s="229">
        <v>149122</v>
      </c>
      <c r="G46" s="227">
        <f>F46/'- 3 -'!D46</f>
        <v>0.0005733307909550053</v>
      </c>
      <c r="H46" s="229">
        <v>2950799</v>
      </c>
      <c r="I46" s="227">
        <f>H46/'- 3 -'!D46</f>
        <v>0.01134496536137685</v>
      </c>
    </row>
    <row r="47" spans="1:9" ht="13.5" customHeight="1">
      <c r="A47" s="25" t="s">
        <v>397</v>
      </c>
      <c r="B47" s="230">
        <v>329701</v>
      </c>
      <c r="C47" s="226">
        <f>B47/'- 3 -'!D47</f>
        <v>0.05628914469612576</v>
      </c>
      <c r="D47" s="230">
        <v>0</v>
      </c>
      <c r="E47" s="226">
        <f>D47/'- 3 -'!D47</f>
        <v>0</v>
      </c>
      <c r="F47" s="230">
        <v>0</v>
      </c>
      <c r="G47" s="226">
        <f>F47/'- 3 -'!D47</f>
        <v>0</v>
      </c>
      <c r="H47" s="230">
        <v>0</v>
      </c>
      <c r="I47" s="226">
        <f>H47/'- 3 -'!D47</f>
        <v>0</v>
      </c>
    </row>
    <row r="48" spans="1:9" ht="4.5" customHeight="1">
      <c r="A48" s="29"/>
      <c r="C48" s="215"/>
      <c r="E48" s="215"/>
      <c r="G48" s="215"/>
      <c r="I48" s="215"/>
    </row>
    <row r="49" spans="1:9" ht="13.5" customHeight="1">
      <c r="A49" s="31" t="s">
        <v>394</v>
      </c>
      <c r="B49" s="319">
        <f>SUM(B11:B47)</f>
        <v>1921216</v>
      </c>
      <c r="C49" s="228">
        <f>B49/'- 3 -'!D49</f>
        <v>0.0013656768156617277</v>
      </c>
      <c r="D49" s="319">
        <f>SUM(D11:D47)</f>
        <v>1836269</v>
      </c>
      <c r="E49" s="228">
        <f>D49/'- 3 -'!D49</f>
        <v>0.0013052931063546967</v>
      </c>
      <c r="F49" s="319">
        <f>SUM(F11:F47)</f>
        <v>1432999</v>
      </c>
      <c r="G49" s="228">
        <f>F49/'- 3 -'!D49</f>
        <v>0.0010186327363328434</v>
      </c>
      <c r="H49" s="319">
        <f>SUM(H11:H47)</f>
        <v>4909026</v>
      </c>
      <c r="I49" s="228">
        <f>H49/'- 3 -'!D49</f>
        <v>0.0034895311072157572</v>
      </c>
    </row>
    <row r="50" spans="1:9" ht="4.5" customHeight="1">
      <c r="A50" s="29" t="s">
        <v>78</v>
      </c>
      <c r="C50" s="215"/>
      <c r="E50" s="215"/>
      <c r="G50" s="215"/>
      <c r="I50" s="215"/>
    </row>
    <row r="51" spans="1:9" ht="13.5" customHeight="1">
      <c r="A51" s="27" t="s">
        <v>395</v>
      </c>
      <c r="B51" s="229">
        <v>0</v>
      </c>
      <c r="C51" s="227">
        <f>B51/'- 3 -'!D51</f>
        <v>0</v>
      </c>
      <c r="D51" s="229">
        <v>0</v>
      </c>
      <c r="E51" s="227">
        <f>D51/'- 3 -'!D51</f>
        <v>0</v>
      </c>
      <c r="F51" s="229">
        <v>478</v>
      </c>
      <c r="G51" s="227">
        <f>F51/'- 3 -'!D51</f>
        <v>0.00038021301473922</v>
      </c>
      <c r="H51" s="229">
        <v>0</v>
      </c>
      <c r="I51" s="227">
        <f>H51/'- 3 -'!D51</f>
        <v>0</v>
      </c>
    </row>
    <row r="52" spans="1:9" ht="13.5" customHeight="1">
      <c r="A52" s="25" t="s">
        <v>396</v>
      </c>
      <c r="B52" s="230">
        <v>2939</v>
      </c>
      <c r="C52" s="226">
        <f>B52/'- 3 -'!D52</f>
        <v>0.001214135194098452</v>
      </c>
      <c r="D52" s="230">
        <v>0</v>
      </c>
      <c r="E52" s="226">
        <f>D52/'- 3 -'!D52</f>
        <v>0</v>
      </c>
      <c r="F52" s="230">
        <v>0</v>
      </c>
      <c r="G52" s="226">
        <f>F52/'- 3 -'!D52</f>
        <v>0</v>
      </c>
      <c r="H52" s="230">
        <v>0</v>
      </c>
      <c r="I52" s="226">
        <f>H52/'- 3 -'!D52</f>
        <v>0</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topLeftCell="A1">
      <selection activeCell="A1" sqref="A1"/>
    </sheetView>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219"/>
      <c r="B2" s="7" t="s">
        <v>75</v>
      </c>
      <c r="C2" s="8"/>
      <c r="D2" s="8"/>
      <c r="E2" s="8"/>
      <c r="F2" s="8"/>
      <c r="G2" s="105"/>
      <c r="H2" s="105"/>
      <c r="I2" s="257"/>
      <c r="J2" s="220" t="s">
        <v>330</v>
      </c>
    </row>
    <row r="3" spans="1:10" ht="15.75" customHeight="1">
      <c r="A3" s="221"/>
      <c r="B3" s="9" t="str">
        <f>OPYEAR</f>
        <v>OPERATING FUND 2003/2004 ACTUAL</v>
      </c>
      <c r="C3" s="10"/>
      <c r="D3" s="10"/>
      <c r="E3" s="10"/>
      <c r="F3" s="10"/>
      <c r="G3" s="107"/>
      <c r="H3" s="107"/>
      <c r="I3" s="107"/>
      <c r="J3" s="94"/>
    </row>
    <row r="4" spans="2:10" ht="15.75" customHeight="1">
      <c r="B4" s="6"/>
      <c r="C4" s="6"/>
      <c r="D4" s="6"/>
      <c r="E4" s="6"/>
      <c r="F4" s="6"/>
      <c r="G4" s="6"/>
      <c r="H4" s="6"/>
      <c r="I4" s="6"/>
      <c r="J4" s="6"/>
    </row>
    <row r="5" spans="2:10" ht="15.75" customHeight="1">
      <c r="B5" s="278" t="s">
        <v>297</v>
      </c>
      <c r="C5" s="279"/>
      <c r="D5" s="280"/>
      <c r="E5" s="280"/>
      <c r="F5" s="280"/>
      <c r="G5" s="280"/>
      <c r="H5" s="280"/>
      <c r="I5" s="280"/>
      <c r="J5" s="281"/>
    </row>
    <row r="6" spans="2:10" ht="15.75" customHeight="1">
      <c r="B6" s="222"/>
      <c r="C6" s="211"/>
      <c r="D6" s="210"/>
      <c r="E6" s="209" t="s">
        <v>95</v>
      </c>
      <c r="F6" s="211"/>
      <c r="G6" s="210"/>
      <c r="H6" s="209" t="s">
        <v>93</v>
      </c>
      <c r="I6" s="211"/>
      <c r="J6" s="210"/>
    </row>
    <row r="7" spans="2:10" ht="15.75" customHeight="1">
      <c r="B7" s="108" t="s">
        <v>123</v>
      </c>
      <c r="C7" s="71"/>
      <c r="D7" s="70"/>
      <c r="E7" s="108" t="s">
        <v>124</v>
      </c>
      <c r="F7" s="71"/>
      <c r="G7" s="70"/>
      <c r="H7" s="108" t="s">
        <v>125</v>
      </c>
      <c r="I7" s="71"/>
      <c r="J7" s="70"/>
    </row>
    <row r="8" spans="1:10" ht="15.75" customHeight="1">
      <c r="A8" s="96"/>
      <c r="B8" s="275"/>
      <c r="C8" s="98"/>
      <c r="D8" s="18" t="s">
        <v>150</v>
      </c>
      <c r="E8" s="225"/>
      <c r="F8" s="223"/>
      <c r="G8" s="18" t="s">
        <v>150</v>
      </c>
      <c r="H8" s="225"/>
      <c r="I8" s="223"/>
      <c r="J8" s="18" t="s">
        <v>150</v>
      </c>
    </row>
    <row r="9" spans="1:10" ht="15.75" customHeight="1">
      <c r="A9" s="49" t="s">
        <v>175</v>
      </c>
      <c r="B9" s="113" t="s">
        <v>176</v>
      </c>
      <c r="C9" s="113" t="s">
        <v>177</v>
      </c>
      <c r="D9" s="113" t="s">
        <v>178</v>
      </c>
      <c r="E9" s="113" t="s">
        <v>176</v>
      </c>
      <c r="F9" s="113" t="s">
        <v>177</v>
      </c>
      <c r="G9" s="113" t="s">
        <v>178</v>
      </c>
      <c r="H9" s="113" t="s">
        <v>176</v>
      </c>
      <c r="I9" s="113" t="s">
        <v>177</v>
      </c>
      <c r="J9" s="113" t="s">
        <v>178</v>
      </c>
    </row>
    <row r="10" ht="4.5" customHeight="1">
      <c r="A10" s="4"/>
    </row>
    <row r="11" spans="1:10" ht="13.5" customHeight="1">
      <c r="A11" s="25" t="s">
        <v>359</v>
      </c>
      <c r="B11" s="26">
        <v>86945</v>
      </c>
      <c r="C11" s="226">
        <f>B11/'- 3 -'!D11</f>
        <v>0.007617757413524938</v>
      </c>
      <c r="D11" s="26">
        <f>B11/'- 7 -'!F11</f>
        <v>55.662612035851474</v>
      </c>
      <c r="E11" s="26">
        <v>97859</v>
      </c>
      <c r="F11" s="226">
        <f>E11/'- 3 -'!D11</f>
        <v>0.00857399646592831</v>
      </c>
      <c r="G11" s="26">
        <f>E11/'- 7 -'!F11</f>
        <v>62.649807938540334</v>
      </c>
      <c r="H11" s="26">
        <v>234922</v>
      </c>
      <c r="I11" s="226">
        <f>H11/'- 3 -'!D11</f>
        <v>0.02058288351371678</v>
      </c>
      <c r="J11" s="26">
        <f>H11/'- 7 -'!F11</f>
        <v>150.39820742637644</v>
      </c>
    </row>
    <row r="12" spans="1:10" ht="13.5" customHeight="1">
      <c r="A12" s="27" t="s">
        <v>360</v>
      </c>
      <c r="B12" s="28">
        <v>130681</v>
      </c>
      <c r="C12" s="227">
        <f>B12/'- 3 -'!D12</f>
        <v>0.006815582635021354</v>
      </c>
      <c r="D12" s="28">
        <f>B12/'- 7 -'!F12</f>
        <v>55.01894577298754</v>
      </c>
      <c r="E12" s="28">
        <v>105009</v>
      </c>
      <c r="F12" s="227">
        <f>E12/'- 3 -'!D12</f>
        <v>0.005476676157367615</v>
      </c>
      <c r="G12" s="28">
        <f>E12/'- 7 -'!F12</f>
        <v>44.21059279218593</v>
      </c>
      <c r="H12" s="28">
        <v>420305</v>
      </c>
      <c r="I12" s="227">
        <f>H12/'- 3 -'!D12</f>
        <v>0.02192073414966713</v>
      </c>
      <c r="J12" s="28">
        <f>H12/'- 7 -'!F12</f>
        <v>176.95562478949142</v>
      </c>
    </row>
    <row r="13" spans="1:10" ht="13.5" customHeight="1">
      <c r="A13" s="25" t="s">
        <v>361</v>
      </c>
      <c r="B13" s="26">
        <v>212250</v>
      </c>
      <c r="C13" s="226">
        <f>B13/'- 3 -'!D13</f>
        <v>0.004337411072477266</v>
      </c>
      <c r="D13" s="26">
        <f>B13/'- 7 -'!F13</f>
        <v>29.8565199043466</v>
      </c>
      <c r="E13" s="26">
        <v>549643</v>
      </c>
      <c r="F13" s="226">
        <f>E13/'- 3 -'!D13</f>
        <v>0.011232167887442268</v>
      </c>
      <c r="G13" s="26">
        <f>E13/'- 7 -'!F13</f>
        <v>77.31650021100015</v>
      </c>
      <c r="H13" s="26">
        <v>910302</v>
      </c>
      <c r="I13" s="226">
        <f>H13/'- 3 -'!D13</f>
        <v>0.01860237443626949</v>
      </c>
      <c r="J13" s="26">
        <f>H13/'- 7 -'!F13</f>
        <v>128.0492333661556</v>
      </c>
    </row>
    <row r="14" spans="1:10" ht="13.5" customHeight="1">
      <c r="A14" s="27" t="s">
        <v>398</v>
      </c>
      <c r="B14" s="28">
        <v>464161</v>
      </c>
      <c r="C14" s="227">
        <f>B14/'- 3 -'!D14</f>
        <v>0.010957500165603883</v>
      </c>
      <c r="D14" s="28">
        <f>B14/'- 7 -'!F14</f>
        <v>108.64683301343571</v>
      </c>
      <c r="E14" s="28">
        <v>430100</v>
      </c>
      <c r="F14" s="227">
        <f>E14/'- 3 -'!D14</f>
        <v>0.010153418363943179</v>
      </c>
      <c r="G14" s="28">
        <f>E14/'- 7 -'!F14</f>
        <v>100.67412574317682</v>
      </c>
      <c r="H14" s="28">
        <v>665744</v>
      </c>
      <c r="I14" s="227">
        <f>H14/'- 3 -'!D14</f>
        <v>0.015716292386154355</v>
      </c>
      <c r="J14" s="28">
        <f>H14/'- 7 -'!F14</f>
        <v>155.8316558213567</v>
      </c>
    </row>
    <row r="15" spans="1:10" ht="13.5" customHeight="1">
      <c r="A15" s="25" t="s">
        <v>362</v>
      </c>
      <c r="B15" s="26">
        <v>115543</v>
      </c>
      <c r="C15" s="226">
        <f>B15/'- 3 -'!D15</f>
        <v>0.008841451049981137</v>
      </c>
      <c r="D15" s="26">
        <f>B15/'- 7 -'!F15</f>
        <v>69.5413782726452</v>
      </c>
      <c r="E15" s="26">
        <v>90118</v>
      </c>
      <c r="F15" s="226">
        <f>E15/'- 3 -'!D15</f>
        <v>0.006895907893357453</v>
      </c>
      <c r="G15" s="26">
        <f>E15/'- 7 -'!F15</f>
        <v>54.238940716220284</v>
      </c>
      <c r="H15" s="26">
        <v>310860</v>
      </c>
      <c r="I15" s="226">
        <f>H15/'- 3 -'!D15</f>
        <v>0.0237872780990379</v>
      </c>
      <c r="J15" s="26">
        <f>H15/'- 7 -'!F15</f>
        <v>187.09599759253686</v>
      </c>
    </row>
    <row r="16" spans="1:10" ht="13.5" customHeight="1">
      <c r="A16" s="27" t="s">
        <v>363</v>
      </c>
      <c r="B16" s="28">
        <v>75865</v>
      </c>
      <c r="C16" s="227">
        <f>B16/'- 3 -'!D16</f>
        <v>0.007081306494280981</v>
      </c>
      <c r="D16" s="28">
        <f>B16/'- 7 -'!F16</f>
        <v>54.504633953588616</v>
      </c>
      <c r="E16" s="28">
        <v>145413</v>
      </c>
      <c r="F16" s="227">
        <f>E16/'- 3 -'!D16</f>
        <v>0.013572978596887633</v>
      </c>
      <c r="G16" s="28">
        <f>E16/'- 7 -'!F16</f>
        <v>104.47086715999711</v>
      </c>
      <c r="H16" s="28">
        <v>270146</v>
      </c>
      <c r="I16" s="227">
        <f>H16/'- 3 -'!D16</f>
        <v>0.025215667622804055</v>
      </c>
      <c r="J16" s="28">
        <f>H16/'- 7 -'!F16</f>
        <v>194.08434513973702</v>
      </c>
    </row>
    <row r="17" spans="1:10" ht="13.5" customHeight="1">
      <c r="A17" s="25" t="s">
        <v>364</v>
      </c>
      <c r="B17" s="26">
        <v>132724</v>
      </c>
      <c r="C17" s="226">
        <f>B17/'- 3 -'!D17</f>
        <v>0.010751372050661154</v>
      </c>
      <c r="D17" s="26">
        <f>B17/'- 7 -'!F17</f>
        <v>84.05573147561748</v>
      </c>
      <c r="E17" s="26">
        <v>125285</v>
      </c>
      <c r="F17" s="226">
        <f>E17/'- 3 -'!D17</f>
        <v>0.010148772244410074</v>
      </c>
      <c r="G17" s="26">
        <f>E17/'- 7 -'!F17</f>
        <v>79.34452184927169</v>
      </c>
      <c r="H17" s="26">
        <v>200421</v>
      </c>
      <c r="I17" s="226">
        <f>H17/'- 3 -'!D17</f>
        <v>0.016235200399065425</v>
      </c>
      <c r="J17" s="26">
        <f>H17/'- 7 -'!F17</f>
        <v>126.9290690310323</v>
      </c>
    </row>
    <row r="18" spans="1:10" ht="13.5" customHeight="1">
      <c r="A18" s="27" t="s">
        <v>365</v>
      </c>
      <c r="B18" s="28">
        <v>667771</v>
      </c>
      <c r="C18" s="227">
        <f>B18/'- 3 -'!D18</f>
        <v>0.009086614230443633</v>
      </c>
      <c r="D18" s="28">
        <f>B18/'- 7 -'!F18</f>
        <v>113.9715997337475</v>
      </c>
      <c r="E18" s="28">
        <v>1368927</v>
      </c>
      <c r="F18" s="227">
        <f>E18/'- 3 -'!D18</f>
        <v>0.018627510866207894</v>
      </c>
      <c r="G18" s="28">
        <f>E18/'- 7 -'!F18</f>
        <v>233.64117355907902</v>
      </c>
      <c r="H18" s="28">
        <v>1913395</v>
      </c>
      <c r="I18" s="227">
        <f>H18/'- 3 -'!D18</f>
        <v>0.026036294231794575</v>
      </c>
      <c r="J18" s="28">
        <f>H18/'- 7 -'!F18</f>
        <v>326.5680735949207</v>
      </c>
    </row>
    <row r="19" spans="1:10" ht="13.5" customHeight="1">
      <c r="A19" s="25" t="s">
        <v>366</v>
      </c>
      <c r="B19" s="26">
        <v>116147</v>
      </c>
      <c r="C19" s="226">
        <f>B19/'- 3 -'!D19</f>
        <v>0.006330707016795693</v>
      </c>
      <c r="D19" s="26">
        <f>B19/'- 7 -'!F19</f>
        <v>38.58832519352802</v>
      </c>
      <c r="E19" s="26">
        <v>106050</v>
      </c>
      <c r="F19" s="226">
        <f>E19/'- 3 -'!D19</f>
        <v>0.005780360053476916</v>
      </c>
      <c r="G19" s="26">
        <f>E19/'- 7 -'!F19</f>
        <v>35.233728695305494</v>
      </c>
      <c r="H19" s="26">
        <v>345996</v>
      </c>
      <c r="I19" s="226">
        <f>H19/'- 3 -'!D19</f>
        <v>0.018858853909125874</v>
      </c>
      <c r="J19" s="26">
        <f>H19/'- 7 -'!F19</f>
        <v>114.95265623442639</v>
      </c>
    </row>
    <row r="20" spans="1:10" ht="13.5" customHeight="1">
      <c r="A20" s="27" t="s">
        <v>367</v>
      </c>
      <c r="B20" s="28">
        <v>145069</v>
      </c>
      <c r="C20" s="227">
        <f>B20/'- 3 -'!D20</f>
        <v>0.003954821651089855</v>
      </c>
      <c r="D20" s="28">
        <f>B20/'- 7 -'!F20</f>
        <v>22.926748320821808</v>
      </c>
      <c r="E20" s="28">
        <v>256049</v>
      </c>
      <c r="F20" s="227">
        <f>E20/'- 3 -'!D20</f>
        <v>0.006980320598748913</v>
      </c>
      <c r="G20" s="28">
        <f>E20/'- 7 -'!F20</f>
        <v>40.46606084551561</v>
      </c>
      <c r="H20" s="28">
        <v>577956</v>
      </c>
      <c r="I20" s="227">
        <f>H20/'- 3 -'!D20</f>
        <v>0.015756039554813833</v>
      </c>
      <c r="J20" s="28">
        <f>H20/'- 7 -'!F20</f>
        <v>91.3403397866456</v>
      </c>
    </row>
    <row r="21" spans="1:10" ht="13.5" customHeight="1">
      <c r="A21" s="25" t="s">
        <v>368</v>
      </c>
      <c r="B21" s="26">
        <v>149077</v>
      </c>
      <c r="C21" s="226">
        <f>B21/'- 3 -'!D21</f>
        <v>0.006192823342046718</v>
      </c>
      <c r="D21" s="26">
        <f>B21/'- 7 -'!F21</f>
        <v>44.855423499323</v>
      </c>
      <c r="E21" s="26">
        <v>276090</v>
      </c>
      <c r="F21" s="226">
        <f>E21/'- 3 -'!D21</f>
        <v>0.011469083738642973</v>
      </c>
      <c r="G21" s="26">
        <f>E21/'- 7 -'!F21</f>
        <v>83.07206258462465</v>
      </c>
      <c r="H21" s="26">
        <v>389326</v>
      </c>
      <c r="I21" s="226">
        <f>H21/'- 3 -'!D21</f>
        <v>0.016173032328700477</v>
      </c>
      <c r="J21" s="26">
        <f>H21/'- 7 -'!F21</f>
        <v>117.1433729502031</v>
      </c>
    </row>
    <row r="22" spans="1:10" ht="13.5" customHeight="1">
      <c r="A22" s="27" t="s">
        <v>369</v>
      </c>
      <c r="B22" s="28">
        <v>67365</v>
      </c>
      <c r="C22" s="227">
        <f>B22/'- 3 -'!D22</f>
        <v>0.004996726333901184</v>
      </c>
      <c r="D22" s="28">
        <f>B22/'- 7 -'!F22</f>
        <v>39.81382978723404</v>
      </c>
      <c r="E22" s="28">
        <v>52073</v>
      </c>
      <c r="F22" s="227">
        <f>E22/'- 3 -'!D22</f>
        <v>0.0038624587008867567</v>
      </c>
      <c r="G22" s="28">
        <f>E22/'- 7 -'!F22</f>
        <v>30.77600472813239</v>
      </c>
      <c r="H22" s="28">
        <v>356921</v>
      </c>
      <c r="I22" s="227">
        <f>H22/'- 3 -'!D22</f>
        <v>0.026474230829397233</v>
      </c>
      <c r="J22" s="28">
        <f>H22/'- 7 -'!F22</f>
        <v>210.94621749408984</v>
      </c>
    </row>
    <row r="23" spans="1:10" ht="13.5" customHeight="1">
      <c r="A23" s="25" t="s">
        <v>370</v>
      </c>
      <c r="B23" s="26">
        <v>69387</v>
      </c>
      <c r="C23" s="226">
        <f>B23/'- 3 -'!D23</f>
        <v>0.006133625468826284</v>
      </c>
      <c r="D23" s="26">
        <f>B23/'- 7 -'!F23</f>
        <v>52.268926553672316</v>
      </c>
      <c r="E23" s="26">
        <v>96223</v>
      </c>
      <c r="F23" s="226">
        <f>E23/'- 3 -'!D23</f>
        <v>0.008505856190451692</v>
      </c>
      <c r="G23" s="26">
        <f>E23/'- 7 -'!F23</f>
        <v>72.4843691148776</v>
      </c>
      <c r="H23" s="26">
        <v>213896</v>
      </c>
      <c r="I23" s="226">
        <f>H23/'- 3 -'!D23</f>
        <v>0.018907835088418104</v>
      </c>
      <c r="J23" s="26">
        <f>H23/'- 7 -'!F23</f>
        <v>161.12693032015065</v>
      </c>
    </row>
    <row r="24" spans="1:10" ht="13.5" customHeight="1">
      <c r="A24" s="27" t="s">
        <v>371</v>
      </c>
      <c r="B24" s="28">
        <v>182274</v>
      </c>
      <c r="C24" s="227">
        <f>B24/'- 3 -'!D24</f>
        <v>0.0052331704324978245</v>
      </c>
      <c r="D24" s="28">
        <f>B24/'- 7 -'!F24</f>
        <v>39.11039588027036</v>
      </c>
      <c r="E24" s="28">
        <v>238697</v>
      </c>
      <c r="F24" s="227">
        <f>E24/'- 3 -'!D24</f>
        <v>0.006853100731458866</v>
      </c>
      <c r="G24" s="28">
        <f>E24/'- 7 -'!F24</f>
        <v>51.21703679862676</v>
      </c>
      <c r="H24" s="28">
        <v>582449</v>
      </c>
      <c r="I24" s="227">
        <f>H24/'- 3 -'!D24</f>
        <v>0.01672237886499405</v>
      </c>
      <c r="J24" s="28">
        <f>H24/'- 7 -'!F24</f>
        <v>124.97564638987234</v>
      </c>
    </row>
    <row r="25" spans="1:10" ht="13.5" customHeight="1">
      <c r="A25" s="25" t="s">
        <v>372</v>
      </c>
      <c r="B25" s="26">
        <v>396730</v>
      </c>
      <c r="C25" s="226">
        <f>B25/'- 3 -'!D25</f>
        <v>0.0035909450603002517</v>
      </c>
      <c r="D25" s="26">
        <f>B25/'- 7 -'!F25</f>
        <v>26.421364589923744</v>
      </c>
      <c r="E25" s="26">
        <v>652211</v>
      </c>
      <c r="F25" s="226">
        <f>E25/'- 3 -'!D25</f>
        <v>0.005903394925323236</v>
      </c>
      <c r="G25" s="26">
        <f>E25/'- 7 -'!F25</f>
        <v>43.435849622057205</v>
      </c>
      <c r="H25" s="26">
        <v>2076123</v>
      </c>
      <c r="I25" s="226">
        <f>H25/'- 3 -'!D25</f>
        <v>0.01879173148344148</v>
      </c>
      <c r="J25" s="26">
        <f>H25/'- 7 -'!F25</f>
        <v>138.2653258299757</v>
      </c>
    </row>
    <row r="26" spans="1:10" ht="13.5" customHeight="1">
      <c r="A26" s="27" t="s">
        <v>373</v>
      </c>
      <c r="B26" s="28">
        <v>142839</v>
      </c>
      <c r="C26" s="227">
        <f>B26/'- 3 -'!D26</f>
        <v>0.0052755944946695586</v>
      </c>
      <c r="D26" s="28">
        <f>B26/'- 7 -'!F26</f>
        <v>43.281922307738924</v>
      </c>
      <c r="E26" s="28">
        <v>364368</v>
      </c>
      <c r="F26" s="227">
        <f>E26/'- 3 -'!D26</f>
        <v>0.013457513808089933</v>
      </c>
      <c r="G26" s="28">
        <f>E26/'- 7 -'!F26</f>
        <v>110.40785406945034</v>
      </c>
      <c r="H26" s="28">
        <v>451386</v>
      </c>
      <c r="I26" s="227">
        <f>H26/'- 3 -'!D26</f>
        <v>0.016671423746812238</v>
      </c>
      <c r="J26" s="28">
        <f>H26/'- 7 -'!F26</f>
        <v>136.77534694866978</v>
      </c>
    </row>
    <row r="27" spans="1:10" ht="13.5" customHeight="1">
      <c r="A27" s="25" t="s">
        <v>374</v>
      </c>
      <c r="B27" s="26">
        <v>163876</v>
      </c>
      <c r="C27" s="226">
        <f>B27/'- 3 -'!D27</f>
        <v>0.006045379814971861</v>
      </c>
      <c r="D27" s="26">
        <f>B27/'- 7 -'!F27</f>
        <v>50.45443349753695</v>
      </c>
      <c r="E27" s="26">
        <v>237479</v>
      </c>
      <c r="F27" s="226">
        <f>E27/'- 3 -'!D27</f>
        <v>0.0087605918687282</v>
      </c>
      <c r="G27" s="26">
        <f>E27/'- 7 -'!F27</f>
        <v>73.11545566502463</v>
      </c>
      <c r="H27" s="26">
        <v>592733</v>
      </c>
      <c r="I27" s="226">
        <f>H27/'- 3 -'!D27</f>
        <v>0.021865899301103983</v>
      </c>
      <c r="J27" s="26">
        <f>H27/'- 7 -'!F27</f>
        <v>182.49168719211823</v>
      </c>
    </row>
    <row r="28" spans="1:10" ht="13.5" customHeight="1">
      <c r="A28" s="27" t="s">
        <v>375</v>
      </c>
      <c r="B28" s="28">
        <v>120322</v>
      </c>
      <c r="C28" s="227">
        <f>B28/'- 3 -'!D28</f>
        <v>0.007216207727542155</v>
      </c>
      <c r="D28" s="28">
        <f>B28/'- 7 -'!F28</f>
        <v>57.76380220835334</v>
      </c>
      <c r="E28" s="28">
        <v>279149</v>
      </c>
      <c r="F28" s="227">
        <f>E28/'- 3 -'!D28</f>
        <v>0.016741719477200052</v>
      </c>
      <c r="G28" s="28">
        <f>E28/'- 7 -'!F28</f>
        <v>134.01296207393182</v>
      </c>
      <c r="H28" s="28">
        <v>276930</v>
      </c>
      <c r="I28" s="227">
        <f>H28/'- 3 -'!D28</f>
        <v>0.016608636874289397</v>
      </c>
      <c r="J28" s="28">
        <f>H28/'- 7 -'!F28</f>
        <v>132.94767162746038</v>
      </c>
    </row>
    <row r="29" spans="1:10" ht="13.5" customHeight="1">
      <c r="A29" s="25" t="s">
        <v>376</v>
      </c>
      <c r="B29" s="26">
        <v>298629</v>
      </c>
      <c r="C29" s="226">
        <f>B29/'- 3 -'!D29</f>
        <v>0.0029319023897376967</v>
      </c>
      <c r="D29" s="26">
        <f>B29/'- 7 -'!F29</f>
        <v>22.693897712592143</v>
      </c>
      <c r="E29" s="26">
        <v>1209885</v>
      </c>
      <c r="F29" s="226">
        <f>E29/'- 3 -'!D29</f>
        <v>0.011878500489931632</v>
      </c>
      <c r="G29" s="26">
        <f>E29/'- 7 -'!F29</f>
        <v>91.9435367429136</v>
      </c>
      <c r="H29" s="26">
        <v>1364900</v>
      </c>
      <c r="I29" s="226">
        <f>H29/'- 3 -'!D29</f>
        <v>0.013400418484986328</v>
      </c>
      <c r="J29" s="26">
        <f>H29/'- 7 -'!F29</f>
        <v>103.72368721027433</v>
      </c>
    </row>
    <row r="30" spans="1:10" ht="13.5" customHeight="1">
      <c r="A30" s="27" t="s">
        <v>377</v>
      </c>
      <c r="B30" s="28">
        <v>84902</v>
      </c>
      <c r="C30" s="227">
        <f>B30/'- 3 -'!D30</f>
        <v>0.008641758292762642</v>
      </c>
      <c r="D30" s="28">
        <f>B30/'- 7 -'!F30</f>
        <v>66.61592781482935</v>
      </c>
      <c r="E30" s="28">
        <v>138433</v>
      </c>
      <c r="F30" s="227">
        <f>E30/'- 3 -'!D30</f>
        <v>0.014090416312242478</v>
      </c>
      <c r="G30" s="28">
        <f>E30/'- 7 -'!F30</f>
        <v>108.61749705766968</v>
      </c>
      <c r="H30" s="28">
        <v>190443</v>
      </c>
      <c r="I30" s="227">
        <f>H30/'- 3 -'!D30</f>
        <v>0.019384259199413393</v>
      </c>
      <c r="J30" s="28">
        <f>H30/'- 7 -'!F30</f>
        <v>149.42565712043938</v>
      </c>
    </row>
    <row r="31" spans="1:10" ht="13.5" customHeight="1">
      <c r="A31" s="25" t="s">
        <v>378</v>
      </c>
      <c r="B31" s="26">
        <v>123840</v>
      </c>
      <c r="C31" s="226">
        <f>B31/'- 3 -'!D31</f>
        <v>0.004968311169372512</v>
      </c>
      <c r="D31" s="26">
        <f>B31/'- 7 -'!F31</f>
        <v>36.39355824615023</v>
      </c>
      <c r="E31" s="26">
        <v>254016</v>
      </c>
      <c r="F31" s="226">
        <f>E31/'- 3 -'!D31</f>
        <v>0.010190815003224548</v>
      </c>
      <c r="G31" s="26">
        <f>E31/'- 7 -'!F31</f>
        <v>74.64911249559187</v>
      </c>
      <c r="H31" s="26">
        <v>429323</v>
      </c>
      <c r="I31" s="226">
        <f>H31/'- 3 -'!D31</f>
        <v>0.01722392002720054</v>
      </c>
      <c r="J31" s="26">
        <f>H31/'- 7 -'!F31</f>
        <v>126.16756788527094</v>
      </c>
    </row>
    <row r="32" spans="1:10" ht="13.5" customHeight="1">
      <c r="A32" s="27" t="s">
        <v>379</v>
      </c>
      <c r="B32" s="28">
        <v>125652</v>
      </c>
      <c r="C32" s="227">
        <f>B32/'- 3 -'!D32</f>
        <v>0.006783459807439185</v>
      </c>
      <c r="D32" s="28">
        <f>B32/'- 7 -'!F32</f>
        <v>54.11369509043928</v>
      </c>
      <c r="E32" s="28">
        <v>169090</v>
      </c>
      <c r="F32" s="227">
        <f>E32/'- 3 -'!D32</f>
        <v>0.009128507455829528</v>
      </c>
      <c r="G32" s="28">
        <f>E32/'- 7 -'!F32</f>
        <v>72.82084409991387</v>
      </c>
      <c r="H32" s="28">
        <v>363703</v>
      </c>
      <c r="I32" s="227">
        <f>H32/'- 3 -'!D32</f>
        <v>0.019634901810914703</v>
      </c>
      <c r="J32" s="28">
        <f>H32/'- 7 -'!F32</f>
        <v>156.63350559862187</v>
      </c>
    </row>
    <row r="33" spans="1:10" ht="13.5" customHeight="1">
      <c r="A33" s="25" t="s">
        <v>380</v>
      </c>
      <c r="B33" s="26">
        <v>186319</v>
      </c>
      <c r="C33" s="226">
        <f>B33/'- 3 -'!D33</f>
        <v>0.008477365989263918</v>
      </c>
      <c r="D33" s="26">
        <f>B33/'- 7 -'!F33</f>
        <v>73.8101651943113</v>
      </c>
      <c r="E33" s="26">
        <v>235396</v>
      </c>
      <c r="F33" s="226">
        <f>E33/'- 3 -'!D33</f>
        <v>0.010710330371077395</v>
      </c>
      <c r="G33" s="26">
        <f>E33/'- 7 -'!F33</f>
        <v>93.25199065087352</v>
      </c>
      <c r="H33" s="26">
        <v>237829</v>
      </c>
      <c r="I33" s="226">
        <f>H33/'- 3 -'!D33</f>
        <v>0.01082102993178714</v>
      </c>
      <c r="J33" s="26">
        <f>H33/'- 7 -'!F33</f>
        <v>94.21582220813691</v>
      </c>
    </row>
    <row r="34" spans="1:10" ht="13.5" customHeight="1">
      <c r="A34" s="27" t="s">
        <v>381</v>
      </c>
      <c r="B34" s="28">
        <v>118758</v>
      </c>
      <c r="C34" s="227">
        <f>B34/'- 3 -'!D34</f>
        <v>0.006996373677686082</v>
      </c>
      <c r="D34" s="28">
        <f>B34/'- 7 -'!F34</f>
        <v>54.25216994061214</v>
      </c>
      <c r="E34" s="28">
        <v>134105</v>
      </c>
      <c r="F34" s="227">
        <f>E34/'- 3 -'!D34</f>
        <v>0.00790050937238832</v>
      </c>
      <c r="G34" s="28">
        <f>E34/'- 7 -'!F34</f>
        <v>61.26313385107354</v>
      </c>
      <c r="H34" s="28">
        <v>327739</v>
      </c>
      <c r="I34" s="227">
        <f>H34/'- 3 -'!D34</f>
        <v>0.019308042512935202</v>
      </c>
      <c r="J34" s="28">
        <f>H34/'- 7 -'!F34</f>
        <v>149.7208771128369</v>
      </c>
    </row>
    <row r="35" spans="1:10" ht="13.5" customHeight="1">
      <c r="A35" s="25" t="s">
        <v>382</v>
      </c>
      <c r="B35" s="26">
        <v>310653</v>
      </c>
      <c r="C35" s="226">
        <f>B35/'- 3 -'!D35</f>
        <v>0.00246201974477273</v>
      </c>
      <c r="D35" s="26">
        <f>B35/'- 7 -'!F35</f>
        <v>17.411820754981363</v>
      </c>
      <c r="E35" s="26">
        <v>1201127</v>
      </c>
      <c r="F35" s="226">
        <f>E35/'- 3 -'!D35</f>
        <v>0.009519297705091</v>
      </c>
      <c r="G35" s="26">
        <f>E35/'- 7 -'!F35</f>
        <v>67.32208614746519</v>
      </c>
      <c r="H35" s="26">
        <v>1747874</v>
      </c>
      <c r="I35" s="226">
        <f>H35/'- 3 -'!D35</f>
        <v>0.01385243438619582</v>
      </c>
      <c r="J35" s="26">
        <f>H35/'- 7 -'!F35</f>
        <v>97.96676288428664</v>
      </c>
    </row>
    <row r="36" spans="1:10" ht="13.5" customHeight="1">
      <c r="A36" s="27" t="s">
        <v>383</v>
      </c>
      <c r="B36" s="28">
        <v>150073</v>
      </c>
      <c r="C36" s="227">
        <f>B36/'- 3 -'!D36</f>
        <v>0.008990373716978844</v>
      </c>
      <c r="D36" s="28">
        <f>B36/'- 7 -'!F36</f>
        <v>71.68521614521137</v>
      </c>
      <c r="E36" s="28">
        <v>149654</v>
      </c>
      <c r="F36" s="227">
        <f>E36/'- 3 -'!D36</f>
        <v>0.008965272822164893</v>
      </c>
      <c r="G36" s="28">
        <f>E36/'- 7 -'!F36</f>
        <v>71.48507284451875</v>
      </c>
      <c r="H36" s="28">
        <v>301916</v>
      </c>
      <c r="I36" s="227">
        <f>H36/'- 3 -'!D36</f>
        <v>0.01808678224021233</v>
      </c>
      <c r="J36" s="28">
        <f>H36/'- 7 -'!F36</f>
        <v>144.2159063768808</v>
      </c>
    </row>
    <row r="37" spans="1:10" ht="13.5" customHeight="1">
      <c r="A37" s="25" t="s">
        <v>384</v>
      </c>
      <c r="B37" s="26">
        <v>136451</v>
      </c>
      <c r="C37" s="226">
        <f>B37/'- 3 -'!D37</f>
        <v>0.0054095117783307025</v>
      </c>
      <c r="D37" s="26">
        <f>B37/'- 7 -'!F37</f>
        <v>40.4983230938177</v>
      </c>
      <c r="E37" s="26">
        <v>244925</v>
      </c>
      <c r="F37" s="226">
        <f>E37/'- 3 -'!D37</f>
        <v>0.00970989345851366</v>
      </c>
      <c r="G37" s="26">
        <f>E37/'- 7 -'!F37</f>
        <v>72.69314100851808</v>
      </c>
      <c r="H37" s="26">
        <v>550729</v>
      </c>
      <c r="I37" s="226">
        <f>H37/'- 3 -'!D37</f>
        <v>0.021833295557880043</v>
      </c>
      <c r="J37" s="26">
        <f>H37/'- 7 -'!F37</f>
        <v>163.45502033063246</v>
      </c>
    </row>
    <row r="38" spans="1:10" ht="13.5" customHeight="1">
      <c r="A38" s="27" t="s">
        <v>385</v>
      </c>
      <c r="B38" s="28">
        <v>210503</v>
      </c>
      <c r="C38" s="227">
        <f>B38/'- 3 -'!D38</f>
        <v>0.003225296810577034</v>
      </c>
      <c r="D38" s="28">
        <f>B38/'- 7 -'!F38</f>
        <v>24.750499706055262</v>
      </c>
      <c r="E38" s="28">
        <v>597328</v>
      </c>
      <c r="F38" s="227">
        <f>E38/'- 3 -'!D38</f>
        <v>0.00915217404630033</v>
      </c>
      <c r="G38" s="28">
        <f>E38/'- 7 -'!F38</f>
        <v>70.23256907701352</v>
      </c>
      <c r="H38" s="28">
        <v>1018253</v>
      </c>
      <c r="I38" s="227">
        <f>H38/'- 3 -'!D38</f>
        <v>0.015601526597057984</v>
      </c>
      <c r="J38" s="28">
        <f>H38/'- 7 -'!F38</f>
        <v>119.72404467960024</v>
      </c>
    </row>
    <row r="39" spans="1:10" ht="13.5" customHeight="1">
      <c r="A39" s="25" t="s">
        <v>386</v>
      </c>
      <c r="B39" s="26">
        <v>201594</v>
      </c>
      <c r="C39" s="226">
        <f>B39/'- 3 -'!D39</f>
        <v>0.013149344867878417</v>
      </c>
      <c r="D39" s="26">
        <f>B39/'- 7 -'!F39</f>
        <v>110.76593406593406</v>
      </c>
      <c r="E39" s="26">
        <v>157980</v>
      </c>
      <c r="F39" s="226">
        <f>E39/'- 3 -'!D39</f>
        <v>0.010304540324748913</v>
      </c>
      <c r="G39" s="26">
        <f>E39/'- 7 -'!F39</f>
        <v>86.8021978021978</v>
      </c>
      <c r="H39" s="26">
        <v>266817</v>
      </c>
      <c r="I39" s="226">
        <f>H39/'- 3 -'!D39</f>
        <v>0.017403636763061975</v>
      </c>
      <c r="J39" s="26">
        <f>H39/'- 7 -'!F39</f>
        <v>146.60274725274726</v>
      </c>
    </row>
    <row r="40" spans="1:10" ht="13.5" customHeight="1">
      <c r="A40" s="27" t="s">
        <v>387</v>
      </c>
      <c r="B40" s="28">
        <v>333692</v>
      </c>
      <c r="C40" s="227">
        <f>B40/'- 3 -'!D40</f>
        <v>0.0050786916934117705</v>
      </c>
      <c r="D40" s="28">
        <f>B40/'- 7 -'!F40</f>
        <v>37.22421405607527</v>
      </c>
      <c r="E40" s="28">
        <v>790883</v>
      </c>
      <c r="F40" s="227">
        <f>E40/'- 3 -'!D40</f>
        <v>0.012037000954654535</v>
      </c>
      <c r="G40" s="28">
        <f>E40/'- 7 -'!F40</f>
        <v>88.22506408697535</v>
      </c>
      <c r="H40" s="28">
        <v>1097177</v>
      </c>
      <c r="I40" s="227">
        <f>H40/'- 3 -'!D40</f>
        <v>0.01669870334350972</v>
      </c>
      <c r="J40" s="28">
        <f>H40/'- 7 -'!F40</f>
        <v>122.39295969157935</v>
      </c>
    </row>
    <row r="41" spans="1:10" ht="13.5" customHeight="1">
      <c r="A41" s="25" t="s">
        <v>388</v>
      </c>
      <c r="B41" s="26">
        <v>147535</v>
      </c>
      <c r="C41" s="226">
        <f>B41/'- 3 -'!D41</f>
        <v>0.003773785386448055</v>
      </c>
      <c r="D41" s="26">
        <f>B41/'- 7 -'!F41</f>
        <v>30.852153910497698</v>
      </c>
      <c r="E41" s="26">
        <v>423410</v>
      </c>
      <c r="F41" s="226">
        <f>E41/'- 3 -'!D41</f>
        <v>0.01083036886485221</v>
      </c>
      <c r="G41" s="26">
        <f>E41/'- 7 -'!F41</f>
        <v>88.54245085738185</v>
      </c>
      <c r="H41" s="26">
        <v>719548</v>
      </c>
      <c r="I41" s="226">
        <f>H41/'- 3 -'!D41</f>
        <v>0.018405257920140475</v>
      </c>
      <c r="J41" s="26">
        <f>H41/'- 7 -'!F41</f>
        <v>150.47009619406106</v>
      </c>
    </row>
    <row r="42" spans="1:10" ht="13.5" customHeight="1">
      <c r="A42" s="27" t="s">
        <v>389</v>
      </c>
      <c r="B42" s="28">
        <v>110794</v>
      </c>
      <c r="C42" s="227">
        <f>B42/'- 3 -'!D42</f>
        <v>0.00733077368729037</v>
      </c>
      <c r="D42" s="28">
        <f>B42/'- 7 -'!F42</f>
        <v>59.229124345129904</v>
      </c>
      <c r="E42" s="28">
        <v>155933</v>
      </c>
      <c r="F42" s="227">
        <f>E42/'- 3 -'!D42</f>
        <v>0.010317431750638565</v>
      </c>
      <c r="G42" s="28">
        <f>E42/'- 7 -'!F42</f>
        <v>83.35988452902811</v>
      </c>
      <c r="H42" s="28">
        <v>275550</v>
      </c>
      <c r="I42" s="227">
        <f>H42/'- 3 -'!D42</f>
        <v>0.01823198629468077</v>
      </c>
      <c r="J42" s="28">
        <f>H42/'- 7 -'!F42</f>
        <v>147.30567732278413</v>
      </c>
    </row>
    <row r="43" spans="1:10" ht="13.5" customHeight="1">
      <c r="A43" s="25" t="s">
        <v>390</v>
      </c>
      <c r="B43" s="26">
        <v>93967</v>
      </c>
      <c r="C43" s="226">
        <f>B43/'- 3 -'!D43</f>
        <v>0.01017468489628788</v>
      </c>
      <c r="D43" s="26">
        <f>B43/'- 7 -'!F43</f>
        <v>77.72291149710504</v>
      </c>
      <c r="E43" s="26">
        <v>101773</v>
      </c>
      <c r="F43" s="226">
        <f>E43/'- 3 -'!D43</f>
        <v>0.011019913437163116</v>
      </c>
      <c r="G43" s="26">
        <f>E43/'- 7 -'!F43</f>
        <v>84.17948717948718</v>
      </c>
      <c r="H43" s="26">
        <v>245493</v>
      </c>
      <c r="I43" s="226">
        <f>H43/'- 3 -'!D43</f>
        <v>0.026581820418278765</v>
      </c>
      <c r="J43" s="26">
        <f>H43/'- 7 -'!F43</f>
        <v>203.0545905707196</v>
      </c>
    </row>
    <row r="44" spans="1:10" ht="13.5" customHeight="1">
      <c r="A44" s="27" t="s">
        <v>391</v>
      </c>
      <c r="B44" s="28">
        <v>57535</v>
      </c>
      <c r="C44" s="227">
        <f>B44/'- 3 -'!D44</f>
        <v>0.00834423345812097</v>
      </c>
      <c r="D44" s="28">
        <f>B44/'- 7 -'!F44</f>
        <v>72.7830487033523</v>
      </c>
      <c r="E44" s="28">
        <v>38082</v>
      </c>
      <c r="F44" s="227">
        <f>E44/'- 3 -'!D44</f>
        <v>0.005522987721424572</v>
      </c>
      <c r="G44" s="28">
        <f>E44/'- 7 -'!F44</f>
        <v>48.17457305502846</v>
      </c>
      <c r="H44" s="28">
        <v>160370</v>
      </c>
      <c r="I44" s="227">
        <f>H44/'- 3 -'!D44</f>
        <v>0.02325827269799009</v>
      </c>
      <c r="J44" s="28">
        <f>H44/'- 7 -'!F44</f>
        <v>202.87160025300443</v>
      </c>
    </row>
    <row r="45" spans="1:10" ht="13.5" customHeight="1">
      <c r="A45" s="25" t="s">
        <v>392</v>
      </c>
      <c r="B45" s="26">
        <v>73066</v>
      </c>
      <c r="C45" s="226">
        <f>B45/'- 3 -'!D45</f>
        <v>0.006989774291017807</v>
      </c>
      <c r="D45" s="26">
        <f>B45/'- 7 -'!F45</f>
        <v>49.969908357269865</v>
      </c>
      <c r="E45" s="26">
        <v>103302</v>
      </c>
      <c r="F45" s="226">
        <f>E45/'- 3 -'!D45</f>
        <v>0.009882266222466284</v>
      </c>
      <c r="G45" s="26">
        <f>E45/'- 7 -'!F45</f>
        <v>70.64833812064013</v>
      </c>
      <c r="H45" s="26">
        <v>176966</v>
      </c>
      <c r="I45" s="226">
        <f>H45/'- 3 -'!D45</f>
        <v>0.016929247491093768</v>
      </c>
      <c r="J45" s="26">
        <f>H45/'- 7 -'!F45</f>
        <v>121.02721925865134</v>
      </c>
    </row>
    <row r="46" spans="1:10" ht="13.5" customHeight="1">
      <c r="A46" s="27" t="s">
        <v>393</v>
      </c>
      <c r="B46" s="28">
        <v>576693</v>
      </c>
      <c r="C46" s="227">
        <f>B46/'- 3 -'!D46</f>
        <v>0.002217217136493709</v>
      </c>
      <c r="D46" s="28">
        <f>B46/'- 7 -'!F46</f>
        <v>18.591844893064163</v>
      </c>
      <c r="E46" s="28">
        <v>1483939</v>
      </c>
      <c r="F46" s="227">
        <f>E46/'- 3 -'!D46</f>
        <v>0.005705314578660289</v>
      </c>
      <c r="G46" s="28">
        <f>E46/'- 7 -'!F46</f>
        <v>47.8402958225065</v>
      </c>
      <c r="H46" s="28">
        <v>4111665</v>
      </c>
      <c r="I46" s="227">
        <f>H46/'- 3 -'!D46</f>
        <v>0.01580815806247242</v>
      </c>
      <c r="J46" s="28">
        <f>H46/'- 7 -'!F46</f>
        <v>132.55482194554236</v>
      </c>
    </row>
    <row r="47" spans="1:10" ht="13.5" customHeight="1">
      <c r="A47" s="25" t="s">
        <v>397</v>
      </c>
      <c r="B47" s="26">
        <v>6425</v>
      </c>
      <c r="C47" s="226">
        <f>B47/'- 3 -'!D47</f>
        <v>0.0010969264717808195</v>
      </c>
      <c r="D47" s="26">
        <f>B47/'- 7 -'!F47</f>
        <v>10.329581993569132</v>
      </c>
      <c r="E47" s="26">
        <v>99655</v>
      </c>
      <c r="F47" s="226">
        <f>E47/'- 3 -'!D47</f>
        <v>0.017013884442850985</v>
      </c>
      <c r="G47" s="26">
        <f>E47/'- 7 -'!F47</f>
        <v>160.21704180064307</v>
      </c>
      <c r="H47" s="26">
        <v>338774</v>
      </c>
      <c r="I47" s="226">
        <f>H47/'- 3 -'!D47</f>
        <v>0.05783815852935025</v>
      </c>
      <c r="J47" s="26">
        <f>H47/'- 7 -'!F47</f>
        <v>544.652733118971</v>
      </c>
    </row>
    <row r="48" spans="1:10" ht="4.5" customHeight="1">
      <c r="A48" s="29"/>
      <c r="B48" s="30"/>
      <c r="C48" s="215"/>
      <c r="D48" s="30"/>
      <c r="E48" s="30"/>
      <c r="F48" s="215"/>
      <c r="G48" s="30"/>
      <c r="H48" s="30"/>
      <c r="I48" s="215"/>
      <c r="J48" s="30"/>
    </row>
    <row r="49" spans="1:10" ht="13.5" customHeight="1">
      <c r="A49" s="31" t="s">
        <v>394</v>
      </c>
      <c r="B49" s="32">
        <f>SUM(B11:B47)</f>
        <v>6786107</v>
      </c>
      <c r="C49" s="228">
        <f>B49/'- 3 -'!D49</f>
        <v>0.004823835007880301</v>
      </c>
      <c r="D49" s="32">
        <f>B49/'- 7 -'!F49</f>
        <v>37.9074681338737</v>
      </c>
      <c r="E49" s="32">
        <f>SUM(E11:E47)</f>
        <v>13159659</v>
      </c>
      <c r="F49" s="228">
        <f>E49/'- 3 -'!D49</f>
        <v>0.00935440949810651</v>
      </c>
      <c r="G49" s="32">
        <f>E49/'- 7 -'!F49</f>
        <v>73.51038735391944</v>
      </c>
      <c r="H49" s="32">
        <f>SUM(H11:H47)</f>
        <v>24714880</v>
      </c>
      <c r="I49" s="228">
        <f>H49/'- 3 -'!D49</f>
        <v>0.017568320593760265</v>
      </c>
      <c r="J49" s="32">
        <f>H49/'- 7 -'!F49</f>
        <v>138.0583191559627</v>
      </c>
    </row>
    <row r="50" spans="1:10" ht="4.5" customHeight="1">
      <c r="A50" s="29" t="s">
        <v>78</v>
      </c>
      <c r="B50" s="30"/>
      <c r="C50" s="215"/>
      <c r="D50" s="30"/>
      <c r="E50" s="30"/>
      <c r="F50" s="215"/>
      <c r="H50" s="30"/>
      <c r="I50" s="215"/>
      <c r="J50" s="30"/>
    </row>
    <row r="51" spans="1:10" ht="13.5" customHeight="1">
      <c r="A51" s="27" t="s">
        <v>395</v>
      </c>
      <c r="B51" s="28">
        <v>15672</v>
      </c>
      <c r="C51" s="227">
        <f>B51/'- 3 -'!D51</f>
        <v>0.012465896165257439</v>
      </c>
      <c r="D51" s="28">
        <f>B51/'- 7 -'!F51</f>
        <v>108.08275862068966</v>
      </c>
      <c r="E51" s="28">
        <v>22015</v>
      </c>
      <c r="F51" s="227">
        <f>E51/'- 3 -'!D51</f>
        <v>0.017511275145363867</v>
      </c>
      <c r="G51" s="229">
        <f>E51/'- 7 -'!F51</f>
        <v>151.82758620689654</v>
      </c>
      <c r="H51" s="28">
        <v>19226</v>
      </c>
      <c r="I51" s="227">
        <f>H51/'- 3 -'!D51</f>
        <v>0.015292835609573731</v>
      </c>
      <c r="J51" s="28">
        <f>H51/'- 7 -'!F51</f>
        <v>132.59310344827585</v>
      </c>
    </row>
    <row r="52" spans="1:10" ht="13.5" customHeight="1">
      <c r="A52" s="25" t="s">
        <v>396</v>
      </c>
      <c r="B52" s="26">
        <v>32431</v>
      </c>
      <c r="C52" s="226">
        <f>B52/'- 3 -'!D52</f>
        <v>0.013397624525283054</v>
      </c>
      <c r="D52" s="26">
        <f>B52/'- 7 -'!F52</f>
        <v>117.29113924050633</v>
      </c>
      <c r="E52" s="26">
        <v>34166</v>
      </c>
      <c r="F52" s="226">
        <f>E52/'- 3 -'!D52</f>
        <v>0.014114373270353083</v>
      </c>
      <c r="G52" s="230">
        <f>E52/'- 7 -'!F52</f>
        <v>123.56600361663652</v>
      </c>
      <c r="H52" s="26">
        <v>55330</v>
      </c>
      <c r="I52" s="226">
        <f>H52/'- 3 -'!D52</f>
        <v>0.022857468625201546</v>
      </c>
      <c r="J52" s="26">
        <f>H52/'- 7 -'!F52</f>
        <v>200.10849909584087</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2"/>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4" width="15.83203125" style="1" customWidth="1"/>
    <col min="5" max="5" width="44.83203125" style="1" customWidth="1"/>
    <col min="6" max="16384" width="15.83203125" style="1" customWidth="1"/>
  </cols>
  <sheetData>
    <row r="1" spans="1:5" ht="6.75" customHeight="1">
      <c r="A1" s="5"/>
      <c r="B1" s="6"/>
      <c r="C1" s="6"/>
      <c r="D1" s="6"/>
      <c r="E1" s="6"/>
    </row>
    <row r="2" spans="1:5" ht="15.75" customHeight="1">
      <c r="A2" s="219"/>
      <c r="B2" s="7" t="s">
        <v>75</v>
      </c>
      <c r="C2" s="8"/>
      <c r="D2" s="8"/>
      <c r="E2" s="220" t="s">
        <v>339</v>
      </c>
    </row>
    <row r="3" spans="1:5" ht="15.75" customHeight="1">
      <c r="A3" s="221"/>
      <c r="B3" s="9" t="str">
        <f>OPYEAR</f>
        <v>OPERATING FUND 2003/2004 ACTUAL</v>
      </c>
      <c r="C3" s="10"/>
      <c r="D3" s="10"/>
      <c r="E3" s="94"/>
    </row>
    <row r="4" spans="2:5" ht="15.75" customHeight="1">
      <c r="B4" s="6"/>
      <c r="C4" s="6"/>
      <c r="D4" s="6"/>
      <c r="E4" s="6"/>
    </row>
    <row r="5" spans="2:5" ht="15.75" customHeight="1">
      <c r="B5" s="317" t="s">
        <v>554</v>
      </c>
      <c r="C5" s="259"/>
      <c r="D5" s="261"/>
      <c r="E5" s="58"/>
    </row>
    <row r="6" spans="2:5" ht="15.75" customHeight="1">
      <c r="B6" s="209" t="s">
        <v>96</v>
      </c>
      <c r="C6" s="211"/>
      <c r="D6" s="210"/>
      <c r="E6" s="99"/>
    </row>
    <row r="7" spans="2:5" ht="15.75" customHeight="1">
      <c r="B7" s="108" t="s">
        <v>126</v>
      </c>
      <c r="C7" s="71"/>
      <c r="D7" s="70"/>
      <c r="E7" s="99"/>
    </row>
    <row r="8" spans="1:5" ht="15.75" customHeight="1">
      <c r="A8" s="96"/>
      <c r="B8" s="225"/>
      <c r="C8" s="98"/>
      <c r="D8" s="18" t="s">
        <v>150</v>
      </c>
      <c r="E8" s="99"/>
    </row>
    <row r="9" spans="1:4" ht="15.75" customHeight="1">
      <c r="A9" s="49" t="s">
        <v>175</v>
      </c>
      <c r="B9" s="113" t="s">
        <v>176</v>
      </c>
      <c r="C9" s="113" t="s">
        <v>177</v>
      </c>
      <c r="D9" s="113" t="s">
        <v>178</v>
      </c>
    </row>
    <row r="10" ht="4.5" customHeight="1">
      <c r="A10" s="4"/>
    </row>
    <row r="11" spans="1:4" ht="13.5" customHeight="1">
      <c r="A11" s="25" t="s">
        <v>359</v>
      </c>
      <c r="B11" s="26">
        <v>10601</v>
      </c>
      <c r="C11" s="226">
        <f>B11/'- 3 -'!D11</f>
        <v>0.000928815300946321</v>
      </c>
      <c r="D11" s="26">
        <f>B11/'- 7 -'!F11</f>
        <v>6.786811779769526</v>
      </c>
    </row>
    <row r="12" spans="1:4" ht="13.5" customHeight="1">
      <c r="A12" s="27" t="s">
        <v>360</v>
      </c>
      <c r="B12" s="28">
        <v>5907</v>
      </c>
      <c r="C12" s="227">
        <f>B12/'- 3 -'!D12</f>
        <v>0.0003080757464747832</v>
      </c>
      <c r="D12" s="28">
        <f>B12/'- 7 -'!F12</f>
        <v>2.486948467497474</v>
      </c>
    </row>
    <row r="13" spans="1:4" ht="13.5" customHeight="1">
      <c r="A13" s="25" t="s">
        <v>361</v>
      </c>
      <c r="B13" s="26">
        <v>192646</v>
      </c>
      <c r="C13" s="226">
        <f>B13/'- 3 -'!D13</f>
        <v>0.00393679572894443</v>
      </c>
      <c r="D13" s="26">
        <f>B13/'- 7 -'!F13</f>
        <v>27.09888873259249</v>
      </c>
    </row>
    <row r="14" spans="1:4" ht="13.5" customHeight="1">
      <c r="A14" s="27" t="s">
        <v>398</v>
      </c>
      <c r="B14" s="28">
        <v>133993</v>
      </c>
      <c r="C14" s="227">
        <f>B14/'- 3 -'!D14</f>
        <v>0.0031631876001856274</v>
      </c>
      <c r="D14" s="28">
        <f>B14/'- 7 -'!F14</f>
        <v>31.363934272740043</v>
      </c>
    </row>
    <row r="15" spans="1:4" ht="13.5" customHeight="1">
      <c r="A15" s="25" t="s">
        <v>362</v>
      </c>
      <c r="B15" s="26">
        <v>0</v>
      </c>
      <c r="C15" s="226">
        <f>B15/'- 3 -'!D15</f>
        <v>0</v>
      </c>
      <c r="D15" s="26">
        <f>B15/'- 7 -'!F15</f>
        <v>0</v>
      </c>
    </row>
    <row r="16" spans="1:4" ht="13.5" customHeight="1">
      <c r="A16" s="27" t="s">
        <v>363</v>
      </c>
      <c r="B16" s="28">
        <v>5730</v>
      </c>
      <c r="C16" s="227">
        <f>B16/'- 3 -'!D16</f>
        <v>0.0005348432902159101</v>
      </c>
      <c r="D16" s="28">
        <f>B16/'- 7 -'!F16</f>
        <v>4.116675048494863</v>
      </c>
    </row>
    <row r="17" spans="1:4" ht="13.5" customHeight="1">
      <c r="A17" s="25" t="s">
        <v>364</v>
      </c>
      <c r="B17" s="26">
        <v>33606</v>
      </c>
      <c r="C17" s="226">
        <f>B17/'- 3 -'!D17</f>
        <v>0.0027222703439808834</v>
      </c>
      <c r="D17" s="26">
        <f>B17/'- 7 -'!F17</f>
        <v>21.283090563647878</v>
      </c>
    </row>
    <row r="18" spans="1:4" ht="13.5" customHeight="1">
      <c r="A18" s="27" t="s">
        <v>365</v>
      </c>
      <c r="B18" s="28">
        <v>119282</v>
      </c>
      <c r="C18" s="227">
        <f>B18/'- 3 -'!D18</f>
        <v>0.0016231155869838273</v>
      </c>
      <c r="D18" s="28">
        <f>B18/'- 7 -'!F18</f>
        <v>20.358416821696164</v>
      </c>
    </row>
    <row r="19" spans="1:4" ht="13.5" customHeight="1">
      <c r="A19" s="25" t="s">
        <v>366</v>
      </c>
      <c r="B19" s="26">
        <v>9239</v>
      </c>
      <c r="C19" s="226">
        <f>B19/'- 3 -'!D19</f>
        <v>0.0005035808254038022</v>
      </c>
      <c r="D19" s="26">
        <f>B19/'- 7 -'!F19</f>
        <v>3.0695371939267084</v>
      </c>
    </row>
    <row r="20" spans="1:4" ht="13.5" customHeight="1">
      <c r="A20" s="27" t="s">
        <v>367</v>
      </c>
      <c r="B20" s="28">
        <v>25471</v>
      </c>
      <c r="C20" s="227">
        <f>B20/'- 3 -'!D20</f>
        <v>0.0006943817236963768</v>
      </c>
      <c r="D20" s="28">
        <f>B20/'- 7 -'!F20</f>
        <v>4.025444488344528</v>
      </c>
    </row>
    <row r="21" spans="1:4" ht="13.5" customHeight="1">
      <c r="A21" s="25" t="s">
        <v>368</v>
      </c>
      <c r="B21" s="26">
        <v>8923</v>
      </c>
      <c r="C21" s="226">
        <f>B21/'- 3 -'!D21</f>
        <v>0.00037067128182806787</v>
      </c>
      <c r="D21" s="26">
        <f>B21/'- 7 -'!F21</f>
        <v>2.6848202196479614</v>
      </c>
    </row>
    <row r="22" spans="1:4" ht="13.5" customHeight="1">
      <c r="A22" s="27" t="s">
        <v>369</v>
      </c>
      <c r="B22" s="28">
        <v>0</v>
      </c>
      <c r="C22" s="227">
        <f>B22/'- 3 -'!D22</f>
        <v>0</v>
      </c>
      <c r="D22" s="28">
        <f>B22/'- 7 -'!F22</f>
        <v>0</v>
      </c>
    </row>
    <row r="23" spans="1:4" ht="13.5" customHeight="1">
      <c r="A23" s="25" t="s">
        <v>370</v>
      </c>
      <c r="B23" s="26">
        <v>0</v>
      </c>
      <c r="C23" s="226">
        <f>B23/'- 3 -'!D23</f>
        <v>0</v>
      </c>
      <c r="D23" s="26">
        <f>B23/'- 7 -'!F23</f>
        <v>0</v>
      </c>
    </row>
    <row r="24" spans="1:4" ht="13.5" customHeight="1">
      <c r="A24" s="27" t="s">
        <v>371</v>
      </c>
      <c r="B24" s="28">
        <v>6980</v>
      </c>
      <c r="C24" s="227">
        <f>B24/'- 3 -'!D24</f>
        <v>0.0002003990125790558</v>
      </c>
      <c r="D24" s="28">
        <f>B24/'- 7 -'!F24</f>
        <v>1.4976933805385688</v>
      </c>
    </row>
    <row r="25" spans="1:4" ht="13.5" customHeight="1">
      <c r="A25" s="25" t="s">
        <v>372</v>
      </c>
      <c r="B25" s="26">
        <v>129719.59</v>
      </c>
      <c r="C25" s="226">
        <f>B25/'- 3 -'!D25</f>
        <v>0.0011741383836228012</v>
      </c>
      <c r="D25" s="26">
        <f>B25/'- 7 -'!F25</f>
        <v>8.639045652825413</v>
      </c>
    </row>
    <row r="26" spans="1:4" ht="13.5" customHeight="1">
      <c r="A26" s="27" t="s">
        <v>373</v>
      </c>
      <c r="B26" s="28">
        <v>46607</v>
      </c>
      <c r="C26" s="227">
        <f>B26/'- 3 -'!D26</f>
        <v>0.0017213760430489162</v>
      </c>
      <c r="D26" s="28">
        <f>B26/'- 7 -'!F26</f>
        <v>14.122477425610569</v>
      </c>
    </row>
    <row r="27" spans="1:4" ht="13.5" customHeight="1">
      <c r="A27" s="25" t="s">
        <v>374</v>
      </c>
      <c r="B27" s="26">
        <v>0</v>
      </c>
      <c r="C27" s="226">
        <f>B27/'- 3 -'!D27</f>
        <v>0</v>
      </c>
      <c r="D27" s="26">
        <f>B27/'- 7 -'!F27</f>
        <v>0</v>
      </c>
    </row>
    <row r="28" spans="1:4" ht="13.5" customHeight="1">
      <c r="A28" s="27" t="s">
        <v>375</v>
      </c>
      <c r="B28" s="28">
        <v>7588</v>
      </c>
      <c r="C28" s="227">
        <f>B28/'- 3 -'!D28</f>
        <v>0.0004550837273033183</v>
      </c>
      <c r="D28" s="28">
        <f>B28/'- 7 -'!F28</f>
        <v>3.642822851656265</v>
      </c>
    </row>
    <row r="29" spans="1:4" ht="13.5" customHeight="1">
      <c r="A29" s="25" t="s">
        <v>376</v>
      </c>
      <c r="B29" s="26">
        <v>470651</v>
      </c>
      <c r="C29" s="226">
        <f>B29/'- 3 -'!D29</f>
        <v>0.004620792996100301</v>
      </c>
      <c r="D29" s="26">
        <f>B29/'- 7 -'!F29</f>
        <v>35.76647161638422</v>
      </c>
    </row>
    <row r="30" spans="1:4" ht="13.5" customHeight="1">
      <c r="A30" s="27" t="s">
        <v>377</v>
      </c>
      <c r="B30" s="28">
        <v>12763</v>
      </c>
      <c r="C30" s="227">
        <f>B30/'- 3 -'!D30</f>
        <v>0.0012990831910971426</v>
      </c>
      <c r="D30" s="28">
        <f>B30/'- 7 -'!F30</f>
        <v>10.014123185562966</v>
      </c>
    </row>
    <row r="31" spans="1:4" ht="13.5" customHeight="1">
      <c r="A31" s="25" t="s">
        <v>378</v>
      </c>
      <c r="B31" s="26">
        <v>6729</v>
      </c>
      <c r="C31" s="226">
        <f>B31/'- 3 -'!D31</f>
        <v>0.0002699593496342671</v>
      </c>
      <c r="D31" s="26">
        <f>B31/'- 7 -'!F31</f>
        <v>1.9774891266016221</v>
      </c>
    </row>
    <row r="32" spans="1:4" ht="13.5" customHeight="1">
      <c r="A32" s="27" t="s">
        <v>379</v>
      </c>
      <c r="B32" s="28">
        <v>14265</v>
      </c>
      <c r="C32" s="227">
        <f>B32/'- 3 -'!D32</f>
        <v>0.000770111531476777</v>
      </c>
      <c r="D32" s="28">
        <f>B32/'- 7 -'!F32</f>
        <v>6.1434108527131785</v>
      </c>
    </row>
    <row r="33" spans="1:4" ht="13.5" customHeight="1">
      <c r="A33" s="25" t="s">
        <v>380</v>
      </c>
      <c r="B33" s="26">
        <v>5950</v>
      </c>
      <c r="C33" s="226">
        <f>B33/'- 3 -'!D33</f>
        <v>0.00027072025738717094</v>
      </c>
      <c r="D33" s="26">
        <f>B33/'- 7 -'!F33</f>
        <v>2.3570890940062594</v>
      </c>
    </row>
    <row r="34" spans="1:4" ht="13.5" customHeight="1">
      <c r="A34" s="27" t="s">
        <v>381</v>
      </c>
      <c r="B34" s="28">
        <v>22322</v>
      </c>
      <c r="C34" s="227">
        <f>B34/'- 3 -'!D34</f>
        <v>0.0013150529078740693</v>
      </c>
      <c r="D34" s="28">
        <f>B34/'- 7 -'!F34</f>
        <v>10.19735038830516</v>
      </c>
    </row>
    <row r="35" spans="1:4" ht="13.5" customHeight="1">
      <c r="A35" s="25" t="s">
        <v>382</v>
      </c>
      <c r="B35" s="26">
        <v>642787.99</v>
      </c>
      <c r="C35" s="226">
        <f>B35/'- 3 -'!D35</f>
        <v>0.005094290810269902</v>
      </c>
      <c r="D35" s="26">
        <f>B35/'- 7 -'!F35</f>
        <v>36.02768769442031</v>
      </c>
    </row>
    <row r="36" spans="1:4" ht="13.5" customHeight="1">
      <c r="A36" s="27" t="s">
        <v>383</v>
      </c>
      <c r="B36" s="28">
        <v>0</v>
      </c>
      <c r="C36" s="227">
        <f>B36/'- 3 -'!D36</f>
        <v>0</v>
      </c>
      <c r="D36" s="28">
        <f>B36/'- 7 -'!F36</f>
        <v>0</v>
      </c>
    </row>
    <row r="37" spans="1:4" ht="13.5" customHeight="1">
      <c r="A37" s="25" t="s">
        <v>384</v>
      </c>
      <c r="B37" s="26">
        <v>76579</v>
      </c>
      <c r="C37" s="226">
        <f>B37/'- 3 -'!D37</f>
        <v>0.0030359250021823724</v>
      </c>
      <c r="D37" s="26">
        <f>B37/'- 7 -'!F37</f>
        <v>22.72845991749028</v>
      </c>
    </row>
    <row r="38" spans="1:4" ht="13.5" customHeight="1">
      <c r="A38" s="27" t="s">
        <v>385</v>
      </c>
      <c r="B38" s="28">
        <v>215366</v>
      </c>
      <c r="C38" s="227">
        <f>B38/'- 3 -'!D38</f>
        <v>0.0032998069999322266</v>
      </c>
      <c r="D38" s="28">
        <f>B38/'- 7 -'!F38</f>
        <v>25.3222810111699</v>
      </c>
    </row>
    <row r="39" spans="1:4" ht="13.5" customHeight="1">
      <c r="A39" s="25" t="s">
        <v>386</v>
      </c>
      <c r="B39" s="26">
        <v>15395</v>
      </c>
      <c r="C39" s="226">
        <f>B39/'- 3 -'!D39</f>
        <v>0.001004167605389983</v>
      </c>
      <c r="D39" s="26">
        <f>B39/'- 7 -'!F39</f>
        <v>8.458791208791208</v>
      </c>
    </row>
    <row r="40" spans="1:4" ht="13.5" customHeight="1">
      <c r="A40" s="27" t="s">
        <v>387</v>
      </c>
      <c r="B40" s="28">
        <v>110663</v>
      </c>
      <c r="C40" s="227">
        <f>B40/'- 3 -'!D40</f>
        <v>0.0016842575155173835</v>
      </c>
      <c r="D40" s="28">
        <f>B40/'- 7 -'!F40</f>
        <v>12.344746652863892</v>
      </c>
    </row>
    <row r="41" spans="1:4" ht="13.5" customHeight="1">
      <c r="A41" s="25" t="s">
        <v>388</v>
      </c>
      <c r="B41" s="26">
        <v>58207</v>
      </c>
      <c r="C41" s="226">
        <f>B41/'- 3 -'!D41</f>
        <v>0.0014888719692885209</v>
      </c>
      <c r="D41" s="26">
        <f>B41/'- 7 -'!F41</f>
        <v>12.172103722291927</v>
      </c>
    </row>
    <row r="42" spans="1:4" ht="13.5" customHeight="1">
      <c r="A42" s="27" t="s">
        <v>389</v>
      </c>
      <c r="B42" s="28">
        <v>25887</v>
      </c>
      <c r="C42" s="227">
        <f>B42/'- 3 -'!D42</f>
        <v>0.0017128340744344082</v>
      </c>
      <c r="D42" s="28">
        <f>B42/'- 7 -'!F42</f>
        <v>13.838875227199829</v>
      </c>
    </row>
    <row r="43" spans="1:4" ht="13.5" customHeight="1">
      <c r="A43" s="25" t="s">
        <v>390</v>
      </c>
      <c r="B43" s="26">
        <v>0</v>
      </c>
      <c r="C43" s="226">
        <f>B43/'- 3 -'!D43</f>
        <v>0</v>
      </c>
      <c r="D43" s="26">
        <f>B43/'- 7 -'!F43</f>
        <v>0</v>
      </c>
    </row>
    <row r="44" spans="1:4" ht="13.5" customHeight="1">
      <c r="A44" s="27" t="s">
        <v>391</v>
      </c>
      <c r="B44" s="28">
        <v>8111</v>
      </c>
      <c r="C44" s="227">
        <f>B44/'- 3 -'!D44</f>
        <v>0.0011763288012308886</v>
      </c>
      <c r="D44" s="28">
        <f>B44/'- 7 -'!F44</f>
        <v>10.260594560404806</v>
      </c>
    </row>
    <row r="45" spans="1:4" ht="13.5" customHeight="1">
      <c r="A45" s="25" t="s">
        <v>392</v>
      </c>
      <c r="B45" s="26">
        <v>14262</v>
      </c>
      <c r="C45" s="226">
        <f>B45/'- 3 -'!D45</f>
        <v>0.0013643577168381458</v>
      </c>
      <c r="D45" s="26">
        <f>B45/'- 7 -'!F45</f>
        <v>9.753795650389824</v>
      </c>
    </row>
    <row r="46" spans="1:4" ht="13.5" customHeight="1">
      <c r="A46" s="27" t="s">
        <v>393</v>
      </c>
      <c r="B46" s="28">
        <v>1051988</v>
      </c>
      <c r="C46" s="227">
        <f>B46/'- 3 -'!D46</f>
        <v>0.00404458840489783</v>
      </c>
      <c r="D46" s="28">
        <f>B46/'- 7 -'!F46</f>
        <v>33.914747925438284</v>
      </c>
    </row>
    <row r="47" spans="1:4" ht="13.5" customHeight="1">
      <c r="A47" s="25" t="s">
        <v>397</v>
      </c>
      <c r="B47" s="26">
        <v>243078</v>
      </c>
      <c r="C47" s="226">
        <f>B47/'- 3 -'!D47</f>
        <v>0.04150018566654289</v>
      </c>
      <c r="D47" s="26">
        <f>B47/'- 7 -'!F47</f>
        <v>390.8006430868167</v>
      </c>
    </row>
    <row r="48" spans="1:4" ht="4.5" customHeight="1">
      <c r="A48" s="29"/>
      <c r="B48" s="30"/>
      <c r="C48" s="215"/>
      <c r="D48" s="30"/>
    </row>
    <row r="49" spans="1:5" ht="13.5" customHeight="1">
      <c r="A49" s="31" t="s">
        <v>394</v>
      </c>
      <c r="B49" s="32">
        <f>SUM(B11:B47)</f>
        <v>3731296.58</v>
      </c>
      <c r="C49" s="228">
        <f>B49/'- 3 -'!D49</f>
        <v>0.00265235415052961</v>
      </c>
      <c r="D49" s="32">
        <f>B49/'- 7 -'!F49</f>
        <v>20.843173590452068</v>
      </c>
      <c r="E49" s="4"/>
    </row>
    <row r="50" spans="1:4" ht="4.5" customHeight="1">
      <c r="A50" s="29" t="s">
        <v>78</v>
      </c>
      <c r="B50" s="30"/>
      <c r="C50" s="215"/>
      <c r="D50" s="30"/>
    </row>
    <row r="51" spans="1:4" ht="13.5" customHeight="1">
      <c r="A51" s="27" t="s">
        <v>395</v>
      </c>
      <c r="B51" s="28">
        <v>0</v>
      </c>
      <c r="C51" s="227">
        <f>B51/'- 3 -'!D51</f>
        <v>0</v>
      </c>
      <c r="D51" s="28">
        <f>B51/'- 7 -'!F51</f>
        <v>0</v>
      </c>
    </row>
    <row r="52" spans="1:4" ht="13.5" customHeight="1">
      <c r="A52" s="25" t="s">
        <v>396</v>
      </c>
      <c r="B52" s="26">
        <v>6001</v>
      </c>
      <c r="C52" s="226">
        <f>B52/'- 3 -'!D52</f>
        <v>0.00247908312343818</v>
      </c>
      <c r="D52" s="26">
        <f>B52/'- 7 -'!F52</f>
        <v>21.703435804701627</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3"/>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7" ht="6.75" customHeight="1">
      <c r="A1" s="5"/>
      <c r="B1" s="6"/>
      <c r="C1" s="6"/>
      <c r="D1" s="6"/>
      <c r="E1" s="6"/>
      <c r="F1" s="6"/>
      <c r="G1" s="6"/>
    </row>
    <row r="2" spans="1:10" ht="15.75" customHeight="1">
      <c r="A2" s="219"/>
      <c r="B2" s="7" t="s">
        <v>75</v>
      </c>
      <c r="C2" s="8"/>
      <c r="D2" s="8"/>
      <c r="E2" s="8"/>
      <c r="F2" s="8"/>
      <c r="G2" s="8"/>
      <c r="H2" s="105"/>
      <c r="I2" s="220"/>
      <c r="J2" s="220" t="s">
        <v>338</v>
      </c>
    </row>
    <row r="3" spans="1:10" ht="15.75" customHeight="1">
      <c r="A3" s="221"/>
      <c r="B3" s="9" t="str">
        <f>OPYEAR</f>
        <v>OPERATING FUND 2003/2004 ACTUAL</v>
      </c>
      <c r="C3" s="10"/>
      <c r="D3" s="10"/>
      <c r="E3" s="10"/>
      <c r="F3" s="10"/>
      <c r="G3" s="10"/>
      <c r="H3" s="107"/>
      <c r="I3" s="10"/>
      <c r="J3" s="10"/>
    </row>
    <row r="4" spans="2:7" ht="15.75" customHeight="1">
      <c r="B4" s="6"/>
      <c r="C4" s="6"/>
      <c r="D4" s="6"/>
      <c r="E4" s="6"/>
      <c r="F4" s="6"/>
      <c r="G4" s="6"/>
    </row>
    <row r="5" spans="2:10" ht="15.75" customHeight="1">
      <c r="B5" s="278" t="s">
        <v>88</v>
      </c>
      <c r="C5" s="280"/>
      <c r="D5" s="280"/>
      <c r="E5" s="280"/>
      <c r="F5" s="280"/>
      <c r="G5" s="280"/>
      <c r="H5" s="54"/>
      <c r="I5" s="54"/>
      <c r="J5" s="315"/>
    </row>
    <row r="6" spans="2:10" ht="15.75" customHeight="1">
      <c r="B6" s="209" t="s">
        <v>98</v>
      </c>
      <c r="C6" s="211"/>
      <c r="D6" s="210"/>
      <c r="E6" s="209" t="s">
        <v>98</v>
      </c>
      <c r="F6" s="211"/>
      <c r="G6" s="210"/>
      <c r="H6" s="209" t="s">
        <v>439</v>
      </c>
      <c r="I6" s="211"/>
      <c r="J6" s="210"/>
    </row>
    <row r="7" spans="2:10" ht="15.75" customHeight="1">
      <c r="B7" s="108" t="s">
        <v>488</v>
      </c>
      <c r="C7" s="71"/>
      <c r="D7" s="70"/>
      <c r="E7" s="108" t="s">
        <v>128</v>
      </c>
      <c r="F7" s="71"/>
      <c r="G7" s="70"/>
      <c r="H7" s="108" t="s">
        <v>399</v>
      </c>
      <c r="I7" s="71"/>
      <c r="J7" s="70"/>
    </row>
    <row r="8" spans="1:10" ht="15.75" customHeight="1">
      <c r="A8" s="96"/>
      <c r="B8" s="6"/>
      <c r="C8" s="98"/>
      <c r="D8" s="18" t="s">
        <v>150</v>
      </c>
      <c r="E8" s="225"/>
      <c r="F8" s="223"/>
      <c r="G8" s="18" t="s">
        <v>150</v>
      </c>
      <c r="H8" s="225"/>
      <c r="I8" s="223"/>
      <c r="J8" s="18" t="s">
        <v>150</v>
      </c>
    </row>
    <row r="9" spans="1:10" ht="15.75" customHeight="1">
      <c r="A9" s="49" t="s">
        <v>175</v>
      </c>
      <c r="B9" s="114" t="s">
        <v>176</v>
      </c>
      <c r="C9" s="113" t="s">
        <v>177</v>
      </c>
      <c r="D9" s="113" t="s">
        <v>178</v>
      </c>
      <c r="E9" s="113" t="s">
        <v>176</v>
      </c>
      <c r="F9" s="113" t="s">
        <v>177</v>
      </c>
      <c r="G9" s="113" t="s">
        <v>178</v>
      </c>
      <c r="H9" s="113" t="s">
        <v>176</v>
      </c>
      <c r="I9" s="113" t="s">
        <v>177</v>
      </c>
      <c r="J9" s="113" t="s">
        <v>178</v>
      </c>
    </row>
    <row r="10" ht="4.5" customHeight="1">
      <c r="A10" s="4"/>
    </row>
    <row r="11" spans="1:10" ht="13.5" customHeight="1">
      <c r="A11" s="25" t="s">
        <v>359</v>
      </c>
      <c r="B11" s="26">
        <v>0</v>
      </c>
      <c r="C11" s="226">
        <f>B11/'- 3 -'!D11</f>
        <v>0</v>
      </c>
      <c r="D11" s="26">
        <f>B11/'- 7 -'!F11</f>
        <v>0</v>
      </c>
      <c r="E11" s="26">
        <v>0</v>
      </c>
      <c r="F11" s="226">
        <f>E11/'- 3 -'!D11</f>
        <v>0</v>
      </c>
      <c r="G11" s="26">
        <f>E11/'- 7 -'!F11</f>
        <v>0</v>
      </c>
      <c r="H11" s="26">
        <v>142301</v>
      </c>
      <c r="I11" s="226">
        <f>H11/'- 3 -'!D11</f>
        <v>0.012467818709552157</v>
      </c>
      <c r="J11" s="26">
        <f>H11/'- 7 -'!F11</f>
        <v>91.10179257362356</v>
      </c>
    </row>
    <row r="12" spans="1:10" ht="13.5" customHeight="1">
      <c r="A12" s="27" t="s">
        <v>360</v>
      </c>
      <c r="B12" s="28">
        <v>0</v>
      </c>
      <c r="C12" s="227">
        <f>B12/'- 3 -'!D12</f>
        <v>0</v>
      </c>
      <c r="D12" s="28">
        <f>B12/'- 7 -'!F12</f>
        <v>0</v>
      </c>
      <c r="E12" s="28">
        <v>0</v>
      </c>
      <c r="F12" s="227">
        <f>E12/'- 3 -'!D12</f>
        <v>0</v>
      </c>
      <c r="G12" s="28">
        <f>E12/'- 7 -'!F12</f>
        <v>0</v>
      </c>
      <c r="H12" s="28">
        <v>217632</v>
      </c>
      <c r="I12" s="227">
        <f>H12/'- 3 -'!D12</f>
        <v>0.011350455536956156</v>
      </c>
      <c r="J12" s="28">
        <f>H12/'- 7 -'!F12</f>
        <v>91.62681037386326</v>
      </c>
    </row>
    <row r="13" spans="1:10" ht="13.5" customHeight="1">
      <c r="A13" s="25" t="s">
        <v>361</v>
      </c>
      <c r="B13" s="26">
        <v>0</v>
      </c>
      <c r="C13" s="226">
        <f>B13/'- 3 -'!D13</f>
        <v>0</v>
      </c>
      <c r="D13" s="26">
        <f>B13/'- 7 -'!F13</f>
        <v>0</v>
      </c>
      <c r="E13" s="26">
        <v>121106</v>
      </c>
      <c r="F13" s="226">
        <f>E13/'- 3 -'!D13</f>
        <v>0.002474848081712281</v>
      </c>
      <c r="G13" s="26">
        <f>E13/'- 7 -'!F13</f>
        <v>17.03558869039246</v>
      </c>
      <c r="H13" s="26">
        <v>1008966</v>
      </c>
      <c r="I13" s="226">
        <f>H13/'- 3 -'!D13</f>
        <v>0.02061861154371306</v>
      </c>
      <c r="J13" s="26">
        <f>H13/'- 7 -'!F13</f>
        <v>141.92797861865242</v>
      </c>
    </row>
    <row r="14" spans="1:10" ht="13.5" customHeight="1">
      <c r="A14" s="27" t="s">
        <v>398</v>
      </c>
      <c r="B14" s="28">
        <v>108217</v>
      </c>
      <c r="C14" s="227">
        <f>B14/'- 3 -'!D14</f>
        <v>0.002554690711673655</v>
      </c>
      <c r="D14" s="28">
        <f>B14/'- 7 -'!F14</f>
        <v>25.330508871307526</v>
      </c>
      <c r="E14" s="28">
        <v>417672</v>
      </c>
      <c r="F14" s="227">
        <f>E14/'- 3 -'!D14</f>
        <v>0.009860029190664673</v>
      </c>
      <c r="G14" s="28">
        <f>E14/'- 7 -'!F14</f>
        <v>97.76508590421797</v>
      </c>
      <c r="H14" s="28">
        <v>1023025</v>
      </c>
      <c r="I14" s="227">
        <f>H14/'- 3 -'!D14</f>
        <v>0.024150664547251732</v>
      </c>
      <c r="J14" s="28">
        <f>H14/'- 7 -'!F14</f>
        <v>239.46093347689717</v>
      </c>
    </row>
    <row r="15" spans="1:10" ht="13.5" customHeight="1">
      <c r="A15" s="25" t="s">
        <v>362</v>
      </c>
      <c r="B15" s="26">
        <v>0</v>
      </c>
      <c r="C15" s="226">
        <f>B15/'- 3 -'!D15</f>
        <v>0</v>
      </c>
      <c r="D15" s="26">
        <f>B15/'- 7 -'!F15</f>
        <v>0</v>
      </c>
      <c r="E15" s="26">
        <v>132304</v>
      </c>
      <c r="F15" s="226">
        <f>E15/'- 3 -'!D15</f>
        <v>0.01012401737635949</v>
      </c>
      <c r="G15" s="26">
        <f>E15/'- 7 -'!F15</f>
        <v>79.62925067709901</v>
      </c>
      <c r="H15" s="26">
        <v>144844</v>
      </c>
      <c r="I15" s="226">
        <f>H15/'- 3 -'!D15</f>
        <v>0.011083589104346156</v>
      </c>
      <c r="J15" s="26">
        <f>H15/'- 7 -'!F15</f>
        <v>87.1766476075835</v>
      </c>
    </row>
    <row r="16" spans="1:10" ht="13.5" customHeight="1">
      <c r="A16" s="27" t="s">
        <v>363</v>
      </c>
      <c r="B16" s="28">
        <v>0</v>
      </c>
      <c r="C16" s="227">
        <f>B16/'- 3 -'!D16</f>
        <v>0</v>
      </c>
      <c r="D16" s="28">
        <f>B16/'- 7 -'!F16</f>
        <v>0</v>
      </c>
      <c r="E16" s="28">
        <v>0</v>
      </c>
      <c r="F16" s="227">
        <f>E16/'- 3 -'!D16</f>
        <v>0</v>
      </c>
      <c r="G16" s="28">
        <f>E16/'- 7 -'!F16</f>
        <v>0</v>
      </c>
      <c r="H16" s="28">
        <v>132222</v>
      </c>
      <c r="I16" s="227">
        <f>H16/'- 3 -'!D16</f>
        <v>0.0123417189387309</v>
      </c>
      <c r="J16" s="28">
        <f>H16/'- 7 -'!F16</f>
        <v>94.99389323945685</v>
      </c>
    </row>
    <row r="17" spans="1:10" ht="13.5" customHeight="1">
      <c r="A17" s="25" t="s">
        <v>364</v>
      </c>
      <c r="B17" s="26">
        <v>32602</v>
      </c>
      <c r="C17" s="226">
        <f>B17/'- 3 -'!D17</f>
        <v>0.0026409408365906314</v>
      </c>
      <c r="D17" s="26">
        <f>B17/'- 7 -'!F17</f>
        <v>20.64724509183027</v>
      </c>
      <c r="E17" s="26">
        <v>37795</v>
      </c>
      <c r="F17" s="226">
        <f>E17/'- 3 -'!D17</f>
        <v>0.003061602322524474</v>
      </c>
      <c r="G17" s="26">
        <f>E17/'- 7 -'!F17</f>
        <v>23.936035465484483</v>
      </c>
      <c r="H17" s="26">
        <v>191592</v>
      </c>
      <c r="I17" s="226">
        <f>H17/'- 3 -'!D17</f>
        <v>0.015520002968040987</v>
      </c>
      <c r="J17" s="26">
        <f>H17/'- 7 -'!F17</f>
        <v>121.3375554148195</v>
      </c>
    </row>
    <row r="18" spans="1:10" ht="13.5" customHeight="1">
      <c r="A18" s="27" t="s">
        <v>365</v>
      </c>
      <c r="B18" s="28">
        <v>0</v>
      </c>
      <c r="C18" s="227">
        <f>B18/'- 3 -'!D18</f>
        <v>0</v>
      </c>
      <c r="D18" s="28">
        <f>B18/'- 7 -'!F18</f>
        <v>0</v>
      </c>
      <c r="E18" s="28">
        <v>1335358</v>
      </c>
      <c r="F18" s="227">
        <f>E18/'- 3 -'!D18</f>
        <v>0.018170724702834876</v>
      </c>
      <c r="G18" s="28">
        <f>E18/'- 7 -'!F18</f>
        <v>227.91179532692732</v>
      </c>
      <c r="H18" s="28">
        <v>1357034</v>
      </c>
      <c r="I18" s="227">
        <f>H18/'- 3 -'!D18</f>
        <v>0.018465678287310834</v>
      </c>
      <c r="J18" s="28">
        <f>H18/'- 7 -'!F18</f>
        <v>231.61133962553976</v>
      </c>
    </row>
    <row r="19" spans="1:10" ht="13.5" customHeight="1">
      <c r="A19" s="25" t="s">
        <v>366</v>
      </c>
      <c r="B19" s="26">
        <v>0</v>
      </c>
      <c r="C19" s="226">
        <f>B19/'- 3 -'!D19</f>
        <v>0</v>
      </c>
      <c r="D19" s="26">
        <f>B19/'- 7 -'!F19</f>
        <v>0</v>
      </c>
      <c r="E19" s="26">
        <v>0</v>
      </c>
      <c r="F19" s="226">
        <f>E19/'- 3 -'!D19</f>
        <v>0</v>
      </c>
      <c r="G19" s="26">
        <f>E19/'- 7 -'!F19</f>
        <v>0</v>
      </c>
      <c r="H19" s="26">
        <v>278305</v>
      </c>
      <c r="I19" s="226">
        <f>H19/'- 3 -'!D19</f>
        <v>0.015169289058773154</v>
      </c>
      <c r="J19" s="26">
        <f>H19/'- 7 -'!F19</f>
        <v>92.46320475763314</v>
      </c>
    </row>
    <row r="20" spans="1:10" ht="13.5" customHeight="1">
      <c r="A20" s="27" t="s">
        <v>367</v>
      </c>
      <c r="B20" s="28">
        <v>11838</v>
      </c>
      <c r="C20" s="227">
        <f>B20/'- 3 -'!D20</f>
        <v>0.00032272352263820454</v>
      </c>
      <c r="D20" s="28">
        <f>B20/'- 7 -'!F20</f>
        <v>1.8708810746740419</v>
      </c>
      <c r="E20" s="28">
        <v>49255</v>
      </c>
      <c r="F20" s="227">
        <f>E20/'- 3 -'!D20</f>
        <v>0.0013427730281757699</v>
      </c>
      <c r="G20" s="28">
        <f>E20/'- 7 -'!F20</f>
        <v>7.784274990122481</v>
      </c>
      <c r="H20" s="28">
        <v>496532</v>
      </c>
      <c r="I20" s="227">
        <f>H20/'- 3 -'!D20</f>
        <v>0.013536286209038096</v>
      </c>
      <c r="J20" s="28">
        <f>H20/'- 7 -'!F20</f>
        <v>78.47206637692612</v>
      </c>
    </row>
    <row r="21" spans="1:10" ht="13.5" customHeight="1">
      <c r="A21" s="25" t="s">
        <v>368</v>
      </c>
      <c r="B21" s="26">
        <v>0</v>
      </c>
      <c r="C21" s="226">
        <f>B21/'- 3 -'!D21</f>
        <v>0</v>
      </c>
      <c r="D21" s="26">
        <f>B21/'- 7 -'!F21</f>
        <v>0</v>
      </c>
      <c r="E21" s="26">
        <v>0</v>
      </c>
      <c r="F21" s="226">
        <f>E21/'- 3 -'!D21</f>
        <v>0</v>
      </c>
      <c r="G21" s="26">
        <f>E21/'- 7 -'!F21</f>
        <v>0</v>
      </c>
      <c r="H21" s="26">
        <v>432144</v>
      </c>
      <c r="I21" s="226">
        <f>H21/'- 3 -'!D21</f>
        <v>0.017951739371770543</v>
      </c>
      <c r="J21" s="26">
        <f>H21/'- 7 -'!F21</f>
        <v>130.02677899804422</v>
      </c>
    </row>
    <row r="22" spans="1:10" ht="13.5" customHeight="1">
      <c r="A22" s="27" t="s">
        <v>369</v>
      </c>
      <c r="B22" s="28">
        <v>53017</v>
      </c>
      <c r="C22" s="227">
        <f>B22/'- 3 -'!D22</f>
        <v>0.003932478884352989</v>
      </c>
      <c r="D22" s="28">
        <f>B22/'- 7 -'!F22</f>
        <v>31.333924349881798</v>
      </c>
      <c r="E22" s="28">
        <v>208196</v>
      </c>
      <c r="F22" s="227">
        <f>E22/'- 3 -'!D22</f>
        <v>0.015442714106923341</v>
      </c>
      <c r="G22" s="28">
        <f>E22/'- 7 -'!F22</f>
        <v>123.04728132387707</v>
      </c>
      <c r="H22" s="28">
        <v>202773</v>
      </c>
      <c r="I22" s="227">
        <f>H22/'- 3 -'!D22</f>
        <v>0.015040468921608326</v>
      </c>
      <c r="J22" s="28">
        <f>H22/'- 7 -'!F22</f>
        <v>119.84219858156028</v>
      </c>
    </row>
    <row r="23" spans="1:10" ht="13.5" customHeight="1">
      <c r="A23" s="25" t="s">
        <v>370</v>
      </c>
      <c r="B23" s="26">
        <v>0</v>
      </c>
      <c r="C23" s="226">
        <f>B23/'- 3 -'!D23</f>
        <v>0</v>
      </c>
      <c r="D23" s="26">
        <f>B23/'- 7 -'!F23</f>
        <v>0</v>
      </c>
      <c r="E23" s="26">
        <v>0</v>
      </c>
      <c r="F23" s="226">
        <f>E23/'- 3 -'!D23</f>
        <v>0</v>
      </c>
      <c r="G23" s="26">
        <f>E23/'- 7 -'!F23</f>
        <v>0</v>
      </c>
      <c r="H23" s="26">
        <v>154585</v>
      </c>
      <c r="I23" s="226">
        <f>H23/'- 3 -'!D23</f>
        <v>0.013664901106814117</v>
      </c>
      <c r="J23" s="26">
        <f>H23/'- 7 -'!F23</f>
        <v>116.4482109227872</v>
      </c>
    </row>
    <row r="24" spans="1:10" ht="13.5" customHeight="1">
      <c r="A24" s="27" t="s">
        <v>371</v>
      </c>
      <c r="B24" s="28">
        <v>0</v>
      </c>
      <c r="C24" s="227">
        <f>B24/'- 3 -'!D24</f>
        <v>0</v>
      </c>
      <c r="D24" s="28">
        <f>B24/'- 7 -'!F24</f>
        <v>0</v>
      </c>
      <c r="E24" s="28">
        <v>278697</v>
      </c>
      <c r="F24" s="227">
        <f>E24/'- 3 -'!D24</f>
        <v>0.008001519141654027</v>
      </c>
      <c r="G24" s="28">
        <f>E24/'- 7 -'!F24</f>
        <v>59.79980688767299</v>
      </c>
      <c r="H24" s="28">
        <v>490212</v>
      </c>
      <c r="I24" s="227">
        <f>H24/'- 3 -'!D24</f>
        <v>0.01407421214246477</v>
      </c>
      <c r="J24" s="28">
        <f>H24/'- 7 -'!F24</f>
        <v>105.18442227228839</v>
      </c>
    </row>
    <row r="25" spans="1:10" ht="13.5" customHeight="1">
      <c r="A25" s="25" t="s">
        <v>372</v>
      </c>
      <c r="B25" s="26">
        <v>103567</v>
      </c>
      <c r="C25" s="226">
        <f>B25/'- 3 -'!D25</f>
        <v>0.0009374219420263558</v>
      </c>
      <c r="D25" s="26">
        <f>B25/'- 7 -'!F25</f>
        <v>6.897339415936865</v>
      </c>
      <c r="E25" s="26">
        <v>542384</v>
      </c>
      <c r="F25" s="226">
        <f>E25/'- 3 -'!D25</f>
        <v>0.004909311485357527</v>
      </c>
      <c r="G25" s="26">
        <f>E25/'- 7 -'!F25</f>
        <v>36.121607672072194</v>
      </c>
      <c r="H25" s="26">
        <v>2727426</v>
      </c>
      <c r="I25" s="226">
        <f>H25/'- 3 -'!D25</f>
        <v>0.024686907776156262</v>
      </c>
      <c r="J25" s="26">
        <f>H25/'- 7 -'!F25</f>
        <v>181.64070460524124</v>
      </c>
    </row>
    <row r="26" spans="1:10" ht="13.5" customHeight="1">
      <c r="A26" s="27" t="s">
        <v>373</v>
      </c>
      <c r="B26" s="28">
        <v>10475</v>
      </c>
      <c r="C26" s="227">
        <f>B26/'- 3 -'!D26</f>
        <v>0.00038688210034838966</v>
      </c>
      <c r="D26" s="28">
        <f>B26/'- 7 -'!F26</f>
        <v>3.1740500575722685</v>
      </c>
      <c r="E26" s="28">
        <v>74771</v>
      </c>
      <c r="F26" s="227">
        <f>E26/'- 3 -'!D26</f>
        <v>0.002761581052520233</v>
      </c>
      <c r="G26" s="28">
        <f>E26/'- 7 -'!F26</f>
        <v>22.656505666323255</v>
      </c>
      <c r="H26" s="28">
        <v>370850</v>
      </c>
      <c r="I26" s="227">
        <f>H26/'- 3 -'!D26</f>
        <v>0.01369691903715516</v>
      </c>
      <c r="J26" s="28">
        <f>H26/'- 7 -'!F26</f>
        <v>112.37197745591178</v>
      </c>
    </row>
    <row r="27" spans="1:10" ht="13.5" customHeight="1">
      <c r="A27" s="25" t="s">
        <v>374</v>
      </c>
      <c r="B27" s="26">
        <v>19996</v>
      </c>
      <c r="C27" s="226">
        <f>B27/'- 3 -'!D27</f>
        <v>0.0007376517292353813</v>
      </c>
      <c r="D27" s="26">
        <f>B27/'- 7 -'!F27</f>
        <v>6.156403940886699</v>
      </c>
      <c r="E27" s="26">
        <v>169820</v>
      </c>
      <c r="F27" s="226">
        <f>E27/'- 3 -'!D27</f>
        <v>0.00626465376369036</v>
      </c>
      <c r="G27" s="26">
        <f>E27/'- 7 -'!F27</f>
        <v>52.28448275862069</v>
      </c>
      <c r="H27" s="26">
        <v>719552</v>
      </c>
      <c r="I27" s="226">
        <f>H27/'- 3 -'!D27</f>
        <v>0.026544247703279508</v>
      </c>
      <c r="J27" s="26">
        <f>H27/'- 7 -'!F27</f>
        <v>221.5369458128079</v>
      </c>
    </row>
    <row r="28" spans="1:10" ht="13.5" customHeight="1">
      <c r="A28" s="27" t="s">
        <v>375</v>
      </c>
      <c r="B28" s="28">
        <v>0</v>
      </c>
      <c r="C28" s="227">
        <f>B28/'- 3 -'!D28</f>
        <v>0</v>
      </c>
      <c r="D28" s="28">
        <f>B28/'- 7 -'!F28</f>
        <v>0</v>
      </c>
      <c r="E28" s="28">
        <v>69063</v>
      </c>
      <c r="F28" s="227">
        <f>E28/'- 3 -'!D28</f>
        <v>0.004141993602892603</v>
      </c>
      <c r="G28" s="28">
        <f>E28/'- 7 -'!F28</f>
        <v>33.15554488718195</v>
      </c>
      <c r="H28" s="28">
        <v>191391</v>
      </c>
      <c r="I28" s="227">
        <f>H28/'- 3 -'!D28</f>
        <v>0.011478509442845203</v>
      </c>
      <c r="J28" s="28">
        <f>H28/'- 7 -'!F28</f>
        <v>91.88238118098896</v>
      </c>
    </row>
    <row r="29" spans="1:10" ht="13.5" customHeight="1">
      <c r="A29" s="25" t="s">
        <v>376</v>
      </c>
      <c r="B29" s="26">
        <v>266947</v>
      </c>
      <c r="C29" s="226">
        <f>B29/'- 3 -'!D29</f>
        <v>0.0026208524531552827</v>
      </c>
      <c r="D29" s="26">
        <f>B29/'- 7 -'!F29</f>
        <v>20.286267953491908</v>
      </c>
      <c r="E29" s="26">
        <v>356552</v>
      </c>
      <c r="F29" s="226">
        <f>E29/'- 3 -'!D29</f>
        <v>0.0035005832014498098</v>
      </c>
      <c r="G29" s="26">
        <f>E29/'- 7 -'!F29</f>
        <v>27.09567596321909</v>
      </c>
      <c r="H29" s="26">
        <v>2668397</v>
      </c>
      <c r="I29" s="226">
        <f>H29/'- 3 -'!D29</f>
        <v>0.026197989950972278</v>
      </c>
      <c r="J29" s="26">
        <f>H29/'- 7 -'!F29</f>
        <v>202.7811383843757</v>
      </c>
    </row>
    <row r="30" spans="1:10" ht="13.5" customHeight="1">
      <c r="A30" s="27" t="s">
        <v>377</v>
      </c>
      <c r="B30" s="28">
        <v>0</v>
      </c>
      <c r="C30" s="227">
        <f>B30/'- 3 -'!D30</f>
        <v>0</v>
      </c>
      <c r="D30" s="28">
        <f>B30/'- 7 -'!F30</f>
        <v>0</v>
      </c>
      <c r="E30" s="28">
        <v>0</v>
      </c>
      <c r="F30" s="227">
        <f>E30/'- 3 -'!D30</f>
        <v>0</v>
      </c>
      <c r="G30" s="28">
        <f>E30/'- 7 -'!F30</f>
        <v>0</v>
      </c>
      <c r="H30" s="28">
        <v>232104</v>
      </c>
      <c r="I30" s="227">
        <f>H30/'- 3 -'!D30</f>
        <v>0.023624728119283175</v>
      </c>
      <c r="J30" s="28">
        <f>H30/'- 7 -'!F30</f>
        <v>182.1137701059239</v>
      </c>
    </row>
    <row r="31" spans="1:10" ht="13.5" customHeight="1">
      <c r="A31" s="25" t="s">
        <v>378</v>
      </c>
      <c r="B31" s="26">
        <v>0</v>
      </c>
      <c r="C31" s="226">
        <f>B31/'- 3 -'!D31</f>
        <v>0</v>
      </c>
      <c r="D31" s="26">
        <f>B31/'- 7 -'!F31</f>
        <v>0</v>
      </c>
      <c r="E31" s="26">
        <v>55883</v>
      </c>
      <c r="F31" s="226">
        <f>E31/'- 3 -'!D31</f>
        <v>0.0022419584389376944</v>
      </c>
      <c r="G31" s="26">
        <f>E31/'- 7 -'!F31</f>
        <v>16.42265193370166</v>
      </c>
      <c r="H31" s="26">
        <v>434556</v>
      </c>
      <c r="I31" s="226">
        <f>H31/'- 3 -'!D31</f>
        <v>0.017433861664388255</v>
      </c>
      <c r="J31" s="26">
        <f>H31/'- 7 -'!F31</f>
        <v>127.70541906665099</v>
      </c>
    </row>
    <row r="32" spans="1:10" ht="13.5" customHeight="1">
      <c r="A32" s="27" t="s">
        <v>379</v>
      </c>
      <c r="B32" s="28">
        <v>38238</v>
      </c>
      <c r="C32" s="227">
        <f>B32/'- 3 -'!D32</f>
        <v>0.002064319995836593</v>
      </c>
      <c r="D32" s="28">
        <f>B32/'- 7 -'!F32</f>
        <v>16.467700258397933</v>
      </c>
      <c r="E32" s="28">
        <v>46482</v>
      </c>
      <c r="F32" s="227">
        <f>E32/'- 3 -'!D32</f>
        <v>0.0025093812973083457</v>
      </c>
      <c r="G32" s="28">
        <f>E32/'- 7 -'!F32</f>
        <v>20.018087855297157</v>
      </c>
      <c r="H32" s="28">
        <v>222302</v>
      </c>
      <c r="I32" s="227">
        <f>H32/'- 3 -'!D32</f>
        <v>0.012001215118846862</v>
      </c>
      <c r="J32" s="28">
        <f>H32/'- 7 -'!F32</f>
        <v>95.73729543496985</v>
      </c>
    </row>
    <row r="33" spans="1:10" ht="13.5" customHeight="1">
      <c r="A33" s="25" t="s">
        <v>380</v>
      </c>
      <c r="B33" s="26">
        <v>18610</v>
      </c>
      <c r="C33" s="226">
        <f>B33/'- 3 -'!D33</f>
        <v>0.0008467401663823952</v>
      </c>
      <c r="D33" s="26">
        <f>B33/'- 7 -'!F33</f>
        <v>7.372340846967477</v>
      </c>
      <c r="E33" s="26">
        <v>68328</v>
      </c>
      <c r="F33" s="226">
        <f>E33/'- 3 -'!D33</f>
        <v>0.003108869537269011</v>
      </c>
      <c r="G33" s="26">
        <f>E33/'- 7 -'!F33</f>
        <v>27.06809808659827</v>
      </c>
      <c r="H33" s="26">
        <v>288770</v>
      </c>
      <c r="I33" s="226">
        <f>H33/'- 3 -'!D33</f>
        <v>0.013138804827847623</v>
      </c>
      <c r="J33" s="26">
        <f>H33/'- 7 -'!F33</f>
        <v>114.39607019767858</v>
      </c>
    </row>
    <row r="34" spans="1:10" ht="13.5" customHeight="1">
      <c r="A34" s="27" t="s">
        <v>381</v>
      </c>
      <c r="B34" s="28">
        <v>13870</v>
      </c>
      <c r="C34" s="227">
        <f>B34/'- 3 -'!D34</f>
        <v>0.0008171213973753848</v>
      </c>
      <c r="D34" s="28">
        <f>B34/'- 7 -'!F34</f>
        <v>6.336226587482868</v>
      </c>
      <c r="E34" s="28">
        <v>0</v>
      </c>
      <c r="F34" s="227">
        <f>E34/'- 3 -'!D34</f>
        <v>0</v>
      </c>
      <c r="G34" s="28">
        <f>E34/'- 7 -'!F34</f>
        <v>0</v>
      </c>
      <c r="H34" s="28">
        <v>200760</v>
      </c>
      <c r="I34" s="227">
        <f>H34/'- 3 -'!D34</f>
        <v>0.011827346195896342</v>
      </c>
      <c r="J34" s="28">
        <f>H34/'- 7 -'!F34</f>
        <v>91.7131110095934</v>
      </c>
    </row>
    <row r="35" spans="1:10" ht="13.5" customHeight="1">
      <c r="A35" s="25" t="s">
        <v>382</v>
      </c>
      <c r="B35" s="26">
        <v>206631</v>
      </c>
      <c r="C35" s="226">
        <f>B35/'- 3 -'!D35</f>
        <v>0.0016376136779047165</v>
      </c>
      <c r="D35" s="26">
        <f>B35/'- 7 -'!F35</f>
        <v>11.581481377686854</v>
      </c>
      <c r="E35" s="26">
        <v>1181236</v>
      </c>
      <c r="F35" s="226">
        <f>E35/'- 3 -'!D35</f>
        <v>0.009361655465217977</v>
      </c>
      <c r="G35" s="26">
        <f>E35/'- 7 -'!F35</f>
        <v>66.20721351904268</v>
      </c>
      <c r="H35" s="26">
        <v>3208212</v>
      </c>
      <c r="I35" s="226">
        <f>H35/'- 3 -'!D35</f>
        <v>0.025426058301116706</v>
      </c>
      <c r="J35" s="26">
        <f>H35/'- 7 -'!F35</f>
        <v>179.81739203542304</v>
      </c>
    </row>
    <row r="36" spans="1:10" ht="13.5" customHeight="1">
      <c r="A36" s="27" t="s">
        <v>383</v>
      </c>
      <c r="B36" s="28">
        <v>31387</v>
      </c>
      <c r="C36" s="227">
        <f>B36/'- 3 -'!D36</f>
        <v>0.0018802906575787449</v>
      </c>
      <c r="D36" s="28">
        <f>B36/'- 7 -'!F36</f>
        <v>14.9925961308813</v>
      </c>
      <c r="E36" s="28">
        <v>117852</v>
      </c>
      <c r="F36" s="227">
        <f>E36/'- 3 -'!D36</f>
        <v>0.007060120896452998</v>
      </c>
      <c r="G36" s="28">
        <f>E36/'- 7 -'!F36</f>
        <v>56.294244088846426</v>
      </c>
      <c r="H36" s="28">
        <v>205544</v>
      </c>
      <c r="I36" s="227">
        <f>H36/'- 3 -'!D36</f>
        <v>0.012313456619663094</v>
      </c>
      <c r="J36" s="28">
        <f>H36/'- 7 -'!F36</f>
        <v>98.18199187962742</v>
      </c>
    </row>
    <row r="37" spans="1:10" ht="13.5" customHeight="1">
      <c r="A37" s="25" t="s">
        <v>384</v>
      </c>
      <c r="B37" s="26">
        <v>0</v>
      </c>
      <c r="C37" s="226">
        <f>B37/'- 3 -'!D37</f>
        <v>0</v>
      </c>
      <c r="D37" s="26">
        <f>B37/'- 7 -'!F37</f>
        <v>0</v>
      </c>
      <c r="E37" s="26">
        <v>61593</v>
      </c>
      <c r="F37" s="226">
        <f>E37/'- 3 -'!D37</f>
        <v>0.002441814709769243</v>
      </c>
      <c r="G37" s="26">
        <f>E37/'- 7 -'!F37</f>
        <v>18.280651767429436</v>
      </c>
      <c r="H37" s="26">
        <v>414675</v>
      </c>
      <c r="I37" s="226">
        <f>H37/'- 3 -'!D37</f>
        <v>0.016439522588176592</v>
      </c>
      <c r="J37" s="26">
        <f>H37/'- 7 -'!F37</f>
        <v>123.07452586590686</v>
      </c>
    </row>
    <row r="38" spans="1:10" ht="13.5" customHeight="1">
      <c r="A38" s="27" t="s">
        <v>385</v>
      </c>
      <c r="B38" s="28">
        <v>51583</v>
      </c>
      <c r="C38" s="227">
        <f>B38/'- 3 -'!D38</f>
        <v>0.0007903473365224969</v>
      </c>
      <c r="D38" s="28">
        <f>B38/'- 7 -'!F38</f>
        <v>6.065020576131687</v>
      </c>
      <c r="E38" s="28">
        <v>137352</v>
      </c>
      <c r="F38" s="227">
        <f>E38/'- 3 -'!D38</f>
        <v>0.0021044876677594943</v>
      </c>
      <c r="G38" s="28">
        <f>E38/'- 7 -'!F38</f>
        <v>16.149559082892416</v>
      </c>
      <c r="H38" s="28">
        <v>1486117</v>
      </c>
      <c r="I38" s="227">
        <f>H38/'- 3 -'!D38</f>
        <v>0.022770071781610286</v>
      </c>
      <c r="J38" s="28">
        <f>H38/'- 7 -'!F38</f>
        <v>174.7345091122869</v>
      </c>
    </row>
    <row r="39" spans="1:10" ht="13.5" customHeight="1">
      <c r="A39" s="25" t="s">
        <v>386</v>
      </c>
      <c r="B39" s="26">
        <v>0</v>
      </c>
      <c r="C39" s="226">
        <f>B39/'- 3 -'!D39</f>
        <v>0</v>
      </c>
      <c r="D39" s="26">
        <f>B39/'- 7 -'!F39</f>
        <v>0</v>
      </c>
      <c r="E39" s="26">
        <v>49546</v>
      </c>
      <c r="F39" s="226">
        <f>E39/'- 3 -'!D39</f>
        <v>0.0032317303135207596</v>
      </c>
      <c r="G39" s="26">
        <f>E39/'- 7 -'!F39</f>
        <v>27.223076923076924</v>
      </c>
      <c r="H39" s="26">
        <v>229114</v>
      </c>
      <c r="I39" s="226">
        <f>H39/'- 3 -'!D39</f>
        <v>0.014944388226133197</v>
      </c>
      <c r="J39" s="26">
        <f>H39/'- 7 -'!F39</f>
        <v>125.88681318681319</v>
      </c>
    </row>
    <row r="40" spans="1:10" ht="13.5" customHeight="1">
      <c r="A40" s="27" t="s">
        <v>387</v>
      </c>
      <c r="B40" s="28">
        <v>35706</v>
      </c>
      <c r="C40" s="227">
        <f>B40/'- 3 -'!D40</f>
        <v>0.0005434345612270017</v>
      </c>
      <c r="D40" s="28">
        <f>B40/'- 7 -'!F40</f>
        <v>3.9830975482967035</v>
      </c>
      <c r="E40" s="28">
        <v>371896</v>
      </c>
      <c r="F40" s="227">
        <f>E40/'- 3 -'!D40</f>
        <v>0.00566014506195253</v>
      </c>
      <c r="G40" s="28">
        <f>E40/'- 7 -'!F40</f>
        <v>41.48597002804433</v>
      </c>
      <c r="H40" s="28">
        <v>918722</v>
      </c>
      <c r="I40" s="227">
        <f>H40/'- 3 -'!D40</f>
        <v>0.013982672014776047</v>
      </c>
      <c r="J40" s="28">
        <f>H40/'- 7 -'!F40</f>
        <v>102.4858383959627</v>
      </c>
    </row>
    <row r="41" spans="1:10" ht="13.5" customHeight="1">
      <c r="A41" s="25" t="s">
        <v>388</v>
      </c>
      <c r="B41" s="26">
        <v>26643</v>
      </c>
      <c r="C41" s="226">
        <f>B41/'- 3 -'!D41</f>
        <v>0.0006814990615863051</v>
      </c>
      <c r="D41" s="26">
        <f>B41/'- 7 -'!F41</f>
        <v>5.571518193224592</v>
      </c>
      <c r="E41" s="26">
        <v>394154</v>
      </c>
      <c r="F41" s="226">
        <f>E41/'- 3 -'!D41</f>
        <v>0.010082032095503079</v>
      </c>
      <c r="G41" s="26">
        <f>E41/'- 7 -'!F41</f>
        <v>82.42450857381849</v>
      </c>
      <c r="H41" s="26">
        <v>427569</v>
      </c>
      <c r="I41" s="226">
        <f>H41/'- 3 -'!D41</f>
        <v>0.010936751576901809</v>
      </c>
      <c r="J41" s="26">
        <f>H41/'- 7 -'!F41</f>
        <v>89.41217063989963</v>
      </c>
    </row>
    <row r="42" spans="1:10" ht="13.5" customHeight="1">
      <c r="A42" s="27" t="s">
        <v>389</v>
      </c>
      <c r="B42" s="28">
        <v>17281</v>
      </c>
      <c r="C42" s="227">
        <f>B42/'- 3 -'!D42</f>
        <v>0.0011434111963650097</v>
      </c>
      <c r="D42" s="28">
        <f>B42/'- 7 -'!F42</f>
        <v>9.23821233828718</v>
      </c>
      <c r="E42" s="28">
        <v>0</v>
      </c>
      <c r="F42" s="227">
        <f>E42/'- 3 -'!D42</f>
        <v>0</v>
      </c>
      <c r="G42" s="28">
        <f>E42/'- 7 -'!F42</f>
        <v>0</v>
      </c>
      <c r="H42" s="28">
        <v>206552</v>
      </c>
      <c r="I42" s="227">
        <f>H42/'- 3 -'!D42</f>
        <v>0.013666678400068601</v>
      </c>
      <c r="J42" s="28">
        <f>H42/'- 7 -'!F42</f>
        <v>110.4201860365658</v>
      </c>
    </row>
    <row r="43" spans="1:10" ht="13.5" customHeight="1">
      <c r="A43" s="25" t="s">
        <v>390</v>
      </c>
      <c r="B43" s="26">
        <v>0</v>
      </c>
      <c r="C43" s="226">
        <f>B43/'- 3 -'!D43</f>
        <v>0</v>
      </c>
      <c r="D43" s="26">
        <f>B43/'- 7 -'!F43</f>
        <v>0</v>
      </c>
      <c r="E43" s="26">
        <v>3680</v>
      </c>
      <c r="F43" s="226">
        <f>E43/'- 3 -'!D43</f>
        <v>0.0003984679772509434</v>
      </c>
      <c r="G43" s="26">
        <f>E43/'- 7 -'!F43</f>
        <v>3.04383788254756</v>
      </c>
      <c r="H43" s="26">
        <v>122029</v>
      </c>
      <c r="I43" s="226">
        <f>H43/'- 3 -'!D43</f>
        <v>0.013213219781509614</v>
      </c>
      <c r="J43" s="26">
        <f>H43/'- 7 -'!F43</f>
        <v>100.93382961124897</v>
      </c>
    </row>
    <row r="44" spans="1:10" ht="13.5" customHeight="1">
      <c r="A44" s="27" t="s">
        <v>391</v>
      </c>
      <c r="B44" s="28">
        <v>0</v>
      </c>
      <c r="C44" s="227">
        <f>B44/'- 3 -'!D44</f>
        <v>0</v>
      </c>
      <c r="D44" s="28">
        <f>B44/'- 7 -'!F44</f>
        <v>0</v>
      </c>
      <c r="E44" s="28">
        <v>0</v>
      </c>
      <c r="F44" s="227">
        <f>E44/'- 3 -'!D44</f>
        <v>0</v>
      </c>
      <c r="G44" s="28">
        <f>E44/'- 7 -'!F44</f>
        <v>0</v>
      </c>
      <c r="H44" s="28">
        <v>89260</v>
      </c>
      <c r="I44" s="227">
        <f>H44/'- 3 -'!D44</f>
        <v>0.012945272937722737</v>
      </c>
      <c r="J44" s="28">
        <f>H44/'- 7 -'!F44</f>
        <v>112.91587602783049</v>
      </c>
    </row>
    <row r="45" spans="1:10" ht="13.5" customHeight="1">
      <c r="A45" s="25" t="s">
        <v>392</v>
      </c>
      <c r="B45" s="26">
        <v>0</v>
      </c>
      <c r="C45" s="226">
        <f>B45/'- 3 -'!D45</f>
        <v>0</v>
      </c>
      <c r="D45" s="26">
        <f>B45/'- 7 -'!F45</f>
        <v>0</v>
      </c>
      <c r="E45" s="26">
        <v>18215</v>
      </c>
      <c r="F45" s="226">
        <f>E45/'- 3 -'!D45</f>
        <v>0.0017425168848833842</v>
      </c>
      <c r="G45" s="26">
        <f>E45/'- 7 -'!F45</f>
        <v>12.457256189303788</v>
      </c>
      <c r="H45" s="26">
        <v>164938</v>
      </c>
      <c r="I45" s="226">
        <f>H45/'- 3 -'!D45</f>
        <v>0.015778602797633576</v>
      </c>
      <c r="J45" s="26">
        <f>H45/'- 7 -'!F45</f>
        <v>112.8012583777869</v>
      </c>
    </row>
    <row r="46" spans="1:10" ht="13.5" customHeight="1">
      <c r="A46" s="27" t="s">
        <v>393</v>
      </c>
      <c r="B46" s="28">
        <v>74308</v>
      </c>
      <c r="C46" s="227">
        <f>B46/'- 3 -'!D46</f>
        <v>0.00028569268393855053</v>
      </c>
      <c r="D46" s="28">
        <f>B46/'- 7 -'!F46</f>
        <v>2.3955949011238418</v>
      </c>
      <c r="E46" s="28">
        <v>300895</v>
      </c>
      <c r="F46" s="227">
        <f>E46/'- 3 -'!D46</f>
        <v>0.001156853907165987</v>
      </c>
      <c r="G46" s="28">
        <f>E46/'- 7 -'!F46</f>
        <v>9.700470040556311</v>
      </c>
      <c r="H46" s="28">
        <v>3494676</v>
      </c>
      <c r="I46" s="227">
        <f>H46/'- 3 -'!D46</f>
        <v>0.013436014506320156</v>
      </c>
      <c r="J46" s="28">
        <f>H46/'- 7 -'!F46</f>
        <v>112.66388553964396</v>
      </c>
    </row>
    <row r="47" spans="1:10" ht="13.5" customHeight="1">
      <c r="A47" s="25" t="s">
        <v>397</v>
      </c>
      <c r="B47" s="26">
        <v>0</v>
      </c>
      <c r="C47" s="226">
        <f>B47/'- 3 -'!D47</f>
        <v>0</v>
      </c>
      <c r="D47" s="26">
        <f>B47/'- 7 -'!F47</f>
        <v>0</v>
      </c>
      <c r="E47" s="26">
        <v>82186</v>
      </c>
      <c r="F47" s="226">
        <f>E47/'- 3 -'!D47</f>
        <v>0.014031439534595866</v>
      </c>
      <c r="G47" s="26">
        <f>E47/'- 7 -'!F47</f>
        <v>132.13183279742765</v>
      </c>
      <c r="H47" s="26">
        <v>40321</v>
      </c>
      <c r="I47" s="226">
        <f>H47/'- 3 -'!D47</f>
        <v>0.006883917862828704</v>
      </c>
      <c r="J47" s="26">
        <f>H47/'- 7 -'!F47</f>
        <v>64.82475884244373</v>
      </c>
    </row>
    <row r="48" spans="1:10" ht="4.5" customHeight="1">
      <c r="A48" s="29"/>
      <c r="B48" s="30"/>
      <c r="C48" s="215"/>
      <c r="D48" s="30"/>
      <c r="E48" s="30"/>
      <c r="F48" s="215"/>
      <c r="G48" s="30"/>
      <c r="H48" s="30"/>
      <c r="I48" s="215"/>
      <c r="J48" s="30"/>
    </row>
    <row r="49" spans="1:10" ht="13.5" customHeight="1">
      <c r="A49" s="31" t="s">
        <v>394</v>
      </c>
      <c r="B49" s="32">
        <f>SUM(B11:B47)</f>
        <v>1120916</v>
      </c>
      <c r="C49" s="228">
        <f>B49/'- 3 -'!D49</f>
        <v>0.0007967917160299941</v>
      </c>
      <c r="D49" s="32">
        <f>B49/'- 7 -'!F49</f>
        <v>6.261482106124936</v>
      </c>
      <c r="E49" s="32">
        <f>SUM(E11:E47)</f>
        <v>6682271</v>
      </c>
      <c r="F49" s="228">
        <f>E49/'- 3 -'!D49</f>
        <v>0.004750024245409526</v>
      </c>
      <c r="G49" s="32">
        <f>E49/'- 7 -'!F49</f>
        <v>37.327436038719746</v>
      </c>
      <c r="H49" s="32">
        <f>SUM(H11:H47)</f>
        <v>25336004</v>
      </c>
      <c r="I49" s="228">
        <f>H49/'- 3 -'!D49</f>
        <v>0.018009840259665125</v>
      </c>
      <c r="J49" s="32">
        <f>H49/'- 7 -'!F49</f>
        <v>141.52794293837346</v>
      </c>
    </row>
    <row r="50" spans="1:10" ht="4.5" customHeight="1">
      <c r="A50" s="29" t="s">
        <v>78</v>
      </c>
      <c r="B50" s="30"/>
      <c r="C50" s="215"/>
      <c r="E50" s="30"/>
      <c r="F50" s="215"/>
      <c r="G50" s="30"/>
      <c r="H50" s="30"/>
      <c r="I50" s="215"/>
      <c r="J50" s="30"/>
    </row>
    <row r="51" spans="1:10" ht="13.5" customHeight="1">
      <c r="A51" s="27" t="s">
        <v>395</v>
      </c>
      <c r="B51" s="28">
        <v>0</v>
      </c>
      <c r="C51" s="227">
        <f>B51/'- 3 -'!D51</f>
        <v>0</v>
      </c>
      <c r="D51" s="229">
        <f>B51/'- 7 -'!F51</f>
        <v>0</v>
      </c>
      <c r="E51" s="28">
        <v>0</v>
      </c>
      <c r="F51" s="227">
        <f>E51/'- 3 -'!D51</f>
        <v>0</v>
      </c>
      <c r="G51" s="28">
        <f>E51/'- 7 -'!F51</f>
        <v>0</v>
      </c>
      <c r="H51" s="28">
        <v>12305</v>
      </c>
      <c r="I51" s="227">
        <f>H51/'- 3 -'!D51</f>
        <v>0.009787701143025318</v>
      </c>
      <c r="J51" s="28">
        <f>H51/'- 7 -'!F51</f>
        <v>84.86206896551724</v>
      </c>
    </row>
    <row r="52" spans="1:10" ht="13.5" customHeight="1">
      <c r="A52" s="25" t="s">
        <v>396</v>
      </c>
      <c r="B52" s="26">
        <v>0</v>
      </c>
      <c r="C52" s="226">
        <f>B52/'- 3 -'!D52</f>
        <v>0</v>
      </c>
      <c r="D52" s="230">
        <f>B52/'- 7 -'!F52</f>
        <v>0</v>
      </c>
      <c r="E52" s="26">
        <v>540</v>
      </c>
      <c r="F52" s="226">
        <f>E52/'- 3 -'!D52</f>
        <v>0.00022308030105925962</v>
      </c>
      <c r="G52" s="26">
        <f>E52/'- 7 -'!F52</f>
        <v>1.952983725135624</v>
      </c>
      <c r="H52" s="26">
        <v>23813</v>
      </c>
      <c r="I52" s="226">
        <f>H52/'- 3 -'!D52</f>
        <v>0.009837428165044721</v>
      </c>
      <c r="J52" s="26">
        <f>H52/'- 7 -'!F52</f>
        <v>86.12296564195299</v>
      </c>
    </row>
    <row r="53" spans="1:10" ht="49.5" customHeight="1">
      <c r="A53" s="316"/>
      <c r="B53" s="316"/>
      <c r="C53" s="316"/>
      <c r="D53" s="316"/>
      <c r="E53" s="316"/>
      <c r="F53" s="316"/>
      <c r="G53" s="316"/>
      <c r="H53" s="316"/>
      <c r="I53" s="316"/>
      <c r="J53" s="316"/>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2"/>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219"/>
      <c r="B2" s="7" t="s">
        <v>75</v>
      </c>
      <c r="C2" s="8"/>
      <c r="D2" s="8"/>
      <c r="E2" s="8"/>
      <c r="F2" s="8"/>
      <c r="G2" s="8"/>
      <c r="H2" s="105"/>
      <c r="I2" s="257"/>
      <c r="J2" s="220" t="s">
        <v>337</v>
      </c>
    </row>
    <row r="3" spans="1:10" ht="15.75" customHeight="1">
      <c r="A3" s="221"/>
      <c r="B3" s="9" t="str">
        <f>OPYEAR</f>
        <v>OPERATING FUND 2003/2004 ACTUAL</v>
      </c>
      <c r="C3" s="10"/>
      <c r="D3" s="10"/>
      <c r="E3" s="10"/>
      <c r="F3" s="10"/>
      <c r="G3" s="10"/>
      <c r="H3" s="107"/>
      <c r="I3" s="107"/>
      <c r="J3" s="94"/>
    </row>
    <row r="4" spans="2:10" ht="15.75" customHeight="1">
      <c r="B4" s="6"/>
      <c r="C4" s="6"/>
      <c r="D4" s="6"/>
      <c r="E4" s="6"/>
      <c r="F4" s="6"/>
      <c r="G4" s="6"/>
      <c r="H4" s="6"/>
      <c r="I4" s="6"/>
      <c r="J4" s="6"/>
    </row>
    <row r="5" spans="2:10" ht="15.75" customHeight="1">
      <c r="B5" s="258" t="s">
        <v>553</v>
      </c>
      <c r="C5" s="287"/>
      <c r="D5" s="288"/>
      <c r="E5" s="288"/>
      <c r="F5" s="288"/>
      <c r="G5" s="288"/>
      <c r="H5" s="313"/>
      <c r="I5" s="313"/>
      <c r="J5" s="314"/>
    </row>
    <row r="6" spans="2:10" ht="15.75" customHeight="1">
      <c r="B6" s="209" t="s">
        <v>97</v>
      </c>
      <c r="C6" s="211"/>
      <c r="D6" s="210"/>
      <c r="E6" s="209" t="s">
        <v>99</v>
      </c>
      <c r="F6" s="211"/>
      <c r="G6" s="210"/>
      <c r="H6" s="209" t="s">
        <v>100</v>
      </c>
      <c r="I6" s="211"/>
      <c r="J6" s="210"/>
    </row>
    <row r="7" spans="2:10" ht="15.75" customHeight="1">
      <c r="B7" s="108" t="s">
        <v>127</v>
      </c>
      <c r="C7" s="71"/>
      <c r="D7" s="70"/>
      <c r="E7" s="108" t="s">
        <v>129</v>
      </c>
      <c r="F7" s="71"/>
      <c r="G7" s="70"/>
      <c r="H7" s="108" t="s">
        <v>130</v>
      </c>
      <c r="I7" s="71"/>
      <c r="J7" s="70"/>
    </row>
    <row r="8" spans="1:10" ht="15.75" customHeight="1">
      <c r="A8" s="96"/>
      <c r="B8" s="225"/>
      <c r="C8" s="98"/>
      <c r="D8" s="18" t="s">
        <v>150</v>
      </c>
      <c r="E8" s="225"/>
      <c r="F8" s="223"/>
      <c r="G8" s="18" t="s">
        <v>150</v>
      </c>
      <c r="H8" s="308"/>
      <c r="I8" s="309"/>
      <c r="J8" s="310" t="s">
        <v>150</v>
      </c>
    </row>
    <row r="9" spans="1:10" ht="15.75" customHeight="1">
      <c r="A9" s="49" t="s">
        <v>175</v>
      </c>
      <c r="B9" s="114" t="s">
        <v>176</v>
      </c>
      <c r="C9" s="113" t="s">
        <v>177</v>
      </c>
      <c r="D9" s="113" t="s">
        <v>178</v>
      </c>
      <c r="E9" s="113" t="s">
        <v>176</v>
      </c>
      <c r="F9" s="113" t="s">
        <v>177</v>
      </c>
      <c r="G9" s="113" t="s">
        <v>178</v>
      </c>
      <c r="H9" s="144" t="s">
        <v>176</v>
      </c>
      <c r="I9" s="144" t="s">
        <v>177</v>
      </c>
      <c r="J9" s="144" t="s">
        <v>178</v>
      </c>
    </row>
    <row r="10" spans="1:10" ht="4.5" customHeight="1">
      <c r="A10" s="4"/>
      <c r="H10" s="125"/>
      <c r="I10" s="125"/>
      <c r="J10" s="125"/>
    </row>
    <row r="11" spans="1:10" ht="13.5" customHeight="1">
      <c r="A11" s="25" t="s">
        <v>359</v>
      </c>
      <c r="B11" s="26">
        <v>84604</v>
      </c>
      <c r="C11" s="226">
        <f>B11/'- 3 -'!D11</f>
        <v>0.007412648780422841</v>
      </c>
      <c r="D11" s="26">
        <f>B11/'- 7 -'!F11</f>
        <v>54.16389244558258</v>
      </c>
      <c r="E11" s="26">
        <v>125264</v>
      </c>
      <c r="F11" s="226">
        <f>E11/'- 3 -'!D11</f>
        <v>0.010975107995258932</v>
      </c>
      <c r="G11" s="26">
        <f>E11/'- 7 -'!F11</f>
        <v>80.19462227912932</v>
      </c>
      <c r="H11" s="26">
        <v>0</v>
      </c>
      <c r="I11" s="226">
        <f>H11/'- 3 -'!D11</f>
        <v>0</v>
      </c>
      <c r="J11" s="26">
        <f>H11/'- 7 -'!F11</f>
        <v>0</v>
      </c>
    </row>
    <row r="12" spans="1:10" ht="13.5" customHeight="1">
      <c r="A12" s="27" t="s">
        <v>360</v>
      </c>
      <c r="B12" s="28">
        <v>94498</v>
      </c>
      <c r="C12" s="227">
        <f>B12/'- 3 -'!D12</f>
        <v>0.0049284817826941016</v>
      </c>
      <c r="D12" s="28">
        <f>B12/'- 7 -'!F12</f>
        <v>39.78528123947457</v>
      </c>
      <c r="E12" s="28">
        <v>164089</v>
      </c>
      <c r="F12" s="227">
        <f>E12/'- 3 -'!D12</f>
        <v>0.008557955165617182</v>
      </c>
      <c r="G12" s="28">
        <f>E12/'- 7 -'!F12</f>
        <v>69.08428763893568</v>
      </c>
      <c r="H12" s="28">
        <v>0</v>
      </c>
      <c r="I12" s="227">
        <f>H12/'- 3 -'!D12</f>
        <v>0</v>
      </c>
      <c r="J12" s="28">
        <f>H12/'- 7 -'!F12</f>
        <v>0</v>
      </c>
    </row>
    <row r="13" spans="1:10" ht="13.5" customHeight="1">
      <c r="A13" s="25" t="s">
        <v>361</v>
      </c>
      <c r="B13" s="26">
        <v>564781</v>
      </c>
      <c r="C13" s="226">
        <f>B13/'- 3 -'!D13</f>
        <v>0.01154151878880934</v>
      </c>
      <c r="D13" s="26">
        <f>B13/'- 7 -'!F13</f>
        <v>79.44591363060908</v>
      </c>
      <c r="E13" s="26">
        <v>1235564</v>
      </c>
      <c r="F13" s="226">
        <f>E13/'- 3 -'!D13</f>
        <v>0.025249229561151</v>
      </c>
      <c r="G13" s="26">
        <f>E13/'- 7 -'!F13</f>
        <v>173.8027852018568</v>
      </c>
      <c r="H13" s="26">
        <v>15587</v>
      </c>
      <c r="I13" s="226">
        <f>H13/'- 3 -'!D13</f>
        <v>0.0003185263905145024</v>
      </c>
      <c r="J13" s="26">
        <f>H13/'- 7 -'!F13</f>
        <v>2.19257279504853</v>
      </c>
    </row>
    <row r="14" spans="1:10" ht="13.5" customHeight="1">
      <c r="A14" s="27" t="s">
        <v>398</v>
      </c>
      <c r="B14" s="28">
        <v>186887</v>
      </c>
      <c r="C14" s="227">
        <f>B14/'- 3 -'!D14</f>
        <v>0.004411862119930827</v>
      </c>
      <c r="D14" s="28">
        <f>B14/'- 7 -'!F14</f>
        <v>43.74490894621039</v>
      </c>
      <c r="E14" s="28">
        <v>759569</v>
      </c>
      <c r="F14" s="227">
        <f>E14/'- 3 -'!D14</f>
        <v>0.01793122955889783</v>
      </c>
      <c r="G14" s="28">
        <f>E14/'- 7 -'!F14</f>
        <v>177.79340854828894</v>
      </c>
      <c r="H14" s="28">
        <v>0</v>
      </c>
      <c r="I14" s="227">
        <f>H14/'- 3 -'!D14</f>
        <v>0</v>
      </c>
      <c r="J14" s="28">
        <f>H14/'- 7 -'!F14</f>
        <v>0</v>
      </c>
    </row>
    <row r="15" spans="1:10" ht="13.5" customHeight="1">
      <c r="A15" s="25" t="s">
        <v>362</v>
      </c>
      <c r="B15" s="26">
        <v>74737</v>
      </c>
      <c r="C15" s="226">
        <f>B15/'- 3 -'!D15</f>
        <v>0.005718940369580505</v>
      </c>
      <c r="D15" s="26">
        <f>B15/'- 7 -'!F15</f>
        <v>44.98164309359013</v>
      </c>
      <c r="E15" s="26">
        <v>171108</v>
      </c>
      <c r="F15" s="226">
        <f>E15/'- 3 -'!D15</f>
        <v>0.013093333272116637</v>
      </c>
      <c r="G15" s="26">
        <f>E15/'- 7 -'!F15</f>
        <v>102.98405055672585</v>
      </c>
      <c r="H15" s="26">
        <v>0</v>
      </c>
      <c r="I15" s="226">
        <f>H15/'- 3 -'!D15</f>
        <v>0</v>
      </c>
      <c r="J15" s="26">
        <f>H15/'- 7 -'!F15</f>
        <v>0</v>
      </c>
    </row>
    <row r="16" spans="1:10" ht="13.5" customHeight="1">
      <c r="A16" s="27" t="s">
        <v>363</v>
      </c>
      <c r="B16" s="28">
        <v>42901</v>
      </c>
      <c r="C16" s="227">
        <f>B16/'- 3 -'!D16</f>
        <v>0.004004417450881807</v>
      </c>
      <c r="D16" s="28">
        <f>B16/'- 7 -'!F16</f>
        <v>30.82189812486529</v>
      </c>
      <c r="E16" s="28">
        <v>232257</v>
      </c>
      <c r="F16" s="227">
        <f>E16/'- 3 -'!D16</f>
        <v>0.021679074704306567</v>
      </c>
      <c r="G16" s="28">
        <f>E16/'- 7 -'!F16</f>
        <v>166.86328040807527</v>
      </c>
      <c r="H16" s="28">
        <v>0</v>
      </c>
      <c r="I16" s="227">
        <f>H16/'- 3 -'!D16</f>
        <v>0</v>
      </c>
      <c r="J16" s="28">
        <f>H16/'- 7 -'!F16</f>
        <v>0</v>
      </c>
    </row>
    <row r="17" spans="1:10" ht="13.5" customHeight="1">
      <c r="A17" s="25" t="s">
        <v>364</v>
      </c>
      <c r="B17" s="26">
        <v>63410</v>
      </c>
      <c r="C17" s="226">
        <f>B17/'- 3 -'!D17</f>
        <v>0.005136557832286729</v>
      </c>
      <c r="D17" s="26">
        <f>B17/'- 7 -'!F17</f>
        <v>40.158328055731474</v>
      </c>
      <c r="E17" s="26">
        <v>113974</v>
      </c>
      <c r="F17" s="226">
        <f>E17/'- 3 -'!D17</f>
        <v>0.009232519198502565</v>
      </c>
      <c r="G17" s="26">
        <f>E17/'- 7 -'!F17</f>
        <v>72.18112729575681</v>
      </c>
      <c r="H17" s="26">
        <v>0</v>
      </c>
      <c r="I17" s="226">
        <f>H17/'- 3 -'!D17</f>
        <v>0</v>
      </c>
      <c r="J17" s="26">
        <f>H17/'- 7 -'!F17</f>
        <v>0</v>
      </c>
    </row>
    <row r="18" spans="1:10" ht="13.5" customHeight="1">
      <c r="A18" s="27" t="s">
        <v>365</v>
      </c>
      <c r="B18" s="28">
        <v>321765</v>
      </c>
      <c r="C18" s="227">
        <f>B18/'- 3 -'!D18</f>
        <v>0.004378378857211073</v>
      </c>
      <c r="D18" s="28">
        <f>B18/'- 7 -'!F18</f>
        <v>54.91713744431738</v>
      </c>
      <c r="E18" s="28">
        <v>471484</v>
      </c>
      <c r="F18" s="227">
        <f>E18/'- 3 -'!D18</f>
        <v>0.006415662291154431</v>
      </c>
      <c r="G18" s="28">
        <f>E18/'- 7 -'!F18</f>
        <v>80.47037940980697</v>
      </c>
      <c r="H18" s="28">
        <v>84314</v>
      </c>
      <c r="I18" s="227">
        <f>H18/'- 3 -'!D18</f>
        <v>0.0011472926979842258</v>
      </c>
      <c r="J18" s="28">
        <f>H18/'- 7 -'!F18</f>
        <v>14.390264716424022</v>
      </c>
    </row>
    <row r="19" spans="1:10" ht="13.5" customHeight="1">
      <c r="A19" s="25" t="s">
        <v>366</v>
      </c>
      <c r="B19" s="26">
        <v>101733</v>
      </c>
      <c r="C19" s="226">
        <f>B19/'- 3 -'!D19</f>
        <v>0.005545057702219396</v>
      </c>
      <c r="D19" s="26">
        <f>B19/'- 7 -'!F19</f>
        <v>33.79946177613874</v>
      </c>
      <c r="E19" s="26">
        <v>273707</v>
      </c>
      <c r="F19" s="226">
        <f>E19/'- 3 -'!D19</f>
        <v>0.01491867052481854</v>
      </c>
      <c r="G19" s="26">
        <f>E19/'- 7 -'!F19</f>
        <v>90.93557925512475</v>
      </c>
      <c r="H19" s="26">
        <v>0</v>
      </c>
      <c r="I19" s="226">
        <f>H19/'- 3 -'!D19</f>
        <v>0</v>
      </c>
      <c r="J19" s="26">
        <f>H19/'- 7 -'!F19</f>
        <v>0</v>
      </c>
    </row>
    <row r="20" spans="1:10" ht="13.5" customHeight="1">
      <c r="A20" s="27" t="s">
        <v>367</v>
      </c>
      <c r="B20" s="28">
        <v>169821</v>
      </c>
      <c r="C20" s="227">
        <f>B20/'- 3 -'!D20</f>
        <v>0.0046296022417589575</v>
      </c>
      <c r="D20" s="28">
        <f>B20/'- 7 -'!F20</f>
        <v>26.838561833267484</v>
      </c>
      <c r="E20" s="28">
        <v>451179</v>
      </c>
      <c r="F20" s="227">
        <f>E20/'- 3 -'!D20</f>
        <v>0.012299888175399771</v>
      </c>
      <c r="G20" s="28">
        <f>E20/'- 7 -'!F20</f>
        <v>71.30446463848281</v>
      </c>
      <c r="H20" s="28">
        <v>0</v>
      </c>
      <c r="I20" s="227">
        <f>H20/'- 3 -'!D20</f>
        <v>0</v>
      </c>
      <c r="J20" s="28">
        <f>H20/'- 7 -'!F20</f>
        <v>0</v>
      </c>
    </row>
    <row r="21" spans="1:10" ht="13.5" customHeight="1">
      <c r="A21" s="25" t="s">
        <v>368</v>
      </c>
      <c r="B21" s="26">
        <v>262642</v>
      </c>
      <c r="C21" s="226">
        <f>B21/'- 3 -'!D21</f>
        <v>0.010910438955719757</v>
      </c>
      <c r="D21" s="26">
        <f>B21/'- 7 -'!F21</f>
        <v>79.02572589137957</v>
      </c>
      <c r="E21" s="26">
        <v>467569</v>
      </c>
      <c r="F21" s="226">
        <f>E21/'- 3 -'!D21</f>
        <v>0.01942333302399057</v>
      </c>
      <c r="G21" s="26">
        <f>E21/'- 7 -'!F21</f>
        <v>140.6857228825034</v>
      </c>
      <c r="H21" s="26">
        <v>0</v>
      </c>
      <c r="I21" s="226">
        <f>H21/'- 3 -'!D21</f>
        <v>0</v>
      </c>
      <c r="J21" s="26">
        <f>H21/'- 7 -'!F21</f>
        <v>0</v>
      </c>
    </row>
    <row r="22" spans="1:10" ht="13.5" customHeight="1">
      <c r="A22" s="27" t="s">
        <v>369</v>
      </c>
      <c r="B22" s="28">
        <v>80475</v>
      </c>
      <c r="C22" s="227">
        <f>B22/'- 3 -'!D22</f>
        <v>0.005969146466573113</v>
      </c>
      <c r="D22" s="28">
        <f>B22/'- 7 -'!F22</f>
        <v>47.562056737588655</v>
      </c>
      <c r="E22" s="28">
        <v>282064</v>
      </c>
      <c r="F22" s="227">
        <f>E22/'- 3 -'!D22</f>
        <v>0.020921793463155994</v>
      </c>
      <c r="G22" s="28">
        <f>E22/'- 7 -'!F22</f>
        <v>166.70449172576832</v>
      </c>
      <c r="H22" s="28">
        <v>17587</v>
      </c>
      <c r="I22" s="227">
        <f>H22/'- 3 -'!D22</f>
        <v>0.0013044967866743878</v>
      </c>
      <c r="J22" s="28">
        <f>H22/'- 7 -'!F22</f>
        <v>10.39420803782506</v>
      </c>
    </row>
    <row r="23" spans="1:10" ht="13.5" customHeight="1">
      <c r="A23" s="25" t="s">
        <v>370</v>
      </c>
      <c r="B23" s="26">
        <v>82581</v>
      </c>
      <c r="C23" s="226">
        <f>B23/'- 3 -'!D23</f>
        <v>0.007299939827938135</v>
      </c>
      <c r="D23" s="26">
        <f>B23/'- 7 -'!F23</f>
        <v>62.20790960451978</v>
      </c>
      <c r="E23" s="26">
        <v>202152</v>
      </c>
      <c r="F23" s="226">
        <f>E23/'- 3 -'!D23</f>
        <v>0.017869696856387667</v>
      </c>
      <c r="G23" s="26">
        <f>E23/'- 7 -'!F23</f>
        <v>152.28022598870058</v>
      </c>
      <c r="H23" s="26">
        <v>0</v>
      </c>
      <c r="I23" s="226">
        <f>H23/'- 3 -'!D23</f>
        <v>0</v>
      </c>
      <c r="J23" s="26">
        <f>H23/'- 7 -'!F23</f>
        <v>0</v>
      </c>
    </row>
    <row r="24" spans="1:10" ht="13.5" customHeight="1">
      <c r="A24" s="27" t="s">
        <v>371</v>
      </c>
      <c r="B24" s="28">
        <v>176437</v>
      </c>
      <c r="C24" s="227">
        <f>B24/'- 3 -'!D24</f>
        <v>0.005065587475990095</v>
      </c>
      <c r="D24" s="28">
        <f>B24/'- 7 -'!F24</f>
        <v>37.85795515502628</v>
      </c>
      <c r="E24" s="28">
        <v>430585</v>
      </c>
      <c r="F24" s="227">
        <f>E24/'- 3 -'!D24</f>
        <v>0.012362293528847098</v>
      </c>
      <c r="G24" s="28">
        <f>E24/'- 7 -'!F24</f>
        <v>92.39030146979938</v>
      </c>
      <c r="H24" s="28">
        <v>0</v>
      </c>
      <c r="I24" s="227">
        <f>H24/'- 3 -'!D24</f>
        <v>0</v>
      </c>
      <c r="J24" s="28">
        <f>H24/'- 7 -'!F24</f>
        <v>0</v>
      </c>
    </row>
    <row r="25" spans="1:10" ht="13.5" customHeight="1">
      <c r="A25" s="25" t="s">
        <v>372</v>
      </c>
      <c r="B25" s="26">
        <v>1801882.78</v>
      </c>
      <c r="C25" s="226">
        <f>B25/'- 3 -'!D25</f>
        <v>0.016309485211809253</v>
      </c>
      <c r="D25" s="26">
        <f>B25/'- 7 -'!F25</f>
        <v>120.00151709899771</v>
      </c>
      <c r="E25" s="26">
        <v>2023387</v>
      </c>
      <c r="F25" s="226">
        <f>E25/'- 3 -'!D25</f>
        <v>0.018314399094411175</v>
      </c>
      <c r="G25" s="26">
        <f>E25/'- 7 -'!F25</f>
        <v>134.75322167094004</v>
      </c>
      <c r="H25" s="26">
        <v>37189</v>
      </c>
      <c r="I25" s="226">
        <f>H25/'- 3 -'!D25</f>
        <v>0.00033661093400424985</v>
      </c>
      <c r="J25" s="26">
        <f>H25/'- 7 -'!F25</f>
        <v>2.476707402350904</v>
      </c>
    </row>
    <row r="26" spans="1:10" ht="13.5" customHeight="1">
      <c r="A26" s="27" t="s">
        <v>373</v>
      </c>
      <c r="B26" s="28">
        <v>142054</v>
      </c>
      <c r="C26" s="227">
        <f>B26/'- 3 -'!D26</f>
        <v>0.005246601420800968</v>
      </c>
      <c r="D26" s="28">
        <f>B26/'- 7 -'!F26</f>
        <v>43.04405793588268</v>
      </c>
      <c r="E26" s="28">
        <v>485373</v>
      </c>
      <c r="F26" s="227">
        <f>E26/'- 3 -'!D26</f>
        <v>0.017926694576839992</v>
      </c>
      <c r="G26" s="28">
        <f>E26/'- 7 -'!F26</f>
        <v>147.0738137082601</v>
      </c>
      <c r="H26" s="28">
        <v>20990</v>
      </c>
      <c r="I26" s="227">
        <f>H26/'- 3 -'!D26</f>
        <v>0.0007752415547792553</v>
      </c>
      <c r="J26" s="28">
        <f>H26/'- 7 -'!F26</f>
        <v>6.360220592691352</v>
      </c>
    </row>
    <row r="27" spans="1:10" ht="13.5" customHeight="1">
      <c r="A27" s="25" t="s">
        <v>374</v>
      </c>
      <c r="B27" s="26">
        <v>183664</v>
      </c>
      <c r="C27" s="226">
        <f>B27/'- 3 -'!D27</f>
        <v>0.006775358431600673</v>
      </c>
      <c r="D27" s="26">
        <f>B27/'- 7 -'!F27</f>
        <v>56.54679802955665</v>
      </c>
      <c r="E27" s="26">
        <v>614458</v>
      </c>
      <c r="F27" s="226">
        <f>E27/'- 3 -'!D27</f>
        <v>0.02266733377888147</v>
      </c>
      <c r="G27" s="26">
        <f>E27/'- 7 -'!F27</f>
        <v>189.18041871921181</v>
      </c>
      <c r="H27" s="26">
        <v>1887</v>
      </c>
      <c r="I27" s="226">
        <f>H27/'- 3 -'!D27</f>
        <v>6.961136292594342E-05</v>
      </c>
      <c r="J27" s="26">
        <f>H27/'- 7 -'!F27</f>
        <v>0.5809729064039408</v>
      </c>
    </row>
    <row r="28" spans="1:10" ht="13.5" customHeight="1">
      <c r="A28" s="27" t="s">
        <v>375</v>
      </c>
      <c r="B28" s="28">
        <v>78690</v>
      </c>
      <c r="C28" s="227">
        <f>B28/'- 3 -'!D28</f>
        <v>0.004719364589021892</v>
      </c>
      <c r="D28" s="28">
        <f>B28/'- 7 -'!F28</f>
        <v>37.77724435909746</v>
      </c>
      <c r="E28" s="28">
        <v>252899</v>
      </c>
      <c r="F28" s="227">
        <f>E28/'- 3 -'!D28</f>
        <v>0.015167398464850013</v>
      </c>
      <c r="G28" s="28">
        <f>E28/'- 7 -'!F28</f>
        <v>121.41094575132021</v>
      </c>
      <c r="H28" s="28">
        <v>0</v>
      </c>
      <c r="I28" s="227">
        <f>H28/'- 3 -'!D28</f>
        <v>0</v>
      </c>
      <c r="J28" s="28">
        <f>H28/'- 7 -'!F28</f>
        <v>0</v>
      </c>
    </row>
    <row r="29" spans="1:10" ht="13.5" customHeight="1">
      <c r="A29" s="25" t="s">
        <v>376</v>
      </c>
      <c r="B29" s="26">
        <v>923786</v>
      </c>
      <c r="C29" s="226">
        <f>B29/'- 3 -'!D29</f>
        <v>0.009069616082183003</v>
      </c>
      <c r="D29" s="26">
        <f>B29/'- 7 -'!F29</f>
        <v>70.20183904552017</v>
      </c>
      <c r="E29" s="26">
        <v>2372799</v>
      </c>
      <c r="F29" s="226">
        <f>E29/'- 3 -'!D29</f>
        <v>0.023295845542352606</v>
      </c>
      <c r="G29" s="26">
        <f>E29/'- 7 -'!F29</f>
        <v>180.31757732350482</v>
      </c>
      <c r="H29" s="26">
        <v>0</v>
      </c>
      <c r="I29" s="226">
        <f>H29/'- 3 -'!D29</f>
        <v>0</v>
      </c>
      <c r="J29" s="26">
        <f>H29/'- 7 -'!F29</f>
        <v>0</v>
      </c>
    </row>
    <row r="30" spans="1:10" ht="13.5" customHeight="1">
      <c r="A30" s="27" t="s">
        <v>377</v>
      </c>
      <c r="B30" s="28">
        <v>86981</v>
      </c>
      <c r="C30" s="227">
        <f>B30/'- 3 -'!D30</f>
        <v>0.008853369509113888</v>
      </c>
      <c r="D30" s="28">
        <f>B30/'- 7 -'!F30</f>
        <v>68.2471557473519</v>
      </c>
      <c r="E30" s="28">
        <v>71287</v>
      </c>
      <c r="F30" s="227">
        <f>E30/'- 3 -'!D30</f>
        <v>0.00725595419914926</v>
      </c>
      <c r="G30" s="28">
        <f>E30/'- 7 -'!F30</f>
        <v>55.933307179286</v>
      </c>
      <c r="H30" s="28">
        <v>1372</v>
      </c>
      <c r="I30" s="227">
        <f>H30/'- 3 -'!D30</f>
        <v>0.0001396491528782637</v>
      </c>
      <c r="J30" s="28">
        <f>H30/'- 7 -'!F30</f>
        <v>1.0765005884660652</v>
      </c>
    </row>
    <row r="31" spans="1:10" ht="13.5" customHeight="1">
      <c r="A31" s="25" t="s">
        <v>378</v>
      </c>
      <c r="B31" s="26">
        <v>116786</v>
      </c>
      <c r="C31" s="226">
        <f>B31/'- 3 -'!D31</f>
        <v>0.004685313212421982</v>
      </c>
      <c r="D31" s="26">
        <f>B31/'- 7 -'!F31</f>
        <v>34.32055953920301</v>
      </c>
      <c r="E31" s="26">
        <v>466026</v>
      </c>
      <c r="F31" s="226">
        <f>E31/'- 3 -'!D31</f>
        <v>0.018696400040519978</v>
      </c>
      <c r="G31" s="26">
        <f>E31/'- 7 -'!F31</f>
        <v>136.95368520042317</v>
      </c>
      <c r="H31" s="26">
        <v>49520</v>
      </c>
      <c r="I31" s="226">
        <f>H31/'- 3 -'!D31</f>
        <v>0.0019866825670811273</v>
      </c>
      <c r="J31" s="26">
        <f>H31/'- 7 -'!F31</f>
        <v>14.552721288350769</v>
      </c>
    </row>
    <row r="32" spans="1:10" ht="13.5" customHeight="1">
      <c r="A32" s="27" t="s">
        <v>379</v>
      </c>
      <c r="B32" s="28">
        <v>98886</v>
      </c>
      <c r="C32" s="227">
        <f>B32/'- 3 -'!D32</f>
        <v>0.005338468202005789</v>
      </c>
      <c r="D32" s="28">
        <f>B32/'- 7 -'!F32</f>
        <v>42.58656330749354</v>
      </c>
      <c r="E32" s="28">
        <v>197159</v>
      </c>
      <c r="F32" s="227">
        <f>E32/'- 3 -'!D32</f>
        <v>0.010643842932662451</v>
      </c>
      <c r="G32" s="28">
        <f>E32/'- 7 -'!F32</f>
        <v>84.90913006029285</v>
      </c>
      <c r="H32" s="28">
        <v>1392</v>
      </c>
      <c r="I32" s="227">
        <f>H32/'- 3 -'!D32</f>
        <v>7.514863314515763E-05</v>
      </c>
      <c r="J32" s="28">
        <f>H32/'- 7 -'!F32</f>
        <v>0.599483204134367</v>
      </c>
    </row>
    <row r="33" spans="1:10" ht="13.5" customHeight="1">
      <c r="A33" s="25" t="s">
        <v>380</v>
      </c>
      <c r="B33" s="26">
        <v>112457</v>
      </c>
      <c r="C33" s="226">
        <f>B33/'- 3 -'!D33</f>
        <v>0.005116703863023375</v>
      </c>
      <c r="D33" s="26">
        <f>B33/'- 7 -'!F33</f>
        <v>44.549776175573435</v>
      </c>
      <c r="E33" s="26">
        <v>163177</v>
      </c>
      <c r="F33" s="226">
        <f>E33/'- 3 -'!D33</f>
        <v>0.00742442343523805</v>
      </c>
      <c r="G33" s="26">
        <f>E33/'- 7 -'!F33</f>
        <v>64.64247514162342</v>
      </c>
      <c r="H33" s="26">
        <v>0</v>
      </c>
      <c r="I33" s="226">
        <f>H33/'- 3 -'!D33</f>
        <v>0</v>
      </c>
      <c r="J33" s="26">
        <f>H33/'- 7 -'!F33</f>
        <v>0</v>
      </c>
    </row>
    <row r="34" spans="1:10" ht="13.5" customHeight="1">
      <c r="A34" s="27" t="s">
        <v>381</v>
      </c>
      <c r="B34" s="28">
        <v>118213</v>
      </c>
      <c r="C34" s="227">
        <f>B34/'- 3 -'!D34</f>
        <v>0.006964266167839681</v>
      </c>
      <c r="D34" s="28">
        <f>B34/'- 7 -'!F34</f>
        <v>54.003197807217894</v>
      </c>
      <c r="E34" s="28">
        <v>249054</v>
      </c>
      <c r="F34" s="227">
        <f>E34/'- 3 -'!D34</f>
        <v>0.014672483958322213</v>
      </c>
      <c r="G34" s="28">
        <f>E34/'- 7 -'!F34</f>
        <v>113.77523983554131</v>
      </c>
      <c r="H34" s="28">
        <v>0</v>
      </c>
      <c r="I34" s="227">
        <f>H34/'- 3 -'!D34</f>
        <v>0</v>
      </c>
      <c r="J34" s="28">
        <f>H34/'- 7 -'!F34</f>
        <v>0</v>
      </c>
    </row>
    <row r="35" spans="1:10" ht="13.5" customHeight="1">
      <c r="A35" s="25" t="s">
        <v>382</v>
      </c>
      <c r="B35" s="26">
        <v>736173</v>
      </c>
      <c r="C35" s="226">
        <f>B35/'- 3 -'!D35</f>
        <v>0.005834395488112379</v>
      </c>
      <c r="D35" s="26">
        <f>B35/'- 7 -'!F35</f>
        <v>41.26183336602864</v>
      </c>
      <c r="E35" s="26">
        <v>1749383</v>
      </c>
      <c r="F35" s="226">
        <f>E35/'- 3 -'!D35</f>
        <v>0.013864393671298046</v>
      </c>
      <c r="G35" s="26">
        <f>E35/'- 7 -'!F35</f>
        <v>98.05134097469383</v>
      </c>
      <c r="H35" s="26">
        <v>44445</v>
      </c>
      <c r="I35" s="226">
        <f>H35/'- 3 -'!D35</f>
        <v>0.0003522401765198597</v>
      </c>
      <c r="J35" s="26">
        <f>H35/'- 7 -'!F35</f>
        <v>2.491102205532046</v>
      </c>
    </row>
    <row r="36" spans="1:10" ht="13.5" customHeight="1">
      <c r="A36" s="27" t="s">
        <v>383</v>
      </c>
      <c r="B36" s="28">
        <v>117424</v>
      </c>
      <c r="C36" s="227">
        <f>B36/'- 3 -'!D36</f>
        <v>0.007034480841607243</v>
      </c>
      <c r="D36" s="28">
        <f>B36/'- 7 -'!F36</f>
        <v>56.08980176737521</v>
      </c>
      <c r="E36" s="28">
        <v>241252</v>
      </c>
      <c r="F36" s="227">
        <f>E36/'- 3 -'!D36</f>
        <v>0.014452603999177601</v>
      </c>
      <c r="G36" s="28">
        <f>E36/'- 7 -'!F36</f>
        <v>115.23859565321233</v>
      </c>
      <c r="H36" s="28">
        <v>1225</v>
      </c>
      <c r="I36" s="227">
        <f>H36/'- 3 -'!D36</f>
        <v>7.338567099544278E-05</v>
      </c>
      <c r="J36" s="28">
        <f>H36/'- 7 -'!F36</f>
        <v>0.5851444948650585</v>
      </c>
    </row>
    <row r="37" spans="1:10" ht="13.5" customHeight="1">
      <c r="A37" s="25" t="s">
        <v>384</v>
      </c>
      <c r="B37" s="26">
        <v>243123</v>
      </c>
      <c r="C37" s="226">
        <f>B37/'- 3 -'!D37</f>
        <v>0.009638454332200537</v>
      </c>
      <c r="D37" s="26">
        <f>B37/'- 7 -'!F37</f>
        <v>72.15831181551064</v>
      </c>
      <c r="E37" s="26">
        <v>357485</v>
      </c>
      <c r="F37" s="226">
        <f>E37/'- 3 -'!D37</f>
        <v>0.014172261970059224</v>
      </c>
      <c r="G37" s="26">
        <f>E37/'- 7 -'!F37</f>
        <v>106.10067373044845</v>
      </c>
      <c r="H37" s="26">
        <v>0</v>
      </c>
      <c r="I37" s="226">
        <f>H37/'- 3 -'!D37</f>
        <v>0</v>
      </c>
      <c r="J37" s="26">
        <f>H37/'- 7 -'!F37</f>
        <v>0</v>
      </c>
    </row>
    <row r="38" spans="1:10" ht="13.5" customHeight="1">
      <c r="A38" s="27" t="s">
        <v>385</v>
      </c>
      <c r="B38" s="28">
        <v>441152</v>
      </c>
      <c r="C38" s="227">
        <f>B38/'- 3 -'!D38</f>
        <v>0.006759267747156477</v>
      </c>
      <c r="D38" s="28">
        <f>B38/'- 7 -'!F38</f>
        <v>51.869723691945914</v>
      </c>
      <c r="E38" s="28">
        <v>1472470</v>
      </c>
      <c r="F38" s="227">
        <f>E38/'- 3 -'!D38</f>
        <v>0.022560974402599323</v>
      </c>
      <c r="G38" s="28">
        <f>E38/'- 7 -'!F38</f>
        <v>173.129923574368</v>
      </c>
      <c r="H38" s="28">
        <v>0</v>
      </c>
      <c r="I38" s="227">
        <f>H38/'- 3 -'!D38</f>
        <v>0</v>
      </c>
      <c r="J38" s="28">
        <f>H38/'- 7 -'!F38</f>
        <v>0</v>
      </c>
    </row>
    <row r="39" spans="1:10" ht="13.5" customHeight="1">
      <c r="A39" s="25" t="s">
        <v>386</v>
      </c>
      <c r="B39" s="26">
        <v>72992</v>
      </c>
      <c r="C39" s="226">
        <f>B39/'- 3 -'!D39</f>
        <v>0.004761039418812968</v>
      </c>
      <c r="D39" s="26">
        <f>B39/'- 7 -'!F39</f>
        <v>40.105494505494505</v>
      </c>
      <c r="E39" s="26">
        <v>221379</v>
      </c>
      <c r="F39" s="226">
        <f>E39/'- 3 -'!D39</f>
        <v>0.014439858415955117</v>
      </c>
      <c r="G39" s="26">
        <f>E39/'- 7 -'!F39</f>
        <v>121.63681318681319</v>
      </c>
      <c r="H39" s="26">
        <v>0</v>
      </c>
      <c r="I39" s="226">
        <f>H39/'- 3 -'!D39</f>
        <v>0</v>
      </c>
      <c r="J39" s="26">
        <f>H39/'- 7 -'!F39</f>
        <v>0</v>
      </c>
    </row>
    <row r="40" spans="1:10" ht="13.5" customHeight="1">
      <c r="A40" s="27" t="s">
        <v>387</v>
      </c>
      <c r="B40" s="28">
        <v>766944</v>
      </c>
      <c r="C40" s="227">
        <f>B40/'- 3 -'!D40</f>
        <v>0.011672656587847467</v>
      </c>
      <c r="D40" s="28">
        <f>B40/'- 7 -'!F40</f>
        <v>85.55460611888385</v>
      </c>
      <c r="E40" s="28">
        <v>478900</v>
      </c>
      <c r="F40" s="227">
        <f>E40/'- 3 -'!D40</f>
        <v>0.007288713699983508</v>
      </c>
      <c r="G40" s="28">
        <f>E40/'- 7 -'!F40</f>
        <v>53.42254567521681</v>
      </c>
      <c r="H40" s="28">
        <v>0</v>
      </c>
      <c r="I40" s="227">
        <f>H40/'- 3 -'!D40</f>
        <v>0</v>
      </c>
      <c r="J40" s="28">
        <f>H40/'- 7 -'!F40</f>
        <v>0</v>
      </c>
    </row>
    <row r="41" spans="1:10" ht="13.5" customHeight="1">
      <c r="A41" s="25" t="s">
        <v>388</v>
      </c>
      <c r="B41" s="26">
        <v>166470</v>
      </c>
      <c r="C41" s="226">
        <f>B41/'- 3 -'!D41</f>
        <v>0.004258122162754653</v>
      </c>
      <c r="D41" s="26">
        <f>B41/'- 7 -'!F41</f>
        <v>34.811794228356334</v>
      </c>
      <c r="E41" s="26">
        <v>735463</v>
      </c>
      <c r="F41" s="226">
        <f>E41/'- 3 -'!D41</f>
        <v>0.018812346369832554</v>
      </c>
      <c r="G41" s="26">
        <f>E41/'- 7 -'!F41</f>
        <v>153.79820158929317</v>
      </c>
      <c r="H41" s="26">
        <v>1811</v>
      </c>
      <c r="I41" s="226">
        <f>H41/'- 3 -'!D41</f>
        <v>4.632341705261414E-05</v>
      </c>
      <c r="J41" s="26">
        <f>H41/'- 7 -'!F41</f>
        <v>0.37871183605186115</v>
      </c>
    </row>
    <row r="42" spans="1:10" ht="13.5" customHeight="1">
      <c r="A42" s="27" t="s">
        <v>389</v>
      </c>
      <c r="B42" s="28">
        <v>97880</v>
      </c>
      <c r="C42" s="227">
        <f>B42/'- 3 -'!D42</f>
        <v>0.006476308541184373</v>
      </c>
      <c r="D42" s="28">
        <f>B42/'- 7 -'!F42</f>
        <v>52.325457072597025</v>
      </c>
      <c r="E42" s="28">
        <v>152120</v>
      </c>
      <c r="F42" s="227">
        <f>E42/'- 3 -'!D42</f>
        <v>0.010065141553790017</v>
      </c>
      <c r="G42" s="28">
        <f>E42/'- 7 -'!F42</f>
        <v>81.32150112263444</v>
      </c>
      <c r="H42" s="28">
        <v>0</v>
      </c>
      <c r="I42" s="227">
        <f>H42/'- 3 -'!D42</f>
        <v>0</v>
      </c>
      <c r="J42" s="28">
        <f>H42/'- 7 -'!F42</f>
        <v>0</v>
      </c>
    </row>
    <row r="43" spans="1:10" ht="13.5" customHeight="1">
      <c r="A43" s="25" t="s">
        <v>390</v>
      </c>
      <c r="B43" s="26">
        <v>50729</v>
      </c>
      <c r="C43" s="226">
        <f>B43/'- 3 -'!D43</f>
        <v>0.005492902722272584</v>
      </c>
      <c r="D43" s="26">
        <f>B43/'- 7 -'!F43</f>
        <v>41.95947063688999</v>
      </c>
      <c r="E43" s="26">
        <v>138215</v>
      </c>
      <c r="F43" s="226">
        <f>E43/'- 3 -'!D43</f>
        <v>0.0149658292053639</v>
      </c>
      <c r="G43" s="26">
        <f>E43/'- 7 -'!F43</f>
        <v>114.3217535153019</v>
      </c>
      <c r="H43" s="26">
        <v>0</v>
      </c>
      <c r="I43" s="226">
        <f>H43/'- 3 -'!D43</f>
        <v>0</v>
      </c>
      <c r="J43" s="26">
        <f>H43/'- 7 -'!F43</f>
        <v>0</v>
      </c>
    </row>
    <row r="44" spans="1:10" ht="13.5" customHeight="1">
      <c r="A44" s="27" t="s">
        <v>391</v>
      </c>
      <c r="B44" s="28">
        <v>27981</v>
      </c>
      <c r="C44" s="227">
        <f>B44/'- 3 -'!D44</f>
        <v>0.0040580515580374175</v>
      </c>
      <c r="D44" s="28">
        <f>B44/'- 7 -'!F44</f>
        <v>35.396584440227706</v>
      </c>
      <c r="E44" s="28">
        <v>108539</v>
      </c>
      <c r="F44" s="227">
        <f>E44/'- 3 -'!D44</f>
        <v>0.01574128365883361</v>
      </c>
      <c r="G44" s="28">
        <f>E44/'- 7 -'!F44</f>
        <v>137.30423782416193</v>
      </c>
      <c r="H44" s="28">
        <v>1040</v>
      </c>
      <c r="I44" s="227">
        <f>H44/'- 3 -'!D44</f>
        <v>0.00015082997821231958</v>
      </c>
      <c r="J44" s="28">
        <f>H44/'- 7 -'!F44</f>
        <v>1.3156230234029096</v>
      </c>
    </row>
    <row r="45" spans="1:10" ht="13.5" customHeight="1">
      <c r="A45" s="25" t="s">
        <v>392</v>
      </c>
      <c r="B45" s="26">
        <v>77505</v>
      </c>
      <c r="C45" s="226">
        <f>B45/'- 3 -'!D45</f>
        <v>0.007414426086351177</v>
      </c>
      <c r="D45" s="26">
        <f>B45/'- 7 -'!F45</f>
        <v>53.00574476815757</v>
      </c>
      <c r="E45" s="26">
        <v>197606</v>
      </c>
      <c r="F45" s="226">
        <f>E45/'- 3 -'!D45</f>
        <v>0.018903749193207028</v>
      </c>
      <c r="G45" s="26">
        <f>E45/'- 7 -'!F45</f>
        <v>135.1429353029681</v>
      </c>
      <c r="H45" s="26">
        <v>0</v>
      </c>
      <c r="I45" s="226">
        <f>H45/'- 3 -'!D45</f>
        <v>0</v>
      </c>
      <c r="J45" s="26">
        <f>H45/'- 7 -'!F45</f>
        <v>0</v>
      </c>
    </row>
    <row r="46" spans="1:10" ht="13.5" customHeight="1">
      <c r="A46" s="27" t="s">
        <v>393</v>
      </c>
      <c r="B46" s="28">
        <v>2042083</v>
      </c>
      <c r="C46" s="227">
        <f>B46/'- 3 -'!D46</f>
        <v>0.007851216196039283</v>
      </c>
      <c r="D46" s="28">
        <f>B46/'- 7 -'!F46</f>
        <v>65.83414467448563</v>
      </c>
      <c r="E46" s="28">
        <v>4281842</v>
      </c>
      <c r="F46" s="227">
        <f>E46/'- 3 -'!D46</f>
        <v>0.016462439214900294</v>
      </c>
      <c r="G46" s="28">
        <f>E46/'- 7 -'!F46</f>
        <v>138.04111081738054</v>
      </c>
      <c r="H46" s="28">
        <v>136960</v>
      </c>
      <c r="I46" s="227">
        <f>H46/'- 3 -'!D46</f>
        <v>0.0005265714323117818</v>
      </c>
      <c r="J46" s="28">
        <f>H46/'- 7 -'!F46</f>
        <v>4.415415266968851</v>
      </c>
    </row>
    <row r="47" spans="1:10" ht="13.5" customHeight="1">
      <c r="A47" s="25" t="s">
        <v>397</v>
      </c>
      <c r="B47" s="26">
        <v>116223</v>
      </c>
      <c r="C47" s="226">
        <f>B47/'- 3 -'!D47</f>
        <v>0.019842503553273494</v>
      </c>
      <c r="D47" s="26">
        <f>B47/'- 7 -'!F47</f>
        <v>186.85369774919613</v>
      </c>
      <c r="E47" s="26">
        <v>509127</v>
      </c>
      <c r="F47" s="226">
        <f>E47/'- 3 -'!D47</f>
        <v>0.08692216090246745</v>
      </c>
      <c r="G47" s="26">
        <f>E47/'- 7 -'!F47</f>
        <v>818.532154340836</v>
      </c>
      <c r="H47" s="26">
        <v>0</v>
      </c>
      <c r="I47" s="226">
        <f>H47/'- 3 -'!D47</f>
        <v>0</v>
      </c>
      <c r="J47" s="26">
        <f>H47/'- 7 -'!F47</f>
        <v>0</v>
      </c>
    </row>
    <row r="48" spans="1:10" ht="4.5" customHeight="1">
      <c r="A48" s="29"/>
      <c r="B48" s="30"/>
      <c r="C48" s="215"/>
      <c r="D48" s="30"/>
      <c r="E48" s="30"/>
      <c r="F48" s="215"/>
      <c r="G48" s="30"/>
      <c r="H48" s="30"/>
      <c r="I48" s="215"/>
      <c r="J48" s="30"/>
    </row>
    <row r="49" spans="1:10" ht="13.5" customHeight="1">
      <c r="A49" s="31" t="s">
        <v>394</v>
      </c>
      <c r="B49" s="32">
        <f>SUM(B11:B47)</f>
        <v>10927350.780000001</v>
      </c>
      <c r="C49" s="228">
        <f>B49/'- 3 -'!D49</f>
        <v>0.007767595948008499</v>
      </c>
      <c r="D49" s="32">
        <f>B49/'- 7 -'!F49</f>
        <v>61.04062336189364</v>
      </c>
      <c r="E49" s="32">
        <f>SUM(E11:E47)</f>
        <v>22919965</v>
      </c>
      <c r="F49" s="228">
        <f>E49/'- 3 -'!D49</f>
        <v>0.016292423556892224</v>
      </c>
      <c r="G49" s="32">
        <f>E49/'- 7 -'!F49</f>
        <v>128.0318513791487</v>
      </c>
      <c r="H49" s="32">
        <f>SUM(H11:H47)</f>
        <v>415319</v>
      </c>
      <c r="I49" s="228">
        <f>H49/'- 3 -'!D49</f>
        <v>0.000295225278887857</v>
      </c>
      <c r="J49" s="32">
        <f>H49/'- 7 -'!F49</f>
        <v>2.3199887296048076</v>
      </c>
    </row>
    <row r="50" spans="1:9" ht="4.5" customHeight="1">
      <c r="A50" s="29" t="s">
        <v>78</v>
      </c>
      <c r="B50" s="30"/>
      <c r="C50" s="215"/>
      <c r="E50" s="30"/>
      <c r="F50" s="215"/>
      <c r="G50" s="30"/>
      <c r="H50" s="30"/>
      <c r="I50" s="215"/>
    </row>
    <row r="51" spans="1:10" ht="13.5" customHeight="1">
      <c r="A51" s="27" t="s">
        <v>395</v>
      </c>
      <c r="B51" s="28">
        <v>2706</v>
      </c>
      <c r="C51" s="227">
        <f>B51/'- 3 -'!D51</f>
        <v>0.0021524192842768395</v>
      </c>
      <c r="D51" s="229">
        <f>B51/'- 7 -'!F51</f>
        <v>18.662068965517243</v>
      </c>
      <c r="E51" s="28">
        <v>17272</v>
      </c>
      <c r="F51" s="227">
        <f>E51/'- 3 -'!D51</f>
        <v>0.01373857571250169</v>
      </c>
      <c r="G51" s="28">
        <f>E51/'- 7 -'!F51</f>
        <v>119.11724137931034</v>
      </c>
      <c r="H51" s="28">
        <v>0</v>
      </c>
      <c r="I51" s="227">
        <f>H51/'- 3 -'!D51</f>
        <v>0</v>
      </c>
      <c r="J51" s="229">
        <f>H51/'- 7 -'!F51</f>
        <v>0</v>
      </c>
    </row>
    <row r="52" spans="1:10" ht="13.5" customHeight="1">
      <c r="A52" s="25" t="s">
        <v>396</v>
      </c>
      <c r="B52" s="26">
        <v>8545</v>
      </c>
      <c r="C52" s="226">
        <f>B52/'- 3 -'!D52</f>
        <v>0.0035300392084284694</v>
      </c>
      <c r="D52" s="230">
        <f>B52/'- 7 -'!F52</f>
        <v>30.904159132007234</v>
      </c>
      <c r="E52" s="26">
        <v>70917</v>
      </c>
      <c r="F52" s="226">
        <f>E52/'- 3 -'!D52</f>
        <v>0.029296640204110214</v>
      </c>
      <c r="G52" s="26">
        <f>E52/'- 7 -'!F52</f>
        <v>256.4810126582278</v>
      </c>
      <c r="H52" s="26">
        <v>0</v>
      </c>
      <c r="I52" s="226">
        <f>H52/'- 3 -'!D52</f>
        <v>0</v>
      </c>
      <c r="J52" s="230">
        <f>H52/'- 7 -'!F52</f>
        <v>0</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H53"/>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30.83203125" style="1" customWidth="1"/>
    <col min="9" max="16384" width="15.83203125" style="1" customWidth="1"/>
  </cols>
  <sheetData>
    <row r="1" spans="1:8" ht="6.75" customHeight="1">
      <c r="A1" s="5"/>
      <c r="B1" s="5"/>
      <c r="C1" s="5"/>
      <c r="D1" s="5"/>
      <c r="E1" s="130"/>
      <c r="F1" s="130"/>
      <c r="G1" s="130"/>
      <c r="H1" s="130"/>
    </row>
    <row r="2" spans="1:8" ht="15.75" customHeight="1">
      <c r="A2" s="219"/>
      <c r="B2" s="131" t="s">
        <v>75</v>
      </c>
      <c r="C2" s="231"/>
      <c r="D2" s="231"/>
      <c r="E2" s="290"/>
      <c r="F2" s="291"/>
      <c r="G2" s="291"/>
      <c r="H2" s="220" t="s">
        <v>336</v>
      </c>
    </row>
    <row r="3" spans="1:8" ht="15.75" customHeight="1">
      <c r="A3" s="221"/>
      <c r="B3" s="106" t="str">
        <f>OPYEAR</f>
        <v>OPERATING FUND 2003/2004 ACTUAL</v>
      </c>
      <c r="C3" s="235"/>
      <c r="D3" s="235"/>
      <c r="E3" s="292"/>
      <c r="F3" s="293"/>
      <c r="G3" s="293"/>
      <c r="H3" s="294"/>
    </row>
    <row r="4" spans="5:7" ht="15.75" customHeight="1">
      <c r="E4" s="130"/>
      <c r="F4" s="130"/>
      <c r="G4" s="130"/>
    </row>
    <row r="5" spans="2:7" ht="15.75" customHeight="1">
      <c r="B5" s="258" t="s">
        <v>552</v>
      </c>
      <c r="C5" s="295"/>
      <c r="D5" s="296"/>
      <c r="E5" s="297"/>
      <c r="F5" s="295"/>
      <c r="G5" s="298"/>
    </row>
    <row r="6" spans="2:7" ht="15.75" customHeight="1">
      <c r="B6" s="299" t="s">
        <v>78</v>
      </c>
      <c r="C6" s="300"/>
      <c r="D6" s="301"/>
      <c r="E6" s="302"/>
      <c r="F6" s="303"/>
      <c r="G6" s="304"/>
    </row>
    <row r="7" spans="2:7" ht="15.75" customHeight="1">
      <c r="B7" s="305" t="s">
        <v>131</v>
      </c>
      <c r="C7" s="306"/>
      <c r="D7" s="307"/>
      <c r="E7" s="305" t="s">
        <v>132</v>
      </c>
      <c r="F7" s="306"/>
      <c r="G7" s="307"/>
    </row>
    <row r="8" spans="1:7" ht="15.75" customHeight="1">
      <c r="A8" s="96"/>
      <c r="B8" s="308"/>
      <c r="C8" s="309"/>
      <c r="D8" s="310" t="s">
        <v>150</v>
      </c>
      <c r="E8" s="311"/>
      <c r="F8" s="309"/>
      <c r="G8" s="310" t="s">
        <v>150</v>
      </c>
    </row>
    <row r="9" spans="1:7" ht="15.75" customHeight="1">
      <c r="A9" s="49" t="s">
        <v>175</v>
      </c>
      <c r="B9" s="144" t="s">
        <v>176</v>
      </c>
      <c r="C9" s="144" t="s">
        <v>177</v>
      </c>
      <c r="D9" s="144" t="s">
        <v>178</v>
      </c>
      <c r="E9" s="312" t="s">
        <v>176</v>
      </c>
      <c r="F9" s="144" t="s">
        <v>177</v>
      </c>
      <c r="G9" s="144" t="s">
        <v>178</v>
      </c>
    </row>
    <row r="10" spans="1:7" ht="4.5" customHeight="1">
      <c r="A10" s="4"/>
      <c r="B10" s="4"/>
      <c r="C10" s="4"/>
      <c r="D10" s="4"/>
      <c r="E10" s="125"/>
      <c r="F10" s="125"/>
      <c r="G10" s="125"/>
    </row>
    <row r="11" spans="1:7" ht="13.5" customHeight="1">
      <c r="A11" s="25" t="s">
        <v>359</v>
      </c>
      <c r="B11" s="26">
        <v>0</v>
      </c>
      <c r="C11" s="226">
        <f>B11/'- 3 -'!D11</f>
        <v>0</v>
      </c>
      <c r="D11" s="26">
        <f>B11/'- 7 -'!F11</f>
        <v>0</v>
      </c>
      <c r="E11" s="26">
        <v>22885</v>
      </c>
      <c r="F11" s="226">
        <f>E11/'- 3 -'!D11</f>
        <v>0.0020050880258613863</v>
      </c>
      <c r="G11" s="26">
        <f>E11/'- 7 -'!F11</f>
        <v>14.651088348271447</v>
      </c>
    </row>
    <row r="12" spans="1:7" ht="13.5" customHeight="1">
      <c r="A12" s="27" t="s">
        <v>360</v>
      </c>
      <c r="B12" s="28">
        <v>35272</v>
      </c>
      <c r="C12" s="227">
        <f>B12/'- 3 -'!D12</f>
        <v>0.0018395882393192062</v>
      </c>
      <c r="D12" s="28">
        <f>B12/'- 7 -'!F12</f>
        <v>14.850117884809702</v>
      </c>
      <c r="E12" s="28">
        <v>28106</v>
      </c>
      <c r="F12" s="227">
        <f>E12/'- 3 -'!D12</f>
        <v>0.001465850165976004</v>
      </c>
      <c r="G12" s="28">
        <f>E12/'- 7 -'!F12</f>
        <v>11.833108790838667</v>
      </c>
    </row>
    <row r="13" spans="1:7" ht="13.5" customHeight="1">
      <c r="A13" s="25" t="s">
        <v>361</v>
      </c>
      <c r="B13" s="26">
        <v>12473</v>
      </c>
      <c r="C13" s="226">
        <f>B13/'- 3 -'!D13</f>
        <v>0.000254890592730313</v>
      </c>
      <c r="D13" s="26">
        <f>B13/'- 7 -'!F13</f>
        <v>1.7545365030243354</v>
      </c>
      <c r="E13" s="26">
        <v>13894</v>
      </c>
      <c r="F13" s="226">
        <f>E13/'- 3 -'!D13</f>
        <v>0.00028392927887396525</v>
      </c>
      <c r="G13" s="26">
        <f>E13/'- 7 -'!F13</f>
        <v>1.9544239696159798</v>
      </c>
    </row>
    <row r="14" spans="1:7" ht="13.5" customHeight="1">
      <c r="A14" s="27" t="s">
        <v>398</v>
      </c>
      <c r="B14" s="28">
        <v>0</v>
      </c>
      <c r="C14" s="227">
        <f>B14/'- 3 -'!D14</f>
        <v>0</v>
      </c>
      <c r="D14" s="28">
        <f>B14/'- 7 -'!F14</f>
        <v>0</v>
      </c>
      <c r="E14" s="28">
        <v>29209</v>
      </c>
      <c r="F14" s="227">
        <f>E14/'- 3 -'!D14</f>
        <v>0.0006895400999591173</v>
      </c>
      <c r="G14" s="28">
        <f>E14/'- 7 -'!F14</f>
        <v>6.836992650156828</v>
      </c>
    </row>
    <row r="15" spans="1:7" ht="13.5" customHeight="1">
      <c r="A15" s="25" t="s">
        <v>362</v>
      </c>
      <c r="B15" s="26">
        <v>0</v>
      </c>
      <c r="C15" s="226">
        <f>B15/'- 3 -'!D15</f>
        <v>0</v>
      </c>
      <c r="D15" s="26">
        <f>B15/'- 7 -'!F15</f>
        <v>0</v>
      </c>
      <c r="E15" s="26">
        <v>7469</v>
      </c>
      <c r="F15" s="226">
        <f>E15/'- 3 -'!D15</f>
        <v>0.0005715343888622341</v>
      </c>
      <c r="G15" s="26">
        <f>E15/'- 7 -'!F15</f>
        <v>4.495335540174541</v>
      </c>
    </row>
    <row r="16" spans="1:7" ht="13.5" customHeight="1">
      <c r="A16" s="27" t="s">
        <v>363</v>
      </c>
      <c r="B16" s="28">
        <v>22352</v>
      </c>
      <c r="C16" s="227">
        <f>B16/'- 3 -'!D16</f>
        <v>0.0020863555362837733</v>
      </c>
      <c r="D16" s="28">
        <f>B16/'- 7 -'!F16</f>
        <v>16.058624901214166</v>
      </c>
      <c r="E16" s="28">
        <v>54323</v>
      </c>
      <c r="F16" s="227">
        <f>E16/'- 3 -'!D16</f>
        <v>0.005070557077556524</v>
      </c>
      <c r="G16" s="28">
        <f>E16/'- 7 -'!F16</f>
        <v>39.02794741001509</v>
      </c>
    </row>
    <row r="17" spans="1:7" ht="13.5" customHeight="1">
      <c r="A17" s="25" t="s">
        <v>364</v>
      </c>
      <c r="B17" s="26">
        <v>0</v>
      </c>
      <c r="C17" s="226">
        <f>B17/'- 3 -'!D17</f>
        <v>0</v>
      </c>
      <c r="D17" s="26">
        <f>B17/'- 7 -'!F17</f>
        <v>0</v>
      </c>
      <c r="E17" s="26">
        <v>7965</v>
      </c>
      <c r="F17" s="226">
        <f>E17/'- 3 -'!D17</f>
        <v>0.0006452086915969689</v>
      </c>
      <c r="G17" s="26">
        <f>E17/'- 7 -'!F17</f>
        <v>5.044331855604813</v>
      </c>
    </row>
    <row r="18" spans="1:7" ht="13.5" customHeight="1">
      <c r="A18" s="27" t="s">
        <v>365</v>
      </c>
      <c r="B18" s="28">
        <v>718162</v>
      </c>
      <c r="C18" s="227">
        <f>B18/'- 3 -'!D18</f>
        <v>0.009772303752280137</v>
      </c>
      <c r="D18" s="28">
        <f>B18/'- 7 -'!F18</f>
        <v>122.57206738236248</v>
      </c>
      <c r="E18" s="28">
        <v>47693</v>
      </c>
      <c r="F18" s="227">
        <f>E18/'- 3 -'!D18</f>
        <v>0.0006489768086552848</v>
      </c>
      <c r="G18" s="28">
        <f>E18/'- 7 -'!F18</f>
        <v>8.139987370073902</v>
      </c>
    </row>
    <row r="19" spans="1:7" ht="13.5" customHeight="1">
      <c r="A19" s="25" t="s">
        <v>366</v>
      </c>
      <c r="B19" s="26">
        <v>0</v>
      </c>
      <c r="C19" s="226">
        <f>B19/'- 3 -'!D19</f>
        <v>0</v>
      </c>
      <c r="D19" s="26">
        <f>B19/'- 7 -'!F19</f>
        <v>0</v>
      </c>
      <c r="E19" s="26">
        <v>37190</v>
      </c>
      <c r="F19" s="226">
        <f>E19/'- 3 -'!D19</f>
        <v>0.0020270777028647477</v>
      </c>
      <c r="G19" s="26">
        <f>E19/'- 7 -'!F19</f>
        <v>12.355892222332967</v>
      </c>
    </row>
    <row r="20" spans="1:7" ht="13.5" customHeight="1">
      <c r="A20" s="27" t="s">
        <v>367</v>
      </c>
      <c r="B20" s="28">
        <v>119684</v>
      </c>
      <c r="C20" s="227">
        <f>B20/'- 3 -'!D20</f>
        <v>0.00326278443009215</v>
      </c>
      <c r="D20" s="28">
        <f>B20/'- 7 -'!F20</f>
        <v>18.914895298301065</v>
      </c>
      <c r="E20" s="28">
        <v>63289</v>
      </c>
      <c r="F20" s="227">
        <f>E20/'- 3 -'!D20</f>
        <v>0.0017253631546079852</v>
      </c>
      <c r="G20" s="28">
        <f>E20/'- 7 -'!F20</f>
        <v>10.002212564203871</v>
      </c>
    </row>
    <row r="21" spans="1:7" ht="13.5" customHeight="1">
      <c r="A21" s="25" t="s">
        <v>368</v>
      </c>
      <c r="B21" s="26">
        <v>29341</v>
      </c>
      <c r="C21" s="226">
        <f>B21/'- 3 -'!D21</f>
        <v>0.0012188575680956335</v>
      </c>
      <c r="D21" s="26">
        <f>B21/'- 7 -'!F21</f>
        <v>8.828343613660298</v>
      </c>
      <c r="E21" s="26">
        <v>58318</v>
      </c>
      <c r="F21" s="226">
        <f>E21/'- 3 -'!D21</f>
        <v>0.0024225941738932268</v>
      </c>
      <c r="G21" s="26">
        <f>E21/'- 7 -'!F21</f>
        <v>17.547164134195878</v>
      </c>
    </row>
    <row r="22" spans="1:7" ht="13.5" customHeight="1">
      <c r="A22" s="27" t="s">
        <v>369</v>
      </c>
      <c r="B22" s="28">
        <v>0</v>
      </c>
      <c r="C22" s="227">
        <f>B22/'- 3 -'!D22</f>
        <v>0</v>
      </c>
      <c r="D22" s="28">
        <f>B22/'- 7 -'!F22</f>
        <v>0</v>
      </c>
      <c r="E22" s="28">
        <v>1161</v>
      </c>
      <c r="F22" s="227">
        <f>E22/'- 3 -'!D22</f>
        <v>8.611592479268573E-05</v>
      </c>
      <c r="G22" s="28">
        <f>E22/'- 7 -'!F22</f>
        <v>0.6861702127659575</v>
      </c>
    </row>
    <row r="23" spans="1:7" ht="13.5" customHeight="1">
      <c r="A23" s="25" t="s">
        <v>370</v>
      </c>
      <c r="B23" s="26">
        <v>0</v>
      </c>
      <c r="C23" s="226">
        <f>B23/'- 3 -'!D23</f>
        <v>0</v>
      </c>
      <c r="D23" s="26">
        <f>B23/'- 7 -'!F23</f>
        <v>0</v>
      </c>
      <c r="E23" s="26">
        <v>11651</v>
      </c>
      <c r="F23" s="226">
        <f>E23/'- 3 -'!D23</f>
        <v>0.0010299172804314213</v>
      </c>
      <c r="G23" s="26">
        <f>E23/'- 7 -'!F23</f>
        <v>8.776647834274954</v>
      </c>
    </row>
    <row r="24" spans="1:7" ht="13.5" customHeight="1">
      <c r="A24" s="27" t="s">
        <v>371</v>
      </c>
      <c r="B24" s="28">
        <v>0</v>
      </c>
      <c r="C24" s="227">
        <f>B24/'- 3 -'!D24</f>
        <v>0</v>
      </c>
      <c r="D24" s="28">
        <f>B24/'- 7 -'!F24</f>
        <v>0</v>
      </c>
      <c r="E24" s="28">
        <v>47162</v>
      </c>
      <c r="F24" s="227">
        <f>E24/'- 3 -'!D24</f>
        <v>0.0013540427265406059</v>
      </c>
      <c r="G24" s="28">
        <f>E24/'- 7 -'!F24</f>
        <v>10.11951507348997</v>
      </c>
    </row>
    <row r="25" spans="1:7" ht="13.5" customHeight="1">
      <c r="A25" s="25" t="s">
        <v>372</v>
      </c>
      <c r="B25" s="26">
        <v>0</v>
      </c>
      <c r="C25" s="226">
        <f>B25/'- 3 -'!D25</f>
        <v>0</v>
      </c>
      <c r="D25" s="26">
        <f>B25/'- 7 -'!F25</f>
        <v>0</v>
      </c>
      <c r="E25" s="26">
        <v>66275</v>
      </c>
      <c r="F25" s="226">
        <f>E25/'- 3 -'!D25</f>
        <v>0.0005998787181997811</v>
      </c>
      <c r="G25" s="26">
        <f>E25/'- 7 -'!F25</f>
        <v>4.413772435150345</v>
      </c>
    </row>
    <row r="26" spans="1:7" ht="13.5" customHeight="1">
      <c r="A26" s="27" t="s">
        <v>373</v>
      </c>
      <c r="B26" s="28">
        <v>158917</v>
      </c>
      <c r="C26" s="227">
        <f>B26/'- 3 -'!D26</f>
        <v>0.005869416968120767</v>
      </c>
      <c r="D26" s="28">
        <f>B26/'- 7 -'!F26</f>
        <v>48.15374825768136</v>
      </c>
      <c r="E26" s="28">
        <v>124353</v>
      </c>
      <c r="F26" s="227">
        <f>E26/'- 3 -'!D26</f>
        <v>0.004592835305453298</v>
      </c>
      <c r="G26" s="28">
        <f>E26/'- 7 -'!F26</f>
        <v>37.68044360947822</v>
      </c>
    </row>
    <row r="27" spans="1:7" ht="13.5" customHeight="1">
      <c r="A27" s="25" t="s">
        <v>374</v>
      </c>
      <c r="B27" s="26">
        <v>0</v>
      </c>
      <c r="C27" s="226">
        <f>B27/'- 3 -'!D27</f>
        <v>0</v>
      </c>
      <c r="D27" s="26">
        <f>B27/'- 7 -'!F27</f>
        <v>0</v>
      </c>
      <c r="E27" s="26">
        <v>17428</v>
      </c>
      <c r="F27" s="226">
        <f>E27/'- 3 -'!D27</f>
        <v>0.0006429183005158144</v>
      </c>
      <c r="G27" s="26">
        <f>E27/'- 7 -'!F27</f>
        <v>5.365763546798029</v>
      </c>
    </row>
    <row r="28" spans="1:7" ht="13.5" customHeight="1">
      <c r="A28" s="27" t="s">
        <v>375</v>
      </c>
      <c r="B28" s="28">
        <v>0</v>
      </c>
      <c r="C28" s="227">
        <f>B28/'- 3 -'!D28</f>
        <v>0</v>
      </c>
      <c r="D28" s="28">
        <f>B28/'- 7 -'!F28</f>
        <v>0</v>
      </c>
      <c r="E28" s="28">
        <v>10799</v>
      </c>
      <c r="F28" s="227">
        <f>E28/'- 3 -'!D28</f>
        <v>0.0006476606709473556</v>
      </c>
      <c r="G28" s="28">
        <f>E28/'- 7 -'!F28</f>
        <v>5.1843494959193475</v>
      </c>
    </row>
    <row r="29" spans="1:7" ht="13.5" customHeight="1">
      <c r="A29" s="25" t="s">
        <v>376</v>
      </c>
      <c r="B29" s="26">
        <v>0</v>
      </c>
      <c r="C29" s="226">
        <f>B29/'- 3 -'!D29</f>
        <v>0</v>
      </c>
      <c r="D29" s="26">
        <f>B29/'- 7 -'!F29</f>
        <v>0</v>
      </c>
      <c r="E29" s="26">
        <v>181234</v>
      </c>
      <c r="F29" s="226">
        <f>E29/'- 3 -'!D29</f>
        <v>0.0017793328769199297</v>
      </c>
      <c r="G29" s="26">
        <f>E29/'- 7 -'!F29</f>
        <v>13.772627099323657</v>
      </c>
    </row>
    <row r="30" spans="1:7" ht="13.5" customHeight="1">
      <c r="A30" s="27" t="s">
        <v>377</v>
      </c>
      <c r="B30" s="28">
        <v>0</v>
      </c>
      <c r="C30" s="227">
        <f>B30/'- 3 -'!D30</f>
        <v>0</v>
      </c>
      <c r="D30" s="28">
        <f>B30/'- 7 -'!F30</f>
        <v>0</v>
      </c>
      <c r="E30" s="28">
        <v>5294</v>
      </c>
      <c r="F30" s="227">
        <f>E30/'- 3 -'!D30</f>
        <v>0.0005388503027241458</v>
      </c>
      <c r="G30" s="28">
        <f>E30/'- 7 -'!F30</f>
        <v>4.1537857983522954</v>
      </c>
    </row>
    <row r="31" spans="1:7" ht="13.5" customHeight="1">
      <c r="A31" s="25" t="s">
        <v>378</v>
      </c>
      <c r="B31" s="26">
        <v>0</v>
      </c>
      <c r="C31" s="226">
        <f>B31/'- 3 -'!D31</f>
        <v>0</v>
      </c>
      <c r="D31" s="26">
        <f>B31/'- 7 -'!F31</f>
        <v>0</v>
      </c>
      <c r="E31" s="26">
        <v>54341</v>
      </c>
      <c r="F31" s="226">
        <f>E31/'- 3 -'!D31</f>
        <v>0.002180095262070992</v>
      </c>
      <c r="G31" s="26">
        <f>E31/'- 7 -'!F31</f>
        <v>15.969495709415774</v>
      </c>
    </row>
    <row r="32" spans="1:7" ht="13.5" customHeight="1">
      <c r="A32" s="27" t="s">
        <v>379</v>
      </c>
      <c r="B32" s="28">
        <v>0</v>
      </c>
      <c r="C32" s="227">
        <f>B32/'- 3 -'!D32</f>
        <v>0</v>
      </c>
      <c r="D32" s="28">
        <f>B32/'- 7 -'!F32</f>
        <v>0</v>
      </c>
      <c r="E32" s="28">
        <v>14757</v>
      </c>
      <c r="F32" s="227">
        <f>E32/'- 3 -'!D32</f>
        <v>0.0007966726862953241</v>
      </c>
      <c r="G32" s="28">
        <f>E32/'- 7 -'!F32</f>
        <v>6.355297157622739</v>
      </c>
    </row>
    <row r="33" spans="1:7" ht="13.5" customHeight="1">
      <c r="A33" s="25" t="s">
        <v>380</v>
      </c>
      <c r="B33" s="26">
        <v>0</v>
      </c>
      <c r="C33" s="226">
        <f>B33/'- 3 -'!D33</f>
        <v>0</v>
      </c>
      <c r="D33" s="26">
        <f>B33/'- 7 -'!F33</f>
        <v>0</v>
      </c>
      <c r="E33" s="26">
        <v>32266</v>
      </c>
      <c r="F33" s="226">
        <f>E33/'- 3 -'!D33</f>
        <v>0.0014680772814881443</v>
      </c>
      <c r="G33" s="26">
        <f>E33/'- 7 -'!F33</f>
        <v>12.782157429782515</v>
      </c>
    </row>
    <row r="34" spans="1:7" ht="13.5" customHeight="1">
      <c r="A34" s="27" t="s">
        <v>381</v>
      </c>
      <c r="B34" s="28">
        <v>0</v>
      </c>
      <c r="C34" s="227">
        <f>B34/'- 3 -'!D34</f>
        <v>0</v>
      </c>
      <c r="D34" s="28">
        <f>B34/'- 7 -'!F34</f>
        <v>0</v>
      </c>
      <c r="E34" s="28">
        <v>13174</v>
      </c>
      <c r="F34" s="227">
        <f>E34/'- 3 -'!D34</f>
        <v>0.0007761180453513569</v>
      </c>
      <c r="G34" s="28">
        <f>E34/'- 7 -'!F34</f>
        <v>6.018273184102329</v>
      </c>
    </row>
    <row r="35" spans="1:7" ht="13.5" customHeight="1">
      <c r="A35" s="25" t="s">
        <v>382</v>
      </c>
      <c r="B35" s="26">
        <v>298424</v>
      </c>
      <c r="C35" s="226">
        <f>B35/'- 3 -'!D35</f>
        <v>0.00236510119108477</v>
      </c>
      <c r="D35" s="26">
        <f>B35/'- 7 -'!F35</f>
        <v>16.726396323179106</v>
      </c>
      <c r="E35" s="26">
        <v>84572</v>
      </c>
      <c r="F35" s="226">
        <f>E35/'- 3 -'!D35</f>
        <v>0.0006702588864582646</v>
      </c>
      <c r="G35" s="26">
        <f>E35/'- 7 -'!F35</f>
        <v>4.740184401535745</v>
      </c>
    </row>
    <row r="36" spans="1:7" ht="13.5" customHeight="1">
      <c r="A36" s="27" t="s">
        <v>383</v>
      </c>
      <c r="B36" s="28">
        <v>0</v>
      </c>
      <c r="C36" s="227">
        <f>B36/'- 3 -'!D36</f>
        <v>0</v>
      </c>
      <c r="D36" s="28">
        <f>B36/'- 7 -'!F36</f>
        <v>0</v>
      </c>
      <c r="E36" s="28">
        <v>20754</v>
      </c>
      <c r="F36" s="227">
        <f>E36/'- 3 -'!D36</f>
        <v>0.0012433030333383016</v>
      </c>
      <c r="G36" s="28">
        <f>E36/'- 7 -'!F36</f>
        <v>9.91354191545259</v>
      </c>
    </row>
    <row r="37" spans="1:7" ht="13.5" customHeight="1">
      <c r="A37" s="25" t="s">
        <v>384</v>
      </c>
      <c r="B37" s="26">
        <v>516</v>
      </c>
      <c r="C37" s="226">
        <f>B37/'- 3 -'!D37</f>
        <v>2.045648678000632E-05</v>
      </c>
      <c r="D37" s="26">
        <f>B37/'- 7 -'!F37</f>
        <v>0.15314753806428635</v>
      </c>
      <c r="E37" s="26">
        <v>31695</v>
      </c>
      <c r="F37" s="226">
        <f>E37/'- 3 -'!D37</f>
        <v>0.0012565278071556209</v>
      </c>
      <c r="G37" s="26">
        <f>E37/'- 7 -'!F37</f>
        <v>9.406998486332473</v>
      </c>
    </row>
    <row r="38" spans="1:7" ht="13.5" customHeight="1">
      <c r="A38" s="27" t="s">
        <v>385</v>
      </c>
      <c r="B38" s="28">
        <v>0</v>
      </c>
      <c r="C38" s="227">
        <f>B38/'- 3 -'!D38</f>
        <v>0</v>
      </c>
      <c r="D38" s="28">
        <f>B38/'- 7 -'!F38</f>
        <v>0</v>
      </c>
      <c r="E38" s="28">
        <v>149166</v>
      </c>
      <c r="F38" s="227">
        <f>E38/'- 3 -'!D38</f>
        <v>0.0022855000833552673</v>
      </c>
      <c r="G38" s="28">
        <f>E38/'- 7 -'!F38</f>
        <v>17.538624338624338</v>
      </c>
    </row>
    <row r="39" spans="1:7" ht="13.5" customHeight="1">
      <c r="A39" s="25" t="s">
        <v>386</v>
      </c>
      <c r="B39" s="26">
        <v>0</v>
      </c>
      <c r="C39" s="226">
        <f>B39/'- 3 -'!D39</f>
        <v>0</v>
      </c>
      <c r="D39" s="26">
        <f>B39/'- 7 -'!F39</f>
        <v>0</v>
      </c>
      <c r="E39" s="26">
        <v>35166</v>
      </c>
      <c r="F39" s="226">
        <f>E39/'- 3 -'!D39</f>
        <v>0.002293767977339665</v>
      </c>
      <c r="G39" s="26">
        <f>E39/'- 7 -'!F39</f>
        <v>19.321978021978023</v>
      </c>
    </row>
    <row r="40" spans="1:7" ht="13.5" customHeight="1">
      <c r="A40" s="27" t="s">
        <v>387</v>
      </c>
      <c r="B40" s="28">
        <v>31901</v>
      </c>
      <c r="C40" s="227">
        <f>B40/'- 3 -'!D40</f>
        <v>0.0004855236077326663</v>
      </c>
      <c r="D40" s="28">
        <f>B40/'- 7 -'!F40</f>
        <v>3.5586398613177934</v>
      </c>
      <c r="E40" s="28">
        <v>50141</v>
      </c>
      <c r="F40" s="227">
        <f>E40/'- 3 -'!D40</f>
        <v>0.0007631309117370497</v>
      </c>
      <c r="G40" s="28">
        <f>E40/'- 7 -'!F40</f>
        <v>5.593359496139165</v>
      </c>
    </row>
    <row r="41" spans="1:7" ht="13.5" customHeight="1">
      <c r="A41" s="25" t="s">
        <v>388</v>
      </c>
      <c r="B41" s="26">
        <v>0</v>
      </c>
      <c r="C41" s="226">
        <f>B41/'- 3 -'!D41</f>
        <v>0</v>
      </c>
      <c r="D41" s="26">
        <f>B41/'- 7 -'!F41</f>
        <v>0</v>
      </c>
      <c r="E41" s="26">
        <v>27304</v>
      </c>
      <c r="F41" s="226">
        <f>E41/'- 3 -'!D41</f>
        <v>0.0006984067251267678</v>
      </c>
      <c r="G41" s="26">
        <f>E41/'- 7 -'!F41</f>
        <v>5.709744876620661</v>
      </c>
    </row>
    <row r="42" spans="1:7" ht="13.5" customHeight="1">
      <c r="A42" s="27" t="s">
        <v>389</v>
      </c>
      <c r="B42" s="28">
        <v>0</v>
      </c>
      <c r="C42" s="227">
        <f>B42/'- 3 -'!D42</f>
        <v>0</v>
      </c>
      <c r="D42" s="28">
        <f>B42/'- 7 -'!F42</f>
        <v>0</v>
      </c>
      <c r="E42" s="28">
        <v>6705</v>
      </c>
      <c r="F42" s="227">
        <f>E42/'- 3 -'!D42</f>
        <v>0.00044364169154721315</v>
      </c>
      <c r="G42" s="28">
        <f>E42/'- 7 -'!F42</f>
        <v>3.584411418796108</v>
      </c>
    </row>
    <row r="43" spans="1:7" ht="13.5" customHeight="1">
      <c r="A43" s="25" t="s">
        <v>390</v>
      </c>
      <c r="B43" s="26">
        <v>996</v>
      </c>
      <c r="C43" s="226">
        <f>B43/'- 3 -'!D43</f>
        <v>0.000107846224277701</v>
      </c>
      <c r="D43" s="26">
        <f>B43/'- 7 -'!F43</f>
        <v>0.8238213399503722</v>
      </c>
      <c r="E43" s="26">
        <v>10550</v>
      </c>
      <c r="F43" s="226">
        <f>E43/'- 3 -'!D43</f>
        <v>0.001142347054347134</v>
      </c>
      <c r="G43" s="26">
        <f>E43/'- 7 -'!F43</f>
        <v>8.726220016542598</v>
      </c>
    </row>
    <row r="44" spans="1:7" ht="13.5" customHeight="1">
      <c r="A44" s="27" t="s">
        <v>391</v>
      </c>
      <c r="B44" s="28">
        <v>0</v>
      </c>
      <c r="C44" s="227">
        <f>B44/'- 3 -'!D44</f>
        <v>0</v>
      </c>
      <c r="D44" s="28">
        <f>B44/'- 7 -'!F44</f>
        <v>0</v>
      </c>
      <c r="E44" s="28">
        <v>1809</v>
      </c>
      <c r="F44" s="227">
        <f>E44/'- 3 -'!D44</f>
        <v>0.0002623571447943136</v>
      </c>
      <c r="G44" s="28">
        <f>E44/'- 7 -'!F44</f>
        <v>2.2884250474383303</v>
      </c>
    </row>
    <row r="45" spans="1:7" ht="13.5" customHeight="1">
      <c r="A45" s="25" t="s">
        <v>392</v>
      </c>
      <c r="B45" s="26">
        <v>99790</v>
      </c>
      <c r="C45" s="226">
        <f>B45/'- 3 -'!D45</f>
        <v>0.009546294808812127</v>
      </c>
      <c r="D45" s="26">
        <f>B45/'- 7 -'!F45</f>
        <v>68.24647790999863</v>
      </c>
      <c r="E45" s="26">
        <v>24062</v>
      </c>
      <c r="F45" s="226">
        <f>E45/'- 3 -'!D45</f>
        <v>0.002301863369973318</v>
      </c>
      <c r="G45" s="26">
        <f>E45/'- 7 -'!F45</f>
        <v>16.456025167555737</v>
      </c>
    </row>
    <row r="46" spans="1:7" ht="13.5" customHeight="1">
      <c r="A46" s="27" t="s">
        <v>393</v>
      </c>
      <c r="B46" s="28">
        <v>983402</v>
      </c>
      <c r="C46" s="227">
        <f>B46/'- 3 -'!D46</f>
        <v>0.003780895149520085</v>
      </c>
      <c r="D46" s="28">
        <f>B46/'- 7 -'!F46</f>
        <v>31.703622987497827</v>
      </c>
      <c r="E46" s="28">
        <v>800522</v>
      </c>
      <c r="F46" s="227">
        <f>E46/'- 3 -'!D46</f>
        <v>0.0030777746505336757</v>
      </c>
      <c r="G46" s="28">
        <f>E46/'- 7 -'!F46</f>
        <v>25.807805639197127</v>
      </c>
    </row>
    <row r="47" spans="1:7" ht="13.5" customHeight="1">
      <c r="A47" s="25" t="s">
        <v>397</v>
      </c>
      <c r="B47" s="26">
        <v>0</v>
      </c>
      <c r="C47" s="226">
        <f>B47/'- 3 -'!D47</f>
        <v>0</v>
      </c>
      <c r="D47" s="26">
        <f>B47/'- 7 -'!F47</f>
        <v>0</v>
      </c>
      <c r="E47" s="26">
        <v>0</v>
      </c>
      <c r="F47" s="226">
        <f>E47/'- 3 -'!D47</f>
        <v>0</v>
      </c>
      <c r="G47" s="26">
        <f>E47/'- 7 -'!F47</f>
        <v>0</v>
      </c>
    </row>
    <row r="48" spans="1:7" ht="4.5" customHeight="1">
      <c r="A48" s="29"/>
      <c r="B48" s="30"/>
      <c r="C48" s="215"/>
      <c r="D48" s="30"/>
      <c r="E48" s="30"/>
      <c r="F48" s="215"/>
      <c r="G48" s="30"/>
    </row>
    <row r="49" spans="1:7" ht="13.5" customHeight="1">
      <c r="A49" s="31" t="s">
        <v>394</v>
      </c>
      <c r="B49" s="32">
        <f>SUM(B11:B47)</f>
        <v>2511230</v>
      </c>
      <c r="C49" s="228">
        <f>B49/'- 3 -'!D49</f>
        <v>0.0017850822550895893</v>
      </c>
      <c r="D49" s="32">
        <f>B49/'- 7 -'!F49</f>
        <v>14.027832334772743</v>
      </c>
      <c r="E49" s="32">
        <f>SUM(E11:E47)</f>
        <v>2192682</v>
      </c>
      <c r="F49" s="228">
        <f>E49/'- 3 -'!D49</f>
        <v>0.0015586456554176045</v>
      </c>
      <c r="G49" s="32">
        <f>E49/'- 7 -'!F49</f>
        <v>12.248410324611513</v>
      </c>
    </row>
    <row r="50" spans="1:7" ht="4.5" customHeight="1">
      <c r="A50" s="29" t="s">
        <v>78</v>
      </c>
      <c r="B50" s="30"/>
      <c r="C50" s="215"/>
      <c r="D50" s="30"/>
      <c r="E50" s="30"/>
      <c r="F50" s="215"/>
      <c r="G50" s="30"/>
    </row>
    <row r="51" spans="1:7" ht="13.5" customHeight="1">
      <c r="A51" s="27" t="s">
        <v>395</v>
      </c>
      <c r="B51" s="28">
        <v>0</v>
      </c>
      <c r="C51" s="227">
        <f>B51/'- 3 -'!D51</f>
        <v>0</v>
      </c>
      <c r="D51" s="28">
        <f>B51/'- 7 -'!F51</f>
        <v>0</v>
      </c>
      <c r="E51" s="28">
        <v>0</v>
      </c>
      <c r="F51" s="227">
        <f>E51/'- 3 -'!D51</f>
        <v>0</v>
      </c>
      <c r="G51" s="28">
        <f>E51/'- 7 -'!F51</f>
        <v>0</v>
      </c>
    </row>
    <row r="52" spans="1:7" ht="13.5" customHeight="1">
      <c r="A52" s="25" t="s">
        <v>396</v>
      </c>
      <c r="B52" s="26">
        <v>0</v>
      </c>
      <c r="C52" s="226">
        <f>B52/'- 3 -'!D52</f>
        <v>0</v>
      </c>
      <c r="D52" s="26">
        <f>B52/'- 7 -'!F52</f>
        <v>0</v>
      </c>
      <c r="E52" s="26">
        <v>8174</v>
      </c>
      <c r="F52" s="226">
        <f>E52/'- 3 -'!D52</f>
        <v>0.0033767747793673857</v>
      </c>
      <c r="G52" s="26">
        <f>E52/'- 7 -'!F52</f>
        <v>29.5623869801085</v>
      </c>
    </row>
    <row r="53" spans="5:8" ht="49.5" customHeight="1">
      <c r="E53" s="125"/>
      <c r="F53" s="125"/>
      <c r="G53" s="125"/>
      <c r="H53" s="125"/>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2"/>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15.83203125" style="1" customWidth="1"/>
    <col min="4" max="4" width="17.83203125" style="1" customWidth="1"/>
    <col min="5" max="5" width="15.83203125" style="1" customWidth="1"/>
    <col min="6" max="6" width="17.83203125" style="1" customWidth="1"/>
    <col min="7" max="16384" width="15.83203125" style="1" customWidth="1"/>
  </cols>
  <sheetData>
    <row r="1" spans="1:7" ht="6.75" customHeight="1">
      <c r="A1" s="5"/>
      <c r="B1" s="6"/>
      <c r="C1" s="6"/>
      <c r="D1" s="6"/>
      <c r="E1" s="6"/>
      <c r="F1" s="6"/>
      <c r="G1" s="6"/>
    </row>
    <row r="2" spans="1:7" ht="15.75" customHeight="1">
      <c r="A2" s="219"/>
      <c r="B2" s="7" t="s">
        <v>75</v>
      </c>
      <c r="C2" s="8"/>
      <c r="D2" s="8"/>
      <c r="E2" s="8"/>
      <c r="F2" s="105"/>
      <c r="G2" s="220" t="s">
        <v>335</v>
      </c>
    </row>
    <row r="3" spans="1:7" ht="15.75" customHeight="1">
      <c r="A3" s="221"/>
      <c r="B3" s="9" t="str">
        <f>OPYEAR</f>
        <v>OPERATING FUND 2003/2004 ACTUAL</v>
      </c>
      <c r="C3" s="10"/>
      <c r="D3" s="10"/>
      <c r="E3" s="10"/>
      <c r="F3" s="107"/>
      <c r="G3" s="94"/>
    </row>
    <row r="4" spans="2:7" ht="15.75" customHeight="1">
      <c r="B4" s="6"/>
      <c r="C4" s="6"/>
      <c r="D4" s="6"/>
      <c r="E4" s="6"/>
      <c r="F4" s="6"/>
      <c r="G4" s="6"/>
    </row>
    <row r="5" spans="2:7" ht="15.75" customHeight="1">
      <c r="B5" s="6"/>
      <c r="C5" s="6"/>
      <c r="D5" s="6"/>
      <c r="E5" s="6"/>
      <c r="F5" s="6"/>
      <c r="G5" s="6"/>
    </row>
    <row r="6" spans="2:7" ht="15.75" customHeight="1">
      <c r="B6" s="278" t="s">
        <v>101</v>
      </c>
      <c r="C6" s="279"/>
      <c r="D6" s="280"/>
      <c r="E6" s="280"/>
      <c r="F6" s="280"/>
      <c r="G6" s="281"/>
    </row>
    <row r="7" spans="2:7" ht="15.75" customHeight="1">
      <c r="B7" s="222"/>
      <c r="C7" s="210"/>
      <c r="D7" s="209"/>
      <c r="E7" s="210"/>
      <c r="F7" s="209" t="s">
        <v>133</v>
      </c>
      <c r="G7" s="210"/>
    </row>
    <row r="8" spans="1:7" ht="15.75" customHeight="1">
      <c r="A8" s="96"/>
      <c r="B8" s="71" t="s">
        <v>113</v>
      </c>
      <c r="C8" s="70"/>
      <c r="D8" s="108" t="s">
        <v>153</v>
      </c>
      <c r="E8" s="70"/>
      <c r="F8" s="108" t="s">
        <v>154</v>
      </c>
      <c r="G8" s="70"/>
    </row>
    <row r="9" spans="1:7" ht="15.75" customHeight="1">
      <c r="A9" s="49" t="s">
        <v>175</v>
      </c>
      <c r="B9" s="282" t="s">
        <v>176</v>
      </c>
      <c r="C9" s="282" t="s">
        <v>177</v>
      </c>
      <c r="D9" s="282" t="s">
        <v>176</v>
      </c>
      <c r="E9" s="282" t="s">
        <v>177</v>
      </c>
      <c r="F9" s="282" t="s">
        <v>176</v>
      </c>
      <c r="G9" s="282" t="s">
        <v>177</v>
      </c>
    </row>
    <row r="10" ht="4.5" customHeight="1">
      <c r="A10" s="4"/>
    </row>
    <row r="11" spans="1:7" ht="13.5" customHeight="1">
      <c r="A11" s="25" t="s">
        <v>359</v>
      </c>
      <c r="B11" s="253">
        <v>43738</v>
      </c>
      <c r="C11" s="226">
        <f>B11/'- 3 -'!D11</f>
        <v>0.003832140706800319</v>
      </c>
      <c r="D11" s="253">
        <v>694783</v>
      </c>
      <c r="E11" s="226">
        <f>D11/'- 3 -'!D11</f>
        <v>0.06087398181656332</v>
      </c>
      <c r="F11" s="253">
        <v>3071</v>
      </c>
      <c r="G11" s="226">
        <f>F11/'- 3 -'!D11</f>
        <v>0.0002690681812287663</v>
      </c>
    </row>
    <row r="12" spans="1:7" ht="13.5" customHeight="1">
      <c r="A12" s="27" t="s">
        <v>360</v>
      </c>
      <c r="B12" s="254">
        <v>57045</v>
      </c>
      <c r="C12" s="227">
        <f>B12/'- 3 -'!D12</f>
        <v>0.002975144905646522</v>
      </c>
      <c r="D12" s="254">
        <v>1300177</v>
      </c>
      <c r="E12" s="227">
        <f>D12/'- 3 -'!D12</f>
        <v>0.0678098865455128</v>
      </c>
      <c r="F12" s="254">
        <v>0</v>
      </c>
      <c r="G12" s="227">
        <f>F12/'- 3 -'!D12</f>
        <v>0</v>
      </c>
    </row>
    <row r="13" spans="1:7" ht="13.5" customHeight="1">
      <c r="A13" s="25" t="s">
        <v>361</v>
      </c>
      <c r="B13" s="253">
        <v>109724</v>
      </c>
      <c r="C13" s="226">
        <f>B13/'- 3 -'!D13</f>
        <v>0.002242252497133076</v>
      </c>
      <c r="D13" s="253">
        <v>1106373</v>
      </c>
      <c r="E13" s="226">
        <f>D13/'- 3 -'!D13</f>
        <v>0.022609161368621386</v>
      </c>
      <c r="F13" s="253">
        <v>0</v>
      </c>
      <c r="G13" s="226">
        <f>F13/'- 3 -'!D13</f>
        <v>0</v>
      </c>
    </row>
    <row r="14" spans="1:7" ht="13.5" customHeight="1">
      <c r="A14" s="27" t="s">
        <v>398</v>
      </c>
      <c r="B14" s="254">
        <v>118506</v>
      </c>
      <c r="C14" s="227">
        <f>B14/'- 3 -'!D14</f>
        <v>0.002797584274906883</v>
      </c>
      <c r="D14" s="254">
        <v>2978367</v>
      </c>
      <c r="E14" s="227">
        <f>D14/'- 3 -'!D14</f>
        <v>0.07031063983343956</v>
      </c>
      <c r="F14" s="254">
        <v>247263</v>
      </c>
      <c r="G14" s="227">
        <f>F14/'- 3 -'!D14</f>
        <v>0.0058371650428358105</v>
      </c>
    </row>
    <row r="15" spans="1:7" ht="13.5" customHeight="1">
      <c r="A15" s="25" t="s">
        <v>362</v>
      </c>
      <c r="B15" s="253">
        <v>51587</v>
      </c>
      <c r="C15" s="226">
        <f>B15/'- 3 -'!D15</f>
        <v>0.003947482195506235</v>
      </c>
      <c r="D15" s="253">
        <v>781426</v>
      </c>
      <c r="E15" s="226">
        <f>D15/'- 3 -'!D15</f>
        <v>0.059795398493916206</v>
      </c>
      <c r="F15" s="253">
        <v>3010</v>
      </c>
      <c r="G15" s="226">
        <f>F15/'- 3 -'!D15</f>
        <v>0.0002303278230653802</v>
      </c>
    </row>
    <row r="16" spans="1:7" ht="13.5" customHeight="1">
      <c r="A16" s="27" t="s">
        <v>363</v>
      </c>
      <c r="B16" s="254">
        <v>0</v>
      </c>
      <c r="C16" s="227">
        <f>B16/'- 3 -'!D16</f>
        <v>0</v>
      </c>
      <c r="D16" s="254">
        <v>133012</v>
      </c>
      <c r="E16" s="227">
        <f>D16/'- 3 -'!D16</f>
        <v>0.01241545824052332</v>
      </c>
      <c r="F16" s="254">
        <v>510</v>
      </c>
      <c r="G16" s="227">
        <f>F16/'- 3 -'!D16</f>
        <v>4.760385305586634E-05</v>
      </c>
    </row>
    <row r="17" spans="1:7" ht="13.5" customHeight="1">
      <c r="A17" s="25" t="s">
        <v>364</v>
      </c>
      <c r="B17" s="253">
        <v>28864</v>
      </c>
      <c r="C17" s="226">
        <f>B17/'- 3 -'!D17</f>
        <v>0.002338142331984295</v>
      </c>
      <c r="D17" s="253">
        <v>1023760</v>
      </c>
      <c r="E17" s="226">
        <f>D17/'- 3 -'!D17</f>
        <v>0.08293017578271347</v>
      </c>
      <c r="F17" s="253">
        <v>644</v>
      </c>
      <c r="G17" s="226">
        <f>F17/'- 3 -'!D17</f>
        <v>5.2167532628807023E-05</v>
      </c>
    </row>
    <row r="18" spans="1:7" ht="13.5" customHeight="1">
      <c r="A18" s="27" t="s">
        <v>365</v>
      </c>
      <c r="B18" s="254">
        <v>124315</v>
      </c>
      <c r="C18" s="227">
        <f>B18/'- 3 -'!D18</f>
        <v>0.0016916015341450889</v>
      </c>
      <c r="D18" s="254">
        <v>2962074</v>
      </c>
      <c r="E18" s="227">
        <f>D18/'- 3 -'!D18</f>
        <v>0.04030606863734288</v>
      </c>
      <c r="F18" s="254">
        <v>47766</v>
      </c>
      <c r="G18" s="227">
        <f>F18/'- 3 -'!D18</f>
        <v>0.0006499701474478086</v>
      </c>
    </row>
    <row r="19" spans="1:7" ht="13.5" customHeight="1">
      <c r="A19" s="25" t="s">
        <v>366</v>
      </c>
      <c r="B19" s="253">
        <v>40702</v>
      </c>
      <c r="C19" s="226">
        <f>B19/'- 3 -'!D19</f>
        <v>0.0022185027335843224</v>
      </c>
      <c r="D19" s="253">
        <v>594391</v>
      </c>
      <c r="E19" s="226">
        <f>D19/'- 3 -'!D19</f>
        <v>0.03239786885946438</v>
      </c>
      <c r="F19" s="253">
        <v>17930</v>
      </c>
      <c r="G19" s="226">
        <f>F19/'- 3 -'!D19</f>
        <v>0.000977292369248855</v>
      </c>
    </row>
    <row r="20" spans="1:7" ht="13.5" customHeight="1">
      <c r="A20" s="27" t="s">
        <v>367</v>
      </c>
      <c r="B20" s="254">
        <v>110691</v>
      </c>
      <c r="C20" s="227">
        <f>B20/'- 3 -'!D20</f>
        <v>0.0030176203281251477</v>
      </c>
      <c r="D20" s="254">
        <v>1713800</v>
      </c>
      <c r="E20" s="227">
        <f>D20/'- 3 -'!D20</f>
        <v>0.04672103168587219</v>
      </c>
      <c r="F20" s="254">
        <v>2688</v>
      </c>
      <c r="G20" s="227">
        <f>F20/'- 3 -'!D20</f>
        <v>7.327934016316048E-05</v>
      </c>
    </row>
    <row r="21" spans="1:7" ht="13.5" customHeight="1">
      <c r="A21" s="25" t="s">
        <v>368</v>
      </c>
      <c r="B21" s="253">
        <v>129891</v>
      </c>
      <c r="C21" s="226">
        <f>B21/'- 3 -'!D21</f>
        <v>0.0053958156974032905</v>
      </c>
      <c r="D21" s="253">
        <v>1453485</v>
      </c>
      <c r="E21" s="226">
        <f>D21/'- 3 -'!D21</f>
        <v>0.06037937331254838</v>
      </c>
      <c r="F21" s="253">
        <v>6308</v>
      </c>
      <c r="G21" s="226">
        <f>F21/'- 3 -'!D21</f>
        <v>0.00026204129169241867</v>
      </c>
    </row>
    <row r="22" spans="1:7" ht="13.5" customHeight="1">
      <c r="A22" s="27" t="s">
        <v>369</v>
      </c>
      <c r="B22" s="254">
        <v>52790</v>
      </c>
      <c r="C22" s="227">
        <f>B22/'- 3 -'!D22</f>
        <v>0.003915641403794901</v>
      </c>
      <c r="D22" s="254">
        <v>282359</v>
      </c>
      <c r="E22" s="227">
        <f>D22/'- 3 -'!D22</f>
        <v>0.020943674770489192</v>
      </c>
      <c r="F22" s="254">
        <v>3009</v>
      </c>
      <c r="G22" s="227">
        <f>F22/'- 3 -'!D22</f>
        <v>0.00022318933479861447</v>
      </c>
    </row>
    <row r="23" spans="1:7" ht="13.5" customHeight="1">
      <c r="A23" s="25" t="s">
        <v>370</v>
      </c>
      <c r="B23" s="253">
        <v>43539</v>
      </c>
      <c r="C23" s="226">
        <f>B23/'- 3 -'!D23</f>
        <v>0.0038487313082742817</v>
      </c>
      <c r="D23" s="253">
        <v>1130851</v>
      </c>
      <c r="E23" s="226">
        <f>D23/'- 3 -'!D23</f>
        <v>0.09996420792147913</v>
      </c>
      <c r="F23" s="253">
        <v>0</v>
      </c>
      <c r="G23" s="226">
        <f>F23/'- 3 -'!D23</f>
        <v>0</v>
      </c>
    </row>
    <row r="24" spans="1:7" ht="13.5" customHeight="1">
      <c r="A24" s="27" t="s">
        <v>371</v>
      </c>
      <c r="B24" s="254">
        <v>116433</v>
      </c>
      <c r="C24" s="227">
        <f>B24/'- 3 -'!D24</f>
        <v>0.003342845018856333</v>
      </c>
      <c r="D24" s="254">
        <v>1529563</v>
      </c>
      <c r="E24" s="227">
        <f>D24/'- 3 -'!D24</f>
        <v>0.04391445771883357</v>
      </c>
      <c r="F24" s="254">
        <v>4647</v>
      </c>
      <c r="G24" s="227">
        <f>F24/'- 3 -'!D24</f>
        <v>0.00013341750880442295</v>
      </c>
    </row>
    <row r="25" spans="1:7" ht="13.5" customHeight="1">
      <c r="A25" s="25" t="s">
        <v>372</v>
      </c>
      <c r="B25" s="253">
        <v>188835</v>
      </c>
      <c r="C25" s="226">
        <f>B25/'- 3 -'!D25</f>
        <v>0.0017092130931913342</v>
      </c>
      <c r="D25" s="253">
        <v>1080791</v>
      </c>
      <c r="E25" s="226">
        <f>D25/'- 3 -'!D25</f>
        <v>0.009782625721944318</v>
      </c>
      <c r="F25" s="253">
        <v>0</v>
      </c>
      <c r="G25" s="226">
        <f>F25/'- 3 -'!D25</f>
        <v>0</v>
      </c>
    </row>
    <row r="26" spans="1:7" ht="13.5" customHeight="1">
      <c r="A26" s="27" t="s">
        <v>373</v>
      </c>
      <c r="B26" s="254">
        <v>108509</v>
      </c>
      <c r="C26" s="227">
        <f>B26/'- 3 -'!D26</f>
        <v>0.004007655353384574</v>
      </c>
      <c r="D26" s="254">
        <v>1697972</v>
      </c>
      <c r="E26" s="227">
        <f>D26/'- 3 -'!D26</f>
        <v>0.06271264665324638</v>
      </c>
      <c r="F26" s="254">
        <v>0</v>
      </c>
      <c r="G26" s="227">
        <f>F26/'- 3 -'!D26</f>
        <v>0</v>
      </c>
    </row>
    <row r="27" spans="1:7" ht="13.5" customHeight="1">
      <c r="A27" s="25" t="s">
        <v>374</v>
      </c>
      <c r="B27" s="253">
        <v>0</v>
      </c>
      <c r="C27" s="226">
        <f>B27/'- 3 -'!D27</f>
        <v>0</v>
      </c>
      <c r="D27" s="253">
        <v>7101</v>
      </c>
      <c r="E27" s="226">
        <f>D27/'- 3 -'!D27</f>
        <v>0.00026195563759254064</v>
      </c>
      <c r="F27" s="253">
        <v>80952</v>
      </c>
      <c r="G27" s="226">
        <f>F27/'- 3 -'!D27</f>
        <v>0.002986316402533636</v>
      </c>
    </row>
    <row r="28" spans="1:7" ht="13.5" customHeight="1">
      <c r="A28" s="27" t="s">
        <v>375</v>
      </c>
      <c r="B28" s="254">
        <v>36909</v>
      </c>
      <c r="C28" s="227">
        <f>B28/'- 3 -'!D28</f>
        <v>0.0022135853045648626</v>
      </c>
      <c r="D28" s="254">
        <v>1697283.28</v>
      </c>
      <c r="E28" s="227">
        <f>D28/'- 3 -'!D28</f>
        <v>0.10179309453769131</v>
      </c>
      <c r="F28" s="254">
        <v>5972</v>
      </c>
      <c r="G28" s="227">
        <f>F28/'- 3 -'!D28</f>
        <v>0.00035816552707635963</v>
      </c>
    </row>
    <row r="29" spans="1:7" ht="13.5" customHeight="1">
      <c r="A29" s="25" t="s">
        <v>376</v>
      </c>
      <c r="B29" s="253">
        <v>146284</v>
      </c>
      <c r="C29" s="226">
        <f>B29/'- 3 -'!D29</f>
        <v>0.0014361981226886512</v>
      </c>
      <c r="D29" s="253">
        <v>1041901</v>
      </c>
      <c r="E29" s="226">
        <f>D29/'- 3 -'!D29</f>
        <v>0.010229254465474203</v>
      </c>
      <c r="F29" s="253">
        <v>42816</v>
      </c>
      <c r="G29" s="226">
        <f>F29/'- 3 -'!D29</f>
        <v>0.00042036216415354576</v>
      </c>
    </row>
    <row r="30" spans="1:7" ht="13.5" customHeight="1">
      <c r="A30" s="27" t="s">
        <v>377</v>
      </c>
      <c r="B30" s="254">
        <v>34371</v>
      </c>
      <c r="C30" s="227">
        <f>B30/'- 3 -'!D30</f>
        <v>0.0034984555638329458</v>
      </c>
      <c r="D30" s="254">
        <v>854538</v>
      </c>
      <c r="E30" s="227">
        <f>D30/'- 3 -'!D30</f>
        <v>0.08697923309204497</v>
      </c>
      <c r="F30" s="254">
        <v>0</v>
      </c>
      <c r="G30" s="227">
        <f>F30/'- 3 -'!D30</f>
        <v>0</v>
      </c>
    </row>
    <row r="31" spans="1:7" ht="13.5" customHeight="1">
      <c r="A31" s="25" t="s">
        <v>378</v>
      </c>
      <c r="B31" s="253">
        <v>59007</v>
      </c>
      <c r="C31" s="226">
        <f>B31/'- 3 -'!D31</f>
        <v>0.002367289544340793</v>
      </c>
      <c r="D31" s="253">
        <v>685226</v>
      </c>
      <c r="E31" s="226">
        <f>D31/'- 3 -'!D31</f>
        <v>0.027490439190442903</v>
      </c>
      <c r="F31" s="253">
        <v>5264</v>
      </c>
      <c r="G31" s="226">
        <f>F31/'- 3 -'!D31</f>
        <v>0.00021118531973172565</v>
      </c>
    </row>
    <row r="32" spans="1:7" ht="13.5" customHeight="1">
      <c r="A32" s="27" t="s">
        <v>379</v>
      </c>
      <c r="B32" s="254">
        <v>44207</v>
      </c>
      <c r="C32" s="227">
        <f>B32/'- 3 -'!D32</f>
        <v>0.00238656294931608</v>
      </c>
      <c r="D32" s="254">
        <v>1220631</v>
      </c>
      <c r="E32" s="227">
        <f>D32/'- 3 -'!D32</f>
        <v>0.06589709139698771</v>
      </c>
      <c r="F32" s="254">
        <v>0</v>
      </c>
      <c r="G32" s="227">
        <f>F32/'- 3 -'!D32</f>
        <v>0</v>
      </c>
    </row>
    <row r="33" spans="1:7" ht="13.5" customHeight="1">
      <c r="A33" s="25" t="s">
        <v>380</v>
      </c>
      <c r="B33" s="253">
        <v>65652</v>
      </c>
      <c r="C33" s="226">
        <f>B33/'- 3 -'!D33</f>
        <v>0.002987113670249168</v>
      </c>
      <c r="D33" s="253">
        <v>1883677</v>
      </c>
      <c r="E33" s="226">
        <f>D33/'- 3 -'!D33</f>
        <v>0.08570580206290657</v>
      </c>
      <c r="F33" s="253">
        <v>0</v>
      </c>
      <c r="G33" s="226">
        <f>F33/'- 3 -'!D33</f>
        <v>0</v>
      </c>
    </row>
    <row r="34" spans="1:7" ht="13.5" customHeight="1">
      <c r="A34" s="27" t="s">
        <v>381</v>
      </c>
      <c r="B34" s="254">
        <v>46355</v>
      </c>
      <c r="C34" s="227">
        <f>B34/'- 3 -'!D34</f>
        <v>0.0027309057228072074</v>
      </c>
      <c r="D34" s="254">
        <v>1574279</v>
      </c>
      <c r="E34" s="227">
        <f>D34/'- 3 -'!D34</f>
        <v>0.0927452816394177</v>
      </c>
      <c r="F34" s="254">
        <v>1538</v>
      </c>
      <c r="G34" s="227">
        <f>F34/'- 3 -'!D34</f>
        <v>9.060798191516525E-05</v>
      </c>
    </row>
    <row r="35" spans="1:7" ht="13.5" customHeight="1">
      <c r="A35" s="25" t="s">
        <v>382</v>
      </c>
      <c r="B35" s="253">
        <v>250577</v>
      </c>
      <c r="C35" s="226">
        <f>B35/'- 3 -'!D35</f>
        <v>0.0019858991272767887</v>
      </c>
      <c r="D35" s="253">
        <v>1921926</v>
      </c>
      <c r="E35" s="226">
        <f>D35/'- 3 -'!D35</f>
        <v>0.01523184955558798</v>
      </c>
      <c r="F35" s="253">
        <v>36738</v>
      </c>
      <c r="G35" s="226">
        <f>F35/'- 3 -'!D35</f>
        <v>0.00029115985161405346</v>
      </c>
    </row>
    <row r="36" spans="1:7" ht="13.5" customHeight="1">
      <c r="A36" s="27" t="s">
        <v>383</v>
      </c>
      <c r="B36" s="254">
        <v>39562</v>
      </c>
      <c r="C36" s="227">
        <f>B36/'- 3 -'!D36</f>
        <v>0.0023700276864666997</v>
      </c>
      <c r="D36" s="254">
        <v>1103843</v>
      </c>
      <c r="E36" s="227">
        <f>D36/'- 3 -'!D36</f>
        <v>0.06612755855397759</v>
      </c>
      <c r="F36" s="254">
        <v>5250</v>
      </c>
      <c r="G36" s="227">
        <f>F36/'- 3 -'!D36</f>
        <v>0.00031451001855189764</v>
      </c>
    </row>
    <row r="37" spans="1:7" ht="13.5" customHeight="1">
      <c r="A37" s="25" t="s">
        <v>384</v>
      </c>
      <c r="B37" s="253">
        <v>101082</v>
      </c>
      <c r="C37" s="226">
        <f>B37/'- 3 -'!D37</f>
        <v>0.004007330613753099</v>
      </c>
      <c r="D37" s="253">
        <v>1474082</v>
      </c>
      <c r="E37" s="226">
        <f>D37/'- 3 -'!D37</f>
        <v>0.05843902896442883</v>
      </c>
      <c r="F37" s="253">
        <v>7145</v>
      </c>
      <c r="G37" s="226">
        <f>F37/'- 3 -'!D37</f>
        <v>0.0002832589109363278</v>
      </c>
    </row>
    <row r="38" spans="1:7" ht="13.5" customHeight="1">
      <c r="A38" s="27" t="s">
        <v>385</v>
      </c>
      <c r="B38" s="254">
        <v>190184</v>
      </c>
      <c r="C38" s="227">
        <f>B38/'- 3 -'!D38</f>
        <v>0.0029139720033575893</v>
      </c>
      <c r="D38" s="254">
        <v>1602737</v>
      </c>
      <c r="E38" s="227">
        <f>D38/'- 3 -'!D38</f>
        <v>0.02455690671531429</v>
      </c>
      <c r="F38" s="254">
        <v>0</v>
      </c>
      <c r="G38" s="227">
        <f>F38/'- 3 -'!D38</f>
        <v>0</v>
      </c>
    </row>
    <row r="39" spans="1:7" ht="13.5" customHeight="1">
      <c r="A39" s="25" t="s">
        <v>386</v>
      </c>
      <c r="B39" s="253">
        <v>44639</v>
      </c>
      <c r="C39" s="226">
        <f>B39/'- 3 -'!D39</f>
        <v>0.002911662081000549</v>
      </c>
      <c r="D39" s="253">
        <v>1333802</v>
      </c>
      <c r="E39" s="226">
        <f>D39/'- 3 -'!D39</f>
        <v>0.08699972461217084</v>
      </c>
      <c r="F39" s="253">
        <v>988</v>
      </c>
      <c r="G39" s="226">
        <f>F39/'- 3 -'!D39</f>
        <v>6.444414382106548E-05</v>
      </c>
    </row>
    <row r="40" spans="1:7" ht="13.5" customHeight="1">
      <c r="A40" s="27" t="s">
        <v>387</v>
      </c>
      <c r="B40" s="254">
        <v>77030</v>
      </c>
      <c r="C40" s="227">
        <f>B40/'- 3 -'!D40</f>
        <v>0.0011723733896632483</v>
      </c>
      <c r="D40" s="254">
        <v>929931</v>
      </c>
      <c r="E40" s="227">
        <f>D40/'- 3 -'!D40</f>
        <v>0.014153269617330055</v>
      </c>
      <c r="F40" s="254">
        <v>11133</v>
      </c>
      <c r="G40" s="227">
        <f>F40/'- 3 -'!D40</f>
        <v>0.00016944090545399122</v>
      </c>
    </row>
    <row r="41" spans="1:7" ht="13.5" customHeight="1">
      <c r="A41" s="25" t="s">
        <v>388</v>
      </c>
      <c r="B41" s="253">
        <v>260333</v>
      </c>
      <c r="C41" s="226">
        <f>B41/'- 3 -'!D41</f>
        <v>0.006659035964416454</v>
      </c>
      <c r="D41" s="253">
        <v>2946372</v>
      </c>
      <c r="E41" s="226">
        <f>D41/'- 3 -'!D41</f>
        <v>0.07536500218009103</v>
      </c>
      <c r="F41" s="253">
        <v>5767</v>
      </c>
      <c r="G41" s="226">
        <f>F41/'- 3 -'!D41</f>
        <v>0.0001475136091344151</v>
      </c>
    </row>
    <row r="42" spans="1:7" ht="13.5" customHeight="1">
      <c r="A42" s="27" t="s">
        <v>389</v>
      </c>
      <c r="B42" s="254">
        <v>56205</v>
      </c>
      <c r="C42" s="227">
        <f>B42/'- 3 -'!D42</f>
        <v>0.0037188488103521425</v>
      </c>
      <c r="D42" s="254">
        <v>1105475</v>
      </c>
      <c r="E42" s="227">
        <f>D42/'- 3 -'!D42</f>
        <v>0.07314463817496726</v>
      </c>
      <c r="F42" s="254">
        <v>0</v>
      </c>
      <c r="G42" s="227">
        <f>F42/'- 3 -'!D42</f>
        <v>0</v>
      </c>
    </row>
    <row r="43" spans="1:7" ht="13.5" customHeight="1">
      <c r="A43" s="25" t="s">
        <v>390</v>
      </c>
      <c r="B43" s="253">
        <v>11070</v>
      </c>
      <c r="C43" s="226">
        <f>B43/'- 3 -'!D43</f>
        <v>0.0011986523120021586</v>
      </c>
      <c r="D43" s="253">
        <v>676867</v>
      </c>
      <c r="E43" s="226">
        <f>D43/'- 3 -'!D43</f>
        <v>0.0732907131407376</v>
      </c>
      <c r="F43" s="253">
        <v>0</v>
      </c>
      <c r="G43" s="226">
        <f>F43/'- 3 -'!D43</f>
        <v>0</v>
      </c>
    </row>
    <row r="44" spans="1:7" ht="13.5" customHeight="1">
      <c r="A44" s="27" t="s">
        <v>391</v>
      </c>
      <c r="B44" s="254">
        <v>21043</v>
      </c>
      <c r="C44" s="227">
        <f>B44/'- 3 -'!D44</f>
        <v>0.0030518415687710012</v>
      </c>
      <c r="D44" s="254">
        <v>651226</v>
      </c>
      <c r="E44" s="227">
        <f>D44/'- 3 -'!D44</f>
        <v>0.09444654172240004</v>
      </c>
      <c r="F44" s="254">
        <v>1768</v>
      </c>
      <c r="G44" s="227">
        <f>F44/'- 3 -'!D44</f>
        <v>0.0002564109629609433</v>
      </c>
    </row>
    <row r="45" spans="1:7" ht="13.5" customHeight="1">
      <c r="A45" s="25" t="s">
        <v>392</v>
      </c>
      <c r="B45" s="253">
        <v>18612</v>
      </c>
      <c r="C45" s="226">
        <f>B45/'- 3 -'!D45</f>
        <v>0.0017804954302195744</v>
      </c>
      <c r="D45" s="253">
        <v>358137</v>
      </c>
      <c r="E45" s="226">
        <f>D45/'- 3 -'!D45</f>
        <v>0.03426076143845625</v>
      </c>
      <c r="F45" s="253">
        <v>5386</v>
      </c>
      <c r="G45" s="226">
        <f>F45/'- 3 -'!D45</f>
        <v>0.0005152454538557182</v>
      </c>
    </row>
    <row r="46" spans="1:7" ht="13.5" customHeight="1">
      <c r="A46" s="27" t="s">
        <v>393</v>
      </c>
      <c r="B46" s="254">
        <v>188284</v>
      </c>
      <c r="C46" s="227">
        <f>B46/'- 3 -'!D46</f>
        <v>0.0007238973098816554</v>
      </c>
      <c r="D46" s="254">
        <v>2818198</v>
      </c>
      <c r="E46" s="227">
        <f>D46/'- 3 -'!D46</f>
        <v>0.010835153018386381</v>
      </c>
      <c r="F46" s="254">
        <v>0</v>
      </c>
      <c r="G46" s="227">
        <f>F46/'- 3 -'!D46</f>
        <v>0</v>
      </c>
    </row>
    <row r="47" spans="1:7" ht="13.5" customHeight="1">
      <c r="A47" s="25" t="s">
        <v>397</v>
      </c>
      <c r="B47" s="253">
        <v>0</v>
      </c>
      <c r="C47" s="226">
        <f>B47/'- 3 -'!D47</f>
        <v>0</v>
      </c>
      <c r="D47" s="253">
        <v>0</v>
      </c>
      <c r="E47" s="226">
        <f>D47/'- 3 -'!D47</f>
        <v>0</v>
      </c>
      <c r="F47" s="253">
        <v>0</v>
      </c>
      <c r="G47" s="226">
        <f>F47/'- 3 -'!D47</f>
        <v>0</v>
      </c>
    </row>
    <row r="48" spans="1:7" ht="4.5" customHeight="1">
      <c r="A48" s="29"/>
      <c r="B48" s="255"/>
      <c r="C48" s="215"/>
      <c r="D48" s="255"/>
      <c r="E48" s="215"/>
      <c r="F48" s="255"/>
      <c r="G48" s="215"/>
    </row>
    <row r="49" spans="1:7" ht="13.5" customHeight="1">
      <c r="A49" s="31" t="s">
        <v>394</v>
      </c>
      <c r="B49" s="256">
        <f>SUM(B11:B47)</f>
        <v>3016575</v>
      </c>
      <c r="C49" s="228">
        <f>B49/'- 3 -'!D49</f>
        <v>0.002144301598677492</v>
      </c>
      <c r="D49" s="256">
        <f>SUM(D11:D47)</f>
        <v>46350416.28</v>
      </c>
      <c r="E49" s="228">
        <f>D49/'- 3 -'!D49</f>
        <v>0.03294772108386871</v>
      </c>
      <c r="F49" s="256">
        <f>SUM(F11:F47)</f>
        <v>547563</v>
      </c>
      <c r="G49" s="228">
        <f>F49/'- 3 -'!D49</f>
        <v>0.0003892295786700624</v>
      </c>
    </row>
    <row r="50" spans="1:7" ht="4.5" customHeight="1">
      <c r="A50" s="29" t="s">
        <v>78</v>
      </c>
      <c r="B50" s="255"/>
      <c r="C50" s="215"/>
      <c r="D50" s="255"/>
      <c r="E50" s="215"/>
      <c r="F50" s="255"/>
      <c r="G50" s="215"/>
    </row>
    <row r="51" spans="1:7" ht="13.5" customHeight="1">
      <c r="A51" s="27" t="s">
        <v>395</v>
      </c>
      <c r="B51" s="254">
        <v>1251</v>
      </c>
      <c r="C51" s="227">
        <f>B51/'- 3 -'!D51</f>
        <v>0.000995076321001599</v>
      </c>
      <c r="D51" s="254">
        <v>49750</v>
      </c>
      <c r="E51" s="227">
        <f>D51/'- 3 -'!D51</f>
        <v>0.03957237967212593</v>
      </c>
      <c r="F51" s="254">
        <v>0</v>
      </c>
      <c r="G51" s="227">
        <f>F51/'- 3 -'!D51</f>
        <v>0</v>
      </c>
    </row>
    <row r="52" spans="1:7" ht="13.5" customHeight="1">
      <c r="A52" s="25" t="s">
        <v>396</v>
      </c>
      <c r="B52" s="253">
        <v>0</v>
      </c>
      <c r="C52" s="226">
        <f>B52/'- 3 -'!D52</f>
        <v>0</v>
      </c>
      <c r="D52" s="253">
        <v>10635</v>
      </c>
      <c r="E52" s="226">
        <f>D52/'- 3 -'!D52</f>
        <v>0.00439344259586153</v>
      </c>
      <c r="F52" s="253">
        <v>0</v>
      </c>
      <c r="G52" s="226">
        <f>F52/'- 3 -'!D52</f>
        <v>0</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G52"/>
  <sheetViews>
    <sheetView showGridLines="0" showZeros="0" workbookViewId="0" topLeftCell="A1">
      <selection activeCell="A1" sqref="A1"/>
    </sheetView>
  </sheetViews>
  <sheetFormatPr defaultColWidth="15.83203125" defaultRowHeight="12"/>
  <cols>
    <col min="1" max="1" width="33.83203125" style="1" customWidth="1"/>
    <col min="2" max="2" width="19.83203125" style="1" customWidth="1"/>
    <col min="3" max="3" width="15.83203125" style="1" customWidth="1"/>
    <col min="4" max="4" width="19.83203125" style="1" customWidth="1"/>
    <col min="5" max="5" width="15.83203125" style="1" customWidth="1"/>
    <col min="6" max="6" width="11.83203125" style="1" customWidth="1"/>
    <col min="7" max="16384" width="15.83203125" style="1" customWidth="1"/>
  </cols>
  <sheetData>
    <row r="1" spans="1:7" ht="6.75" customHeight="1">
      <c r="A1" s="5"/>
      <c r="B1" s="6"/>
      <c r="C1" s="6"/>
      <c r="D1" s="6"/>
      <c r="E1" s="6"/>
      <c r="F1" s="6"/>
      <c r="G1" s="6"/>
    </row>
    <row r="2" spans="1:7" ht="15.75" customHeight="1">
      <c r="A2" s="219"/>
      <c r="B2" s="7" t="s">
        <v>75</v>
      </c>
      <c r="C2" s="8"/>
      <c r="D2" s="8"/>
      <c r="E2" s="8"/>
      <c r="F2" s="105"/>
      <c r="G2" s="220" t="s">
        <v>334</v>
      </c>
    </row>
    <row r="3" spans="1:7" ht="15.75" customHeight="1">
      <c r="A3" s="221"/>
      <c r="B3" s="9" t="str">
        <f>OPYEAR</f>
        <v>OPERATING FUND 2003/2004 ACTUAL</v>
      </c>
      <c r="C3" s="10"/>
      <c r="D3" s="10"/>
      <c r="E3" s="10"/>
      <c r="F3" s="107"/>
      <c r="G3" s="94"/>
    </row>
    <row r="4" spans="2:7" ht="15.75" customHeight="1">
      <c r="B4" s="6"/>
      <c r="C4" s="6"/>
      <c r="D4" s="6"/>
      <c r="E4" s="6"/>
      <c r="F4" s="6"/>
      <c r="G4" s="6"/>
    </row>
    <row r="5" spans="2:7" ht="15.75" customHeight="1">
      <c r="B5" s="6"/>
      <c r="C5" s="6"/>
      <c r="D5" s="6"/>
      <c r="E5" s="6"/>
      <c r="F5" s="6"/>
      <c r="G5" s="6"/>
    </row>
    <row r="6" spans="2:7" ht="15.75" customHeight="1">
      <c r="B6" s="278" t="s">
        <v>551</v>
      </c>
      <c r="C6" s="287"/>
      <c r="D6" s="288"/>
      <c r="E6" s="289"/>
      <c r="F6" s="6"/>
      <c r="G6" s="58"/>
    </row>
    <row r="7" spans="2:7" ht="15.75" customHeight="1">
      <c r="B7" s="209" t="s">
        <v>134</v>
      </c>
      <c r="C7" s="210"/>
      <c r="D7" s="209" t="s">
        <v>401</v>
      </c>
      <c r="E7" s="210"/>
      <c r="F7" s="99"/>
      <c r="G7" s="6"/>
    </row>
    <row r="8" spans="1:7" ht="15.75" customHeight="1">
      <c r="A8" s="96"/>
      <c r="B8" s="71" t="s">
        <v>155</v>
      </c>
      <c r="C8" s="70"/>
      <c r="D8" s="108" t="s">
        <v>343</v>
      </c>
      <c r="E8" s="70"/>
      <c r="F8" s="6"/>
      <c r="G8" s="6"/>
    </row>
    <row r="9" spans="1:5" ht="15.75" customHeight="1">
      <c r="A9" s="49" t="s">
        <v>175</v>
      </c>
      <c r="B9" s="282" t="s">
        <v>176</v>
      </c>
      <c r="C9" s="282" t="s">
        <v>177</v>
      </c>
      <c r="D9" s="282" t="s">
        <v>176</v>
      </c>
      <c r="E9" s="282" t="s">
        <v>177</v>
      </c>
    </row>
    <row r="10" ht="4.5" customHeight="1">
      <c r="A10" s="4"/>
    </row>
    <row r="11" spans="1:5" ht="13.5" customHeight="1">
      <c r="A11" s="25" t="s">
        <v>359</v>
      </c>
      <c r="B11" s="253">
        <v>0</v>
      </c>
      <c r="C11" s="226">
        <f>B11/'- 3 -'!D11</f>
        <v>0</v>
      </c>
      <c r="D11" s="253">
        <v>89969</v>
      </c>
      <c r="E11" s="226">
        <f>D11/'- 3 -'!D11</f>
        <v>0.00788270765124418</v>
      </c>
    </row>
    <row r="12" spans="1:5" ht="13.5" customHeight="1">
      <c r="A12" s="27" t="s">
        <v>360</v>
      </c>
      <c r="B12" s="254">
        <v>0</v>
      </c>
      <c r="C12" s="227">
        <f>B12/'- 3 -'!D12</f>
        <v>0</v>
      </c>
      <c r="D12" s="254">
        <v>54259</v>
      </c>
      <c r="E12" s="227">
        <f>D12/'- 3 -'!D12</f>
        <v>0.0028298428860631893</v>
      </c>
    </row>
    <row r="13" spans="1:5" ht="13.5" customHeight="1">
      <c r="A13" s="25" t="s">
        <v>361</v>
      </c>
      <c r="B13" s="253">
        <v>0</v>
      </c>
      <c r="C13" s="226">
        <f>B13/'- 3 -'!D13</f>
        <v>0</v>
      </c>
      <c r="D13" s="253">
        <v>34462</v>
      </c>
      <c r="E13" s="226">
        <f>D13/'- 3 -'!D13</f>
        <v>0.0007042443363001721</v>
      </c>
    </row>
    <row r="14" spans="1:5" ht="13.5" customHeight="1">
      <c r="A14" s="27" t="s">
        <v>398</v>
      </c>
      <c r="B14" s="254">
        <v>14400</v>
      </c>
      <c r="C14" s="227">
        <f>B14/'- 3 -'!D14</f>
        <v>0.00033994239581674443</v>
      </c>
      <c r="D14" s="254">
        <v>145375</v>
      </c>
      <c r="E14" s="227">
        <f>D14/'- 3 -'!D14</f>
        <v>0.003431883735545779</v>
      </c>
    </row>
    <row r="15" spans="1:5" ht="13.5" customHeight="1">
      <c r="A15" s="25" t="s">
        <v>362</v>
      </c>
      <c r="B15" s="253">
        <v>0</v>
      </c>
      <c r="C15" s="226">
        <f>B15/'- 3 -'!D15</f>
        <v>0</v>
      </c>
      <c r="D15" s="253">
        <v>38781</v>
      </c>
      <c r="E15" s="226">
        <f>D15/'- 3 -'!D15</f>
        <v>0.0029675559157137906</v>
      </c>
    </row>
    <row r="16" spans="1:5" ht="13.5" customHeight="1">
      <c r="A16" s="27" t="s">
        <v>363</v>
      </c>
      <c r="B16" s="254">
        <v>0</v>
      </c>
      <c r="C16" s="227">
        <f>B16/'- 3 -'!D16</f>
        <v>0</v>
      </c>
      <c r="D16" s="254">
        <v>56963</v>
      </c>
      <c r="E16" s="227">
        <f>D16/'- 3 -'!D16</f>
        <v>0.005316977022786891</v>
      </c>
    </row>
    <row r="17" spans="1:5" ht="13.5" customHeight="1">
      <c r="A17" s="25" t="s">
        <v>364</v>
      </c>
      <c r="B17" s="253">
        <v>0</v>
      </c>
      <c r="C17" s="226">
        <f>B17/'- 3 -'!D17</f>
        <v>0</v>
      </c>
      <c r="D17" s="253">
        <v>24700</v>
      </c>
      <c r="E17" s="226">
        <f>D17/'- 3 -'!D17</f>
        <v>0.0020008354905769153</v>
      </c>
    </row>
    <row r="18" spans="1:5" ht="13.5" customHeight="1">
      <c r="A18" s="27" t="s">
        <v>365</v>
      </c>
      <c r="B18" s="254">
        <v>1724243</v>
      </c>
      <c r="C18" s="227">
        <f>B18/'- 3 -'!D18</f>
        <v>0.02346243095393903</v>
      </c>
      <c r="D18" s="254">
        <v>436086</v>
      </c>
      <c r="E18" s="227">
        <f>D18/'- 3 -'!D18</f>
        <v>0.0059339882284454425</v>
      </c>
    </row>
    <row r="19" spans="1:5" ht="13.5" customHeight="1">
      <c r="A19" s="25" t="s">
        <v>366</v>
      </c>
      <c r="B19" s="253">
        <v>0</v>
      </c>
      <c r="C19" s="226">
        <f>B19/'- 3 -'!D19</f>
        <v>0</v>
      </c>
      <c r="D19" s="253">
        <v>51949</v>
      </c>
      <c r="E19" s="226">
        <f>D19/'- 3 -'!D19</f>
        <v>0.002831531583385877</v>
      </c>
    </row>
    <row r="20" spans="1:5" ht="13.5" customHeight="1">
      <c r="A20" s="27" t="s">
        <v>367</v>
      </c>
      <c r="B20" s="254">
        <v>0</v>
      </c>
      <c r="C20" s="227">
        <f>B20/'- 3 -'!D20</f>
        <v>0</v>
      </c>
      <c r="D20" s="254">
        <v>72459</v>
      </c>
      <c r="E20" s="227">
        <f>D20/'- 3 -'!D20</f>
        <v>0.0019753525702687668</v>
      </c>
    </row>
    <row r="21" spans="1:5" ht="13.5" customHeight="1">
      <c r="A21" s="25" t="s">
        <v>368</v>
      </c>
      <c r="B21" s="253">
        <v>0</v>
      </c>
      <c r="C21" s="226">
        <f>B21/'- 3 -'!D21</f>
        <v>0</v>
      </c>
      <c r="D21" s="253">
        <v>68301</v>
      </c>
      <c r="E21" s="226">
        <f>D21/'- 3 -'!D21</f>
        <v>0.0028372990272485556</v>
      </c>
    </row>
    <row r="22" spans="1:5" ht="13.5" customHeight="1">
      <c r="A22" s="27" t="s">
        <v>369</v>
      </c>
      <c r="B22" s="254">
        <v>0</v>
      </c>
      <c r="C22" s="227">
        <f>B22/'- 3 -'!D22</f>
        <v>0</v>
      </c>
      <c r="D22" s="254">
        <v>29347</v>
      </c>
      <c r="E22" s="227">
        <f>D22/'- 3 -'!D22</f>
        <v>0.002176782123075752</v>
      </c>
    </row>
    <row r="23" spans="1:5" ht="13.5" customHeight="1">
      <c r="A23" s="25" t="s">
        <v>370</v>
      </c>
      <c r="B23" s="253">
        <v>0</v>
      </c>
      <c r="C23" s="226">
        <f>B23/'- 3 -'!D23</f>
        <v>0</v>
      </c>
      <c r="D23" s="253">
        <v>0</v>
      </c>
      <c r="E23" s="226">
        <f>D23/'- 3 -'!D23</f>
        <v>0</v>
      </c>
    </row>
    <row r="24" spans="1:5" ht="13.5" customHeight="1">
      <c r="A24" s="27" t="s">
        <v>371</v>
      </c>
      <c r="B24" s="254">
        <v>0</v>
      </c>
      <c r="C24" s="227">
        <f>B24/'- 3 -'!D24</f>
        <v>0</v>
      </c>
      <c r="D24" s="254">
        <v>78536</v>
      </c>
      <c r="E24" s="227">
        <f>D24/'- 3 -'!D24</f>
        <v>0.0022548047065771813</v>
      </c>
    </row>
    <row r="25" spans="1:5" ht="13.5" customHeight="1">
      <c r="A25" s="25" t="s">
        <v>372</v>
      </c>
      <c r="B25" s="253">
        <v>0</v>
      </c>
      <c r="C25" s="226">
        <f>B25/'- 3 -'!D25</f>
        <v>0</v>
      </c>
      <c r="D25" s="253">
        <v>285402</v>
      </c>
      <c r="E25" s="226">
        <f>D25/'- 3 -'!D25</f>
        <v>0.0025832755327295956</v>
      </c>
    </row>
    <row r="26" spans="1:5" ht="13.5" customHeight="1">
      <c r="A26" s="27" t="s">
        <v>373</v>
      </c>
      <c r="B26" s="254">
        <v>0</v>
      </c>
      <c r="C26" s="227">
        <f>B26/'- 3 -'!D26</f>
        <v>0</v>
      </c>
      <c r="D26" s="254">
        <v>108744</v>
      </c>
      <c r="E26" s="227">
        <f>D26/'- 3 -'!D26</f>
        <v>0.00401633480861912</v>
      </c>
    </row>
    <row r="27" spans="1:5" ht="13.5" customHeight="1">
      <c r="A27" s="25" t="s">
        <v>374</v>
      </c>
      <c r="B27" s="253">
        <v>0</v>
      </c>
      <c r="C27" s="226">
        <f>B27/'- 3 -'!D27</f>
        <v>0</v>
      </c>
      <c r="D27" s="253">
        <v>34923</v>
      </c>
      <c r="E27" s="226">
        <f>D27/'- 3 -'!D27</f>
        <v>0.001288308228650091</v>
      </c>
    </row>
    <row r="28" spans="1:5" ht="13.5" customHeight="1">
      <c r="A28" s="27" t="s">
        <v>375</v>
      </c>
      <c r="B28" s="254">
        <v>4610</v>
      </c>
      <c r="C28" s="227">
        <f>B28/'- 3 -'!D28</f>
        <v>0.000276480756835569</v>
      </c>
      <c r="D28" s="254">
        <v>47298</v>
      </c>
      <c r="E28" s="227">
        <f>D28/'- 3 -'!D28</f>
        <v>0.0028366565806526556</v>
      </c>
    </row>
    <row r="29" spans="1:5" ht="13.5" customHeight="1">
      <c r="A29" s="25" t="s">
        <v>376</v>
      </c>
      <c r="B29" s="253">
        <v>0</v>
      </c>
      <c r="C29" s="226">
        <f>B29/'- 3 -'!D29</f>
        <v>0</v>
      </c>
      <c r="D29" s="253">
        <v>188788</v>
      </c>
      <c r="E29" s="226">
        <f>D29/'- 3 -'!D29</f>
        <v>0.0018534971096370422</v>
      </c>
    </row>
    <row r="30" spans="1:5" ht="13.5" customHeight="1">
      <c r="A30" s="27" t="s">
        <v>377</v>
      </c>
      <c r="B30" s="254">
        <v>0</v>
      </c>
      <c r="C30" s="227">
        <f>B30/'- 3 -'!D30</f>
        <v>0</v>
      </c>
      <c r="D30" s="254">
        <v>32890</v>
      </c>
      <c r="E30" s="227">
        <f>D30/'- 3 -'!D30</f>
        <v>0.003347711835398027</v>
      </c>
    </row>
    <row r="31" spans="1:5" ht="13.5" customHeight="1">
      <c r="A31" s="25" t="s">
        <v>378</v>
      </c>
      <c r="B31" s="253">
        <v>0</v>
      </c>
      <c r="C31" s="226">
        <f>B31/'- 3 -'!D31</f>
        <v>0</v>
      </c>
      <c r="D31" s="253">
        <v>0</v>
      </c>
      <c r="E31" s="226">
        <f>D31/'- 3 -'!D31</f>
        <v>0</v>
      </c>
    </row>
    <row r="32" spans="1:5" ht="13.5" customHeight="1">
      <c r="A32" s="27" t="s">
        <v>379</v>
      </c>
      <c r="B32" s="254">
        <v>0</v>
      </c>
      <c r="C32" s="227">
        <f>B32/'- 3 -'!D32</f>
        <v>0</v>
      </c>
      <c r="D32" s="254">
        <v>52623</v>
      </c>
      <c r="E32" s="227">
        <f>D32/'- 3 -'!D32</f>
        <v>0.002840909857756918</v>
      </c>
    </row>
    <row r="33" spans="1:5" ht="13.5" customHeight="1">
      <c r="A33" s="25" t="s">
        <v>380</v>
      </c>
      <c r="B33" s="253">
        <v>0</v>
      </c>
      <c r="C33" s="226">
        <f>B33/'- 3 -'!D33</f>
        <v>0</v>
      </c>
      <c r="D33" s="253">
        <v>41686</v>
      </c>
      <c r="E33" s="226">
        <f>D33/'- 3 -'!D33</f>
        <v>0.0018966797730153963</v>
      </c>
    </row>
    <row r="34" spans="1:5" ht="13.5" customHeight="1">
      <c r="A34" s="27" t="s">
        <v>381</v>
      </c>
      <c r="B34" s="254">
        <v>0</v>
      </c>
      <c r="C34" s="227">
        <f>B34/'- 3 -'!D34</f>
        <v>0</v>
      </c>
      <c r="D34" s="254">
        <v>50366</v>
      </c>
      <c r="E34" s="227">
        <f>D34/'- 3 -'!D34</f>
        <v>0.0029672052127042996</v>
      </c>
    </row>
    <row r="35" spans="1:5" ht="13.5" customHeight="1">
      <c r="A35" s="25" t="s">
        <v>382</v>
      </c>
      <c r="B35" s="253">
        <v>0</v>
      </c>
      <c r="C35" s="226">
        <f>B35/'- 3 -'!D35</f>
        <v>0</v>
      </c>
      <c r="D35" s="253">
        <v>134862</v>
      </c>
      <c r="E35" s="226">
        <f>D35/'- 3 -'!D35</f>
        <v>0.0010688224701501027</v>
      </c>
    </row>
    <row r="36" spans="1:5" ht="13.5" customHeight="1">
      <c r="A36" s="27" t="s">
        <v>383</v>
      </c>
      <c r="B36" s="254">
        <v>0</v>
      </c>
      <c r="C36" s="227">
        <f>B36/'- 3 -'!D36</f>
        <v>0</v>
      </c>
      <c r="D36" s="254">
        <v>49293</v>
      </c>
      <c r="E36" s="227">
        <f>D36/'- 3 -'!D36</f>
        <v>0.002952979494186417</v>
      </c>
    </row>
    <row r="37" spans="1:5" ht="13.5" customHeight="1">
      <c r="A37" s="25" t="s">
        <v>384</v>
      </c>
      <c r="B37" s="253">
        <v>0</v>
      </c>
      <c r="C37" s="226">
        <f>B37/'- 3 -'!D37</f>
        <v>0</v>
      </c>
      <c r="D37" s="253">
        <v>49346</v>
      </c>
      <c r="E37" s="226">
        <f>D37/'- 3 -'!D37</f>
        <v>0.0019562903035778914</v>
      </c>
    </row>
    <row r="38" spans="1:5" ht="13.5" customHeight="1">
      <c r="A38" s="27" t="s">
        <v>385</v>
      </c>
      <c r="B38" s="254">
        <v>0</v>
      </c>
      <c r="C38" s="227">
        <f>B38/'- 3 -'!D38</f>
        <v>0</v>
      </c>
      <c r="D38" s="254">
        <v>140031</v>
      </c>
      <c r="E38" s="227">
        <f>D38/'- 3 -'!D38</f>
        <v>0.0021455349219816947</v>
      </c>
    </row>
    <row r="39" spans="1:5" ht="13.5" customHeight="1">
      <c r="A39" s="25" t="s">
        <v>386</v>
      </c>
      <c r="B39" s="253">
        <v>0</v>
      </c>
      <c r="C39" s="226">
        <f>B39/'- 3 -'!D39</f>
        <v>0</v>
      </c>
      <c r="D39" s="253">
        <v>45677</v>
      </c>
      <c r="E39" s="226">
        <f>D39/'- 3 -'!D39</f>
        <v>0.002979367568132397</v>
      </c>
    </row>
    <row r="40" spans="1:5" ht="13.5" customHeight="1">
      <c r="A40" s="27" t="s">
        <v>387</v>
      </c>
      <c r="B40" s="254">
        <v>0</v>
      </c>
      <c r="C40" s="227">
        <f>B40/'- 3 -'!D40</f>
        <v>0</v>
      </c>
      <c r="D40" s="254">
        <v>0</v>
      </c>
      <c r="E40" s="227">
        <f>D40/'- 3 -'!D40</f>
        <v>0</v>
      </c>
    </row>
    <row r="41" spans="1:5" ht="13.5" customHeight="1">
      <c r="A41" s="25" t="s">
        <v>388</v>
      </c>
      <c r="B41" s="253">
        <v>0</v>
      </c>
      <c r="C41" s="226">
        <f>B41/'- 3 -'!D41</f>
        <v>0</v>
      </c>
      <c r="D41" s="253">
        <v>-50386</v>
      </c>
      <c r="E41" s="226">
        <f>D41/'- 3 -'!D41</f>
        <v>-0.0012888192664897936</v>
      </c>
    </row>
    <row r="42" spans="1:5" ht="13.5" customHeight="1">
      <c r="A42" s="27" t="s">
        <v>389</v>
      </c>
      <c r="B42" s="254">
        <v>0</v>
      </c>
      <c r="C42" s="227">
        <f>B42/'- 3 -'!D42</f>
        <v>0</v>
      </c>
      <c r="D42" s="254">
        <v>0</v>
      </c>
      <c r="E42" s="227">
        <f>D42/'- 3 -'!D42</f>
        <v>0</v>
      </c>
    </row>
    <row r="43" spans="1:5" ht="13.5" customHeight="1">
      <c r="A43" s="25" t="s">
        <v>390</v>
      </c>
      <c r="B43" s="253">
        <v>0</v>
      </c>
      <c r="C43" s="226">
        <f>B43/'- 3 -'!D43</f>
        <v>0</v>
      </c>
      <c r="D43" s="253">
        <v>9037</v>
      </c>
      <c r="E43" s="226">
        <f>D43/'- 3 -'!D43</f>
        <v>0.0009785204104393412</v>
      </c>
    </row>
    <row r="44" spans="1:5" ht="13.5" customHeight="1">
      <c r="A44" s="27" t="s">
        <v>391</v>
      </c>
      <c r="B44" s="254">
        <v>0</v>
      </c>
      <c r="C44" s="227">
        <f>B44/'- 3 -'!D44</f>
        <v>0</v>
      </c>
      <c r="D44" s="254">
        <v>30369</v>
      </c>
      <c r="E44" s="227">
        <f>D44/'- 3 -'!D44</f>
        <v>0.004404380392624936</v>
      </c>
    </row>
    <row r="45" spans="1:5" ht="13.5" customHeight="1">
      <c r="A45" s="25" t="s">
        <v>392</v>
      </c>
      <c r="B45" s="253">
        <v>0</v>
      </c>
      <c r="C45" s="226">
        <f>B45/'- 3 -'!D45</f>
        <v>0</v>
      </c>
      <c r="D45" s="253">
        <v>42045</v>
      </c>
      <c r="E45" s="226">
        <f>D45/'- 3 -'!D45</f>
        <v>0.004022186243476359</v>
      </c>
    </row>
    <row r="46" spans="1:5" ht="13.5" customHeight="1">
      <c r="A46" s="27" t="s">
        <v>393</v>
      </c>
      <c r="B46" s="254">
        <v>0</v>
      </c>
      <c r="C46" s="227">
        <f>B46/'- 3 -'!D46</f>
        <v>0</v>
      </c>
      <c r="D46" s="254">
        <v>270563</v>
      </c>
      <c r="E46" s="227">
        <f>D46/'- 3 -'!D46</f>
        <v>0.0010402361743616576</v>
      </c>
    </row>
    <row r="47" spans="1:5" ht="13.5" customHeight="1">
      <c r="A47" s="25" t="s">
        <v>397</v>
      </c>
      <c r="B47" s="253">
        <v>0</v>
      </c>
      <c r="C47" s="226">
        <f>B47/'- 3 -'!D47</f>
        <v>0</v>
      </c>
      <c r="D47" s="253">
        <v>0</v>
      </c>
      <c r="E47" s="226">
        <f>D47/'- 3 -'!D47</f>
        <v>0</v>
      </c>
    </row>
    <row r="48" spans="1:5" ht="4.5" customHeight="1">
      <c r="A48" s="29"/>
      <c r="B48" s="255"/>
      <c r="C48" s="215"/>
      <c r="D48" s="255"/>
      <c r="E48" s="215"/>
    </row>
    <row r="49" spans="1:6" ht="13.5" customHeight="1">
      <c r="A49" s="31" t="s">
        <v>394</v>
      </c>
      <c r="B49" s="256">
        <f>SUM(B11:B47)</f>
        <v>1743253</v>
      </c>
      <c r="C49" s="228">
        <f>B49/'- 3 -'!D49</f>
        <v>0.001239173630623914</v>
      </c>
      <c r="D49" s="256">
        <f>SUM(D11:D47)</f>
        <v>2744744</v>
      </c>
      <c r="E49" s="228">
        <f>D49/'- 3 -'!D49</f>
        <v>0.001951073302391107</v>
      </c>
      <c r="F49" s="4"/>
    </row>
    <row r="50" spans="1:5" ht="4.5" customHeight="1">
      <c r="A50" s="29" t="s">
        <v>78</v>
      </c>
      <c r="B50" s="255"/>
      <c r="C50" s="215"/>
      <c r="D50" s="255"/>
      <c r="E50" s="215"/>
    </row>
    <row r="51" spans="1:5" ht="13.5" customHeight="1">
      <c r="A51" s="27" t="s">
        <v>395</v>
      </c>
      <c r="B51" s="254">
        <v>0</v>
      </c>
      <c r="C51" s="227">
        <f>B51/'- 3 -'!D51</f>
        <v>0</v>
      </c>
      <c r="D51" s="254">
        <v>1735</v>
      </c>
      <c r="E51" s="227">
        <f>D51/'- 3 -'!D51</f>
        <v>0.0013800618840429848</v>
      </c>
    </row>
    <row r="52" spans="1:5" ht="13.5" customHeight="1">
      <c r="A52" s="25" t="s">
        <v>396</v>
      </c>
      <c r="B52" s="253">
        <v>0</v>
      </c>
      <c r="C52" s="226">
        <f>B52/'- 3 -'!D52</f>
        <v>0</v>
      </c>
      <c r="D52" s="253">
        <v>15576</v>
      </c>
      <c r="E52" s="226">
        <f>D52/'- 3 -'!D52</f>
        <v>0.006434627350553755</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2"/>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3" width="14.83203125" style="1" customWidth="1"/>
    <col min="4" max="4" width="18.83203125" style="1" customWidth="1"/>
    <col min="5" max="5" width="14.83203125" style="1" customWidth="1"/>
    <col min="6" max="6" width="17.83203125" style="1" customWidth="1"/>
    <col min="7" max="7" width="14.83203125" style="1" customWidth="1"/>
    <col min="8" max="16384" width="15.83203125" style="1" customWidth="1"/>
  </cols>
  <sheetData>
    <row r="1" spans="1:7" ht="6.75" customHeight="1">
      <c r="A1" s="5"/>
      <c r="B1" s="6"/>
      <c r="C1" s="6"/>
      <c r="D1" s="6"/>
      <c r="E1" s="6"/>
      <c r="F1" s="6"/>
      <c r="G1" s="6"/>
    </row>
    <row r="2" spans="1:7" ht="15.75" customHeight="1">
      <c r="A2" s="219"/>
      <c r="B2" s="7" t="s">
        <v>75</v>
      </c>
      <c r="C2" s="8"/>
      <c r="D2" s="262"/>
      <c r="E2" s="8"/>
      <c r="F2" s="105"/>
      <c r="G2" s="220" t="s">
        <v>333</v>
      </c>
    </row>
    <row r="3" spans="1:7" ht="15.75" customHeight="1">
      <c r="A3" s="221"/>
      <c r="B3" s="9" t="str">
        <f>OPYEAR</f>
        <v>OPERATING FUND 2003/2004 ACTUAL</v>
      </c>
      <c r="C3" s="10"/>
      <c r="D3" s="263"/>
      <c r="E3" s="10"/>
      <c r="F3" s="107"/>
      <c r="G3" s="107"/>
    </row>
    <row r="4" spans="2:7" ht="15.75" customHeight="1">
      <c r="B4" s="6"/>
      <c r="C4" s="6"/>
      <c r="D4" s="6"/>
      <c r="E4" s="6"/>
      <c r="F4" s="6"/>
      <c r="G4" s="6"/>
    </row>
    <row r="5" spans="2:7" ht="15.75" customHeight="1">
      <c r="B5" s="6"/>
      <c r="C5" s="6"/>
      <c r="D5" s="6"/>
      <c r="E5" s="6"/>
      <c r="F5" s="6"/>
      <c r="G5" s="6"/>
    </row>
    <row r="6" spans="2:7" ht="15.75" customHeight="1">
      <c r="B6" s="258" t="s">
        <v>102</v>
      </c>
      <c r="C6" s="279"/>
      <c r="D6" s="280"/>
      <c r="E6" s="280"/>
      <c r="F6" s="280"/>
      <c r="G6" s="281"/>
    </row>
    <row r="7" spans="2:7" ht="15.75" customHeight="1">
      <c r="B7" s="222"/>
      <c r="C7" s="210"/>
      <c r="D7" s="211" t="s">
        <v>135</v>
      </c>
      <c r="E7" s="211"/>
      <c r="F7" s="211"/>
      <c r="G7" s="210"/>
    </row>
    <row r="8" spans="1:7" ht="15.75" customHeight="1">
      <c r="A8" s="96"/>
      <c r="B8" s="71" t="s">
        <v>113</v>
      </c>
      <c r="C8" s="70"/>
      <c r="D8" s="108" t="s">
        <v>142</v>
      </c>
      <c r="E8" s="70"/>
      <c r="F8" s="108" t="s">
        <v>356</v>
      </c>
      <c r="G8" s="70"/>
    </row>
    <row r="9" spans="1:7" ht="15.75" customHeight="1">
      <c r="A9" s="49" t="s">
        <v>175</v>
      </c>
      <c r="B9" s="282" t="s">
        <v>176</v>
      </c>
      <c r="C9" s="282" t="s">
        <v>177</v>
      </c>
      <c r="D9" s="282" t="s">
        <v>176</v>
      </c>
      <c r="E9" s="282" t="s">
        <v>177</v>
      </c>
      <c r="F9" s="282" t="s">
        <v>176</v>
      </c>
      <c r="G9" s="282" t="s">
        <v>177</v>
      </c>
    </row>
    <row r="10" ht="4.5" customHeight="1">
      <c r="A10" s="4"/>
    </row>
    <row r="11" spans="1:7" ht="13.5" customHeight="1">
      <c r="A11" s="25" t="s">
        <v>359</v>
      </c>
      <c r="B11" s="253">
        <v>48771</v>
      </c>
      <c r="C11" s="226">
        <f>B11/'- 3 -'!D11</f>
        <v>0.0042731111255969265</v>
      </c>
      <c r="D11" s="253">
        <v>992048</v>
      </c>
      <c r="E11" s="226">
        <f>D11/'- 3 -'!D11</f>
        <v>0.08691909835611696</v>
      </c>
      <c r="F11" s="253">
        <v>235447</v>
      </c>
      <c r="G11" s="226">
        <f>F11/'- 3 -'!D11</f>
        <v>0.02062888181887637</v>
      </c>
    </row>
    <row r="12" spans="1:7" ht="13.5" customHeight="1">
      <c r="A12" s="27" t="s">
        <v>360</v>
      </c>
      <c r="B12" s="254">
        <v>42058</v>
      </c>
      <c r="C12" s="227">
        <f>B12/'- 3 -'!D12</f>
        <v>0.0021935076595964837</v>
      </c>
      <c r="D12" s="254">
        <v>1761432</v>
      </c>
      <c r="E12" s="227">
        <f>D12/'- 3 -'!D12</f>
        <v>0.0918663413347842</v>
      </c>
      <c r="F12" s="254">
        <v>78957</v>
      </c>
      <c r="G12" s="227">
        <f>F12/'- 3 -'!D12</f>
        <v>0.004117951026647952</v>
      </c>
    </row>
    <row r="13" spans="1:7" ht="13.5" customHeight="1">
      <c r="A13" s="25" t="s">
        <v>361</v>
      </c>
      <c r="B13" s="253">
        <v>161900</v>
      </c>
      <c r="C13" s="226">
        <f>B13/'- 3 -'!D13</f>
        <v>0.0033084892939178765</v>
      </c>
      <c r="D13" s="253">
        <v>4127607</v>
      </c>
      <c r="E13" s="226">
        <f>D13/'- 3 -'!D13</f>
        <v>0.08434924996294307</v>
      </c>
      <c r="F13" s="253">
        <v>315527</v>
      </c>
      <c r="G13" s="226">
        <f>F13/'- 3 -'!D13</f>
        <v>0.006447916624101456</v>
      </c>
    </row>
    <row r="14" spans="1:7" ht="13.5" customHeight="1">
      <c r="A14" s="27" t="s">
        <v>398</v>
      </c>
      <c r="B14" s="254">
        <v>154100</v>
      </c>
      <c r="C14" s="227">
        <f>B14/'- 3 -'!D14</f>
        <v>0.0036378557774555775</v>
      </c>
      <c r="D14" s="254">
        <v>3653519</v>
      </c>
      <c r="E14" s="227">
        <f>D14/'- 3 -'!D14</f>
        <v>0.08624902791819418</v>
      </c>
      <c r="F14" s="254">
        <v>525661</v>
      </c>
      <c r="G14" s="227">
        <f>F14/'- 3 -'!D14</f>
        <v>0.01240933748107123</v>
      </c>
    </row>
    <row r="15" spans="1:7" ht="13.5" customHeight="1">
      <c r="A15" s="25" t="s">
        <v>362</v>
      </c>
      <c r="B15" s="253">
        <v>52326</v>
      </c>
      <c r="C15" s="226">
        <f>B15/'- 3 -'!D15</f>
        <v>0.0040040311195080015</v>
      </c>
      <c r="D15" s="253">
        <v>1332804</v>
      </c>
      <c r="E15" s="226">
        <f>D15/'- 3 -'!D15</f>
        <v>0.10198732355243555</v>
      </c>
      <c r="F15" s="253">
        <v>138865</v>
      </c>
      <c r="G15" s="226">
        <f>F15/'- 3 -'!D15</f>
        <v>0.010626070813944857</v>
      </c>
    </row>
    <row r="16" spans="1:7" ht="13.5" customHeight="1">
      <c r="A16" s="27" t="s">
        <v>363</v>
      </c>
      <c r="B16" s="254">
        <v>49159.5</v>
      </c>
      <c r="C16" s="227">
        <f>B16/'- 3 -'!D16</f>
        <v>0.004588591400587963</v>
      </c>
      <c r="D16" s="254">
        <v>1402872</v>
      </c>
      <c r="E16" s="227">
        <f>D16/'- 3 -'!D16</f>
        <v>0.13094531871409673</v>
      </c>
      <c r="F16" s="254">
        <v>86527</v>
      </c>
      <c r="G16" s="227">
        <f>F16/'- 3 -'!D16</f>
        <v>0.008076507045813622</v>
      </c>
    </row>
    <row r="17" spans="1:7" ht="13.5" customHeight="1">
      <c r="A17" s="25" t="s">
        <v>364</v>
      </c>
      <c r="B17" s="253">
        <v>68149</v>
      </c>
      <c r="C17" s="226">
        <f>B17/'- 3 -'!D17</f>
        <v>0.005520442827826972</v>
      </c>
      <c r="D17" s="253">
        <v>1124756</v>
      </c>
      <c r="E17" s="226">
        <f>D17/'- 3 -'!D17</f>
        <v>0.09111140579106596</v>
      </c>
      <c r="F17" s="253">
        <v>103899</v>
      </c>
      <c r="G17" s="226">
        <f>F17/'- 3 -'!D17</f>
        <v>0.00841638893260935</v>
      </c>
    </row>
    <row r="18" spans="1:7" ht="13.5" customHeight="1">
      <c r="A18" s="27" t="s">
        <v>365</v>
      </c>
      <c r="B18" s="254">
        <v>98877</v>
      </c>
      <c r="C18" s="227">
        <f>B18/'- 3 -'!D18</f>
        <v>0.0013454569834023566</v>
      </c>
      <c r="D18" s="254">
        <v>10476922</v>
      </c>
      <c r="E18" s="227">
        <f>D18/'- 3 -'!D18</f>
        <v>0.142563466422543</v>
      </c>
      <c r="F18" s="254">
        <v>746387</v>
      </c>
      <c r="G18" s="227">
        <f>F18/'- 3 -'!D18</f>
        <v>0.010156372073088126</v>
      </c>
    </row>
    <row r="19" spans="1:7" ht="13.5" customHeight="1">
      <c r="A19" s="25" t="s">
        <v>366</v>
      </c>
      <c r="B19" s="253">
        <v>50355</v>
      </c>
      <c r="C19" s="226">
        <f>B19/'- 3 -'!D19</f>
        <v>0.002744649038121924</v>
      </c>
      <c r="D19" s="253">
        <v>1504913</v>
      </c>
      <c r="E19" s="226">
        <f>D19/'- 3 -'!D19</f>
        <v>0.08202677028909104</v>
      </c>
      <c r="F19" s="253">
        <v>56880</v>
      </c>
      <c r="G19" s="226">
        <f>F19/'- 3 -'!D19</f>
        <v>0.003100300611426374</v>
      </c>
    </row>
    <row r="20" spans="1:7" ht="13.5" customHeight="1">
      <c r="A20" s="27" t="s">
        <v>367</v>
      </c>
      <c r="B20" s="254">
        <v>87661</v>
      </c>
      <c r="C20" s="227">
        <f>B20/'- 3 -'!D20</f>
        <v>0.00238978431474807</v>
      </c>
      <c r="D20" s="254">
        <v>3522810</v>
      </c>
      <c r="E20" s="227">
        <f>D20/'- 3 -'!D20</f>
        <v>0.09603764595244918</v>
      </c>
      <c r="F20" s="254">
        <v>221187</v>
      </c>
      <c r="G20" s="227">
        <f>F20/'- 3 -'!D20</f>
        <v>0.006029924632689352</v>
      </c>
    </row>
    <row r="21" spans="1:7" ht="13.5" customHeight="1">
      <c r="A21" s="25" t="s">
        <v>368</v>
      </c>
      <c r="B21" s="253">
        <v>124633</v>
      </c>
      <c r="C21" s="226">
        <f>B21/'- 3 -'!D21</f>
        <v>0.005177392566185989</v>
      </c>
      <c r="D21" s="253">
        <v>2040901</v>
      </c>
      <c r="E21" s="226">
        <f>D21/'- 3 -'!D21</f>
        <v>0.08478128317316884</v>
      </c>
      <c r="F21" s="253">
        <v>360006</v>
      </c>
      <c r="G21" s="226">
        <f>F21/'- 3 -'!D21</f>
        <v>0.014955047123814345</v>
      </c>
    </row>
    <row r="22" spans="1:7" ht="13.5" customHeight="1">
      <c r="A22" s="27" t="s">
        <v>369</v>
      </c>
      <c r="B22" s="254">
        <v>52548</v>
      </c>
      <c r="C22" s="227">
        <f>B22/'- 3 -'!D22</f>
        <v>0.0038976913143893626</v>
      </c>
      <c r="D22" s="254">
        <v>1518871</v>
      </c>
      <c r="E22" s="227">
        <f>D22/'- 3 -'!D22</f>
        <v>0.11266062084908818</v>
      </c>
      <c r="F22" s="254">
        <v>63627</v>
      </c>
      <c r="G22" s="227">
        <f>F22/'- 3 -'!D22</f>
        <v>0.004719464209116465</v>
      </c>
    </row>
    <row r="23" spans="1:7" ht="13.5" customHeight="1">
      <c r="A23" s="25" t="s">
        <v>370</v>
      </c>
      <c r="B23" s="253">
        <v>39631</v>
      </c>
      <c r="C23" s="226">
        <f>B23/'- 3 -'!D23</f>
        <v>0.003503274546457614</v>
      </c>
      <c r="D23" s="253">
        <v>825614</v>
      </c>
      <c r="E23" s="226">
        <f>D23/'- 3 -'!D23</f>
        <v>0.0729820724028931</v>
      </c>
      <c r="F23" s="253">
        <v>137066</v>
      </c>
      <c r="G23" s="226">
        <f>F23/'- 3 -'!D23</f>
        <v>0.012116268299683564</v>
      </c>
    </row>
    <row r="24" spans="1:7" ht="13.5" customHeight="1">
      <c r="A24" s="27" t="s">
        <v>371</v>
      </c>
      <c r="B24" s="254">
        <v>75759</v>
      </c>
      <c r="C24" s="227">
        <f>B24/'- 3 -'!D24</f>
        <v>0.002175075758449382</v>
      </c>
      <c r="D24" s="254">
        <v>3458467</v>
      </c>
      <c r="E24" s="227">
        <f>D24/'- 3 -'!D24</f>
        <v>0.0992941793463108</v>
      </c>
      <c r="F24" s="254">
        <v>183398</v>
      </c>
      <c r="G24" s="227">
        <f>F24/'- 3 -'!D24</f>
        <v>0.005265440989824309</v>
      </c>
    </row>
    <row r="25" spans="1:7" ht="13.5" customHeight="1">
      <c r="A25" s="25" t="s">
        <v>372</v>
      </c>
      <c r="B25" s="253">
        <v>529605</v>
      </c>
      <c r="C25" s="226">
        <f>B25/'- 3 -'!D25</f>
        <v>0.004793644187886761</v>
      </c>
      <c r="D25" s="253">
        <v>11351150</v>
      </c>
      <c r="E25" s="226">
        <f>D25/'- 3 -'!D25</f>
        <v>0.10274331666681925</v>
      </c>
      <c r="F25" s="253">
        <v>343801</v>
      </c>
      <c r="G25" s="226">
        <f>F25/'- 3 -'!D25</f>
        <v>0.003111865759272772</v>
      </c>
    </row>
    <row r="26" spans="1:7" ht="13.5" customHeight="1">
      <c r="A26" s="27" t="s">
        <v>373</v>
      </c>
      <c r="B26" s="254">
        <v>105188</v>
      </c>
      <c r="C26" s="227">
        <f>B26/'- 3 -'!D26</f>
        <v>0.0038849980306870082</v>
      </c>
      <c r="D26" s="254">
        <v>2758562</v>
      </c>
      <c r="E26" s="227">
        <f>D26/'- 3 -'!D26</f>
        <v>0.1018843208115756</v>
      </c>
      <c r="F26" s="254">
        <v>125043</v>
      </c>
      <c r="G26" s="227">
        <f>F26/'- 3 -'!D26</f>
        <v>0.004618319663376008</v>
      </c>
    </row>
    <row r="27" spans="1:7" ht="13.5" customHeight="1">
      <c r="A27" s="25" t="s">
        <v>374</v>
      </c>
      <c r="B27" s="253">
        <v>176468</v>
      </c>
      <c r="C27" s="226">
        <f>B27/'- 3 -'!D27</f>
        <v>0.00650989824738494</v>
      </c>
      <c r="D27" s="253">
        <v>2992165.36</v>
      </c>
      <c r="E27" s="226">
        <f>D27/'- 3 -'!D27</f>
        <v>0.11038087377286492</v>
      </c>
      <c r="F27" s="253">
        <v>146109</v>
      </c>
      <c r="G27" s="226">
        <f>F27/'- 3 -'!D27</f>
        <v>0.005389955816505917</v>
      </c>
    </row>
    <row r="28" spans="1:7" ht="13.5" customHeight="1">
      <c r="A28" s="27" t="s">
        <v>375</v>
      </c>
      <c r="B28" s="254">
        <v>40550</v>
      </c>
      <c r="C28" s="227">
        <f>B28/'- 3 -'!D28</f>
        <v>0.0024319511257445384</v>
      </c>
      <c r="D28" s="254">
        <v>1636607.54</v>
      </c>
      <c r="E28" s="227">
        <f>D28/'- 3 -'!D28</f>
        <v>0.09815411958828607</v>
      </c>
      <c r="F28" s="254">
        <v>82991</v>
      </c>
      <c r="G28" s="227">
        <f>F28/'- 3 -'!D28</f>
        <v>0.0049773133385120835</v>
      </c>
    </row>
    <row r="29" spans="1:7" ht="13.5" customHeight="1">
      <c r="A29" s="25" t="s">
        <v>376</v>
      </c>
      <c r="B29" s="253">
        <v>635691</v>
      </c>
      <c r="C29" s="226">
        <f>B29/'- 3 -'!D29</f>
        <v>0.006241135194621909</v>
      </c>
      <c r="D29" s="253">
        <v>8584069</v>
      </c>
      <c r="E29" s="226">
        <f>D29/'- 3 -'!D29</f>
        <v>0.08427732207780651</v>
      </c>
      <c r="F29" s="253">
        <v>754216</v>
      </c>
      <c r="G29" s="226">
        <f>F29/'- 3 -'!D29</f>
        <v>0.007404798906932704</v>
      </c>
    </row>
    <row r="30" spans="1:7" ht="13.5" customHeight="1">
      <c r="A30" s="27" t="s">
        <v>377</v>
      </c>
      <c r="B30" s="254">
        <v>34399</v>
      </c>
      <c r="C30" s="227">
        <f>B30/'- 3 -'!D30</f>
        <v>0.003501305546544747</v>
      </c>
      <c r="D30" s="254">
        <v>868829</v>
      </c>
      <c r="E30" s="227">
        <f>D30/'- 3 -'!D30</f>
        <v>0.08843384391112899</v>
      </c>
      <c r="F30" s="254">
        <v>162094</v>
      </c>
      <c r="G30" s="227">
        <f>F30/'- 3 -'!D30</f>
        <v>0.016498753488811427</v>
      </c>
    </row>
    <row r="31" spans="1:7" ht="13.5" customHeight="1">
      <c r="A31" s="25" t="s">
        <v>378</v>
      </c>
      <c r="B31" s="253">
        <v>155844</v>
      </c>
      <c r="C31" s="226">
        <f>B31/'- 3 -'!D31</f>
        <v>0.0062522729802946524</v>
      </c>
      <c r="D31" s="253">
        <v>2804684</v>
      </c>
      <c r="E31" s="226">
        <f>D31/'- 3 -'!D31</f>
        <v>0.11252053329909863</v>
      </c>
      <c r="F31" s="253">
        <v>128255</v>
      </c>
      <c r="G31" s="226">
        <f>F31/'- 3 -'!D31</f>
        <v>0.005145435634914983</v>
      </c>
    </row>
    <row r="32" spans="1:7" ht="13.5" customHeight="1">
      <c r="A32" s="27" t="s">
        <v>379</v>
      </c>
      <c r="B32" s="254">
        <v>49440</v>
      </c>
      <c r="C32" s="227">
        <f>B32/'- 3 -'!D32</f>
        <v>0.0026690721427418056</v>
      </c>
      <c r="D32" s="254">
        <v>1614096</v>
      </c>
      <c r="E32" s="227">
        <f>D32/'- 3 -'!D32</f>
        <v>0.0871387271300764</v>
      </c>
      <c r="F32" s="254">
        <v>209262</v>
      </c>
      <c r="G32" s="227">
        <f>F32/'- 3 -'!D32</f>
        <v>0.011297236543981305</v>
      </c>
    </row>
    <row r="33" spans="1:7" ht="13.5" customHeight="1">
      <c r="A33" s="25" t="s">
        <v>380</v>
      </c>
      <c r="B33" s="253">
        <v>95100</v>
      </c>
      <c r="C33" s="226">
        <f>B33/'- 3 -'!D33</f>
        <v>0.004326974197902514</v>
      </c>
      <c r="D33" s="253">
        <v>2040407</v>
      </c>
      <c r="E33" s="226">
        <f>D33/'- 3 -'!D33</f>
        <v>0.0928368921369051</v>
      </c>
      <c r="F33" s="253">
        <v>158181</v>
      </c>
      <c r="G33" s="226">
        <f>F33/'- 3 -'!D33</f>
        <v>0.007197109417438671</v>
      </c>
    </row>
    <row r="34" spans="1:7" ht="13.5" customHeight="1">
      <c r="A34" s="27" t="s">
        <v>381</v>
      </c>
      <c r="B34" s="254">
        <v>47961</v>
      </c>
      <c r="C34" s="227">
        <f>B34/'- 3 -'!D34</f>
        <v>0.0028255197793454097</v>
      </c>
      <c r="D34" s="254">
        <v>1448816</v>
      </c>
      <c r="E34" s="227">
        <f>D34/'- 3 -'!D34</f>
        <v>0.08535389722132773</v>
      </c>
      <c r="F34" s="254">
        <v>189242</v>
      </c>
      <c r="G34" s="227">
        <f>F34/'- 3 -'!D34</f>
        <v>0.011148787850188363</v>
      </c>
    </row>
    <row r="35" spans="1:7" ht="13.5" customHeight="1">
      <c r="A35" s="25" t="s">
        <v>382</v>
      </c>
      <c r="B35" s="253">
        <v>452198</v>
      </c>
      <c r="C35" s="226">
        <f>B35/'- 3 -'!D35</f>
        <v>0.003583807027605524</v>
      </c>
      <c r="D35" s="253">
        <v>12319127</v>
      </c>
      <c r="E35" s="226">
        <f>D35/'- 3 -'!D35</f>
        <v>0.09763283764316727</v>
      </c>
      <c r="F35" s="253">
        <v>720980.75</v>
      </c>
      <c r="G35" s="226">
        <f>F35/'- 3 -'!D35</f>
        <v>0.005713992274663535</v>
      </c>
    </row>
    <row r="36" spans="1:7" ht="13.5" customHeight="1">
      <c r="A36" s="27" t="s">
        <v>383</v>
      </c>
      <c r="B36" s="254">
        <v>39865</v>
      </c>
      <c r="C36" s="227">
        <f>B36/'- 3 -'!D36</f>
        <v>0.0023881794075374095</v>
      </c>
      <c r="D36" s="254">
        <v>1642841</v>
      </c>
      <c r="E36" s="227">
        <f>D36/'- 3 -'!D36</f>
        <v>0.09841713397863201</v>
      </c>
      <c r="F36" s="254">
        <v>100655</v>
      </c>
      <c r="G36" s="227">
        <f>F36/'- 3 -'!D36</f>
        <v>0.006029905889017382</v>
      </c>
    </row>
    <row r="37" spans="1:7" ht="13.5" customHeight="1">
      <c r="A37" s="25" t="s">
        <v>384</v>
      </c>
      <c r="B37" s="253">
        <v>102941</v>
      </c>
      <c r="C37" s="226">
        <f>B37/'- 3 -'!D37</f>
        <v>0.004081029468257036</v>
      </c>
      <c r="D37" s="253">
        <v>2509551</v>
      </c>
      <c r="E37" s="226">
        <f>D37/'- 3 -'!D37</f>
        <v>0.09948952878924737</v>
      </c>
      <c r="F37" s="253">
        <v>225903</v>
      </c>
      <c r="G37" s="226">
        <f>F37/'- 3 -'!D37</f>
        <v>0.008955778552449164</v>
      </c>
    </row>
    <row r="38" spans="1:7" ht="13.5" customHeight="1">
      <c r="A38" s="27" t="s">
        <v>385</v>
      </c>
      <c r="B38" s="254">
        <v>309560</v>
      </c>
      <c r="C38" s="227">
        <f>B38/'- 3 -'!D38</f>
        <v>0.004743033974253226</v>
      </c>
      <c r="D38" s="254">
        <v>6293638</v>
      </c>
      <c r="E38" s="227">
        <f>D38/'- 3 -'!D38</f>
        <v>0.0964302198463985</v>
      </c>
      <c r="F38" s="254">
        <v>725667</v>
      </c>
      <c r="G38" s="227">
        <f>F38/'- 3 -'!D38</f>
        <v>0.01111856581920925</v>
      </c>
    </row>
    <row r="39" spans="1:7" ht="13.5" customHeight="1">
      <c r="A39" s="25" t="s">
        <v>386</v>
      </c>
      <c r="B39" s="253">
        <v>39420</v>
      </c>
      <c r="C39" s="226">
        <f>B39/'- 3 -'!D39</f>
        <v>0.002571243066221054</v>
      </c>
      <c r="D39" s="253">
        <v>1298642</v>
      </c>
      <c r="E39" s="226">
        <f>D39/'- 3 -'!D39</f>
        <v>0.08470634799602847</v>
      </c>
      <c r="F39" s="253">
        <v>280104</v>
      </c>
      <c r="G39" s="226">
        <f>F39/'- 3 -'!D39</f>
        <v>0.01827030613446936</v>
      </c>
    </row>
    <row r="40" spans="1:7" ht="13.5" customHeight="1">
      <c r="A40" s="27" t="s">
        <v>387</v>
      </c>
      <c r="B40" s="254">
        <v>243704</v>
      </c>
      <c r="C40" s="227">
        <f>B40/'- 3 -'!D40</f>
        <v>0.0037091014481954077</v>
      </c>
      <c r="D40" s="254">
        <v>5943578</v>
      </c>
      <c r="E40" s="227">
        <f>D40/'- 3 -'!D40</f>
        <v>0.09045946626753096</v>
      </c>
      <c r="F40" s="254">
        <v>887610</v>
      </c>
      <c r="G40" s="227">
        <f>F40/'- 3 -'!D40</f>
        <v>0.01350915674930541</v>
      </c>
    </row>
    <row r="41" spans="1:7" ht="13.5" customHeight="1">
      <c r="A41" s="25" t="s">
        <v>388</v>
      </c>
      <c r="B41" s="253">
        <v>159138</v>
      </c>
      <c r="C41" s="226">
        <f>B41/'- 3 -'!D41</f>
        <v>0.004070577549927614</v>
      </c>
      <c r="D41" s="253">
        <v>3056908</v>
      </c>
      <c r="E41" s="226">
        <f>D41/'- 3 -'!D41</f>
        <v>0.07819239324984682</v>
      </c>
      <c r="F41" s="253">
        <v>168481</v>
      </c>
      <c r="G41" s="226">
        <f>F41/'- 3 -'!D41</f>
        <v>0.004309561363026772</v>
      </c>
    </row>
    <row r="42" spans="1:7" ht="13.5" customHeight="1">
      <c r="A42" s="27" t="s">
        <v>389</v>
      </c>
      <c r="B42" s="254">
        <v>46338</v>
      </c>
      <c r="C42" s="227">
        <f>B42/'- 3 -'!D42</f>
        <v>0.003065990858003693</v>
      </c>
      <c r="D42" s="254">
        <v>1477381</v>
      </c>
      <c r="E42" s="227">
        <f>D42/'- 3 -'!D42</f>
        <v>0.09775209633105343</v>
      </c>
      <c r="F42" s="254">
        <v>141561</v>
      </c>
      <c r="G42" s="227">
        <f>F42/'- 3 -'!D42</f>
        <v>0.00936649686757868</v>
      </c>
    </row>
    <row r="43" spans="1:7" ht="13.5" customHeight="1">
      <c r="A43" s="25" t="s">
        <v>390</v>
      </c>
      <c r="B43" s="253">
        <v>33412</v>
      </c>
      <c r="C43" s="226">
        <f>B43/'- 3 -'!D43</f>
        <v>0.0036178293630186203</v>
      </c>
      <c r="D43" s="253">
        <v>693781</v>
      </c>
      <c r="E43" s="226">
        <f>D43/'- 3 -'!D43</f>
        <v>0.07512214992530891</v>
      </c>
      <c r="F43" s="253">
        <v>82146</v>
      </c>
      <c r="G43" s="226">
        <f>F43/'- 3 -'!D43</f>
        <v>0.00889471479871087</v>
      </c>
    </row>
    <row r="44" spans="1:7" ht="13.5" customHeight="1">
      <c r="A44" s="27" t="s">
        <v>391</v>
      </c>
      <c r="B44" s="254">
        <v>20955</v>
      </c>
      <c r="C44" s="227">
        <f>B44/'- 3 -'!D44</f>
        <v>0.0030390790321530355</v>
      </c>
      <c r="D44" s="254">
        <v>727269</v>
      </c>
      <c r="E44" s="227">
        <f>D44/'- 3 -'!D44</f>
        <v>0.10547496867739947</v>
      </c>
      <c r="F44" s="254">
        <v>131212</v>
      </c>
      <c r="G44" s="227">
        <f>F44/'- 3 -'!D44</f>
        <v>0.01902952221268738</v>
      </c>
    </row>
    <row r="45" spans="1:7" ht="13.5" customHeight="1">
      <c r="A45" s="25" t="s">
        <v>392</v>
      </c>
      <c r="B45" s="253">
        <v>55133</v>
      </c>
      <c r="C45" s="226">
        <f>B45/'- 3 -'!D45</f>
        <v>0.005274234609622598</v>
      </c>
      <c r="D45" s="253">
        <v>891658</v>
      </c>
      <c r="E45" s="226">
        <f>D45/'- 3 -'!D45</f>
        <v>0.08529943016971445</v>
      </c>
      <c r="F45" s="253">
        <v>181180</v>
      </c>
      <c r="G45" s="226">
        <f>F45/'- 3 -'!D45</f>
        <v>0.017332374921941892</v>
      </c>
    </row>
    <row r="46" spans="1:7" ht="13.5" customHeight="1">
      <c r="A46" s="27" t="s">
        <v>393</v>
      </c>
      <c r="B46" s="254">
        <v>761520</v>
      </c>
      <c r="C46" s="227">
        <f>B46/'- 3 -'!D46</f>
        <v>0.0029278232851494457</v>
      </c>
      <c r="D46" s="254">
        <v>23330937</v>
      </c>
      <c r="E46" s="227">
        <f>D46/'- 3 -'!D46</f>
        <v>0.08970067839709364</v>
      </c>
      <c r="F46" s="254">
        <v>9894841</v>
      </c>
      <c r="G46" s="227">
        <f>F46/'- 3 -'!D46</f>
        <v>0.03804279058022301</v>
      </c>
    </row>
    <row r="47" spans="1:7" ht="13.5" customHeight="1">
      <c r="A47" s="25" t="s">
        <v>397</v>
      </c>
      <c r="B47" s="253">
        <v>0</v>
      </c>
      <c r="C47" s="226">
        <f>B47/'- 3 -'!D47</f>
        <v>0</v>
      </c>
      <c r="D47" s="253">
        <v>577178</v>
      </c>
      <c r="E47" s="226">
        <f>D47/'- 3 -'!D47</f>
        <v>0.09854036219914551</v>
      </c>
      <c r="F47" s="253">
        <v>37603</v>
      </c>
      <c r="G47" s="226">
        <f>F47/'- 3 -'!D47</f>
        <v>0.006419879551497924</v>
      </c>
    </row>
    <row r="48" spans="1:7" ht="4.5" customHeight="1">
      <c r="A48" s="29"/>
      <c r="B48" s="255"/>
      <c r="C48" s="215"/>
      <c r="D48" s="255"/>
      <c r="E48" s="215"/>
      <c r="F48" s="255"/>
      <c r="G48" s="215"/>
    </row>
    <row r="49" spans="1:7" ht="13.5" customHeight="1">
      <c r="A49" s="31" t="s">
        <v>394</v>
      </c>
      <c r="B49" s="256">
        <f>SUM(B11:B47)</f>
        <v>5240357.5</v>
      </c>
      <c r="C49" s="228">
        <f>B49/'- 3 -'!D49</f>
        <v>0.003725054727593905</v>
      </c>
      <c r="D49" s="256">
        <f>SUM(D11:D47)</f>
        <v>134605410.9</v>
      </c>
      <c r="E49" s="228">
        <f>D49/'- 3 -'!D49</f>
        <v>0.09568288465677488</v>
      </c>
      <c r="F49" s="256">
        <f>SUM(F11:F47)</f>
        <v>19130571.75</v>
      </c>
      <c r="G49" s="228">
        <f>F49/'- 3 -'!D49</f>
        <v>0.013598771980520777</v>
      </c>
    </row>
    <row r="50" spans="1:7" ht="4.5" customHeight="1">
      <c r="A50" s="29" t="s">
        <v>78</v>
      </c>
      <c r="B50" s="255"/>
      <c r="C50" s="215"/>
      <c r="D50" s="255"/>
      <c r="E50" s="215"/>
      <c r="F50" s="255"/>
      <c r="G50" s="215"/>
    </row>
    <row r="51" spans="1:7" ht="13.5" customHeight="1">
      <c r="A51" s="27" t="s">
        <v>395</v>
      </c>
      <c r="B51" s="254">
        <v>0</v>
      </c>
      <c r="C51" s="227">
        <f>B51/'- 3 -'!D51</f>
        <v>0</v>
      </c>
      <c r="D51" s="254">
        <v>129474</v>
      </c>
      <c r="E51" s="227">
        <f>D51/'- 3 -'!D51</f>
        <v>0.10298681981243885</v>
      </c>
      <c r="F51" s="254">
        <v>23281</v>
      </c>
      <c r="G51" s="227">
        <f>F51/'- 3 -'!D51</f>
        <v>0.01851828283712088</v>
      </c>
    </row>
    <row r="52" spans="1:7" ht="13.5" customHeight="1">
      <c r="A52" s="25" t="s">
        <v>396</v>
      </c>
      <c r="B52" s="253">
        <v>17801</v>
      </c>
      <c r="C52" s="226">
        <f>B52/'- 3 -'!D52</f>
        <v>0.007353800813251631</v>
      </c>
      <c r="D52" s="253">
        <v>288014</v>
      </c>
      <c r="E52" s="226">
        <f>D52/'- 3 -'!D52</f>
        <v>0.11898194412829927</v>
      </c>
      <c r="F52" s="253">
        <v>0</v>
      </c>
      <c r="G52" s="226">
        <f>F52/'- 3 -'!D52</f>
        <v>0</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2"/>
  <sheetViews>
    <sheetView showGridLines="0" showZeros="0" workbookViewId="0" topLeftCell="A1">
      <selection activeCell="A1" sqref="A1"/>
    </sheetView>
  </sheetViews>
  <sheetFormatPr defaultColWidth="15.83203125" defaultRowHeight="12"/>
  <cols>
    <col min="1" max="1" width="32.83203125" style="1" customWidth="1"/>
    <col min="2" max="2" width="19.83203125" style="1" customWidth="1"/>
    <col min="3" max="3" width="15.83203125" style="1" customWidth="1"/>
    <col min="4" max="4" width="19.83203125" style="1" customWidth="1"/>
    <col min="5" max="5" width="15.83203125" style="1" customWidth="1"/>
    <col min="6" max="6" width="28.83203125" style="1" customWidth="1"/>
    <col min="7" max="16384" width="15.83203125" style="1" customWidth="1"/>
  </cols>
  <sheetData>
    <row r="1" spans="1:6" ht="6.75" customHeight="1">
      <c r="A1" s="5"/>
      <c r="B1" s="5"/>
      <c r="C1" s="5"/>
      <c r="D1" s="6"/>
      <c r="E1" s="6"/>
      <c r="F1" s="6"/>
    </row>
    <row r="2" spans="1:6" ht="15.75" customHeight="1">
      <c r="A2" s="219"/>
      <c r="B2" s="7" t="s">
        <v>75</v>
      </c>
      <c r="C2" s="283"/>
      <c r="D2" s="262"/>
      <c r="E2" s="8"/>
      <c r="F2" s="220" t="s">
        <v>332</v>
      </c>
    </row>
    <row r="3" spans="1:6" ht="15.75" customHeight="1">
      <c r="A3" s="221"/>
      <c r="B3" s="9" t="str">
        <f>OPYEAR</f>
        <v>OPERATING FUND 2003/2004 ACTUAL</v>
      </c>
      <c r="C3" s="40"/>
      <c r="D3" s="263"/>
      <c r="E3" s="10"/>
      <c r="F3" s="94"/>
    </row>
    <row r="4" spans="4:6" ht="15.75" customHeight="1">
      <c r="D4" s="6"/>
      <c r="E4" s="6"/>
      <c r="F4" s="6"/>
    </row>
    <row r="5" spans="4:6" ht="15.75" customHeight="1">
      <c r="D5" s="6"/>
      <c r="E5" s="6"/>
      <c r="F5" s="6"/>
    </row>
    <row r="6" spans="2:6" ht="15.75" customHeight="1">
      <c r="B6" s="278" t="s">
        <v>550</v>
      </c>
      <c r="C6" s="280"/>
      <c r="D6" s="54"/>
      <c r="E6" s="284"/>
      <c r="F6" s="58"/>
    </row>
    <row r="7" spans="2:6" ht="15.75" customHeight="1">
      <c r="B7" s="285"/>
      <c r="C7" s="210"/>
      <c r="D7" s="285"/>
      <c r="E7" s="210"/>
      <c r="F7" s="6"/>
    </row>
    <row r="8" spans="1:6" ht="15.75" customHeight="1">
      <c r="A8" s="96"/>
      <c r="B8" s="71" t="s">
        <v>156</v>
      </c>
      <c r="C8" s="70"/>
      <c r="D8" s="108" t="s">
        <v>157</v>
      </c>
      <c r="E8" s="70"/>
      <c r="F8" s="6"/>
    </row>
    <row r="9" spans="1:5" ht="15.75" customHeight="1">
      <c r="A9" s="49" t="s">
        <v>175</v>
      </c>
      <c r="B9" s="282" t="s">
        <v>176</v>
      </c>
      <c r="C9" s="282" t="s">
        <v>177</v>
      </c>
      <c r="D9" s="286" t="s">
        <v>176</v>
      </c>
      <c r="E9" s="282" t="s">
        <v>177</v>
      </c>
    </row>
    <row r="10" ht="4.5" customHeight="1">
      <c r="A10" s="4"/>
    </row>
    <row r="11" spans="1:5" ht="13.5" customHeight="1">
      <c r="A11" s="25" t="s">
        <v>359</v>
      </c>
      <c r="B11" s="253">
        <v>40789</v>
      </c>
      <c r="C11" s="226">
        <f>B11/'- 3 -'!D11</f>
        <v>0.003573761655532448</v>
      </c>
      <c r="D11" s="253">
        <v>11084</v>
      </c>
      <c r="E11" s="226">
        <f>D11/'- 3 -'!D11</f>
        <v>0.0009711337416931442</v>
      </c>
    </row>
    <row r="12" spans="1:5" ht="13.5" customHeight="1">
      <c r="A12" s="27" t="s">
        <v>360</v>
      </c>
      <c r="B12" s="254">
        <v>270319</v>
      </c>
      <c r="C12" s="227">
        <f>B12/'- 3 -'!D12</f>
        <v>0.014098311784546624</v>
      </c>
      <c r="D12" s="254">
        <v>79301</v>
      </c>
      <c r="E12" s="227">
        <f>D12/'- 3 -'!D12</f>
        <v>0.004135892123107631</v>
      </c>
    </row>
    <row r="13" spans="1:5" ht="13.5" customHeight="1">
      <c r="A13" s="25" t="s">
        <v>361</v>
      </c>
      <c r="B13" s="253">
        <v>226495</v>
      </c>
      <c r="C13" s="226">
        <f>B13/'- 3 -'!D13</f>
        <v>0.004628513172488755</v>
      </c>
      <c r="D13" s="253">
        <v>76357</v>
      </c>
      <c r="E13" s="226">
        <f>D13/'- 3 -'!D13</f>
        <v>0.0015603849105354371</v>
      </c>
    </row>
    <row r="14" spans="1:5" ht="13.5" customHeight="1">
      <c r="A14" s="27" t="s">
        <v>398</v>
      </c>
      <c r="B14" s="254">
        <v>176373</v>
      </c>
      <c r="C14" s="227">
        <f>B14/'- 3 -'!D14</f>
        <v>0.004163656956762963</v>
      </c>
      <c r="D14" s="254">
        <v>78603</v>
      </c>
      <c r="E14" s="227">
        <f>D14/'- 3 -'!D14</f>
        <v>0.0018555897318321918</v>
      </c>
    </row>
    <row r="15" spans="1:5" ht="13.5" customHeight="1">
      <c r="A15" s="25" t="s">
        <v>362</v>
      </c>
      <c r="B15" s="253">
        <v>83160</v>
      </c>
      <c r="C15" s="226">
        <f>B15/'- 3 -'!D15</f>
        <v>0.006363475669806318</v>
      </c>
      <c r="D15" s="253">
        <v>26245</v>
      </c>
      <c r="E15" s="226">
        <f>D15/'- 3 -'!D15</f>
        <v>0.0020082902712129248</v>
      </c>
    </row>
    <row r="16" spans="1:5" ht="13.5" customHeight="1">
      <c r="A16" s="27" t="s">
        <v>363</v>
      </c>
      <c r="B16" s="254">
        <v>11389</v>
      </c>
      <c r="C16" s="227">
        <f>B16/'- 3 -'!D16</f>
        <v>0.0010630593773593368</v>
      </c>
      <c r="D16" s="254">
        <v>30676</v>
      </c>
      <c r="E16" s="227">
        <f>D16/'- 3 -'!D16</f>
        <v>0.002863325090866188</v>
      </c>
    </row>
    <row r="17" spans="1:5" ht="13.5" customHeight="1">
      <c r="A17" s="25" t="s">
        <v>364</v>
      </c>
      <c r="B17" s="253">
        <v>49618</v>
      </c>
      <c r="C17" s="226">
        <f>B17/'- 3 -'!D17</f>
        <v>0.004019330176981595</v>
      </c>
      <c r="D17" s="253">
        <v>34342</v>
      </c>
      <c r="E17" s="226">
        <f>D17/'- 3 -'!D17</f>
        <v>0.0027818903812709484</v>
      </c>
    </row>
    <row r="18" spans="1:5" ht="13.5" customHeight="1">
      <c r="A18" s="27" t="s">
        <v>365</v>
      </c>
      <c r="B18" s="254">
        <v>1912476</v>
      </c>
      <c r="C18" s="227">
        <f>B18/'- 3 -'!D18</f>
        <v>0.026023789048913348</v>
      </c>
      <c r="D18" s="254">
        <v>32256</v>
      </c>
      <c r="E18" s="227">
        <f>D18/'- 3 -'!D18</f>
        <v>0.00043891967248830784</v>
      </c>
    </row>
    <row r="19" spans="1:5" ht="13.5" customHeight="1">
      <c r="A19" s="25" t="s">
        <v>366</v>
      </c>
      <c r="B19" s="253">
        <v>18399</v>
      </c>
      <c r="C19" s="226">
        <f>B19/'- 3 -'!D19</f>
        <v>0.0010028556777361788</v>
      </c>
      <c r="D19" s="253">
        <v>19586</v>
      </c>
      <c r="E19" s="226">
        <f>D19/'- 3 -'!D19</f>
        <v>0.0010675542857840534</v>
      </c>
    </row>
    <row r="20" spans="1:5" ht="13.5" customHeight="1">
      <c r="A20" s="27" t="s">
        <v>367</v>
      </c>
      <c r="B20" s="254">
        <v>71562</v>
      </c>
      <c r="C20" s="227">
        <f>B20/'- 3 -'!D20</f>
        <v>0.0019508988618884267</v>
      </c>
      <c r="D20" s="254">
        <v>118467</v>
      </c>
      <c r="E20" s="227">
        <f>D20/'- 3 -'!D20</f>
        <v>0.003229606990740005</v>
      </c>
    </row>
    <row r="21" spans="1:5" ht="13.5" customHeight="1">
      <c r="A21" s="25" t="s">
        <v>368</v>
      </c>
      <c r="B21" s="253">
        <v>142837</v>
      </c>
      <c r="C21" s="226">
        <f>B21/'- 3 -'!D21</f>
        <v>0.005933606845508879</v>
      </c>
      <c r="D21" s="253">
        <v>104195</v>
      </c>
      <c r="E21" s="226">
        <f>D21/'- 3 -'!D21</f>
        <v>0.004328375457814135</v>
      </c>
    </row>
    <row r="22" spans="1:5" ht="13.5" customHeight="1">
      <c r="A22" s="27" t="s">
        <v>369</v>
      </c>
      <c r="B22" s="254">
        <v>38137</v>
      </c>
      <c r="C22" s="227">
        <f>B22/'- 3 -'!D22</f>
        <v>0.002828770907681874</v>
      </c>
      <c r="D22" s="254">
        <v>1800</v>
      </c>
      <c r="E22" s="227">
        <f>D22/'- 3 -'!D22</f>
        <v>0.00013351306169408642</v>
      </c>
    </row>
    <row r="23" spans="1:5" ht="13.5" customHeight="1">
      <c r="A23" s="25" t="s">
        <v>370</v>
      </c>
      <c r="B23" s="253">
        <v>44930</v>
      </c>
      <c r="C23" s="226">
        <f>B23/'- 3 -'!D23</f>
        <v>0.003971691992943418</v>
      </c>
      <c r="D23" s="253">
        <v>0</v>
      </c>
      <c r="E23" s="226">
        <f>D23/'- 3 -'!D23</f>
        <v>0</v>
      </c>
    </row>
    <row r="24" spans="1:5" ht="13.5" customHeight="1">
      <c r="A24" s="27" t="s">
        <v>371</v>
      </c>
      <c r="B24" s="254">
        <v>142013</v>
      </c>
      <c r="C24" s="227">
        <f>B24/'- 3 -'!D24</f>
        <v>0.004077258592176139</v>
      </c>
      <c r="D24" s="254">
        <v>25376</v>
      </c>
      <c r="E24" s="227">
        <f>D24/'- 3 -'!D24</f>
        <v>0.0007285566394278108</v>
      </c>
    </row>
    <row r="25" spans="1:5" ht="13.5" customHeight="1">
      <c r="A25" s="25" t="s">
        <v>372</v>
      </c>
      <c r="B25" s="253">
        <v>148769</v>
      </c>
      <c r="C25" s="226">
        <f>B25/'- 3 -'!D25</f>
        <v>0.0013465614036644773</v>
      </c>
      <c r="D25" s="253">
        <v>281214</v>
      </c>
      <c r="E25" s="226">
        <f>D25/'- 3 -'!D25</f>
        <v>0.002545368447526718</v>
      </c>
    </row>
    <row r="26" spans="1:5" ht="13.5" customHeight="1">
      <c r="A26" s="27" t="s">
        <v>373</v>
      </c>
      <c r="B26" s="254">
        <v>126195</v>
      </c>
      <c r="C26" s="227">
        <f>B26/'- 3 -'!D26</f>
        <v>0.004660867460951315</v>
      </c>
      <c r="D26" s="254">
        <v>34837</v>
      </c>
      <c r="E26" s="227">
        <f>D26/'- 3 -'!D26</f>
        <v>0.0012866646042803676</v>
      </c>
    </row>
    <row r="27" spans="1:5" ht="13.5" customHeight="1">
      <c r="A27" s="25" t="s">
        <v>374</v>
      </c>
      <c r="B27" s="253">
        <v>130962</v>
      </c>
      <c r="C27" s="226">
        <f>B27/'- 3 -'!D27</f>
        <v>0.004831183524911182</v>
      </c>
      <c r="D27" s="253">
        <v>92785</v>
      </c>
      <c r="E27" s="226">
        <f>D27/'- 3 -'!D27</f>
        <v>0.0034228353519256275</v>
      </c>
    </row>
    <row r="28" spans="1:5" ht="13.5" customHeight="1">
      <c r="A28" s="27" t="s">
        <v>375</v>
      </c>
      <c r="B28" s="254">
        <v>61387</v>
      </c>
      <c r="C28" s="227">
        <f>B28/'- 3 -'!D28</f>
        <v>0.0036816321518145494</v>
      </c>
      <c r="D28" s="254">
        <v>54690</v>
      </c>
      <c r="E28" s="227">
        <f>D28/'- 3 -'!D28</f>
        <v>0.003279985377730427</v>
      </c>
    </row>
    <row r="29" spans="1:5" ht="13.5" customHeight="1">
      <c r="A29" s="25" t="s">
        <v>376</v>
      </c>
      <c r="B29" s="253">
        <v>415619</v>
      </c>
      <c r="C29" s="226">
        <f>B29/'- 3 -'!D29</f>
        <v>0.004080495662914157</v>
      </c>
      <c r="D29" s="253">
        <v>210730</v>
      </c>
      <c r="E29" s="226">
        <f>D29/'- 3 -'!D29</f>
        <v>0.0020689209373149454</v>
      </c>
    </row>
    <row r="30" spans="1:5" ht="13.5" customHeight="1">
      <c r="A30" s="27" t="s">
        <v>377</v>
      </c>
      <c r="B30" s="254">
        <v>35175</v>
      </c>
      <c r="C30" s="227">
        <f>B30/'- 3 -'!D30</f>
        <v>0.003580290781700383</v>
      </c>
      <c r="D30" s="254">
        <v>26057</v>
      </c>
      <c r="E30" s="227">
        <f>D30/'- 3 -'!D30</f>
        <v>0.0026522142686216596</v>
      </c>
    </row>
    <row r="31" spans="1:5" ht="13.5" customHeight="1">
      <c r="A31" s="25" t="s">
        <v>378</v>
      </c>
      <c r="B31" s="253">
        <v>56523</v>
      </c>
      <c r="C31" s="226">
        <f>B31/'- 3 -'!D31</f>
        <v>0.002267634465652798</v>
      </c>
      <c r="D31" s="253">
        <v>36481</v>
      </c>
      <c r="E31" s="226">
        <f>D31/'- 3 -'!D31</f>
        <v>0.0014635736415526373</v>
      </c>
    </row>
    <row r="32" spans="1:5" ht="13.5" customHeight="1">
      <c r="A32" s="27" t="s">
        <v>379</v>
      </c>
      <c r="B32" s="254">
        <v>106920</v>
      </c>
      <c r="C32" s="227">
        <f>B32/'- 3 -'!D32</f>
        <v>0.005772192425201331</v>
      </c>
      <c r="D32" s="254">
        <v>54126</v>
      </c>
      <c r="E32" s="227">
        <f>D32/'- 3 -'!D32</f>
        <v>0.002922050946562358</v>
      </c>
    </row>
    <row r="33" spans="1:5" ht="13.5" customHeight="1">
      <c r="A33" s="25" t="s">
        <v>380</v>
      </c>
      <c r="B33" s="253">
        <v>86020</v>
      </c>
      <c r="C33" s="226">
        <f>B33/'- 3 -'!D33</f>
        <v>0.003913841435368814</v>
      </c>
      <c r="D33" s="253">
        <v>67942</v>
      </c>
      <c r="E33" s="226">
        <f>D33/'- 3 -'!D33</f>
        <v>0.003091306844941037</v>
      </c>
    </row>
    <row r="34" spans="1:5" ht="13.5" customHeight="1">
      <c r="A34" s="27" t="s">
        <v>381</v>
      </c>
      <c r="B34" s="254">
        <v>63816</v>
      </c>
      <c r="C34" s="227">
        <f>B34/'- 3 -'!D34</f>
        <v>0.003759583207996219</v>
      </c>
      <c r="D34" s="254">
        <v>90823</v>
      </c>
      <c r="E34" s="227">
        <f>D34/'- 3 -'!D34</f>
        <v>0.005350642874825132</v>
      </c>
    </row>
    <row r="35" spans="1:5" ht="13.5" customHeight="1">
      <c r="A35" s="25" t="s">
        <v>382</v>
      </c>
      <c r="B35" s="253">
        <v>320344</v>
      </c>
      <c r="C35" s="226">
        <f>B35/'- 3 -'!D35</f>
        <v>0.0025388238746108208</v>
      </c>
      <c r="D35" s="253">
        <v>286374</v>
      </c>
      <c r="E35" s="226">
        <f>D35/'- 3 -'!D35</f>
        <v>0.0022696012669748745</v>
      </c>
    </row>
    <row r="36" spans="1:5" ht="13.5" customHeight="1">
      <c r="A36" s="27" t="s">
        <v>383</v>
      </c>
      <c r="B36" s="254">
        <v>43764</v>
      </c>
      <c r="C36" s="227">
        <f>B36/'- 3 -'!D36</f>
        <v>0.0026217555146486188</v>
      </c>
      <c r="D36" s="254">
        <v>0</v>
      </c>
      <c r="E36" s="227">
        <f>D36/'- 3 -'!D36</f>
        <v>0</v>
      </c>
    </row>
    <row r="37" spans="1:5" ht="13.5" customHeight="1">
      <c r="A37" s="25" t="s">
        <v>384</v>
      </c>
      <c r="B37" s="253">
        <v>59247</v>
      </c>
      <c r="C37" s="226">
        <f>B37/'- 3 -'!D37</f>
        <v>0.002348809054757819</v>
      </c>
      <c r="D37" s="253">
        <v>81074</v>
      </c>
      <c r="E37" s="226">
        <f>D37/'- 3 -'!D37</f>
        <v>0.0032141263744229313</v>
      </c>
    </row>
    <row r="38" spans="1:5" ht="13.5" customHeight="1">
      <c r="A38" s="27" t="s">
        <v>385</v>
      </c>
      <c r="B38" s="254">
        <v>338881</v>
      </c>
      <c r="C38" s="227">
        <f>B38/'- 3 -'!D38</f>
        <v>0.005192286135899041</v>
      </c>
      <c r="D38" s="254">
        <v>129493</v>
      </c>
      <c r="E38" s="227">
        <f>D38/'- 3 -'!D38</f>
        <v>0.0019840731955936583</v>
      </c>
    </row>
    <row r="39" spans="1:5" ht="13.5" customHeight="1">
      <c r="A39" s="25" t="s">
        <v>386</v>
      </c>
      <c r="B39" s="253">
        <v>23810</v>
      </c>
      <c r="C39" s="226">
        <f>B39/'- 3 -'!D39</f>
        <v>0.0015530516845947057</v>
      </c>
      <c r="D39" s="253">
        <v>40512</v>
      </c>
      <c r="E39" s="226">
        <f>D39/'- 3 -'!D39</f>
        <v>0.0026424708041285477</v>
      </c>
    </row>
    <row r="40" spans="1:5" ht="13.5" customHeight="1">
      <c r="A40" s="27" t="s">
        <v>387</v>
      </c>
      <c r="B40" s="254">
        <v>421191</v>
      </c>
      <c r="C40" s="227">
        <f>B40/'- 3 -'!D40</f>
        <v>0.006410400108602534</v>
      </c>
      <c r="D40" s="254">
        <v>217490</v>
      </c>
      <c r="E40" s="227">
        <f>D40/'- 3 -'!D40</f>
        <v>0.0033101322668812137</v>
      </c>
    </row>
    <row r="41" spans="1:5" ht="13.5" customHeight="1">
      <c r="A41" s="25" t="s">
        <v>388</v>
      </c>
      <c r="B41" s="253">
        <v>148722</v>
      </c>
      <c r="C41" s="226">
        <f>B41/'- 3 -'!D41</f>
        <v>0.003804147559855815</v>
      </c>
      <c r="D41" s="253">
        <v>73664</v>
      </c>
      <c r="E41" s="226">
        <f>D41/'- 3 -'!D41</f>
        <v>0.0018842452754079338</v>
      </c>
    </row>
    <row r="42" spans="1:5" ht="13.5" customHeight="1">
      <c r="A42" s="27" t="s">
        <v>389</v>
      </c>
      <c r="B42" s="254">
        <v>86399</v>
      </c>
      <c r="C42" s="227">
        <f>B42/'- 3 -'!D42</f>
        <v>0.005716658987022769</v>
      </c>
      <c r="D42" s="254">
        <v>62535</v>
      </c>
      <c r="E42" s="227">
        <f>D42/'- 3 -'!D42</f>
        <v>0.004137678326756894</v>
      </c>
    </row>
    <row r="43" spans="1:5" ht="13.5" customHeight="1">
      <c r="A43" s="25" t="s">
        <v>390</v>
      </c>
      <c r="B43" s="253">
        <v>44752</v>
      </c>
      <c r="C43" s="226">
        <f>B43/'- 3 -'!D43</f>
        <v>0.004845717097264734</v>
      </c>
      <c r="D43" s="253">
        <v>5828</v>
      </c>
      <c r="E43" s="226">
        <f>D43/'- 3 -'!D43</f>
        <v>0.0006310520031028528</v>
      </c>
    </row>
    <row r="44" spans="1:5" ht="13.5" customHeight="1">
      <c r="A44" s="27" t="s">
        <v>391</v>
      </c>
      <c r="B44" s="254">
        <v>27316</v>
      </c>
      <c r="C44" s="227">
        <f>B44/'- 3 -'!D44</f>
        <v>0.003961607389276656</v>
      </c>
      <c r="D44" s="254">
        <v>14004</v>
      </c>
      <c r="E44" s="227">
        <f>D44/'- 3 -'!D44</f>
        <v>0.002030983668158965</v>
      </c>
    </row>
    <row r="45" spans="1:5" ht="13.5" customHeight="1">
      <c r="A45" s="25" t="s">
        <v>392</v>
      </c>
      <c r="B45" s="253">
        <v>10753</v>
      </c>
      <c r="C45" s="226">
        <f>B45/'- 3 -'!D45</f>
        <v>0.0010286732947104602</v>
      </c>
      <c r="D45" s="253">
        <v>19095</v>
      </c>
      <c r="E45" s="226">
        <f>D45/'- 3 -'!D45</f>
        <v>0.0018267010659812363</v>
      </c>
    </row>
    <row r="46" spans="1:5" ht="13.5" customHeight="1">
      <c r="A46" s="27" t="s">
        <v>393</v>
      </c>
      <c r="B46" s="254">
        <v>1664620</v>
      </c>
      <c r="C46" s="227">
        <f>B46/'- 3 -'!D46</f>
        <v>0.00639998056114806</v>
      </c>
      <c r="D46" s="254">
        <v>589476</v>
      </c>
      <c r="E46" s="227">
        <f>D46/'- 3 -'!D46</f>
        <v>0.002266364059823451</v>
      </c>
    </row>
    <row r="47" spans="1:5" ht="13.5" customHeight="1">
      <c r="A47" s="25" t="s">
        <v>397</v>
      </c>
      <c r="B47" s="253">
        <v>0</v>
      </c>
      <c r="C47" s="226">
        <f>B47/'- 3 -'!D47</f>
        <v>0</v>
      </c>
      <c r="D47" s="253">
        <v>28286</v>
      </c>
      <c r="E47" s="226">
        <f>D47/'- 3 -'!D47</f>
        <v>0.004829208121524087</v>
      </c>
    </row>
    <row r="48" spans="1:5" ht="4.5" customHeight="1">
      <c r="A48" s="29"/>
      <c r="B48" s="255"/>
      <c r="C48" s="215"/>
      <c r="D48" s="255"/>
      <c r="E48" s="215"/>
    </row>
    <row r="49" spans="1:5" ht="13.5" customHeight="1">
      <c r="A49" s="31" t="s">
        <v>394</v>
      </c>
      <c r="B49" s="256">
        <f>SUM(B11:B47)</f>
        <v>7649682</v>
      </c>
      <c r="C49" s="228">
        <f>B49/'- 3 -'!D49</f>
        <v>0.005437698496465174</v>
      </c>
      <c r="D49" s="256">
        <f>SUM(D11:D47)</f>
        <v>3135804</v>
      </c>
      <c r="E49" s="228">
        <f>D49/'- 3 -'!D49</f>
        <v>0.002229054318337609</v>
      </c>
    </row>
    <row r="50" spans="1:5" ht="4.5" customHeight="1">
      <c r="A50" s="29" t="s">
        <v>78</v>
      </c>
      <c r="B50" s="255"/>
      <c r="C50" s="215"/>
      <c r="D50" s="255"/>
      <c r="E50" s="215"/>
    </row>
    <row r="51" spans="1:5" ht="13.5" customHeight="1">
      <c r="A51" s="27" t="s">
        <v>395</v>
      </c>
      <c r="B51" s="254">
        <v>0</v>
      </c>
      <c r="C51" s="227">
        <f>B51/'- 3 -'!D51</f>
        <v>0</v>
      </c>
      <c r="D51" s="254">
        <v>2033</v>
      </c>
      <c r="E51" s="227">
        <f>D51/'- 3 -'!D51</f>
        <v>0.0016170984497172265</v>
      </c>
    </row>
    <row r="52" spans="1:5" ht="13.5" customHeight="1">
      <c r="A52" s="25" t="s">
        <v>396</v>
      </c>
      <c r="B52" s="253">
        <v>0</v>
      </c>
      <c r="C52" s="226">
        <f>B52/'- 3 -'!D52</f>
        <v>0</v>
      </c>
      <c r="D52" s="253">
        <v>8182</v>
      </c>
      <c r="E52" s="226">
        <f>D52/'- 3 -'!D52</f>
        <v>0.0033800796727164115</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56"/>
  <sheetViews>
    <sheetView showGridLines="0" showZeros="0" workbookViewId="0" topLeftCell="A1">
      <selection activeCell="A1" sqref="A1"/>
    </sheetView>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ustomWidth="1"/>
  </cols>
  <sheetData>
    <row r="1" spans="1:5" ht="6.75" customHeight="1">
      <c r="A1" s="5"/>
      <c r="B1" s="6"/>
      <c r="C1" s="6"/>
      <c r="D1" s="6"/>
      <c r="E1" s="6"/>
    </row>
    <row r="2" spans="1:5" ht="15.75" customHeight="1">
      <c r="A2" s="38"/>
      <c r="B2" s="551" t="s">
        <v>85</v>
      </c>
      <c r="C2" s="551"/>
      <c r="D2" s="551"/>
      <c r="E2" s="39"/>
    </row>
    <row r="3" spans="1:5" ht="15.75" customHeight="1">
      <c r="A3" s="40"/>
      <c r="B3" s="552"/>
      <c r="C3" s="552"/>
      <c r="D3" s="552"/>
      <c r="E3" s="41"/>
    </row>
    <row r="4" spans="2:5" ht="15.75" customHeight="1">
      <c r="B4" s="6"/>
      <c r="C4" s="42"/>
      <c r="D4" s="43"/>
      <c r="E4" s="42"/>
    </row>
    <row r="5" spans="2:5" ht="15.75" customHeight="1">
      <c r="B5" s="6"/>
      <c r="C5" s="6"/>
      <c r="D5" s="6"/>
      <c r="E5" s="6"/>
    </row>
    <row r="6" spans="2:5" ht="15.75" customHeight="1">
      <c r="B6" s="6"/>
      <c r="C6" s="6"/>
      <c r="D6" s="6"/>
      <c r="E6" s="6"/>
    </row>
    <row r="7" spans="2:5" ht="15.75" customHeight="1">
      <c r="B7" s="44" t="s">
        <v>444</v>
      </c>
      <c r="C7" s="45"/>
      <c r="D7" s="44" t="s">
        <v>454</v>
      </c>
      <c r="E7" s="46"/>
    </row>
    <row r="8" spans="1:5" ht="15.75" customHeight="1">
      <c r="A8" s="47"/>
      <c r="B8" s="48" t="s">
        <v>574</v>
      </c>
      <c r="C8" s="535"/>
      <c r="D8" s="48" t="s">
        <v>574</v>
      </c>
      <c r="E8" s="535"/>
    </row>
    <row r="9" spans="1:5" ht="15.75" customHeight="1">
      <c r="A9" s="49" t="s">
        <v>175</v>
      </c>
      <c r="B9" s="536" t="s">
        <v>575</v>
      </c>
      <c r="C9" s="536" t="s">
        <v>187</v>
      </c>
      <c r="D9" s="536" t="s">
        <v>575</v>
      </c>
      <c r="E9" s="536" t="s">
        <v>187</v>
      </c>
    </row>
    <row r="10" ht="4.5" customHeight="1">
      <c r="A10" s="4"/>
    </row>
    <row r="11" spans="1:5" ht="13.5" customHeight="1">
      <c r="A11" s="25" t="s">
        <v>359</v>
      </c>
      <c r="B11" s="26">
        <v>11166615.04</v>
      </c>
      <c r="C11" s="26">
        <v>6882</v>
      </c>
      <c r="D11" s="26">
        <f>'- 3 -'!F11</f>
        <v>11410532</v>
      </c>
      <c r="E11" s="26">
        <f>ROUND(D11/'- 7 -'!F11,0)</f>
        <v>7305</v>
      </c>
    </row>
    <row r="12" spans="1:5" ht="13.5" customHeight="1">
      <c r="A12" s="27" t="s">
        <v>360</v>
      </c>
      <c r="B12" s="51">
        <v>17883408</v>
      </c>
      <c r="C12" s="51">
        <v>7610</v>
      </c>
      <c r="D12" s="28">
        <f>'- 3 -'!F12</f>
        <v>18659056</v>
      </c>
      <c r="E12" s="28">
        <f>ROUND(D12/'- 7 -'!F12,0)</f>
        <v>7856</v>
      </c>
    </row>
    <row r="13" spans="1:5" ht="13.5" customHeight="1">
      <c r="A13" s="25" t="s">
        <v>361</v>
      </c>
      <c r="B13" s="26">
        <v>46472088</v>
      </c>
      <c r="C13" s="26">
        <v>6372</v>
      </c>
      <c r="D13" s="26">
        <f>'- 3 -'!F13</f>
        <v>48865719.84</v>
      </c>
      <c r="E13" s="26">
        <f>ROUND(D13/'- 7 -'!F13,0)</f>
        <v>6874</v>
      </c>
    </row>
    <row r="14" spans="1:5" ht="13.5" customHeight="1">
      <c r="A14" s="27" t="s">
        <v>398</v>
      </c>
      <c r="B14" s="28">
        <v>39328158</v>
      </c>
      <c r="C14" s="28">
        <v>9191</v>
      </c>
      <c r="D14" s="28">
        <f>'- 3 -'!F14</f>
        <v>42219848</v>
      </c>
      <c r="E14" s="28">
        <f>ROUND(D14/'- 7 -'!F14,0)</f>
        <v>9882</v>
      </c>
    </row>
    <row r="15" spans="1:5" ht="13.5" customHeight="1">
      <c r="A15" s="25" t="s">
        <v>362</v>
      </c>
      <c r="B15" s="26">
        <v>12289896</v>
      </c>
      <c r="C15" s="26">
        <v>7289</v>
      </c>
      <c r="D15" s="26">
        <f>'- 3 -'!F15</f>
        <v>12793275</v>
      </c>
      <c r="E15" s="26">
        <f>ROUND(D15/'- 7 -'!F15,0)</f>
        <v>7700</v>
      </c>
    </row>
    <row r="16" spans="1:5" ht="13.5" customHeight="1">
      <c r="A16" s="27" t="s">
        <v>363</v>
      </c>
      <c r="B16" s="28">
        <v>10778848</v>
      </c>
      <c r="C16" s="28">
        <v>7649</v>
      </c>
      <c r="D16" s="28">
        <f>'- 3 -'!F16</f>
        <v>10708418.5</v>
      </c>
      <c r="E16" s="28">
        <f>ROUND(D16/'- 7 -'!F16,0)</f>
        <v>7693</v>
      </c>
    </row>
    <row r="17" spans="1:5" ht="13.5" customHeight="1">
      <c r="A17" s="25" t="s">
        <v>364</v>
      </c>
      <c r="B17" s="26">
        <v>12256252</v>
      </c>
      <c r="C17" s="26">
        <v>7803</v>
      </c>
      <c r="D17" s="26">
        <f>'- 3 -'!F17</f>
        <v>12322093</v>
      </c>
      <c r="E17" s="26">
        <f>ROUND(D17/'- 7 -'!F17,0)</f>
        <v>7804</v>
      </c>
    </row>
    <row r="18" spans="1:5" ht="13.5" customHeight="1">
      <c r="A18" s="27" t="s">
        <v>365</v>
      </c>
      <c r="B18" s="51">
        <v>70422417.4</v>
      </c>
      <c r="C18" s="51">
        <v>11878</v>
      </c>
      <c r="D18" s="28">
        <f>'- 3 -'!F18</f>
        <v>71283101</v>
      </c>
      <c r="E18" s="28">
        <f>ROUND(D18/'- 7 -'!F18,0)</f>
        <v>12166</v>
      </c>
    </row>
    <row r="19" spans="1:5" ht="13.5" customHeight="1">
      <c r="A19" s="25" t="s">
        <v>366</v>
      </c>
      <c r="B19" s="26">
        <v>17680628</v>
      </c>
      <c r="C19" s="26">
        <v>6040</v>
      </c>
      <c r="D19" s="26">
        <f>'- 3 -'!F19</f>
        <v>18335713</v>
      </c>
      <c r="E19" s="26">
        <f>ROUND(D19/'- 7 -'!F19,0)</f>
        <v>6092</v>
      </c>
    </row>
    <row r="20" spans="1:5" ht="13.5" customHeight="1">
      <c r="A20" s="27" t="s">
        <v>367</v>
      </c>
      <c r="B20" s="28">
        <v>33325751</v>
      </c>
      <c r="C20" s="28">
        <v>5444</v>
      </c>
      <c r="D20" s="28">
        <f>'- 3 -'!F20</f>
        <v>36566368</v>
      </c>
      <c r="E20" s="28">
        <f>ROUND(D20/'- 7 -'!F20,0)</f>
        <v>5779</v>
      </c>
    </row>
    <row r="21" spans="1:5" ht="13.5" customHeight="1">
      <c r="A21" s="25" t="s">
        <v>368</v>
      </c>
      <c r="B21" s="26">
        <v>23180659</v>
      </c>
      <c r="C21" s="26">
        <v>7004</v>
      </c>
      <c r="D21" s="26">
        <f>'- 3 -'!F21</f>
        <v>23995673</v>
      </c>
      <c r="E21" s="26">
        <f>ROUND(D21/'- 7 -'!F21,0)</f>
        <v>7220</v>
      </c>
    </row>
    <row r="22" spans="1:5" ht="13.5" customHeight="1">
      <c r="A22" s="27" t="s">
        <v>369</v>
      </c>
      <c r="B22" s="28">
        <v>12353028</v>
      </c>
      <c r="C22" s="28">
        <v>7309</v>
      </c>
      <c r="D22" s="28">
        <f>'- 3 -'!F22</f>
        <v>12989054</v>
      </c>
      <c r="E22" s="28">
        <f>ROUND(D22/'- 7 -'!F22,0)</f>
        <v>7677</v>
      </c>
    </row>
    <row r="23" spans="1:5" ht="13.5" customHeight="1">
      <c r="A23" s="25" t="s">
        <v>370</v>
      </c>
      <c r="B23" s="26">
        <v>10509778</v>
      </c>
      <c r="C23" s="26">
        <v>7665</v>
      </c>
      <c r="D23" s="26">
        <f>'- 3 -'!F23</f>
        <v>11050302</v>
      </c>
      <c r="E23" s="26">
        <f>ROUND(D23/'- 7 -'!F23,0)</f>
        <v>8324</v>
      </c>
    </row>
    <row r="24" spans="1:5" ht="13.5" customHeight="1">
      <c r="A24" s="27" t="s">
        <v>371</v>
      </c>
      <c r="B24" s="28">
        <v>32770433.409999996</v>
      </c>
      <c r="C24" s="28">
        <v>7106</v>
      </c>
      <c r="D24" s="28">
        <f>'- 3 -'!F24</f>
        <v>34227179.94</v>
      </c>
      <c r="E24" s="28">
        <f>ROUND(D24/'- 7 -'!F24,0)</f>
        <v>7344</v>
      </c>
    </row>
    <row r="25" spans="1:5" ht="13.5" customHeight="1">
      <c r="A25" s="25" t="s">
        <v>372</v>
      </c>
      <c r="B25" s="26">
        <v>102995915</v>
      </c>
      <c r="C25" s="26">
        <v>6917</v>
      </c>
      <c r="D25" s="26">
        <f>'- 3 -'!F25</f>
        <v>110029956.49000001</v>
      </c>
      <c r="E25" s="26">
        <f>ROUND(D25/'- 7 -'!F25,0)</f>
        <v>7328</v>
      </c>
    </row>
    <row r="26" spans="1:5" ht="13.5" customHeight="1">
      <c r="A26" s="27" t="s">
        <v>373</v>
      </c>
      <c r="B26" s="51">
        <v>25696923.039999995</v>
      </c>
      <c r="C26" s="51">
        <v>7671</v>
      </c>
      <c r="D26" s="28">
        <f>'- 3 -'!F26</f>
        <v>26982471</v>
      </c>
      <c r="E26" s="28">
        <f>ROUND(D26/'- 7 -'!F26,0)</f>
        <v>8176</v>
      </c>
    </row>
    <row r="27" spans="1:5" ht="13.5" customHeight="1">
      <c r="A27" s="25" t="s">
        <v>374</v>
      </c>
      <c r="B27" s="26">
        <v>25682002</v>
      </c>
      <c r="C27" s="26">
        <v>7740</v>
      </c>
      <c r="D27" s="26">
        <f>'- 3 -'!F27</f>
        <v>27082264.36</v>
      </c>
      <c r="E27" s="26">
        <f>ROUND(D27/'- 7 -'!F27,0)</f>
        <v>8338</v>
      </c>
    </row>
    <row r="28" spans="1:5" ht="13.5" customHeight="1">
      <c r="A28" s="27" t="s">
        <v>375</v>
      </c>
      <c r="B28" s="28">
        <v>16069353.969999999</v>
      </c>
      <c r="C28" s="28">
        <v>7505</v>
      </c>
      <c r="D28" s="28">
        <f>'- 3 -'!F28</f>
        <v>16664296.82</v>
      </c>
      <c r="E28" s="28">
        <f>ROUND(D28/'- 7 -'!F28,0)</f>
        <v>8000</v>
      </c>
    </row>
    <row r="29" spans="1:5" ht="13.5" customHeight="1">
      <c r="A29" s="25" t="s">
        <v>376</v>
      </c>
      <c r="B29" s="26">
        <v>97469910</v>
      </c>
      <c r="C29" s="26">
        <v>7453</v>
      </c>
      <c r="D29" s="26">
        <f>'- 3 -'!F29</f>
        <v>101663371</v>
      </c>
      <c r="E29" s="26">
        <f>ROUND(D29/'- 7 -'!F29,0)</f>
        <v>7726</v>
      </c>
    </row>
    <row r="30" spans="1:5" ht="13.5" customHeight="1">
      <c r="A30" s="27" t="s">
        <v>377</v>
      </c>
      <c r="B30" s="28">
        <v>9629942</v>
      </c>
      <c r="C30" s="28">
        <v>7508</v>
      </c>
      <c r="D30" s="28">
        <f>'- 3 -'!F30</f>
        <v>9819919</v>
      </c>
      <c r="E30" s="28">
        <f>ROUND(D30/'- 7 -'!F30,0)</f>
        <v>7705</v>
      </c>
    </row>
    <row r="31" spans="1:5" ht="13.5" customHeight="1">
      <c r="A31" s="25" t="s">
        <v>378</v>
      </c>
      <c r="B31" s="26">
        <v>24178332</v>
      </c>
      <c r="C31" s="26">
        <v>7185</v>
      </c>
      <c r="D31" s="26">
        <f>'- 3 -'!F31</f>
        <v>24803671</v>
      </c>
      <c r="E31" s="26">
        <f>ROUND(D31/'- 7 -'!F31,0)</f>
        <v>7289</v>
      </c>
    </row>
    <row r="32" spans="1:5" ht="13.5" customHeight="1">
      <c r="A32" s="27" t="s">
        <v>379</v>
      </c>
      <c r="B32" s="28">
        <v>17898483</v>
      </c>
      <c r="C32" s="28">
        <v>7616</v>
      </c>
      <c r="D32" s="28">
        <f>'- 3 -'!F32</f>
        <v>18286292</v>
      </c>
      <c r="E32" s="28">
        <f>ROUND(D32/'- 7 -'!F32,0)</f>
        <v>7875</v>
      </c>
    </row>
    <row r="33" spans="1:5" ht="13.5" customHeight="1">
      <c r="A33" s="25" t="s">
        <v>380</v>
      </c>
      <c r="B33" s="26">
        <v>21666050</v>
      </c>
      <c r="C33" s="26">
        <v>8690</v>
      </c>
      <c r="D33" s="26">
        <f>'- 3 -'!F33</f>
        <v>21966677</v>
      </c>
      <c r="E33" s="26">
        <f>ROUND(D33/'- 7 -'!F33,0)</f>
        <v>8702</v>
      </c>
    </row>
    <row r="34" spans="1:5" ht="13.5" customHeight="1">
      <c r="A34" s="27" t="s">
        <v>381</v>
      </c>
      <c r="B34" s="51">
        <v>16232824.79</v>
      </c>
      <c r="C34" s="51">
        <v>7339</v>
      </c>
      <c r="D34" s="28">
        <f>'- 3 -'!F34</f>
        <v>16864389</v>
      </c>
      <c r="E34" s="28">
        <f>ROUND(D34/'- 7 -'!F34,0)</f>
        <v>7704</v>
      </c>
    </row>
    <row r="35" spans="1:5" ht="13.5" customHeight="1">
      <c r="A35" s="25" t="s">
        <v>382</v>
      </c>
      <c r="B35" s="52">
        <v>121068113</v>
      </c>
      <c r="C35" s="52">
        <v>6795</v>
      </c>
      <c r="D35" s="26">
        <f>'- 3 -'!F35</f>
        <v>124682409.74</v>
      </c>
      <c r="E35" s="26">
        <f>ROUND(D35/'- 7 -'!F35,0)</f>
        <v>6988</v>
      </c>
    </row>
    <row r="36" spans="1:5" ht="13.5" customHeight="1">
      <c r="A36" s="27" t="s">
        <v>383</v>
      </c>
      <c r="B36" s="28">
        <v>15786108</v>
      </c>
      <c r="C36" s="28">
        <v>7432</v>
      </c>
      <c r="D36" s="28">
        <f>'- 3 -'!F36</f>
        <v>16550797</v>
      </c>
      <c r="E36" s="28">
        <f>ROUND(D36/'- 7 -'!F36,0)</f>
        <v>7906</v>
      </c>
    </row>
    <row r="37" spans="1:5" ht="13.5" customHeight="1">
      <c r="A37" s="25" t="s">
        <v>384</v>
      </c>
      <c r="B37" s="26">
        <v>23109516</v>
      </c>
      <c r="C37" s="26">
        <v>6837</v>
      </c>
      <c r="D37" s="26">
        <f>'- 3 -'!F37</f>
        <v>24923372.65</v>
      </c>
      <c r="E37" s="26">
        <f>ROUND(D37/'- 7 -'!F37,0)</f>
        <v>7397</v>
      </c>
    </row>
    <row r="38" spans="1:5" ht="13.5" customHeight="1">
      <c r="A38" s="27" t="s">
        <v>385</v>
      </c>
      <c r="B38" s="28">
        <v>60912914.37</v>
      </c>
      <c r="C38" s="28">
        <v>7146</v>
      </c>
      <c r="D38" s="28">
        <f>'- 3 -'!F38</f>
        <v>64801248.33</v>
      </c>
      <c r="E38" s="28">
        <f>ROUND(D38/'- 7 -'!F38,0)</f>
        <v>7619</v>
      </c>
    </row>
    <row r="39" spans="1:5" ht="13.5" customHeight="1">
      <c r="A39" s="25" t="s">
        <v>386</v>
      </c>
      <c r="B39" s="26">
        <v>14630987.77</v>
      </c>
      <c r="C39" s="26">
        <v>8088</v>
      </c>
      <c r="D39" s="26">
        <f>'- 3 -'!F39</f>
        <v>15261435</v>
      </c>
      <c r="E39" s="26">
        <f>ROUND(D39/'- 7 -'!F39,0)</f>
        <v>8385</v>
      </c>
    </row>
    <row r="40" spans="1:5" ht="13.5" customHeight="1">
      <c r="A40" s="27" t="s">
        <v>387</v>
      </c>
      <c r="B40" s="28">
        <v>61581665</v>
      </c>
      <c r="C40" s="28">
        <v>6753</v>
      </c>
      <c r="D40" s="28">
        <f>'- 3 -'!F40</f>
        <v>64879047.11</v>
      </c>
      <c r="E40" s="28">
        <f>ROUND(D40/'- 7 -'!F40,0)</f>
        <v>7237</v>
      </c>
    </row>
    <row r="41" spans="1:5" ht="13.5" customHeight="1">
      <c r="A41" s="25" t="s">
        <v>388</v>
      </c>
      <c r="B41" s="52">
        <v>36338724</v>
      </c>
      <c r="C41" s="52">
        <v>7392</v>
      </c>
      <c r="D41" s="26">
        <f>'- 3 -'!F41</f>
        <v>37948216</v>
      </c>
      <c r="E41" s="26">
        <f>ROUND(D41/'- 7 -'!F41,0)</f>
        <v>7936</v>
      </c>
    </row>
    <row r="42" spans="1:5" ht="13.5" customHeight="1">
      <c r="A42" s="27" t="s">
        <v>389</v>
      </c>
      <c r="B42" s="28">
        <v>14462324</v>
      </c>
      <c r="C42" s="28">
        <v>7691</v>
      </c>
      <c r="D42" s="28">
        <f>'- 3 -'!F42</f>
        <v>15065598</v>
      </c>
      <c r="E42" s="28">
        <f>ROUND(D42/'- 7 -'!F42,0)</f>
        <v>8054</v>
      </c>
    </row>
    <row r="43" spans="1:5" ht="13.5" customHeight="1">
      <c r="A43" s="25" t="s">
        <v>390</v>
      </c>
      <c r="B43" s="26">
        <v>8911455</v>
      </c>
      <c r="C43" s="26">
        <v>7310</v>
      </c>
      <c r="D43" s="26">
        <f>'- 3 -'!F43</f>
        <v>9064878</v>
      </c>
      <c r="E43" s="26">
        <f>ROUND(D43/'- 7 -'!F43,0)</f>
        <v>7498</v>
      </c>
    </row>
    <row r="44" spans="1:5" ht="13.5" customHeight="1">
      <c r="A44" s="27" t="s">
        <v>391</v>
      </c>
      <c r="B44" s="28">
        <v>6538212.22</v>
      </c>
      <c r="C44" s="28">
        <v>7988</v>
      </c>
      <c r="D44" s="28">
        <f>'- 3 -'!F44</f>
        <v>6895181</v>
      </c>
      <c r="E44" s="28">
        <f>ROUND(D44/'- 7 -'!F44,0)</f>
        <v>8723</v>
      </c>
    </row>
    <row r="45" spans="1:5" ht="13.5" customHeight="1">
      <c r="A45" s="25" t="s">
        <v>392</v>
      </c>
      <c r="B45" s="26">
        <v>9620939</v>
      </c>
      <c r="C45" s="26">
        <v>6599</v>
      </c>
      <c r="D45" s="26">
        <f>'- 3 -'!F45</f>
        <v>10000935</v>
      </c>
      <c r="E45" s="26">
        <f>ROUND(D45/'- 7 -'!F45,0)</f>
        <v>6840</v>
      </c>
    </row>
    <row r="46" spans="1:5" ht="13.5" customHeight="1">
      <c r="A46" s="27" t="s">
        <v>393</v>
      </c>
      <c r="B46" s="28">
        <v>245372715.98000002</v>
      </c>
      <c r="C46" s="28">
        <v>7961</v>
      </c>
      <c r="D46" s="28">
        <f>'- 3 -'!F46</f>
        <v>254759568</v>
      </c>
      <c r="E46" s="28">
        <f>ROUND(D46/'- 7 -'!F46,0)</f>
        <v>8213</v>
      </c>
    </row>
    <row r="47" spans="1:5" ht="13.5" customHeight="1">
      <c r="A47" s="25" t="s">
        <v>397</v>
      </c>
      <c r="B47" s="26">
        <v>5210381</v>
      </c>
      <c r="C47" s="26">
        <v>8448</v>
      </c>
      <c r="D47" s="26">
        <f>'- 3 -'!F47</f>
        <v>5527574</v>
      </c>
      <c r="E47" s="26">
        <f>ROUND(D47/'- 7 -'!F47,0)</f>
        <v>8887</v>
      </c>
    </row>
    <row r="48" spans="1:5" ht="4.5" customHeight="1">
      <c r="A48" s="29"/>
      <c r="B48" s="30"/>
      <c r="C48" s="30"/>
      <c r="D48" s="30"/>
      <c r="E48" s="30"/>
    </row>
    <row r="49" spans="1:6" ht="13.5" customHeight="1">
      <c r="A49" s="31" t="s">
        <v>394</v>
      </c>
      <c r="B49" s="32">
        <v>1331481750.99</v>
      </c>
      <c r="C49" s="32">
        <v>7432</v>
      </c>
      <c r="D49" s="32">
        <f>SUM(D11:D47)</f>
        <v>1389949900.7800002</v>
      </c>
      <c r="E49" s="32">
        <f>ROUND(D49/'- 7 -'!F49,0)</f>
        <v>7764</v>
      </c>
      <c r="F49" s="537"/>
    </row>
    <row r="50" spans="1:5" ht="4.5" customHeight="1">
      <c r="A50" s="29" t="s">
        <v>78</v>
      </c>
      <c r="B50" s="30"/>
      <c r="C50" s="30"/>
      <c r="D50" s="30"/>
      <c r="E50" s="30"/>
    </row>
    <row r="51" spans="1:5" ht="13.5" customHeight="1">
      <c r="A51" s="27" t="s">
        <v>395</v>
      </c>
      <c r="B51" s="28">
        <v>1262893</v>
      </c>
      <c r="C51" s="28">
        <v>8254</v>
      </c>
      <c r="D51" s="28">
        <f>'- 3 -'!F51</f>
        <v>1256712</v>
      </c>
      <c r="E51" s="28">
        <f>ROUND(D51/'- 7 -'!F51,0)</f>
        <v>8667</v>
      </c>
    </row>
    <row r="52" spans="1:5" ht="13.5" customHeight="1">
      <c r="A52" s="25" t="s">
        <v>396</v>
      </c>
      <c r="B52" s="26">
        <v>2383651</v>
      </c>
      <c r="C52" s="26">
        <v>8731</v>
      </c>
      <c r="D52" s="26">
        <f>'- 3 -'!F52</f>
        <v>2417714</v>
      </c>
      <c r="E52" s="26">
        <f>ROUND(D52/'- 7 -'!F52,0)</f>
        <v>8744</v>
      </c>
    </row>
    <row r="53" spans="1:5" ht="49.5" customHeight="1">
      <c r="A53" s="33"/>
      <c r="B53" s="33"/>
      <c r="C53" s="33"/>
      <c r="D53" s="33"/>
      <c r="E53" s="33"/>
    </row>
    <row r="54" spans="1:5" ht="15" customHeight="1">
      <c r="A54" s="163" t="s">
        <v>520</v>
      </c>
      <c r="B54" s="53"/>
      <c r="C54" s="53"/>
      <c r="D54" s="53"/>
      <c r="E54" s="53"/>
    </row>
    <row r="55" spans="1:5" ht="12" customHeight="1">
      <c r="A55" s="34" t="s">
        <v>571</v>
      </c>
      <c r="B55" s="53"/>
      <c r="C55" s="53"/>
      <c r="D55" s="53"/>
      <c r="E55" s="53"/>
    </row>
    <row r="56" spans="1:5" ht="12" customHeight="1">
      <c r="A56" s="34" t="s">
        <v>572</v>
      </c>
      <c r="B56" s="53"/>
      <c r="C56" s="53"/>
      <c r="D56" s="53"/>
      <c r="E56" s="53"/>
    </row>
  </sheetData>
  <mergeCells count="1">
    <mergeCell ref="B2:D3"/>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52"/>
  <sheetViews>
    <sheetView showGridLines="0" showZeros="0" workbookViewId="0" topLeftCell="A1">
      <selection activeCell="A1" sqref="A1"/>
    </sheetView>
  </sheetViews>
  <sheetFormatPr defaultColWidth="15.83203125" defaultRowHeight="12"/>
  <cols>
    <col min="1" max="1" width="33.83203125" style="1" customWidth="1"/>
    <col min="2" max="2" width="18.83203125" style="1" customWidth="1"/>
    <col min="3" max="3" width="15.83203125" style="1" customWidth="1"/>
    <col min="4" max="4" width="18.83203125" style="1" customWidth="1"/>
    <col min="5" max="5" width="15.83203125" style="1" customWidth="1"/>
    <col min="6" max="6" width="29.83203125" style="1" customWidth="1"/>
    <col min="7" max="16384" width="15.83203125" style="1" customWidth="1"/>
  </cols>
  <sheetData>
    <row r="1" spans="1:6" ht="6.75" customHeight="1">
      <c r="A1" s="5"/>
      <c r="B1" s="6"/>
      <c r="C1" s="6"/>
      <c r="D1" s="6"/>
      <c r="E1" s="6"/>
      <c r="F1" s="6"/>
    </row>
    <row r="2" spans="1:6" ht="15.75" customHeight="1">
      <c r="A2" s="219"/>
      <c r="B2" s="7" t="s">
        <v>75</v>
      </c>
      <c r="C2" s="8"/>
      <c r="D2" s="8"/>
      <c r="E2" s="8"/>
      <c r="F2" s="220" t="s">
        <v>331</v>
      </c>
    </row>
    <row r="3" spans="1:6" ht="15.75" customHeight="1">
      <c r="A3" s="221"/>
      <c r="B3" s="9" t="str">
        <f>OPYEAR</f>
        <v>OPERATING FUND 2003/2004 ACTUAL</v>
      </c>
      <c r="C3" s="10"/>
      <c r="D3" s="10"/>
      <c r="E3" s="10"/>
      <c r="F3" s="94"/>
    </row>
    <row r="4" spans="2:6" ht="15.75" customHeight="1">
      <c r="B4" s="6"/>
      <c r="C4" s="6"/>
      <c r="D4" s="6"/>
      <c r="E4" s="6"/>
      <c r="F4" s="6"/>
    </row>
    <row r="5" spans="2:6" ht="15.75" customHeight="1">
      <c r="B5" s="6"/>
      <c r="C5" s="6"/>
      <c r="D5" s="6"/>
      <c r="E5" s="6"/>
      <c r="F5" s="6"/>
    </row>
    <row r="6" spans="2:5" ht="15.75" customHeight="1">
      <c r="B6" s="278" t="s">
        <v>103</v>
      </c>
      <c r="C6" s="279"/>
      <c r="D6" s="280"/>
      <c r="E6" s="281"/>
    </row>
    <row r="7" spans="2:5" ht="15.75" customHeight="1">
      <c r="B7" s="222"/>
      <c r="C7" s="210"/>
      <c r="D7" s="209" t="s">
        <v>136</v>
      </c>
      <c r="E7" s="210"/>
    </row>
    <row r="8" spans="1:5" ht="15.75" customHeight="1">
      <c r="A8" s="96"/>
      <c r="B8" s="71" t="s">
        <v>158</v>
      </c>
      <c r="C8" s="70"/>
      <c r="D8" s="108" t="s">
        <v>159</v>
      </c>
      <c r="E8" s="70"/>
    </row>
    <row r="9" spans="1:5" ht="15.75" customHeight="1">
      <c r="A9" s="49" t="s">
        <v>175</v>
      </c>
      <c r="B9" s="282" t="s">
        <v>176</v>
      </c>
      <c r="C9" s="282" t="s">
        <v>177</v>
      </c>
      <c r="D9" s="282" t="s">
        <v>176</v>
      </c>
      <c r="E9" s="282" t="s">
        <v>177</v>
      </c>
    </row>
    <row r="10" ht="4.5" customHeight="1">
      <c r="A10" s="4"/>
    </row>
    <row r="11" spans="1:5" ht="13.5" customHeight="1">
      <c r="A11" s="25" t="s">
        <v>359</v>
      </c>
      <c r="B11" s="253">
        <v>24105</v>
      </c>
      <c r="C11" s="226">
        <f>B11/'- 3 -'!D11</f>
        <v>0.0021119793254703394</v>
      </c>
      <c r="D11" s="253">
        <v>182553</v>
      </c>
      <c r="E11" s="226">
        <f>D11/'- 3 -'!D11</f>
        <v>0.015994530670092797</v>
      </c>
    </row>
    <row r="12" spans="1:5" ht="13.5" customHeight="1">
      <c r="A12" s="27" t="s">
        <v>360</v>
      </c>
      <c r="B12" s="254">
        <v>69148</v>
      </c>
      <c r="C12" s="227">
        <f>B12/'- 3 -'!D12</f>
        <v>0.003606369005796226</v>
      </c>
      <c r="D12" s="254">
        <v>292788</v>
      </c>
      <c r="E12" s="227">
        <f>D12/'- 3 -'!D12</f>
        <v>0.015270167878594686</v>
      </c>
    </row>
    <row r="13" spans="1:5" ht="13.5" customHeight="1">
      <c r="A13" s="25" t="s">
        <v>361</v>
      </c>
      <c r="B13" s="253">
        <v>14391.19</v>
      </c>
      <c r="C13" s="226">
        <f>B13/'- 3 -'!D13</f>
        <v>0.0002940895493621866</v>
      </c>
      <c r="D13" s="253">
        <v>829731.73</v>
      </c>
      <c r="E13" s="226">
        <f>D13/'- 3 -'!D13</f>
        <v>0.016955889719141186</v>
      </c>
    </row>
    <row r="14" spans="1:5" ht="13.5" customHeight="1">
      <c r="A14" s="27" t="s">
        <v>398</v>
      </c>
      <c r="B14" s="254">
        <v>86985</v>
      </c>
      <c r="C14" s="227">
        <f>B14/'- 3 -'!D14</f>
        <v>0.0020534645347305217</v>
      </c>
      <c r="D14" s="254">
        <v>596964</v>
      </c>
      <c r="E14" s="227">
        <f>D14/'- 3 -'!D14</f>
        <v>0.014092595303912988</v>
      </c>
    </row>
    <row r="15" spans="1:5" ht="13.5" customHeight="1">
      <c r="A15" s="25" t="s">
        <v>362</v>
      </c>
      <c r="B15" s="253">
        <v>41686</v>
      </c>
      <c r="C15" s="226">
        <f>B15/'- 3 -'!D15</f>
        <v>0.00318984904727689</v>
      </c>
      <c r="D15" s="253">
        <v>202467</v>
      </c>
      <c r="E15" s="226">
        <f>D15/'- 3 -'!D15</f>
        <v>0.015492951279926356</v>
      </c>
    </row>
    <row r="16" spans="1:5" ht="13.5" customHeight="1">
      <c r="A16" s="27" t="s">
        <v>363</v>
      </c>
      <c r="B16" s="254">
        <v>38225</v>
      </c>
      <c r="C16" s="227">
        <f>B16/'- 3 -'!D16</f>
        <v>0.003567955456981355</v>
      </c>
      <c r="D16" s="254">
        <v>174509</v>
      </c>
      <c r="E16" s="227">
        <f>D16/'- 3 -'!D16</f>
        <v>0.01628882508416898</v>
      </c>
    </row>
    <row r="17" spans="1:5" ht="13.5" customHeight="1">
      <c r="A17" s="25" t="s">
        <v>364</v>
      </c>
      <c r="B17" s="253">
        <v>57125</v>
      </c>
      <c r="C17" s="226">
        <f>B17/'- 3 -'!D17</f>
        <v>0.00462743835624317</v>
      </c>
      <c r="D17" s="253">
        <v>194219</v>
      </c>
      <c r="E17" s="226">
        <f>D17/'- 3 -'!D17</f>
        <v>0.015732804378314088</v>
      </c>
    </row>
    <row r="18" spans="1:5" ht="13.5" customHeight="1">
      <c r="A18" s="27" t="s">
        <v>365</v>
      </c>
      <c r="B18" s="254">
        <v>110407</v>
      </c>
      <c r="C18" s="227">
        <f>B18/'- 3 -'!D18</f>
        <v>0.001502350083098233</v>
      </c>
      <c r="D18" s="254">
        <v>1043170</v>
      </c>
      <c r="E18" s="227">
        <f>D18/'- 3 -'!D18</f>
        <v>0.01419481134516456</v>
      </c>
    </row>
    <row r="19" spans="1:5" ht="13.5" customHeight="1">
      <c r="A19" s="25" t="s">
        <v>366</v>
      </c>
      <c r="B19" s="253">
        <v>36255</v>
      </c>
      <c r="C19" s="226">
        <f>B19/'- 3 -'!D19</f>
        <v>0.001976114603854838</v>
      </c>
      <c r="D19" s="253">
        <v>311826</v>
      </c>
      <c r="E19" s="226">
        <f>D19/'- 3 -'!D19</f>
        <v>0.016996384290763722</v>
      </c>
    </row>
    <row r="20" spans="1:5" ht="13.5" customHeight="1">
      <c r="A20" s="27" t="s">
        <v>367</v>
      </c>
      <c r="B20" s="254">
        <v>76740</v>
      </c>
      <c r="C20" s="227">
        <f>B20/'- 3 -'!D20</f>
        <v>0.002092059733675943</v>
      </c>
      <c r="D20" s="254">
        <v>603119</v>
      </c>
      <c r="E20" s="227">
        <f>D20/'- 3 -'!D20</f>
        <v>0.016442024687449847</v>
      </c>
    </row>
    <row r="21" spans="1:5" ht="13.5" customHeight="1">
      <c r="A21" s="25" t="s">
        <v>368</v>
      </c>
      <c r="B21" s="253">
        <v>65234</v>
      </c>
      <c r="C21" s="226">
        <f>B21/'- 3 -'!D21</f>
        <v>0.002709892457555999</v>
      </c>
      <c r="D21" s="253">
        <v>393103</v>
      </c>
      <c r="E21" s="226">
        <f>D21/'- 3 -'!D21</f>
        <v>0.016329933083095254</v>
      </c>
    </row>
    <row r="22" spans="1:5" ht="13.5" customHeight="1">
      <c r="A22" s="27" t="s">
        <v>369</v>
      </c>
      <c r="B22" s="254">
        <v>36077</v>
      </c>
      <c r="C22" s="227">
        <f>B22/'- 3 -'!D22</f>
        <v>0.0026759726259653087</v>
      </c>
      <c r="D22" s="254">
        <v>223585</v>
      </c>
      <c r="E22" s="227">
        <f>D22/'- 3 -'!D22</f>
        <v>0.016584176610484617</v>
      </c>
    </row>
    <row r="23" spans="1:5" ht="13.5" customHeight="1">
      <c r="A23" s="25" t="s">
        <v>370</v>
      </c>
      <c r="B23" s="253">
        <v>26907</v>
      </c>
      <c r="C23" s="226">
        <f>B23/'- 3 -'!D23</f>
        <v>0.0023785069319859457</v>
      </c>
      <c r="D23" s="253">
        <v>176783</v>
      </c>
      <c r="E23" s="226">
        <f>D23/'- 3 -'!D23</f>
        <v>0.01562714501643704</v>
      </c>
    </row>
    <row r="24" spans="1:5" ht="13.5" customHeight="1">
      <c r="A24" s="27" t="s">
        <v>371</v>
      </c>
      <c r="B24" s="254">
        <v>88989</v>
      </c>
      <c r="C24" s="227">
        <f>B24/'- 3 -'!D24</f>
        <v>0.002554915147621432</v>
      </c>
      <c r="D24" s="254">
        <v>580064</v>
      </c>
      <c r="E24" s="227">
        <f>D24/'- 3 -'!D24</f>
        <v>0.016653904417286165</v>
      </c>
    </row>
    <row r="25" spans="1:5" ht="13.5" customHeight="1">
      <c r="A25" s="25" t="s">
        <v>372</v>
      </c>
      <c r="B25" s="253">
        <v>131805.91</v>
      </c>
      <c r="C25" s="226">
        <f>B25/'- 3 -'!D25</f>
        <v>0.0011930224117986529</v>
      </c>
      <c r="D25" s="253">
        <v>1548986</v>
      </c>
      <c r="E25" s="226">
        <f>D25/'- 3 -'!D25</f>
        <v>0.014020426045860523</v>
      </c>
    </row>
    <row r="26" spans="1:5" ht="13.5" customHeight="1">
      <c r="A26" s="27" t="s">
        <v>373</v>
      </c>
      <c r="B26" s="254">
        <v>100424</v>
      </c>
      <c r="C26" s="227">
        <f>B26/'- 3 -'!D26</f>
        <v>0.0037090451594641223</v>
      </c>
      <c r="D26" s="254">
        <v>432184</v>
      </c>
      <c r="E26" s="227">
        <f>D26/'- 3 -'!D26</f>
        <v>0.015962219919519658</v>
      </c>
    </row>
    <row r="27" spans="1:5" ht="13.5" customHeight="1">
      <c r="A27" s="25" t="s">
        <v>374</v>
      </c>
      <c r="B27" s="253">
        <v>90471</v>
      </c>
      <c r="C27" s="226">
        <f>B27/'- 3 -'!D27</f>
        <v>0.0033374719741775445</v>
      </c>
      <c r="D27" s="253">
        <v>402067</v>
      </c>
      <c r="E27" s="226">
        <f>D27/'- 3 -'!D27</f>
        <v>0.01483223733839178</v>
      </c>
    </row>
    <row r="28" spans="1:5" ht="13.5" customHeight="1">
      <c r="A28" s="27" t="s">
        <v>375</v>
      </c>
      <c r="B28" s="254">
        <v>47071</v>
      </c>
      <c r="C28" s="227">
        <f>B28/'- 3 -'!D28</f>
        <v>0.0028230424522791902</v>
      </c>
      <c r="D28" s="254">
        <v>219927</v>
      </c>
      <c r="E28" s="227">
        <f>D28/'- 3 -'!D28</f>
        <v>0.013189931325070755</v>
      </c>
    </row>
    <row r="29" spans="1:5" ht="13.5" customHeight="1">
      <c r="A29" s="25" t="s">
        <v>376</v>
      </c>
      <c r="B29" s="253">
        <v>260188</v>
      </c>
      <c r="C29" s="226">
        <f>B29/'- 3 -'!D29</f>
        <v>0.0025544934315859203</v>
      </c>
      <c r="D29" s="253">
        <v>1710975</v>
      </c>
      <c r="E29" s="226">
        <f>D29/'- 3 -'!D29</f>
        <v>0.016798139803172015</v>
      </c>
    </row>
    <row r="30" spans="1:5" ht="13.5" customHeight="1">
      <c r="A30" s="27" t="s">
        <v>377</v>
      </c>
      <c r="B30" s="254">
        <v>11670</v>
      </c>
      <c r="C30" s="227">
        <f>B30/'- 3 -'!D30</f>
        <v>0.0011878320802400418</v>
      </c>
      <c r="D30" s="254">
        <v>158535</v>
      </c>
      <c r="E30" s="227">
        <f>D30/'- 3 -'!D30</f>
        <v>0.01613650032912211</v>
      </c>
    </row>
    <row r="31" spans="1:5" ht="13.5" customHeight="1">
      <c r="A31" s="25" t="s">
        <v>378</v>
      </c>
      <c r="B31" s="253">
        <v>29786</v>
      </c>
      <c r="C31" s="226">
        <f>B31/'- 3 -'!D31</f>
        <v>0.00119497833083761</v>
      </c>
      <c r="D31" s="253">
        <v>407310</v>
      </c>
      <c r="E31" s="226">
        <f>D31/'- 3 -'!D31</f>
        <v>0.01634078506457621</v>
      </c>
    </row>
    <row r="32" spans="1:5" ht="13.5" customHeight="1">
      <c r="A32" s="27" t="s">
        <v>379</v>
      </c>
      <c r="B32" s="254">
        <v>20921</v>
      </c>
      <c r="C32" s="227">
        <f>B32/'- 3 -'!D32</f>
        <v>0.0011294429267455768</v>
      </c>
      <c r="D32" s="254">
        <v>285753</v>
      </c>
      <c r="E32" s="227">
        <f>D32/'- 3 -'!D32</f>
        <v>0.015426686326959933</v>
      </c>
    </row>
    <row r="33" spans="1:5" ht="13.5" customHeight="1">
      <c r="A33" s="25" t="s">
        <v>380</v>
      </c>
      <c r="B33" s="253">
        <v>34412</v>
      </c>
      <c r="C33" s="226">
        <f>B33/'- 3 -'!D33</f>
        <v>0.0015657185709592146</v>
      </c>
      <c r="D33" s="253">
        <v>353055</v>
      </c>
      <c r="E33" s="226">
        <f>D33/'- 3 -'!D33</f>
        <v>0.016063721087702126</v>
      </c>
    </row>
    <row r="34" spans="1:5" ht="13.5" customHeight="1">
      <c r="A34" s="27" t="s">
        <v>381</v>
      </c>
      <c r="B34" s="254">
        <v>46096</v>
      </c>
      <c r="C34" s="227">
        <f>B34/'- 3 -'!D34</f>
        <v>0.0027156472915224037</v>
      </c>
      <c r="D34" s="254">
        <v>260104</v>
      </c>
      <c r="E34" s="227">
        <f>D34/'- 3 -'!D34</f>
        <v>0.01532347108456576</v>
      </c>
    </row>
    <row r="35" spans="1:5" ht="13.5" customHeight="1">
      <c r="A35" s="25" t="s">
        <v>382</v>
      </c>
      <c r="B35" s="253">
        <v>105181</v>
      </c>
      <c r="C35" s="226">
        <f>B35/'- 3 -'!D35</f>
        <v>0.000833591495253355</v>
      </c>
      <c r="D35" s="253">
        <v>2008919</v>
      </c>
      <c r="E35" s="226">
        <f>D35/'- 3 -'!D35</f>
        <v>0.015921295605222183</v>
      </c>
    </row>
    <row r="36" spans="1:5" ht="13.5" customHeight="1">
      <c r="A36" s="27" t="s">
        <v>383</v>
      </c>
      <c r="B36" s="254">
        <v>60965</v>
      </c>
      <c r="C36" s="227">
        <f>B36/'- 3 -'!D36</f>
        <v>0.003652210148765036</v>
      </c>
      <c r="D36" s="254">
        <v>266227</v>
      </c>
      <c r="E36" s="227">
        <f>D36/'- 3 -'!D36</f>
        <v>0.015948773087431627</v>
      </c>
    </row>
    <row r="37" spans="1:5" ht="13.5" customHeight="1">
      <c r="A37" s="25" t="s">
        <v>384</v>
      </c>
      <c r="B37" s="253">
        <v>6583</v>
      </c>
      <c r="C37" s="226">
        <f>B37/'- 3 -'!D37</f>
        <v>0.00026097878386197986</v>
      </c>
      <c r="D37" s="253">
        <v>411342</v>
      </c>
      <c r="E37" s="226">
        <f>D37/'- 3 -'!D37</f>
        <v>0.01630738795554527</v>
      </c>
    </row>
    <row r="38" spans="1:5" ht="13.5" customHeight="1">
      <c r="A38" s="27" t="s">
        <v>385</v>
      </c>
      <c r="B38" s="254">
        <v>74938</v>
      </c>
      <c r="C38" s="227">
        <f>B38/'- 3 -'!D38</f>
        <v>0.0011481893008224195</v>
      </c>
      <c r="D38" s="254">
        <v>1083931</v>
      </c>
      <c r="E38" s="227">
        <f>D38/'- 3 -'!D38</f>
        <v>0.016607835504413596</v>
      </c>
    </row>
    <row r="39" spans="1:5" ht="13.5" customHeight="1">
      <c r="A39" s="25" t="s">
        <v>386</v>
      </c>
      <c r="B39" s="253">
        <v>53521</v>
      </c>
      <c r="C39" s="226">
        <f>B39/'- 3 -'!D39</f>
        <v>0.0034910071067279815</v>
      </c>
      <c r="D39" s="253">
        <v>237888</v>
      </c>
      <c r="E39" s="226">
        <f>D39/'- 3 -'!D39</f>
        <v>0.015516688750309338</v>
      </c>
    </row>
    <row r="40" spans="1:5" ht="13.5" customHeight="1">
      <c r="A40" s="27" t="s">
        <v>387</v>
      </c>
      <c r="B40" s="254">
        <v>52534.53</v>
      </c>
      <c r="C40" s="227">
        <f>B40/'- 3 -'!D40</f>
        <v>0.0007995597171292433</v>
      </c>
      <c r="D40" s="254">
        <v>1087927.58</v>
      </c>
      <c r="E40" s="227">
        <f>D40/'- 3 -'!D40</f>
        <v>0.01655792995810379</v>
      </c>
    </row>
    <row r="41" spans="1:5" ht="13.5" customHeight="1">
      <c r="A41" s="25" t="s">
        <v>388</v>
      </c>
      <c r="B41" s="253">
        <v>99345</v>
      </c>
      <c r="C41" s="226">
        <f>B41/'- 3 -'!D41</f>
        <v>0.002541137419708422</v>
      </c>
      <c r="D41" s="253">
        <v>660419</v>
      </c>
      <c r="E41" s="226">
        <f>D41/'- 3 -'!D41</f>
        <v>0.016892802190210037</v>
      </c>
    </row>
    <row r="42" spans="1:5" ht="13.5" customHeight="1">
      <c r="A42" s="27" t="s">
        <v>389</v>
      </c>
      <c r="B42" s="254">
        <v>1103</v>
      </c>
      <c r="C42" s="227">
        <f>B42/'- 3 -'!D42</f>
        <v>7.2980877819027E-05</v>
      </c>
      <c r="D42" s="254">
        <v>236667</v>
      </c>
      <c r="E42" s="227">
        <f>D42/'- 3 -'!D42</f>
        <v>0.015659261478509216</v>
      </c>
    </row>
    <row r="43" spans="1:5" ht="13.5" customHeight="1">
      <c r="A43" s="25" t="s">
        <v>390</v>
      </c>
      <c r="B43" s="253">
        <v>30860</v>
      </c>
      <c r="C43" s="226">
        <f>B43/'- 3 -'!D43</f>
        <v>0.0033415004831424226</v>
      </c>
      <c r="D43" s="253">
        <v>149855</v>
      </c>
      <c r="E43" s="226">
        <f>D43/'- 3 -'!D43</f>
        <v>0.016226200742103295</v>
      </c>
    </row>
    <row r="44" spans="1:5" ht="13.5" customHeight="1">
      <c r="A44" s="27" t="s">
        <v>391</v>
      </c>
      <c r="B44" s="254">
        <v>1806</v>
      </c>
      <c r="C44" s="227">
        <f>B44/'- 3 -'!D44</f>
        <v>0.00026192205831870115</v>
      </c>
      <c r="D44" s="254">
        <v>109514</v>
      </c>
      <c r="E44" s="227">
        <f>D44/'- 3 -'!D44</f>
        <v>0.01588268676340766</v>
      </c>
    </row>
    <row r="45" spans="1:5" ht="13.5" customHeight="1">
      <c r="A45" s="25" t="s">
        <v>392</v>
      </c>
      <c r="B45" s="253">
        <v>29576</v>
      </c>
      <c r="C45" s="226">
        <f>B45/'- 3 -'!D45</f>
        <v>0.0028293537956250877</v>
      </c>
      <c r="D45" s="253">
        <v>161363</v>
      </c>
      <c r="E45" s="226">
        <f>D45/'- 3 -'!D45</f>
        <v>0.015436604561923552</v>
      </c>
    </row>
    <row r="46" spans="1:5" ht="13.5" customHeight="1">
      <c r="A46" s="27" t="s">
        <v>393</v>
      </c>
      <c r="B46" s="254">
        <v>109119</v>
      </c>
      <c r="C46" s="227">
        <f>B46/'- 3 -'!D46</f>
        <v>0.00041953087122100847</v>
      </c>
      <c r="D46" s="254">
        <v>4432129</v>
      </c>
      <c r="E46" s="227">
        <f>D46/'- 3 -'!D46</f>
        <v>0.017040249092586047</v>
      </c>
    </row>
    <row r="47" spans="1:5" ht="13.5" customHeight="1">
      <c r="A47" s="25" t="s">
        <v>397</v>
      </c>
      <c r="B47" s="253">
        <v>18599</v>
      </c>
      <c r="C47" s="226">
        <f>B47/'- 3 -'!D47</f>
        <v>0.003175367385004119</v>
      </c>
      <c r="D47" s="253">
        <v>88946</v>
      </c>
      <c r="E47" s="226">
        <f>D47/'- 3 -'!D47</f>
        <v>0.015185559837979265</v>
      </c>
    </row>
    <row r="48" spans="1:5" ht="4.5" customHeight="1">
      <c r="A48" s="29"/>
      <c r="B48" s="255"/>
      <c r="C48" s="215"/>
      <c r="D48" s="255"/>
      <c r="E48" s="215"/>
    </row>
    <row r="49" spans="1:5" ht="13.5" customHeight="1">
      <c r="A49" s="31" t="s">
        <v>394</v>
      </c>
      <c r="B49" s="256">
        <f>SUM(B11:B47)</f>
        <v>2189249.63</v>
      </c>
      <c r="C49" s="228">
        <f>B49/'- 3 -'!D49</f>
        <v>0.0015562057901802896</v>
      </c>
      <c r="D49" s="256">
        <f>SUM(D11:D47)</f>
        <v>22518905.310000002</v>
      </c>
      <c r="E49" s="228">
        <f>D49/'- 3 -'!D49</f>
        <v>0.016007334363209953</v>
      </c>
    </row>
    <row r="50" spans="1:5" ht="4.5" customHeight="1">
      <c r="A50" s="29" t="s">
        <v>78</v>
      </c>
      <c r="B50" s="255"/>
      <c r="C50" s="215"/>
      <c r="D50" s="255"/>
      <c r="E50" s="215"/>
    </row>
    <row r="51" spans="1:5" ht="13.5" customHeight="1">
      <c r="A51" s="27" t="s">
        <v>395</v>
      </c>
      <c r="B51" s="254">
        <v>0</v>
      </c>
      <c r="C51" s="227">
        <f>B51/'- 3 -'!D51</f>
        <v>0</v>
      </c>
      <c r="D51" s="254">
        <v>0</v>
      </c>
      <c r="E51" s="227">
        <f>D51/'- 3 -'!D51</f>
        <v>0</v>
      </c>
    </row>
    <row r="52" spans="1:5" ht="13.5" customHeight="1">
      <c r="A52" s="25" t="s">
        <v>396</v>
      </c>
      <c r="B52" s="253">
        <v>61</v>
      </c>
      <c r="C52" s="226">
        <f>B52/'- 3 -'!D52</f>
        <v>2.5199811786323774E-05</v>
      </c>
      <c r="D52" s="253">
        <v>37644</v>
      </c>
      <c r="E52" s="226">
        <f>D52/'- 3 -'!D52</f>
        <v>0.015551175653842167</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2"/>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17.83203125" style="1" customWidth="1"/>
    <col min="4" max="4" width="10.83203125" style="1" customWidth="1"/>
    <col min="5" max="5" width="15.83203125" style="1" customWidth="1"/>
    <col min="6" max="6" width="11.83203125" style="1" customWidth="1"/>
    <col min="7" max="7" width="14.83203125" style="1" customWidth="1"/>
    <col min="8" max="8" width="11.83203125" style="1" customWidth="1"/>
    <col min="9" max="16384" width="15.83203125" style="1" customWidth="1"/>
  </cols>
  <sheetData>
    <row r="1" spans="1:8" ht="6.75" customHeight="1">
      <c r="A1" s="5"/>
      <c r="B1" s="6"/>
      <c r="C1" s="6"/>
      <c r="D1" s="6"/>
      <c r="E1" s="6"/>
      <c r="F1" s="6"/>
      <c r="G1" s="6"/>
      <c r="H1" s="6"/>
    </row>
    <row r="2" spans="1:8" ht="15.75" customHeight="1">
      <c r="A2" s="219"/>
      <c r="B2" s="7" t="s">
        <v>84</v>
      </c>
      <c r="C2" s="8"/>
      <c r="D2" s="8"/>
      <c r="E2" s="8"/>
      <c r="F2" s="105"/>
      <c r="G2" s="105"/>
      <c r="H2" s="105"/>
    </row>
    <row r="3" spans="1:8" ht="15.75" customHeight="1">
      <c r="A3" s="221"/>
      <c r="B3" s="9" t="str">
        <f>OPYEAR</f>
        <v>OPERATING FUND 2003/2004 ACTUAL</v>
      </c>
      <c r="C3" s="10"/>
      <c r="D3" s="10"/>
      <c r="E3" s="10"/>
      <c r="F3" s="107"/>
      <c r="G3" s="107"/>
      <c r="H3" s="107"/>
    </row>
    <row r="4" spans="2:8" ht="15.75" customHeight="1">
      <c r="B4" s="6"/>
      <c r="C4" s="6"/>
      <c r="D4" s="6"/>
      <c r="E4" s="6"/>
      <c r="F4" s="6"/>
      <c r="G4" s="6"/>
      <c r="H4" s="6"/>
    </row>
    <row r="5" spans="2:8" ht="15.75" customHeight="1">
      <c r="B5" s="6"/>
      <c r="C5" s="6"/>
      <c r="D5" s="6"/>
      <c r="E5" s="6"/>
      <c r="F5" s="6"/>
      <c r="G5" s="6"/>
      <c r="H5" s="6"/>
    </row>
    <row r="6" spans="2:8" ht="15.75" customHeight="1">
      <c r="B6" s="209" t="s">
        <v>108</v>
      </c>
      <c r="C6" s="211"/>
      <c r="D6" s="213"/>
      <c r="E6" s="213"/>
      <c r="F6" s="213"/>
      <c r="G6" s="213"/>
      <c r="H6" s="66"/>
    </row>
    <row r="7" spans="2:8" ht="15.75" customHeight="1">
      <c r="B7" s="108" t="s">
        <v>145</v>
      </c>
      <c r="C7" s="71"/>
      <c r="D7" s="72"/>
      <c r="E7" s="72"/>
      <c r="F7" s="72"/>
      <c r="G7" s="72"/>
      <c r="H7" s="214"/>
    </row>
    <row r="8" spans="1:8" ht="15.75" customHeight="1">
      <c r="A8" s="96"/>
      <c r="B8" s="42"/>
      <c r="C8" s="111" t="s">
        <v>304</v>
      </c>
      <c r="D8" s="112" t="s">
        <v>150</v>
      </c>
      <c r="E8" s="276" t="s">
        <v>167</v>
      </c>
      <c r="F8" s="276" t="s">
        <v>168</v>
      </c>
      <c r="G8" s="276" t="s">
        <v>169</v>
      </c>
      <c r="H8" s="276" t="s">
        <v>168</v>
      </c>
    </row>
    <row r="9" spans="1:8" ht="15.75" customHeight="1">
      <c r="A9" s="49" t="s">
        <v>175</v>
      </c>
      <c r="B9" s="113" t="s">
        <v>176</v>
      </c>
      <c r="C9" s="113" t="s">
        <v>182</v>
      </c>
      <c r="D9" s="113" t="s">
        <v>178</v>
      </c>
      <c r="E9" s="113" t="s">
        <v>183</v>
      </c>
      <c r="F9" s="113" t="s">
        <v>184</v>
      </c>
      <c r="G9" s="113" t="s">
        <v>185</v>
      </c>
      <c r="H9" s="113" t="s">
        <v>184</v>
      </c>
    </row>
    <row r="10" ht="4.5" customHeight="1">
      <c r="A10" s="4"/>
    </row>
    <row r="11" spans="1:8" ht="13.5" customHeight="1">
      <c r="A11" s="25" t="s">
        <v>359</v>
      </c>
      <c r="B11" s="253">
        <f>'- 30 -'!D11</f>
        <v>694783</v>
      </c>
      <c r="C11" s="253">
        <v>861</v>
      </c>
      <c r="D11" s="253">
        <f ca="1">IF(AND(CELL("type",C11)="v",C11&gt;0),B11/C11,"")</f>
        <v>806.9488966318235</v>
      </c>
      <c r="E11" s="253">
        <v>700086</v>
      </c>
      <c r="F11" s="265">
        <f ca="1">IF(AND(CELL("type",E11)="v",E11&gt;0),B11/E11,"")</f>
        <v>0.9924252163305651</v>
      </c>
      <c r="G11" s="253">
        <v>476768</v>
      </c>
      <c r="H11" s="265">
        <f ca="1">IF(AND(CELL("type",G11)="v",G11&gt;0),B11/G11,"")</f>
        <v>1.457276914558024</v>
      </c>
    </row>
    <row r="12" spans="1:8" ht="13.5" customHeight="1">
      <c r="A12" s="27" t="s">
        <v>360</v>
      </c>
      <c r="B12" s="254">
        <f>'- 30 -'!D12</f>
        <v>1300177</v>
      </c>
      <c r="C12" s="254">
        <v>1424</v>
      </c>
      <c r="D12" s="254">
        <f aca="true" ca="1" t="shared" si="0" ref="D12:D47">IF(AND(CELL("type",C12)="v",C12&gt;0),B12/C12,"")</f>
        <v>913.0456460674158</v>
      </c>
      <c r="E12" s="254">
        <v>1257732</v>
      </c>
      <c r="F12" s="266">
        <f aca="true" ca="1" t="shared" si="1" ref="F12:F47">IF(AND(CELL("type",E12)="v",E12&gt;0),B12/E12,"")</f>
        <v>1.0337472529918934</v>
      </c>
      <c r="G12" s="254">
        <v>880208</v>
      </c>
      <c r="H12" s="266">
        <f aca="true" ca="1" t="shared" si="2" ref="H12:H47">IF(AND(CELL("type",G12)="v",G12&gt;0),B12/G12,"")</f>
        <v>1.4771247250649846</v>
      </c>
    </row>
    <row r="13" spans="1:8" ht="13.5" customHeight="1">
      <c r="A13" s="25" t="s">
        <v>361</v>
      </c>
      <c r="B13" s="253">
        <f>'- 30 -'!D13</f>
        <v>1106373</v>
      </c>
      <c r="C13" s="253">
        <v>1722</v>
      </c>
      <c r="D13" s="253">
        <f ca="1" t="shared" si="0"/>
        <v>642.493031358885</v>
      </c>
      <c r="E13" s="253">
        <v>804301</v>
      </c>
      <c r="F13" s="265">
        <f ca="1" t="shared" si="1"/>
        <v>1.375570837286041</v>
      </c>
      <c r="G13" s="253">
        <v>470025</v>
      </c>
      <c r="H13" s="265">
        <f ca="1" t="shared" si="2"/>
        <v>2.353859901069092</v>
      </c>
    </row>
    <row r="14" spans="1:8" ht="13.5" customHeight="1">
      <c r="A14" s="27" t="s">
        <v>398</v>
      </c>
      <c r="B14" s="254">
        <f>'- 30 -'!D14</f>
        <v>2978367</v>
      </c>
      <c r="C14" s="254">
        <v>2729</v>
      </c>
      <c r="D14" s="254">
        <f ca="1" t="shared" si="0"/>
        <v>1091.3766947599854</v>
      </c>
      <c r="E14" s="254">
        <v>1887612</v>
      </c>
      <c r="F14" s="266">
        <f ca="1" t="shared" si="1"/>
        <v>1.5778491554408427</v>
      </c>
      <c r="G14" s="254">
        <v>1149479</v>
      </c>
      <c r="H14" s="266">
        <f ca="1" t="shared" si="2"/>
        <v>2.591058209849854</v>
      </c>
    </row>
    <row r="15" spans="1:8" ht="13.5" customHeight="1">
      <c r="A15" s="25" t="s">
        <v>362</v>
      </c>
      <c r="B15" s="253">
        <f>'- 30 -'!D15</f>
        <v>781426</v>
      </c>
      <c r="C15" s="253">
        <v>1096</v>
      </c>
      <c r="D15" s="253">
        <f ca="1" t="shared" si="0"/>
        <v>712.9799270072992</v>
      </c>
      <c r="E15" s="253">
        <v>652347</v>
      </c>
      <c r="F15" s="265">
        <f ca="1" t="shared" si="1"/>
        <v>1.1978686190018502</v>
      </c>
      <c r="G15" s="253">
        <v>476523</v>
      </c>
      <c r="H15" s="265">
        <f ca="1" t="shared" si="2"/>
        <v>1.6398494930989689</v>
      </c>
    </row>
    <row r="16" spans="1:8" ht="13.5" customHeight="1">
      <c r="A16" s="27" t="s">
        <v>363</v>
      </c>
      <c r="B16" s="254">
        <f>'- 30 -'!D16</f>
        <v>133012</v>
      </c>
      <c r="C16" s="254">
        <v>69</v>
      </c>
      <c r="D16" s="254">
        <f ca="1" t="shared" si="0"/>
        <v>1927.7101449275362</v>
      </c>
      <c r="E16" s="254">
        <v>16469</v>
      </c>
      <c r="F16" s="266">
        <f ca="1" t="shared" si="1"/>
        <v>8.076507377497116</v>
      </c>
      <c r="G16" s="254">
        <v>9137</v>
      </c>
      <c r="H16" s="266">
        <f ca="1" t="shared" si="2"/>
        <v>14.557513407026375</v>
      </c>
    </row>
    <row r="17" spans="1:8" ht="13.5" customHeight="1">
      <c r="A17" s="25" t="s">
        <v>364</v>
      </c>
      <c r="B17" s="253">
        <f>'- 30 -'!D17</f>
        <v>1023760</v>
      </c>
      <c r="C17" s="253">
        <v>793</v>
      </c>
      <c r="D17" s="253">
        <f ca="1" t="shared" si="0"/>
        <v>1290.9962168978561</v>
      </c>
      <c r="E17" s="253">
        <v>1107091.7</v>
      </c>
      <c r="F17" s="265">
        <f ca="1" t="shared" si="1"/>
        <v>0.9247291800670171</v>
      </c>
      <c r="G17" s="253">
        <v>729161</v>
      </c>
      <c r="H17" s="265">
        <f ca="1" t="shared" si="2"/>
        <v>1.4040246255628044</v>
      </c>
    </row>
    <row r="18" spans="1:8" ht="13.5" customHeight="1">
      <c r="A18" s="27" t="s">
        <v>365</v>
      </c>
      <c r="B18" s="254">
        <f>'- 30 -'!D18</f>
        <v>2962074</v>
      </c>
      <c r="C18" s="254">
        <v>4685</v>
      </c>
      <c r="D18" s="254">
        <f ca="1" t="shared" si="0"/>
        <v>632.246318036286</v>
      </c>
      <c r="E18" s="254">
        <v>1028492</v>
      </c>
      <c r="F18" s="266">
        <f ca="1" t="shared" si="1"/>
        <v>2.8800165679460803</v>
      </c>
      <c r="G18" s="254">
        <v>744080.6</v>
      </c>
      <c r="H18" s="266">
        <f ca="1" t="shared" si="2"/>
        <v>3.980850999206269</v>
      </c>
    </row>
    <row r="19" spans="1:8" ht="13.5" customHeight="1">
      <c r="A19" s="25" t="s">
        <v>366</v>
      </c>
      <c r="B19" s="253">
        <f>'- 30 -'!D19</f>
        <v>594391</v>
      </c>
      <c r="C19" s="253">
        <v>1501</v>
      </c>
      <c r="D19" s="253">
        <f ca="1" t="shared" si="0"/>
        <v>395.9966688874084</v>
      </c>
      <c r="E19" s="253">
        <v>397380</v>
      </c>
      <c r="F19" s="265">
        <f ca="1" t="shared" si="1"/>
        <v>1.495774825104434</v>
      </c>
      <c r="G19" s="253">
        <v>278980</v>
      </c>
      <c r="H19" s="265">
        <f ca="1" t="shared" si="2"/>
        <v>2.1305864219657322</v>
      </c>
    </row>
    <row r="20" spans="1:8" ht="13.5" customHeight="1">
      <c r="A20" s="27" t="s">
        <v>367</v>
      </c>
      <c r="B20" s="254">
        <f>'- 30 -'!D20</f>
        <v>1713800</v>
      </c>
      <c r="C20" s="254">
        <v>4093</v>
      </c>
      <c r="D20" s="254">
        <f ca="1" t="shared" si="0"/>
        <v>418.71487906181284</v>
      </c>
      <c r="E20" s="254">
        <v>1133179</v>
      </c>
      <c r="F20" s="266">
        <f ca="1" t="shared" si="1"/>
        <v>1.5123824214885733</v>
      </c>
      <c r="G20" s="254">
        <v>717335</v>
      </c>
      <c r="H20" s="266">
        <f ca="1" t="shared" si="2"/>
        <v>2.389120843120718</v>
      </c>
    </row>
    <row r="21" spans="1:8" ht="13.5" customHeight="1">
      <c r="A21" s="25" t="s">
        <v>368</v>
      </c>
      <c r="B21" s="253">
        <f>'- 30 -'!D21</f>
        <v>1453485</v>
      </c>
      <c r="C21" s="253">
        <v>1894</v>
      </c>
      <c r="D21" s="253">
        <f ca="1" t="shared" si="0"/>
        <v>767.4155227032735</v>
      </c>
      <c r="E21" s="253">
        <v>1148605</v>
      </c>
      <c r="F21" s="265">
        <f ca="1" t="shared" si="1"/>
        <v>1.2654350277075235</v>
      </c>
      <c r="G21" s="253">
        <v>647570</v>
      </c>
      <c r="H21" s="265">
        <f ca="1" t="shared" si="2"/>
        <v>2.244521827756073</v>
      </c>
    </row>
    <row r="22" spans="1:8" ht="13.5" customHeight="1">
      <c r="A22" s="27" t="s">
        <v>369</v>
      </c>
      <c r="B22" s="254">
        <f>'- 30 -'!D22</f>
        <v>282359</v>
      </c>
      <c r="C22" s="254">
        <v>509</v>
      </c>
      <c r="D22" s="254">
        <f ca="1" t="shared" si="0"/>
        <v>554.7328094302554</v>
      </c>
      <c r="E22" s="254">
        <v>206388</v>
      </c>
      <c r="F22" s="266">
        <f ca="1" t="shared" si="1"/>
        <v>1.3680979514312848</v>
      </c>
      <c r="G22" s="254">
        <v>122623</v>
      </c>
      <c r="H22" s="266">
        <f ca="1" t="shared" si="2"/>
        <v>2.3026593705911615</v>
      </c>
    </row>
    <row r="23" spans="1:8" ht="13.5" customHeight="1">
      <c r="A23" s="25" t="s">
        <v>370</v>
      </c>
      <c r="B23" s="253">
        <f>'- 30 -'!D23</f>
        <v>1130851</v>
      </c>
      <c r="C23" s="253">
        <v>937</v>
      </c>
      <c r="D23" s="253">
        <f ca="1" t="shared" si="0"/>
        <v>1206.8847385272145</v>
      </c>
      <c r="E23" s="253">
        <v>1164622</v>
      </c>
      <c r="F23" s="265">
        <f ca="1" t="shared" si="1"/>
        <v>0.9710026085717083</v>
      </c>
      <c r="G23" s="253">
        <v>686355</v>
      </c>
      <c r="H23" s="265">
        <f ca="1" t="shared" si="2"/>
        <v>1.6476182150636332</v>
      </c>
    </row>
    <row r="24" spans="1:8" ht="13.5" customHeight="1">
      <c r="A24" s="27" t="s">
        <v>371</v>
      </c>
      <c r="B24" s="254">
        <f>'- 30 -'!D24</f>
        <v>1529563</v>
      </c>
      <c r="C24" s="254">
        <v>2956</v>
      </c>
      <c r="D24" s="254">
        <f ca="1" t="shared" si="0"/>
        <v>517.4435047361299</v>
      </c>
      <c r="E24" s="254">
        <v>1025440.6</v>
      </c>
      <c r="F24" s="266">
        <f ca="1" t="shared" si="1"/>
        <v>1.4916154090251548</v>
      </c>
      <c r="G24" s="254">
        <v>666414.2</v>
      </c>
      <c r="H24" s="266">
        <f ca="1" t="shared" si="2"/>
        <v>2.295213697427216</v>
      </c>
    </row>
    <row r="25" spans="1:8" ht="13.5" customHeight="1">
      <c r="A25" s="25" t="s">
        <v>372</v>
      </c>
      <c r="B25" s="253">
        <f>'- 30 -'!D25</f>
        <v>1080791</v>
      </c>
      <c r="C25" s="253">
        <v>2016</v>
      </c>
      <c r="D25" s="253">
        <f ca="1" t="shared" si="0"/>
        <v>536.1066468253969</v>
      </c>
      <c r="E25" s="253">
        <v>471768</v>
      </c>
      <c r="F25" s="265">
        <f ca="1" t="shared" si="1"/>
        <v>2.2909374947007852</v>
      </c>
      <c r="G25" s="253">
        <v>280634</v>
      </c>
      <c r="H25" s="265">
        <f ca="1" t="shared" si="2"/>
        <v>3.851247532373127</v>
      </c>
    </row>
    <row r="26" spans="1:8" ht="13.5" customHeight="1">
      <c r="A26" s="27" t="s">
        <v>373</v>
      </c>
      <c r="B26" s="254">
        <f>'- 30 -'!D26</f>
        <v>1697972</v>
      </c>
      <c r="C26" s="254">
        <v>1663</v>
      </c>
      <c r="D26" s="254">
        <f ca="1" t="shared" si="0"/>
        <v>1021.0294648226097</v>
      </c>
      <c r="E26" s="254">
        <v>1285300</v>
      </c>
      <c r="F26" s="266">
        <f ca="1" t="shared" si="1"/>
        <v>1.321070567182759</v>
      </c>
      <c r="G26" s="254">
        <v>1121148</v>
      </c>
      <c r="H26" s="266">
        <f ca="1" t="shared" si="2"/>
        <v>1.5144940721474773</v>
      </c>
    </row>
    <row r="27" spans="1:8" ht="13.5" customHeight="1">
      <c r="A27" s="25" t="s">
        <v>374</v>
      </c>
      <c r="B27" s="253">
        <f>'- 30 -'!D27</f>
        <v>7101</v>
      </c>
      <c r="C27" s="272" t="s">
        <v>299</v>
      </c>
      <c r="D27" s="253">
        <f ca="1">IF(AND(CELL("type",C27)="v",C27&gt;0),B27/C27,"")</f>
      </c>
      <c r="E27" s="272" t="s">
        <v>299</v>
      </c>
      <c r="F27" s="265">
        <f ca="1">IF(AND(CELL("type",E27)="v",E27&gt;0),B27/E27,"")</f>
      </c>
      <c r="G27" s="272" t="s">
        <v>299</v>
      </c>
      <c r="H27" s="265">
        <f ca="1" t="shared" si="2"/>
      </c>
    </row>
    <row r="28" spans="1:8" ht="13.5" customHeight="1">
      <c r="A28" s="27" t="s">
        <v>375</v>
      </c>
      <c r="B28" s="254">
        <f>'- 30 -'!D28</f>
        <v>1697283.28</v>
      </c>
      <c r="C28" s="254">
        <v>1185</v>
      </c>
      <c r="D28" s="254">
        <f ca="1" t="shared" si="0"/>
        <v>1432.306565400844</v>
      </c>
      <c r="E28" s="254">
        <v>1593392</v>
      </c>
      <c r="F28" s="266">
        <f ca="1" t="shared" si="1"/>
        <v>1.0652013314990914</v>
      </c>
      <c r="G28" s="254">
        <v>1038790</v>
      </c>
      <c r="H28" s="266">
        <f ca="1" t="shared" si="2"/>
        <v>1.6339041384687953</v>
      </c>
    </row>
    <row r="29" spans="1:8" ht="13.5" customHeight="1">
      <c r="A29" s="25" t="s">
        <v>376</v>
      </c>
      <c r="B29" s="253">
        <f>'- 30 -'!D29</f>
        <v>1041901</v>
      </c>
      <c r="C29" s="253">
        <v>1315</v>
      </c>
      <c r="D29" s="253">
        <f ca="1" t="shared" si="0"/>
        <v>792.3201520912547</v>
      </c>
      <c r="E29" s="253">
        <v>400368</v>
      </c>
      <c r="F29" s="265">
        <f ca="1" t="shared" si="1"/>
        <v>2.6023583303360907</v>
      </c>
      <c r="G29" s="253">
        <v>262352</v>
      </c>
      <c r="H29" s="265">
        <f ca="1" t="shared" si="2"/>
        <v>3.971385771787522</v>
      </c>
    </row>
    <row r="30" spans="1:8" ht="13.5" customHeight="1">
      <c r="A30" s="27" t="s">
        <v>377</v>
      </c>
      <c r="B30" s="254">
        <f>'- 30 -'!D30</f>
        <v>854538</v>
      </c>
      <c r="C30" s="254">
        <v>832</v>
      </c>
      <c r="D30" s="254">
        <f ca="1" t="shared" si="0"/>
        <v>1027.0889423076924</v>
      </c>
      <c r="E30" s="254">
        <v>914397</v>
      </c>
      <c r="F30" s="266">
        <f ca="1" t="shared" si="1"/>
        <v>0.934537186801794</v>
      </c>
      <c r="G30" s="254">
        <v>567551</v>
      </c>
      <c r="H30" s="266">
        <f ca="1" t="shared" si="2"/>
        <v>1.505658522317818</v>
      </c>
    </row>
    <row r="31" spans="1:8" ht="13.5" customHeight="1">
      <c r="A31" s="25" t="s">
        <v>378</v>
      </c>
      <c r="B31" s="253">
        <f>'- 30 -'!D31</f>
        <v>685226</v>
      </c>
      <c r="C31" s="253">
        <v>941</v>
      </c>
      <c r="D31" s="253">
        <f ca="1" t="shared" si="0"/>
        <v>728.1891604675877</v>
      </c>
      <c r="E31" s="253">
        <v>645330</v>
      </c>
      <c r="F31" s="265">
        <f ca="1" t="shared" si="1"/>
        <v>1.0618226333813707</v>
      </c>
      <c r="G31" s="253">
        <v>415104</v>
      </c>
      <c r="H31" s="265">
        <f ca="1" t="shared" si="2"/>
        <v>1.6507333102065989</v>
      </c>
    </row>
    <row r="32" spans="1:8" ht="13.5" customHeight="1">
      <c r="A32" s="27" t="s">
        <v>379</v>
      </c>
      <c r="B32" s="254">
        <f>'- 30 -'!D32</f>
        <v>1220631</v>
      </c>
      <c r="C32" s="254">
        <v>1384</v>
      </c>
      <c r="D32" s="254">
        <f ca="1" t="shared" si="0"/>
        <v>881.9588150289018</v>
      </c>
      <c r="E32" s="254">
        <v>1068094</v>
      </c>
      <c r="F32" s="266">
        <f ca="1" t="shared" si="1"/>
        <v>1.1428123367418972</v>
      </c>
      <c r="G32" s="254">
        <v>690808</v>
      </c>
      <c r="H32" s="266">
        <f ca="1" t="shared" si="2"/>
        <v>1.7669612974951072</v>
      </c>
    </row>
    <row r="33" spans="1:8" ht="13.5" customHeight="1">
      <c r="A33" s="25" t="s">
        <v>380</v>
      </c>
      <c r="B33" s="253">
        <f>'- 30 -'!D33</f>
        <v>1883677</v>
      </c>
      <c r="C33" s="253">
        <v>1521</v>
      </c>
      <c r="D33" s="253">
        <f ca="1" t="shared" si="0"/>
        <v>1238.4464168310321</v>
      </c>
      <c r="E33" s="253">
        <v>1753213</v>
      </c>
      <c r="F33" s="265">
        <f ca="1" t="shared" si="1"/>
        <v>1.0744142326117818</v>
      </c>
      <c r="G33" s="253">
        <v>1153455</v>
      </c>
      <c r="H33" s="265">
        <f ca="1" t="shared" si="2"/>
        <v>1.633073678643727</v>
      </c>
    </row>
    <row r="34" spans="1:8" ht="13.5" customHeight="1">
      <c r="A34" s="27" t="s">
        <v>381</v>
      </c>
      <c r="B34" s="254">
        <f>'- 30 -'!D34</f>
        <v>1574279</v>
      </c>
      <c r="C34" s="254">
        <v>1570</v>
      </c>
      <c r="D34" s="254">
        <f ca="1" t="shared" si="0"/>
        <v>1002.7254777070063</v>
      </c>
      <c r="E34" s="254">
        <v>1338253</v>
      </c>
      <c r="F34" s="266">
        <f ca="1" t="shared" si="1"/>
        <v>1.1763687434289332</v>
      </c>
      <c r="G34" s="254">
        <v>905130</v>
      </c>
      <c r="H34" s="266">
        <f ca="1" t="shared" si="2"/>
        <v>1.7392849645907218</v>
      </c>
    </row>
    <row r="35" spans="1:8" ht="13.5" customHeight="1">
      <c r="A35" s="25" t="s">
        <v>382</v>
      </c>
      <c r="B35" s="253">
        <f>'- 30 -'!D35</f>
        <v>1921926</v>
      </c>
      <c r="C35" s="253">
        <v>3222</v>
      </c>
      <c r="D35" s="253">
        <f ca="1" t="shared" si="0"/>
        <v>596.5009310986965</v>
      </c>
      <c r="E35" s="253">
        <v>868500</v>
      </c>
      <c r="F35" s="265">
        <f ca="1" t="shared" si="1"/>
        <v>2.2129257340241795</v>
      </c>
      <c r="G35" s="253">
        <v>455673</v>
      </c>
      <c r="H35" s="265">
        <f ca="1" t="shared" si="2"/>
        <v>4.217774588356124</v>
      </c>
    </row>
    <row r="36" spans="1:8" ht="13.5" customHeight="1">
      <c r="A36" s="27" t="s">
        <v>383</v>
      </c>
      <c r="B36" s="254">
        <f>'- 30 -'!D36</f>
        <v>1103843</v>
      </c>
      <c r="C36" s="254">
        <v>1235</v>
      </c>
      <c r="D36" s="254">
        <f ca="1" t="shared" si="0"/>
        <v>893.8</v>
      </c>
      <c r="E36" s="254">
        <v>1046834</v>
      </c>
      <c r="F36" s="266">
        <f ca="1" t="shared" si="1"/>
        <v>1.0544584910310517</v>
      </c>
      <c r="G36" s="254">
        <v>681442</v>
      </c>
      <c r="H36" s="266">
        <f ca="1" t="shared" si="2"/>
        <v>1.619863466002976</v>
      </c>
    </row>
    <row r="37" spans="1:8" ht="13.5" customHeight="1">
      <c r="A37" s="25" t="s">
        <v>384</v>
      </c>
      <c r="B37" s="253">
        <f>'- 30 -'!D37</f>
        <v>1474082</v>
      </c>
      <c r="C37" s="253">
        <v>2006</v>
      </c>
      <c r="D37" s="253">
        <f ca="1" t="shared" si="0"/>
        <v>734.8364905284147</v>
      </c>
      <c r="E37" s="253">
        <v>1002474</v>
      </c>
      <c r="F37" s="265">
        <f ca="1" t="shared" si="1"/>
        <v>1.4704441212440422</v>
      </c>
      <c r="G37" s="253">
        <v>659532</v>
      </c>
      <c r="H37" s="265">
        <f ca="1" t="shared" si="2"/>
        <v>2.235042424021882</v>
      </c>
    </row>
    <row r="38" spans="1:8" ht="13.5" customHeight="1">
      <c r="A38" s="27" t="s">
        <v>385</v>
      </c>
      <c r="B38" s="254">
        <f>'- 30 -'!D38</f>
        <v>1602737</v>
      </c>
      <c r="C38" s="254">
        <v>2958</v>
      </c>
      <c r="D38" s="254">
        <f ca="1" t="shared" si="0"/>
        <v>541.8313049357674</v>
      </c>
      <c r="E38" s="254">
        <v>458640</v>
      </c>
      <c r="F38" s="266">
        <f ca="1" t="shared" si="1"/>
        <v>3.494542560613989</v>
      </c>
      <c r="G38" s="254">
        <v>354956</v>
      </c>
      <c r="H38" s="266">
        <f ca="1" t="shared" si="2"/>
        <v>4.515311756950157</v>
      </c>
    </row>
    <row r="39" spans="1:8" ht="13.5" customHeight="1">
      <c r="A39" s="25" t="s">
        <v>386</v>
      </c>
      <c r="B39" s="253">
        <f>'- 30 -'!D39</f>
        <v>1333802</v>
      </c>
      <c r="C39" s="253">
        <v>1046</v>
      </c>
      <c r="D39" s="253">
        <f ca="1" t="shared" si="0"/>
        <v>1275.1453154875717</v>
      </c>
      <c r="E39" s="253">
        <v>1451408</v>
      </c>
      <c r="F39" s="265">
        <f ca="1" t="shared" si="1"/>
        <v>0.9189710956533242</v>
      </c>
      <c r="G39" s="253">
        <v>840402</v>
      </c>
      <c r="H39" s="265">
        <f ca="1" t="shared" si="2"/>
        <v>1.5870999831033243</v>
      </c>
    </row>
    <row r="40" spans="1:8" ht="13.5" customHeight="1">
      <c r="A40" s="27" t="s">
        <v>387</v>
      </c>
      <c r="B40" s="254">
        <f>'- 30 -'!D40</f>
        <v>929931</v>
      </c>
      <c r="C40" s="254">
        <v>2094</v>
      </c>
      <c r="D40" s="254">
        <f ca="1" t="shared" si="0"/>
        <v>444.09312320916905</v>
      </c>
      <c r="E40" s="254">
        <v>396880</v>
      </c>
      <c r="F40" s="266">
        <f ca="1" t="shared" si="1"/>
        <v>2.343103708929651</v>
      </c>
      <c r="G40" s="254">
        <v>247796</v>
      </c>
      <c r="H40" s="266">
        <f ca="1" t="shared" si="2"/>
        <v>3.7528087620461994</v>
      </c>
    </row>
    <row r="41" spans="1:8" ht="13.5" customHeight="1">
      <c r="A41" s="25" t="s">
        <v>388</v>
      </c>
      <c r="B41" s="253">
        <f>'- 30 -'!D41</f>
        <v>2946372</v>
      </c>
      <c r="C41" s="253">
        <v>3908</v>
      </c>
      <c r="D41" s="253">
        <f ca="1" t="shared" si="0"/>
        <v>753.9334698055271</v>
      </c>
      <c r="E41" s="253">
        <v>2339138</v>
      </c>
      <c r="F41" s="265">
        <f ca="1" t="shared" si="1"/>
        <v>1.2595973388487554</v>
      </c>
      <c r="G41" s="253">
        <v>1499326</v>
      </c>
      <c r="H41" s="265">
        <f ca="1" t="shared" si="2"/>
        <v>1.9651309988621555</v>
      </c>
    </row>
    <row r="42" spans="1:8" ht="13.5" customHeight="1">
      <c r="A42" s="27" t="s">
        <v>389</v>
      </c>
      <c r="B42" s="254">
        <f>'- 30 -'!D42</f>
        <v>1105475</v>
      </c>
      <c r="C42" s="254">
        <v>1531</v>
      </c>
      <c r="D42" s="254">
        <f ca="1" t="shared" si="0"/>
        <v>722.0607446113651</v>
      </c>
      <c r="E42" s="254">
        <v>847729</v>
      </c>
      <c r="F42" s="266">
        <f ca="1" t="shared" si="1"/>
        <v>1.3040429193763574</v>
      </c>
      <c r="G42" s="254">
        <v>698060</v>
      </c>
      <c r="H42" s="266">
        <f ca="1" t="shared" si="2"/>
        <v>1.5836389422112713</v>
      </c>
    </row>
    <row r="43" spans="1:8" ht="13.5" customHeight="1">
      <c r="A43" s="25" t="s">
        <v>390</v>
      </c>
      <c r="B43" s="253">
        <f>'- 30 -'!D43</f>
        <v>676867</v>
      </c>
      <c r="C43" s="253">
        <v>635</v>
      </c>
      <c r="D43" s="253">
        <f ca="1" t="shared" si="0"/>
        <v>1065.932283464567</v>
      </c>
      <c r="E43" s="253">
        <v>737261</v>
      </c>
      <c r="F43" s="265">
        <f ca="1" t="shared" si="1"/>
        <v>0.9180832839387951</v>
      </c>
      <c r="G43" s="253">
        <v>464774</v>
      </c>
      <c r="H43" s="265">
        <f ca="1" t="shared" si="2"/>
        <v>1.456335767491297</v>
      </c>
    </row>
    <row r="44" spans="1:8" ht="13.5" customHeight="1">
      <c r="A44" s="27" t="s">
        <v>391</v>
      </c>
      <c r="B44" s="254">
        <f>'- 30 -'!D44</f>
        <v>651226</v>
      </c>
      <c r="C44" s="254">
        <v>553</v>
      </c>
      <c r="D44" s="254">
        <f ca="1" t="shared" si="0"/>
        <v>1177.623869801085</v>
      </c>
      <c r="E44" s="254">
        <v>849923</v>
      </c>
      <c r="F44" s="266">
        <f ca="1" t="shared" si="1"/>
        <v>0.7662176455984836</v>
      </c>
      <c r="G44" s="254">
        <v>555772</v>
      </c>
      <c r="H44" s="266">
        <f ca="1" t="shared" si="2"/>
        <v>1.1717502860885398</v>
      </c>
    </row>
    <row r="45" spans="1:8" ht="13.5" customHeight="1">
      <c r="A45" s="25" t="s">
        <v>392</v>
      </c>
      <c r="B45" s="253">
        <f>'- 30 -'!D45</f>
        <v>358137</v>
      </c>
      <c r="C45" s="253">
        <v>711</v>
      </c>
      <c r="D45" s="253">
        <f ca="1" t="shared" si="0"/>
        <v>503.7088607594937</v>
      </c>
      <c r="E45" s="253">
        <v>271831</v>
      </c>
      <c r="F45" s="265">
        <f ca="1" t="shared" si="1"/>
        <v>1.3174987400259721</v>
      </c>
      <c r="G45" s="253">
        <v>162120</v>
      </c>
      <c r="H45" s="265">
        <f ca="1" t="shared" si="2"/>
        <v>2.2090858623242045</v>
      </c>
    </row>
    <row r="46" spans="1:8" ht="13.5" customHeight="1">
      <c r="A46" s="27" t="s">
        <v>393</v>
      </c>
      <c r="B46" s="254">
        <f>'- 30 -'!D46</f>
        <v>2818198</v>
      </c>
      <c r="C46" s="254">
        <v>1910</v>
      </c>
      <c r="D46" s="254">
        <f ca="1" t="shared" si="0"/>
        <v>1475.496335078534</v>
      </c>
      <c r="E46" s="254">
        <v>1008727</v>
      </c>
      <c r="F46" s="266">
        <f ca="1" t="shared" si="1"/>
        <v>2.793816364586256</v>
      </c>
      <c r="G46" s="254">
        <v>696008</v>
      </c>
      <c r="H46" s="266">
        <f ca="1" t="shared" si="2"/>
        <v>4.049088516223952</v>
      </c>
    </row>
    <row r="47" spans="1:8" ht="13.5" customHeight="1">
      <c r="A47" s="25" t="s">
        <v>397</v>
      </c>
      <c r="B47" s="253">
        <f>'- 30 -'!D47</f>
        <v>0</v>
      </c>
      <c r="C47" s="253">
        <v>0</v>
      </c>
      <c r="D47" s="253">
        <f ca="1" t="shared" si="0"/>
      </c>
      <c r="E47" s="253">
        <v>0</v>
      </c>
      <c r="F47" s="265">
        <f ca="1" t="shared" si="1"/>
      </c>
      <c r="G47" s="253">
        <v>0</v>
      </c>
      <c r="H47" s="265">
        <f ca="1" t="shared" si="2"/>
      </c>
    </row>
    <row r="48" spans="1:8" ht="4.5" customHeight="1">
      <c r="A48" s="29"/>
      <c r="B48" s="255"/>
      <c r="C48" s="255"/>
      <c r="D48" s="255"/>
      <c r="E48" s="255"/>
      <c r="F48" s="267"/>
      <c r="G48" s="255"/>
      <c r="H48" s="267"/>
    </row>
    <row r="49" spans="1:8" ht="13.5" customHeight="1">
      <c r="A49" s="31" t="s">
        <v>394</v>
      </c>
      <c r="B49" s="256">
        <f>SUM(B11:B47)</f>
        <v>46350416.28</v>
      </c>
      <c r="C49" s="256">
        <f>SUM(C11:C47)</f>
        <v>59505</v>
      </c>
      <c r="D49" s="256">
        <f>B49/C49</f>
        <v>778.9331363750946</v>
      </c>
      <c r="E49" s="256">
        <f>SUM(E11:E47)</f>
        <v>33279205.299999997</v>
      </c>
      <c r="F49" s="268">
        <f>B49/E49</f>
        <v>1.3927741321395077</v>
      </c>
      <c r="G49" s="256">
        <f>SUM(G11:G47)</f>
        <v>21805491.8</v>
      </c>
      <c r="H49" s="268">
        <f>B49/G49</f>
        <v>2.1256304010533715</v>
      </c>
    </row>
    <row r="50" spans="1:8" ht="4.5" customHeight="1">
      <c r="A50" s="29" t="s">
        <v>78</v>
      </c>
      <c r="B50" s="255"/>
      <c r="C50" s="255"/>
      <c r="D50" s="255"/>
      <c r="E50" s="255"/>
      <c r="F50" s="267"/>
      <c r="G50" s="255"/>
      <c r="H50" s="267"/>
    </row>
    <row r="51" spans="1:8" ht="13.5" customHeight="1">
      <c r="A51" s="27" t="s">
        <v>395</v>
      </c>
      <c r="B51" s="254">
        <f>'- 30 -'!D51</f>
        <v>49750</v>
      </c>
      <c r="C51" s="254">
        <v>77</v>
      </c>
      <c r="D51" s="254">
        <f ca="1">IF(AND(CELL("type",C51)="v",C51&gt;0),B51/C51,"")</f>
        <v>646.1038961038961</v>
      </c>
      <c r="E51" s="254">
        <v>21005</v>
      </c>
      <c r="F51" s="266">
        <f ca="1">IF(AND(CELL("type",E51)="v",E51&gt;0),B51/E51,"")</f>
        <v>2.368483694358486</v>
      </c>
      <c r="G51" s="254">
        <v>18612</v>
      </c>
      <c r="H51" s="266">
        <f ca="1">IF(AND(CELL("type",G51)="v",G51&gt;0),B51/G51,"")</f>
        <v>2.6730066623683646</v>
      </c>
    </row>
    <row r="52" spans="1:8" ht="13.5" customHeight="1">
      <c r="A52" s="25" t="s">
        <v>396</v>
      </c>
      <c r="B52" s="253">
        <f>'- 30 -'!D52</f>
        <v>10635</v>
      </c>
      <c r="C52" s="272" t="s">
        <v>299</v>
      </c>
      <c r="D52" s="253">
        <f ca="1">IF(AND(CELL("type",C52)="v",C52&gt;0),B52/C52,"")</f>
      </c>
      <c r="E52" s="272" t="s">
        <v>299</v>
      </c>
      <c r="F52" s="265">
        <f ca="1">IF(AND(CELL("type",E52)="v",E52&gt;0),B52/E52,"")</f>
      </c>
      <c r="G52" s="272" t="s">
        <v>299</v>
      </c>
      <c r="H52" s="265">
        <f ca="1">IF(AND(CELL("type",G52)="v",G52&gt;0),B52/G52,"")</f>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2"/>
  <sheetViews>
    <sheetView showGridLines="0" showZeros="0" workbookViewId="0" topLeftCell="A1">
      <selection activeCell="A1" sqref="A1"/>
    </sheetView>
  </sheetViews>
  <sheetFormatPr defaultColWidth="15.83203125" defaultRowHeight="12"/>
  <cols>
    <col min="1" max="1" width="32.83203125" style="1" customWidth="1"/>
    <col min="2" max="2" width="22.83203125" style="1" customWidth="1"/>
    <col min="3" max="3" width="19.83203125" style="1" customWidth="1"/>
    <col min="4" max="4" width="15.83203125" style="1" customWidth="1"/>
    <col min="5" max="5" width="41.83203125" style="1" customWidth="1"/>
    <col min="6" max="16384" width="15.83203125" style="1" customWidth="1"/>
  </cols>
  <sheetData>
    <row r="1" spans="1:5" ht="6.75" customHeight="1">
      <c r="A1" s="5"/>
      <c r="B1" s="6"/>
      <c r="C1" s="6"/>
      <c r="D1" s="6"/>
      <c r="E1" s="6"/>
    </row>
    <row r="2" spans="1:5" ht="15.75" customHeight="1">
      <c r="A2" s="219"/>
      <c r="B2" s="7" t="s">
        <v>285</v>
      </c>
      <c r="C2" s="8"/>
      <c r="D2" s="8"/>
      <c r="E2" s="273"/>
    </row>
    <row r="3" spans="1:5" ht="15.75" customHeight="1">
      <c r="A3" s="221"/>
      <c r="B3" s="9" t="str">
        <f>OPYEAR</f>
        <v>OPERATING FUND 2003/2004 ACTUAL</v>
      </c>
      <c r="C3" s="10"/>
      <c r="D3" s="10"/>
      <c r="E3" s="274"/>
    </row>
    <row r="4" spans="2:5" ht="15.75" customHeight="1">
      <c r="B4" s="6"/>
      <c r="C4" s="6"/>
      <c r="D4" s="6"/>
      <c r="E4" s="6"/>
    </row>
    <row r="5" spans="2:5" ht="15.75" customHeight="1">
      <c r="B5" s="6"/>
      <c r="C5" s="6"/>
      <c r="D5" s="6"/>
      <c r="E5" s="6"/>
    </row>
    <row r="6" spans="2:4" ht="15.75" customHeight="1">
      <c r="B6" s="209" t="s">
        <v>109</v>
      </c>
      <c r="C6" s="213"/>
      <c r="D6" s="66"/>
    </row>
    <row r="7" spans="2:4" ht="15.75" customHeight="1">
      <c r="B7" s="108" t="s">
        <v>146</v>
      </c>
      <c r="C7" s="71"/>
      <c r="D7" s="214"/>
    </row>
    <row r="8" spans="1:4" ht="15.75" customHeight="1">
      <c r="A8" s="96"/>
      <c r="B8" s="275"/>
      <c r="C8" s="276" t="s">
        <v>167</v>
      </c>
      <c r="D8" s="112" t="s">
        <v>168</v>
      </c>
    </row>
    <row r="9" spans="1:4" ht="15.75" customHeight="1">
      <c r="A9" s="49" t="s">
        <v>175</v>
      </c>
      <c r="B9" s="113" t="s">
        <v>176</v>
      </c>
      <c r="C9" s="113" t="s">
        <v>186</v>
      </c>
      <c r="D9" s="113" t="s">
        <v>184</v>
      </c>
    </row>
    <row r="10" ht="4.5" customHeight="1">
      <c r="A10" s="4"/>
    </row>
    <row r="11" spans="1:5" ht="13.5" customHeight="1">
      <c r="A11" s="25" t="s">
        <v>359</v>
      </c>
      <c r="B11" s="253">
        <f>SUM('- 30 -'!B11,'- 30 -'!D11,'- 31 -'!D11)</f>
        <v>828490</v>
      </c>
      <c r="C11" s="253">
        <v>690840</v>
      </c>
      <c r="D11" s="265">
        <f ca="1">IF(AND(CELL("type",C11)="v",C11&gt;0),B11/C11,"")</f>
        <v>1.1992501881767124</v>
      </c>
      <c r="E11" s="277"/>
    </row>
    <row r="12" spans="1:5" ht="13.5" customHeight="1">
      <c r="A12" s="27" t="s">
        <v>360</v>
      </c>
      <c r="B12" s="254">
        <f>SUM('- 30 -'!B12,'- 30 -'!D12,'- 31 -'!D12)</f>
        <v>1411481</v>
      </c>
      <c r="C12" s="254">
        <v>1127864</v>
      </c>
      <c r="D12" s="266">
        <f aca="true" ca="1" t="shared" si="0" ref="D12:D47">IF(AND(CELL("type",C12)="v",C12&gt;0),B12/C12,"")</f>
        <v>1.2514638289722875</v>
      </c>
      <c r="E12" s="277"/>
    </row>
    <row r="13" spans="1:5" ht="13.5" customHeight="1">
      <c r="A13" s="25" t="s">
        <v>361</v>
      </c>
      <c r="B13" s="253">
        <f>SUM('- 30 -'!B13,'- 30 -'!D13,'- 31 -'!D13)</f>
        <v>1250559</v>
      </c>
      <c r="C13" s="253">
        <v>770020</v>
      </c>
      <c r="D13" s="265">
        <f ca="1" t="shared" si="0"/>
        <v>1.6240604140152204</v>
      </c>
      <c r="E13" s="277"/>
    </row>
    <row r="14" spans="1:5" ht="13.5" customHeight="1">
      <c r="A14" s="27" t="s">
        <v>398</v>
      </c>
      <c r="B14" s="254">
        <f>SUM('- 30 -'!B14,'- 30 -'!D14,'- 31 -'!D14)</f>
        <v>3242248</v>
      </c>
      <c r="C14" s="270" t="s">
        <v>443</v>
      </c>
      <c r="D14" s="266">
        <f ca="1" t="shared" si="0"/>
      </c>
      <c r="E14" s="277"/>
    </row>
    <row r="15" spans="1:5" ht="13.5" customHeight="1">
      <c r="A15" s="25" t="s">
        <v>362</v>
      </c>
      <c r="B15" s="253">
        <f>SUM('- 30 -'!B15,'- 30 -'!D15,'- 31 -'!D15)</f>
        <v>871794</v>
      </c>
      <c r="C15" s="253">
        <v>722706</v>
      </c>
      <c r="D15" s="265">
        <f ca="1" t="shared" si="0"/>
        <v>1.206291354990826</v>
      </c>
      <c r="E15" s="277"/>
    </row>
    <row r="16" spans="1:5" ht="13.5" customHeight="1">
      <c r="A16" s="27" t="s">
        <v>363</v>
      </c>
      <c r="B16" s="254">
        <f>SUM('- 30 -'!B16,'- 30 -'!D16,'- 31 -'!D16)</f>
        <v>189975</v>
      </c>
      <c r="C16" s="270" t="s">
        <v>443</v>
      </c>
      <c r="D16" s="266">
        <f ca="1" t="shared" si="0"/>
      </c>
      <c r="E16" s="277"/>
    </row>
    <row r="17" spans="1:5" ht="13.5" customHeight="1">
      <c r="A17" s="25" t="s">
        <v>364</v>
      </c>
      <c r="B17" s="253">
        <f>SUM('- 30 -'!B17,'- 30 -'!D17,'- 31 -'!D17)</f>
        <v>1077324</v>
      </c>
      <c r="C17" s="253">
        <v>1056719</v>
      </c>
      <c r="D17" s="265">
        <f ca="1" t="shared" si="0"/>
        <v>1.0194990342749586</v>
      </c>
      <c r="E17" s="277"/>
    </row>
    <row r="18" spans="1:5" ht="13.5" customHeight="1">
      <c r="A18" s="27" t="s">
        <v>365</v>
      </c>
      <c r="B18" s="254">
        <f>SUM('- 30 -'!B18,'- 30 -'!D18,'- 31 -'!D18)</f>
        <v>3522475</v>
      </c>
      <c r="C18" s="254">
        <v>1354100</v>
      </c>
      <c r="D18" s="266">
        <f ca="1" t="shared" si="0"/>
        <v>2.601340373679935</v>
      </c>
      <c r="E18" s="277"/>
    </row>
    <row r="19" spans="1:5" ht="13.5" customHeight="1">
      <c r="A19" s="25" t="s">
        <v>366</v>
      </c>
      <c r="B19" s="253">
        <f>SUM('- 30 -'!B19,'- 30 -'!D19,'- 31 -'!D19)</f>
        <v>687042</v>
      </c>
      <c r="C19" s="253">
        <v>469916</v>
      </c>
      <c r="D19" s="265">
        <f ca="1" t="shared" si="0"/>
        <v>1.4620527924139632</v>
      </c>
      <c r="E19" s="277"/>
    </row>
    <row r="20" spans="1:5" ht="13.5" customHeight="1">
      <c r="A20" s="27" t="s">
        <v>367</v>
      </c>
      <c r="B20" s="254">
        <f>SUM('- 30 -'!B20,'- 30 -'!D20,'- 31 -'!D20)</f>
        <v>1896950</v>
      </c>
      <c r="C20" s="254">
        <v>1377483</v>
      </c>
      <c r="D20" s="266">
        <f ca="1" t="shared" si="0"/>
        <v>1.3771131839739583</v>
      </c>
      <c r="E20" s="277"/>
    </row>
    <row r="21" spans="1:5" ht="13.5" customHeight="1">
      <c r="A21" s="25" t="s">
        <v>368</v>
      </c>
      <c r="B21" s="253">
        <f>SUM('- 30 -'!B21,'- 30 -'!D21,'- 31 -'!D21)</f>
        <v>1651677</v>
      </c>
      <c r="C21" s="253">
        <v>1076427</v>
      </c>
      <c r="D21" s="265">
        <f ca="1" t="shared" si="0"/>
        <v>1.5344068850000976</v>
      </c>
      <c r="E21" s="277"/>
    </row>
    <row r="22" spans="1:5" ht="13.5" customHeight="1">
      <c r="A22" s="27" t="s">
        <v>369</v>
      </c>
      <c r="B22" s="254">
        <f>SUM('- 30 -'!B22,'- 30 -'!D22,'- 31 -'!D22)</f>
        <v>364496</v>
      </c>
      <c r="C22" s="254">
        <v>224248</v>
      </c>
      <c r="D22" s="266">
        <f ca="1" t="shared" si="0"/>
        <v>1.6254147194177875</v>
      </c>
      <c r="E22" s="277"/>
    </row>
    <row r="23" spans="1:5" ht="13.5" customHeight="1">
      <c r="A23" s="25" t="s">
        <v>370</v>
      </c>
      <c r="B23" s="253">
        <f>SUM('- 30 -'!B23,'- 30 -'!D23,'- 31 -'!D23)</f>
        <v>1174390</v>
      </c>
      <c r="C23" s="253">
        <v>1099600</v>
      </c>
      <c r="D23" s="265">
        <f ca="1" t="shared" si="0"/>
        <v>1.0680156420516551</v>
      </c>
      <c r="E23" s="277"/>
    </row>
    <row r="24" spans="1:5" ht="13.5" customHeight="1">
      <c r="A24" s="27" t="s">
        <v>371</v>
      </c>
      <c r="B24" s="254">
        <f>SUM('- 30 -'!B24,'- 30 -'!D24,'- 31 -'!D24)</f>
        <v>1724532</v>
      </c>
      <c r="C24" s="254">
        <v>1077564</v>
      </c>
      <c r="D24" s="266">
        <f ca="1" t="shared" si="0"/>
        <v>1.600398677015936</v>
      </c>
      <c r="E24" s="277"/>
    </row>
    <row r="25" spans="1:5" ht="13.5" customHeight="1">
      <c r="A25" s="25" t="s">
        <v>372</v>
      </c>
      <c r="B25" s="253">
        <f>SUM('- 30 -'!B25,'- 30 -'!D25,'- 31 -'!D25)</f>
        <v>1555028</v>
      </c>
      <c r="C25" s="253">
        <v>623404</v>
      </c>
      <c r="D25" s="265">
        <f ca="1" t="shared" si="0"/>
        <v>2.494414536961585</v>
      </c>
      <c r="E25" s="277"/>
    </row>
    <row r="26" spans="1:5" ht="13.5" customHeight="1">
      <c r="A26" s="27" t="s">
        <v>373</v>
      </c>
      <c r="B26" s="254">
        <f>SUM('- 30 -'!B26,'- 30 -'!D26,'- 31 -'!D26)</f>
        <v>1915225</v>
      </c>
      <c r="C26" s="254">
        <v>1327860</v>
      </c>
      <c r="D26" s="266">
        <f ca="1" t="shared" si="0"/>
        <v>1.4423395538686308</v>
      </c>
      <c r="E26" s="277"/>
    </row>
    <row r="27" spans="1:5" ht="13.5" customHeight="1">
      <c r="A27" s="25" t="s">
        <v>374</v>
      </c>
      <c r="B27" s="253">
        <f>SUM('- 30 -'!B27,'- 30 -'!D27,'- 31 -'!D27)</f>
        <v>42024</v>
      </c>
      <c r="C27" s="272" t="s">
        <v>299</v>
      </c>
      <c r="D27" s="265">
        <f ca="1" t="shared" si="0"/>
      </c>
      <c r="E27" s="277"/>
    </row>
    <row r="28" spans="1:5" ht="13.5" customHeight="1">
      <c r="A28" s="27" t="s">
        <v>375</v>
      </c>
      <c r="B28" s="254">
        <f>SUM('- 30 -'!B28,'- 30 -'!D28,'- 31 -'!D28)</f>
        <v>1781490.28</v>
      </c>
      <c r="C28" s="254">
        <v>1515368</v>
      </c>
      <c r="D28" s="266">
        <f ca="1" t="shared" si="0"/>
        <v>1.1756156128412372</v>
      </c>
      <c r="E28" s="277"/>
    </row>
    <row r="29" spans="1:5" ht="13.5" customHeight="1">
      <c r="A29" s="25" t="s">
        <v>376</v>
      </c>
      <c r="B29" s="253">
        <f>SUM('- 30 -'!B29,'- 30 -'!D29,'- 31 -'!D29)</f>
        <v>1376973</v>
      </c>
      <c r="C29" s="253">
        <v>537357</v>
      </c>
      <c r="D29" s="265">
        <f ca="1" t="shared" si="0"/>
        <v>2.562491974609059</v>
      </c>
      <c r="E29" s="277"/>
    </row>
    <row r="30" spans="1:5" ht="13.5" customHeight="1">
      <c r="A30" s="27" t="s">
        <v>377</v>
      </c>
      <c r="B30" s="254">
        <f>SUM('- 30 -'!B30,'- 30 -'!D30,'- 31 -'!D30)</f>
        <v>921799</v>
      </c>
      <c r="C30" s="254">
        <v>951213</v>
      </c>
      <c r="D30" s="266">
        <f ca="1" t="shared" si="0"/>
        <v>0.9690773780425624</v>
      </c>
      <c r="E30" s="277"/>
    </row>
    <row r="31" spans="1:5" ht="13.5" customHeight="1">
      <c r="A31" s="25" t="s">
        <v>378</v>
      </c>
      <c r="B31" s="253">
        <f>SUM('- 30 -'!B31,'- 30 -'!D31,'- 31 -'!D31)</f>
        <v>744233</v>
      </c>
      <c r="C31" s="253">
        <v>655200</v>
      </c>
      <c r="D31" s="265">
        <f ca="1" t="shared" si="0"/>
        <v>1.1358867521367522</v>
      </c>
      <c r="E31" s="277"/>
    </row>
    <row r="32" spans="1:5" ht="13.5" customHeight="1">
      <c r="A32" s="27" t="s">
        <v>379</v>
      </c>
      <c r="B32" s="254">
        <f>SUM('- 30 -'!B32,'- 30 -'!D32,'- 31 -'!D32)</f>
        <v>1317461</v>
      </c>
      <c r="C32" s="254">
        <v>1096892</v>
      </c>
      <c r="D32" s="266">
        <f ca="1" t="shared" si="0"/>
        <v>1.2010854304708212</v>
      </c>
      <c r="E32" s="277"/>
    </row>
    <row r="33" spans="1:5" ht="13.5" customHeight="1">
      <c r="A33" s="25" t="s">
        <v>380</v>
      </c>
      <c r="B33" s="253">
        <f>SUM('- 30 -'!B33,'- 30 -'!D33,'- 31 -'!D33)</f>
        <v>1991015</v>
      </c>
      <c r="C33" s="253">
        <v>1665646</v>
      </c>
      <c r="D33" s="265">
        <f ca="1" t="shared" si="0"/>
        <v>1.1953410268448397</v>
      </c>
      <c r="E33" s="277"/>
    </row>
    <row r="34" spans="1:5" ht="13.5" customHeight="1">
      <c r="A34" s="27" t="s">
        <v>381</v>
      </c>
      <c r="B34" s="254">
        <f>SUM('- 30 -'!B34,'- 30 -'!D34,'- 31 -'!D34)</f>
        <v>1671000</v>
      </c>
      <c r="C34" s="254">
        <v>1331412</v>
      </c>
      <c r="D34" s="266">
        <f ca="1" t="shared" si="0"/>
        <v>1.255058539355211</v>
      </c>
      <c r="E34" s="277"/>
    </row>
    <row r="35" spans="1:5" ht="13.5" customHeight="1">
      <c r="A35" s="25" t="s">
        <v>382</v>
      </c>
      <c r="B35" s="253">
        <f>SUM('- 30 -'!B35,'- 30 -'!D35,'- 31 -'!D35)</f>
        <v>2307365</v>
      </c>
      <c r="C35" s="253">
        <v>897000</v>
      </c>
      <c r="D35" s="265">
        <f ca="1" t="shared" si="0"/>
        <v>2.572313266443701</v>
      </c>
      <c r="E35" s="277"/>
    </row>
    <row r="36" spans="1:5" ht="13.5" customHeight="1">
      <c r="A36" s="27" t="s">
        <v>383</v>
      </c>
      <c r="B36" s="254">
        <f>SUM('- 30 -'!B36,'- 30 -'!D36,'- 31 -'!D36)</f>
        <v>1192698</v>
      </c>
      <c r="C36" s="254">
        <v>1063135</v>
      </c>
      <c r="D36" s="266">
        <f ca="1" t="shared" si="0"/>
        <v>1.1218688125214578</v>
      </c>
      <c r="E36" s="277"/>
    </row>
    <row r="37" spans="1:5" ht="13.5" customHeight="1">
      <c r="A37" s="25" t="s">
        <v>384</v>
      </c>
      <c r="B37" s="253">
        <f>SUM('- 30 -'!B37,'- 30 -'!D37,'- 31 -'!D37)</f>
        <v>1624510</v>
      </c>
      <c r="C37" s="253">
        <v>1012474</v>
      </c>
      <c r="D37" s="265">
        <f ca="1" t="shared" si="0"/>
        <v>1.604495522847994</v>
      </c>
      <c r="E37" s="277"/>
    </row>
    <row r="38" spans="1:5" ht="13.5" customHeight="1">
      <c r="A38" s="27" t="s">
        <v>385</v>
      </c>
      <c r="B38" s="254">
        <f>SUM('- 30 -'!B38,'- 30 -'!D38,'- 31 -'!D38)</f>
        <v>1932952</v>
      </c>
      <c r="C38" s="254">
        <v>674447</v>
      </c>
      <c r="D38" s="266">
        <f ca="1" t="shared" si="0"/>
        <v>2.8659805737144652</v>
      </c>
      <c r="E38" s="277"/>
    </row>
    <row r="39" spans="1:5" ht="13.5" customHeight="1">
      <c r="A39" s="25" t="s">
        <v>386</v>
      </c>
      <c r="B39" s="253">
        <f>SUM('- 30 -'!B39,'- 30 -'!D39,'- 31 -'!D39)</f>
        <v>1424118</v>
      </c>
      <c r="C39" s="253">
        <v>1451408</v>
      </c>
      <c r="D39" s="265">
        <f ca="1" t="shared" si="0"/>
        <v>0.9811975681545093</v>
      </c>
      <c r="E39" s="277"/>
    </row>
    <row r="40" spans="1:5" ht="13.5" customHeight="1">
      <c r="A40" s="27" t="s">
        <v>387</v>
      </c>
      <c r="B40" s="254">
        <f>SUM('- 30 -'!B40,'- 30 -'!D40,'- 31 -'!D40)</f>
        <v>1006961</v>
      </c>
      <c r="C40" s="254">
        <v>478283</v>
      </c>
      <c r="D40" s="266">
        <f ca="1" t="shared" si="0"/>
        <v>2.1053664880415988</v>
      </c>
      <c r="E40" s="277"/>
    </row>
    <row r="41" spans="1:5" ht="13.5" customHeight="1">
      <c r="A41" s="25" t="s">
        <v>388</v>
      </c>
      <c r="B41" s="253">
        <f>SUM('- 30 -'!B41,'- 30 -'!D41,'- 31 -'!D41)</f>
        <v>3156319</v>
      </c>
      <c r="C41" s="253">
        <v>2637348</v>
      </c>
      <c r="D41" s="265">
        <f ca="1" t="shared" si="0"/>
        <v>1.196777596282326</v>
      </c>
      <c r="E41" s="277"/>
    </row>
    <row r="42" spans="1:5" ht="13.5" customHeight="1">
      <c r="A42" s="27" t="s">
        <v>389</v>
      </c>
      <c r="B42" s="254">
        <f>SUM('- 30 -'!B42,'- 30 -'!D42,'- 31 -'!D42)</f>
        <v>1161680</v>
      </c>
      <c r="C42" s="254">
        <v>811349</v>
      </c>
      <c r="D42" s="266">
        <f ca="1" t="shared" si="0"/>
        <v>1.4317882933238348</v>
      </c>
      <c r="E42" s="277"/>
    </row>
    <row r="43" spans="1:5" ht="13.5" customHeight="1">
      <c r="A43" s="25" t="s">
        <v>390</v>
      </c>
      <c r="B43" s="253">
        <f>SUM('- 30 -'!B43,'- 30 -'!D43,'- 31 -'!D43)</f>
        <v>696974</v>
      </c>
      <c r="C43" s="253">
        <v>671069</v>
      </c>
      <c r="D43" s="265">
        <f ca="1" t="shared" si="0"/>
        <v>1.0386025878113876</v>
      </c>
      <c r="E43" s="277"/>
    </row>
    <row r="44" spans="1:5" ht="13.5" customHeight="1">
      <c r="A44" s="27" t="s">
        <v>391</v>
      </c>
      <c r="B44" s="254">
        <f>SUM('- 30 -'!B44,'- 30 -'!D44,'- 31 -'!D44)</f>
        <v>702638</v>
      </c>
      <c r="C44" s="254">
        <v>839651</v>
      </c>
      <c r="D44" s="266">
        <f ca="1" t="shared" si="0"/>
        <v>0.836821488928138</v>
      </c>
      <c r="E44" s="277"/>
    </row>
    <row r="45" spans="1:5" ht="13.5" customHeight="1">
      <c r="A45" s="25" t="s">
        <v>392</v>
      </c>
      <c r="B45" s="253">
        <f>SUM('- 30 -'!B45,'- 30 -'!D45,'- 31 -'!D45)</f>
        <v>418794</v>
      </c>
      <c r="C45" s="253">
        <v>282400</v>
      </c>
      <c r="D45" s="265">
        <f ca="1" t="shared" si="0"/>
        <v>1.4829815864022662</v>
      </c>
      <c r="E45" s="277"/>
    </row>
    <row r="46" spans="1:5" ht="13.5" customHeight="1">
      <c r="A46" s="27" t="s">
        <v>393</v>
      </c>
      <c r="B46" s="254">
        <f>SUM('- 30 -'!B46,'- 30 -'!D46,'- 31 -'!D46)</f>
        <v>3277045</v>
      </c>
      <c r="C46" s="254">
        <v>1062724</v>
      </c>
      <c r="D46" s="266">
        <f ca="1" t="shared" si="0"/>
        <v>3.0836275458162232</v>
      </c>
      <c r="E46" s="277"/>
    </row>
    <row r="47" spans="1:5" ht="13.5" customHeight="1">
      <c r="A47" s="25" t="s">
        <v>397</v>
      </c>
      <c r="B47" s="253">
        <f>SUM('- 30 -'!B47,'- 30 -'!D47,'- 31 -'!D47)</f>
        <v>0</v>
      </c>
      <c r="C47" s="253">
        <v>0</v>
      </c>
      <c r="D47" s="265">
        <f ca="1" t="shared" si="0"/>
      </c>
      <c r="E47" s="277"/>
    </row>
    <row r="48" spans="1:5" ht="4.5" customHeight="1">
      <c r="A48" s="29"/>
      <c r="B48" s="255"/>
      <c r="C48" s="255"/>
      <c r="D48" s="267"/>
      <c r="E48" s="277"/>
    </row>
    <row r="49" spans="1:5" ht="13.5" customHeight="1">
      <c r="A49" s="31" t="s">
        <v>394</v>
      </c>
      <c r="B49" s="256">
        <f>SUM(B11:B47)</f>
        <v>52111735.28</v>
      </c>
      <c r="C49" s="256">
        <f>SUM(C11:C47)</f>
        <v>32633127</v>
      </c>
      <c r="D49" s="268">
        <f>B49/C49</f>
        <v>1.596896775476037</v>
      </c>
      <c r="E49" s="277"/>
    </row>
    <row r="50" spans="1:4" ht="4.5" customHeight="1">
      <c r="A50" s="29" t="s">
        <v>78</v>
      </c>
      <c r="B50" s="255"/>
      <c r="C50" s="255"/>
      <c r="D50" s="267"/>
    </row>
    <row r="51" spans="1:5" ht="13.5" customHeight="1">
      <c r="A51" s="27" t="s">
        <v>395</v>
      </c>
      <c r="B51" s="254">
        <f>SUM('- 30 -'!B51,'- 30 -'!D51,'- 31 -'!D51)</f>
        <v>52736</v>
      </c>
      <c r="C51" s="254">
        <v>21005</v>
      </c>
      <c r="D51" s="266">
        <f ca="1">IF(AND(CELL("type",C51)="v",C51&gt;0),B51/C51,"")</f>
        <v>2.510640323732445</v>
      </c>
      <c r="E51" s="277"/>
    </row>
    <row r="52" spans="1:5" ht="13.5" customHeight="1">
      <c r="A52" s="25" t="s">
        <v>396</v>
      </c>
      <c r="B52" s="253">
        <f>SUM('- 30 -'!B52,'- 30 -'!D52,'- 31 -'!D52)</f>
        <v>26211</v>
      </c>
      <c r="C52" s="272" t="s">
        <v>299</v>
      </c>
      <c r="D52" s="265">
        <f ca="1">IF(AND(CELL("type",C52)="v",C52&gt;0),B52/C52,"")</f>
      </c>
      <c r="E52" s="277"/>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5"/>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5" width="15.83203125" style="1" customWidth="1"/>
    <col min="6" max="6" width="17.83203125" style="1" customWidth="1"/>
    <col min="7" max="16384" width="15.83203125" style="1" customWidth="1"/>
  </cols>
  <sheetData>
    <row r="1" spans="1:6" ht="6.75" customHeight="1">
      <c r="A1" s="5"/>
      <c r="B1" s="6"/>
      <c r="C1" s="6"/>
      <c r="D1" s="6"/>
      <c r="E1" s="6"/>
      <c r="F1" s="6"/>
    </row>
    <row r="2" spans="1:7" ht="15.75" customHeight="1">
      <c r="A2" s="7" t="s">
        <v>400</v>
      </c>
      <c r="B2" s="233"/>
      <c r="C2" s="262"/>
      <c r="D2" s="8"/>
      <c r="E2" s="8"/>
      <c r="F2" s="8"/>
      <c r="G2" s="8"/>
    </row>
    <row r="3" spans="1:7" ht="15.75" customHeight="1">
      <c r="A3" s="9" t="str">
        <f>OPYEAR</f>
        <v>OPERATING FUND 2003/2004 ACTUAL</v>
      </c>
      <c r="B3" s="236"/>
      <c r="C3" s="263"/>
      <c r="D3" s="10"/>
      <c r="E3" s="10"/>
      <c r="F3" s="10"/>
      <c r="G3" s="10"/>
    </row>
    <row r="4" spans="2:6" ht="15.75" customHeight="1">
      <c r="B4" s="6"/>
      <c r="C4" s="6"/>
      <c r="D4" s="99"/>
      <c r="E4" s="6"/>
      <c r="F4" s="6"/>
    </row>
    <row r="5" spans="2:6" ht="15.75" customHeight="1">
      <c r="B5" s="6"/>
      <c r="C5" s="6"/>
      <c r="D5" s="6"/>
      <c r="E5" s="6"/>
      <c r="F5" s="6"/>
    </row>
    <row r="6" spans="2:7" ht="15.75" customHeight="1">
      <c r="B6" s="222"/>
      <c r="C6" s="264"/>
      <c r="D6" s="213"/>
      <c r="E6" s="66"/>
      <c r="F6" s="211" t="s">
        <v>110</v>
      </c>
      <c r="G6" s="210"/>
    </row>
    <row r="7" spans="2:9" ht="15.75" customHeight="1">
      <c r="B7" s="108" t="s">
        <v>142</v>
      </c>
      <c r="C7" s="71"/>
      <c r="D7" s="71"/>
      <c r="E7" s="70"/>
      <c r="F7" s="71" t="s">
        <v>147</v>
      </c>
      <c r="G7" s="70"/>
      <c r="I7" s="3" t="s">
        <v>144</v>
      </c>
    </row>
    <row r="8" spans="1:9" ht="15.75" customHeight="1">
      <c r="A8" s="96"/>
      <c r="B8" s="112" t="s">
        <v>78</v>
      </c>
      <c r="C8" s="18" t="s">
        <v>170</v>
      </c>
      <c r="D8" s="111" t="s">
        <v>170</v>
      </c>
      <c r="E8" s="111" t="s">
        <v>346</v>
      </c>
      <c r="F8" s="112" t="s">
        <v>78</v>
      </c>
      <c r="G8" s="112" t="s">
        <v>170</v>
      </c>
      <c r="I8" s="3" t="s">
        <v>174</v>
      </c>
    </row>
    <row r="9" spans="1:9" ht="15.75" customHeight="1">
      <c r="A9" s="49" t="s">
        <v>175</v>
      </c>
      <c r="B9" s="113" t="s">
        <v>176</v>
      </c>
      <c r="C9" s="113" t="s">
        <v>178</v>
      </c>
      <c r="D9" s="113" t="s">
        <v>563</v>
      </c>
      <c r="E9" s="113" t="s">
        <v>564</v>
      </c>
      <c r="F9" s="113" t="s">
        <v>176</v>
      </c>
      <c r="G9" s="113" t="s">
        <v>563</v>
      </c>
      <c r="I9" s="3" t="s">
        <v>73</v>
      </c>
    </row>
    <row r="10" ht="4.5" customHeight="1">
      <c r="A10" s="4"/>
    </row>
    <row r="11" spans="1:9" ht="13.5" customHeight="1">
      <c r="A11" s="25" t="s">
        <v>359</v>
      </c>
      <c r="B11" s="253">
        <f>'- 32 -'!D11</f>
        <v>992048</v>
      </c>
      <c r="C11" s="253">
        <f>B11/'- 7 -'!F11</f>
        <v>635.1139564660691</v>
      </c>
      <c r="D11" s="265">
        <f aca="true" t="shared" si="0" ref="D11:D42">B11/I11</f>
        <v>4.177747831213678</v>
      </c>
      <c r="E11" s="253">
        <f>I11/'- 7 -'!F11</f>
        <v>152.02304737516005</v>
      </c>
      <c r="F11" s="253">
        <f>'- 32 -'!F11</f>
        <v>235447</v>
      </c>
      <c r="G11" s="265">
        <f aca="true" t="shared" si="1" ref="G11:G42">F11/I11</f>
        <v>0.9915227827844689</v>
      </c>
      <c r="I11" s="1">
        <v>237460</v>
      </c>
    </row>
    <row r="12" spans="1:9" ht="13.5" customHeight="1">
      <c r="A12" s="27" t="s">
        <v>360</v>
      </c>
      <c r="B12" s="254">
        <f>'- 32 -'!D12</f>
        <v>1761432</v>
      </c>
      <c r="C12" s="254">
        <f>B12/'- 7 -'!F12</f>
        <v>741.5931289996632</v>
      </c>
      <c r="D12" s="266">
        <f t="shared" si="0"/>
        <v>4.547203420021376</v>
      </c>
      <c r="E12" s="254">
        <f>I12/'- 7 -'!F12</f>
        <v>163.0877399797912</v>
      </c>
      <c r="F12" s="254">
        <f>'- 32 -'!F12</f>
        <v>78957</v>
      </c>
      <c r="G12" s="266">
        <f t="shared" si="1"/>
        <v>0.2038304858970586</v>
      </c>
      <c r="I12" s="1">
        <v>387366</v>
      </c>
    </row>
    <row r="13" spans="1:9" ht="13.5" customHeight="1">
      <c r="A13" s="25" t="s">
        <v>361</v>
      </c>
      <c r="B13" s="253">
        <f>'- 32 -'!D13</f>
        <v>4127607</v>
      </c>
      <c r="C13" s="253">
        <f>B13/'- 7 -'!F13</f>
        <v>580.61710507807</v>
      </c>
      <c r="D13" s="265">
        <f t="shared" si="0"/>
        <v>3.8203337371845123</v>
      </c>
      <c r="E13" s="253">
        <f>I13/'- 7 -'!F13</f>
        <v>151.9807286538191</v>
      </c>
      <c r="F13" s="253">
        <f>'- 32 -'!F13</f>
        <v>315527</v>
      </c>
      <c r="G13" s="265">
        <f t="shared" si="1"/>
        <v>0.2920380848013432</v>
      </c>
      <c r="I13" s="1">
        <v>1080431</v>
      </c>
    </row>
    <row r="14" spans="1:9" ht="13.5" customHeight="1">
      <c r="A14" s="27" t="s">
        <v>398</v>
      </c>
      <c r="B14" s="254">
        <f>'- 32 -'!D14</f>
        <v>3653519</v>
      </c>
      <c r="C14" s="254">
        <f>B14/'- 7 -'!F14</f>
        <v>855.1844482936192</v>
      </c>
      <c r="D14" s="266">
        <f t="shared" si="0"/>
        <v>5.111847223232725</v>
      </c>
      <c r="E14" s="254">
        <f>I14/'- 7 -'!F14</f>
        <v>167.2946023126258</v>
      </c>
      <c r="F14" s="254">
        <f>'- 32 -'!F14</f>
        <v>525661</v>
      </c>
      <c r="G14" s="266">
        <f t="shared" si="1"/>
        <v>0.7354823454351099</v>
      </c>
      <c r="I14" s="1">
        <v>714716</v>
      </c>
    </row>
    <row r="15" spans="1:9" ht="13.5" customHeight="1">
      <c r="A15" s="25" t="s">
        <v>362</v>
      </c>
      <c r="B15" s="253">
        <f>'- 32 -'!D15</f>
        <v>1332804</v>
      </c>
      <c r="C15" s="253">
        <f>B15/'- 7 -'!F15</f>
        <v>802.1691242852844</v>
      </c>
      <c r="D15" s="265">
        <f t="shared" si="0"/>
        <v>4.658020277425375</v>
      </c>
      <c r="E15" s="253">
        <f>I15/'- 7 -'!F15</f>
        <v>172.21245862172736</v>
      </c>
      <c r="F15" s="253">
        <f>'- 32 -'!F15</f>
        <v>138865</v>
      </c>
      <c r="G15" s="265">
        <f t="shared" si="1"/>
        <v>0.4853196612740318</v>
      </c>
      <c r="I15" s="1">
        <v>286131</v>
      </c>
    </row>
    <row r="16" spans="1:9" ht="13.5" customHeight="1">
      <c r="A16" s="27" t="s">
        <v>363</v>
      </c>
      <c r="B16" s="254">
        <f>'- 32 -'!D16</f>
        <v>1402872</v>
      </c>
      <c r="C16" s="254">
        <f>B16/'- 7 -'!F16</f>
        <v>1007.8827501975716</v>
      </c>
      <c r="D16" s="266">
        <f t="shared" si="0"/>
        <v>6.047591950752677</v>
      </c>
      <c r="E16" s="254">
        <f>I16/'- 7 -'!F16</f>
        <v>166.6585243192758</v>
      </c>
      <c r="F16" s="254">
        <f>'- 32 -'!F16</f>
        <v>86527</v>
      </c>
      <c r="G16" s="266">
        <f t="shared" si="1"/>
        <v>0.37300622488921076</v>
      </c>
      <c r="I16" s="1">
        <v>231972</v>
      </c>
    </row>
    <row r="17" spans="1:9" ht="13.5" customHeight="1">
      <c r="A17" s="25" t="s">
        <v>364</v>
      </c>
      <c r="B17" s="253">
        <f>'- 32 -'!D17</f>
        <v>1124756</v>
      </c>
      <c r="C17" s="253">
        <f>B17/'- 7 -'!F17</f>
        <v>712.3217226092463</v>
      </c>
      <c r="D17" s="265">
        <f t="shared" si="0"/>
        <v>4.167368171443815</v>
      </c>
      <c r="E17" s="253">
        <f>I17/'- 7 -'!F17</f>
        <v>170.92843571880937</v>
      </c>
      <c r="F17" s="253">
        <f>'- 32 -'!F17</f>
        <v>103899</v>
      </c>
      <c r="G17" s="265">
        <f t="shared" si="1"/>
        <v>0.38495939176571714</v>
      </c>
      <c r="I17" s="1">
        <v>269896</v>
      </c>
    </row>
    <row r="18" spans="1:9" ht="13.5" customHeight="1">
      <c r="A18" s="27" t="s">
        <v>365</v>
      </c>
      <c r="B18" s="254">
        <f>'- 32 -'!D18</f>
        <v>10476922</v>
      </c>
      <c r="C18" s="254">
        <f>B18/'- 7 -'!F18</f>
        <v>1788.1452782850608</v>
      </c>
      <c r="D18" s="266">
        <f t="shared" si="0"/>
        <v>8.54851401454327</v>
      </c>
      <c r="E18" s="254">
        <f>I18/'- 7 -'!F18</f>
        <v>209.1761533341298</v>
      </c>
      <c r="F18" s="254">
        <f>'- 32 -'!F18</f>
        <v>746387</v>
      </c>
      <c r="G18" s="266">
        <f t="shared" si="1"/>
        <v>0.6090051763077847</v>
      </c>
      <c r="I18" s="1">
        <v>1225584</v>
      </c>
    </row>
    <row r="19" spans="1:9" ht="13.5" customHeight="1">
      <c r="A19" s="25" t="s">
        <v>366</v>
      </c>
      <c r="B19" s="253">
        <f>'- 32 -'!D19</f>
        <v>1504913</v>
      </c>
      <c r="C19" s="253">
        <f>B19/'- 7 -'!F19</f>
        <v>499.9877072327984</v>
      </c>
      <c r="D19" s="265">
        <f t="shared" si="0"/>
        <v>4.351345959230881</v>
      </c>
      <c r="E19" s="253">
        <f>I19/'- 7 -'!F19</f>
        <v>114.9041496395229</v>
      </c>
      <c r="F19" s="253">
        <f>'- 32 -'!F19</f>
        <v>56880</v>
      </c>
      <c r="G19" s="265">
        <f t="shared" si="1"/>
        <v>0.16446436316322105</v>
      </c>
      <c r="I19" s="1">
        <v>345850</v>
      </c>
    </row>
    <row r="20" spans="1:9" ht="13.5" customHeight="1">
      <c r="A20" s="27" t="s">
        <v>367</v>
      </c>
      <c r="B20" s="254">
        <f>'- 32 -'!D20</f>
        <v>3522810</v>
      </c>
      <c r="C20" s="254">
        <f>B20/'- 7 -'!F20</f>
        <v>556.7459502173054</v>
      </c>
      <c r="D20" s="266">
        <f t="shared" si="0"/>
        <v>4.6330573251758365</v>
      </c>
      <c r="E20" s="254">
        <f>I20/'- 7 -'!F20</f>
        <v>120.16815487949427</v>
      </c>
      <c r="F20" s="254">
        <f>'- 32 -'!F20</f>
        <v>221187</v>
      </c>
      <c r="G20" s="266">
        <f t="shared" si="1"/>
        <v>0.2908962023451926</v>
      </c>
      <c r="I20" s="1">
        <v>760364</v>
      </c>
    </row>
    <row r="21" spans="1:9" ht="13.5" customHeight="1">
      <c r="A21" s="25" t="s">
        <v>368</v>
      </c>
      <c r="B21" s="253">
        <f>'- 32 -'!D21</f>
        <v>2040901</v>
      </c>
      <c r="C21" s="253">
        <f>B21/'- 7 -'!F21</f>
        <v>614.081841432225</v>
      </c>
      <c r="D21" s="265">
        <f t="shared" si="0"/>
        <v>4.627578622769426</v>
      </c>
      <c r="E21" s="253">
        <f>I21/'- 7 -'!F21</f>
        <v>132.70046637580865</v>
      </c>
      <c r="F21" s="253">
        <f>'- 32 -'!F21</f>
        <v>360006</v>
      </c>
      <c r="G21" s="265">
        <f t="shared" si="1"/>
        <v>0.8162846064893544</v>
      </c>
      <c r="I21" s="1">
        <v>441030</v>
      </c>
    </row>
    <row r="22" spans="1:9" ht="13.5" customHeight="1">
      <c r="A22" s="27" t="s">
        <v>369</v>
      </c>
      <c r="B22" s="254">
        <f>'- 32 -'!D22</f>
        <v>1518871</v>
      </c>
      <c r="C22" s="254">
        <f>B22/'- 7 -'!F22</f>
        <v>897.6778959810874</v>
      </c>
      <c r="D22" s="266">
        <f t="shared" si="0"/>
        <v>4.466308704307605</v>
      </c>
      <c r="E22" s="254">
        <f>I22/'- 7 -'!F22</f>
        <v>200.9887706855792</v>
      </c>
      <c r="F22" s="254">
        <f>'- 32 -'!F22</f>
        <v>63627</v>
      </c>
      <c r="G22" s="266">
        <f t="shared" si="1"/>
        <v>0.18709806423914865</v>
      </c>
      <c r="I22" s="1">
        <v>340073</v>
      </c>
    </row>
    <row r="23" spans="1:9" ht="13.5" customHeight="1">
      <c r="A23" s="25" t="s">
        <v>370</v>
      </c>
      <c r="B23" s="253">
        <f>'- 32 -'!D23</f>
        <v>825614</v>
      </c>
      <c r="C23" s="253">
        <f>B23/'- 7 -'!F23</f>
        <v>621.931450094162</v>
      </c>
      <c r="D23" s="265">
        <f t="shared" si="0"/>
        <v>3.713495376200928</v>
      </c>
      <c r="E23" s="253">
        <f>I23/'- 7 -'!F23</f>
        <v>167.47871939736348</v>
      </c>
      <c r="F23" s="253">
        <f>'- 32 -'!F23</f>
        <v>137066</v>
      </c>
      <c r="G23" s="265">
        <f t="shared" si="1"/>
        <v>0.6165035443129071</v>
      </c>
      <c r="I23" s="1">
        <v>222328</v>
      </c>
    </row>
    <row r="24" spans="1:9" ht="13.5" customHeight="1">
      <c r="A24" s="27" t="s">
        <v>371</v>
      </c>
      <c r="B24" s="254">
        <f>'- 32 -'!D24</f>
        <v>3458467</v>
      </c>
      <c r="C24" s="254">
        <f>B24/'- 7 -'!F24</f>
        <v>742.080678038837</v>
      </c>
      <c r="D24" s="266">
        <f t="shared" si="0"/>
        <v>5.342053802571501</v>
      </c>
      <c r="E24" s="254">
        <f>I24/'- 7 -'!F24</f>
        <v>138.9129921682223</v>
      </c>
      <c r="F24" s="254">
        <f>'- 32 -'!F24</f>
        <v>183398</v>
      </c>
      <c r="G24" s="266">
        <f t="shared" si="1"/>
        <v>0.2832821545742689</v>
      </c>
      <c r="I24" s="1">
        <v>647404</v>
      </c>
    </row>
    <row r="25" spans="1:9" ht="13.5" customHeight="1">
      <c r="A25" s="25" t="s">
        <v>372</v>
      </c>
      <c r="B25" s="253">
        <f>'- 32 -'!D25</f>
        <v>11351150</v>
      </c>
      <c r="C25" s="253">
        <f>B25/'- 7 -'!F25</f>
        <v>755.9621724218308</v>
      </c>
      <c r="D25" s="265">
        <f t="shared" si="0"/>
        <v>5.087363820362094</v>
      </c>
      <c r="E25" s="253">
        <f>I25/'- 7 -'!F25</f>
        <v>148.59605074756087</v>
      </c>
      <c r="F25" s="253">
        <f>'- 32 -'!F25</f>
        <v>343801</v>
      </c>
      <c r="G25" s="265">
        <f t="shared" si="1"/>
        <v>0.15408489613865628</v>
      </c>
      <c r="I25" s="1">
        <v>2231244</v>
      </c>
    </row>
    <row r="26" spans="1:9" ht="13.5" customHeight="1">
      <c r="A26" s="27" t="s">
        <v>373</v>
      </c>
      <c r="B26" s="254">
        <f>'- 32 -'!D26</f>
        <v>2758562</v>
      </c>
      <c r="C26" s="254">
        <f>B26/'- 7 -'!F26</f>
        <v>835.8772195624508</v>
      </c>
      <c r="D26" s="266">
        <f t="shared" si="0"/>
        <v>3.0765066569713624</v>
      </c>
      <c r="E26" s="254">
        <f>I26/'- 7 -'!F26</f>
        <v>271.69686685655415</v>
      </c>
      <c r="F26" s="254">
        <f>'- 32 -'!F26</f>
        <v>125043</v>
      </c>
      <c r="G26" s="266">
        <f t="shared" si="1"/>
        <v>0.13945512984941794</v>
      </c>
      <c r="I26" s="1">
        <v>896654</v>
      </c>
    </row>
    <row r="27" spans="1:9" ht="13.5" customHeight="1">
      <c r="A27" s="25" t="s">
        <v>374</v>
      </c>
      <c r="B27" s="253">
        <f>'- 32 -'!D27</f>
        <v>2992165.36</v>
      </c>
      <c r="C27" s="253">
        <f>B27/'- 7 -'!F27</f>
        <v>921.2331773399014</v>
      </c>
      <c r="D27" s="265">
        <f t="shared" si="0"/>
        <v>6.487149692679595</v>
      </c>
      <c r="E27" s="253">
        <f>I27/'- 7 -'!F27</f>
        <v>142.00892857142858</v>
      </c>
      <c r="F27" s="253">
        <f>'- 32 -'!F27</f>
        <v>146109</v>
      </c>
      <c r="G27" s="265">
        <f t="shared" si="1"/>
        <v>0.31677091350583747</v>
      </c>
      <c r="I27" s="1">
        <v>461245</v>
      </c>
    </row>
    <row r="28" spans="1:9" ht="13.5" customHeight="1">
      <c r="A28" s="27" t="s">
        <v>375</v>
      </c>
      <c r="B28" s="254">
        <f>'- 32 -'!D28</f>
        <v>1636607.54</v>
      </c>
      <c r="C28" s="254">
        <f>B28/'- 7 -'!F28</f>
        <v>785.6973307729237</v>
      </c>
      <c r="D28" s="266">
        <f t="shared" si="0"/>
        <v>4.094343947323654</v>
      </c>
      <c r="E28" s="254">
        <f>I28/'- 7 -'!F28</f>
        <v>191.89822371579453</v>
      </c>
      <c r="F28" s="254">
        <f>'- 32 -'!F28</f>
        <v>82991</v>
      </c>
      <c r="G28" s="266">
        <f t="shared" si="1"/>
        <v>0.20762075832324303</v>
      </c>
      <c r="I28" s="1">
        <v>399724</v>
      </c>
    </row>
    <row r="29" spans="1:9" ht="13.5" customHeight="1">
      <c r="A29" s="25" t="s">
        <v>376</v>
      </c>
      <c r="B29" s="253">
        <f>'- 32 -'!D29</f>
        <v>8584069</v>
      </c>
      <c r="C29" s="253">
        <f>B29/'- 7 -'!F29</f>
        <v>652.3344479063759</v>
      </c>
      <c r="D29" s="265">
        <f t="shared" si="0"/>
        <v>5.07995900084685</v>
      </c>
      <c r="E29" s="253">
        <f>I29/'- 7 -'!F29</f>
        <v>128.41332928034046</v>
      </c>
      <c r="F29" s="253">
        <f>'- 32 -'!F29</f>
        <v>754216</v>
      </c>
      <c r="G29" s="265">
        <f t="shared" si="1"/>
        <v>0.44633685467611084</v>
      </c>
      <c r="I29" s="1">
        <v>1689791</v>
      </c>
    </row>
    <row r="30" spans="1:9" ht="13.5" customHeight="1">
      <c r="A30" s="27" t="s">
        <v>377</v>
      </c>
      <c r="B30" s="254">
        <f>'- 32 -'!D30</f>
        <v>868829</v>
      </c>
      <c r="C30" s="254">
        <f>B30/'- 7 -'!F30</f>
        <v>681.7018438603374</v>
      </c>
      <c r="D30" s="266">
        <f t="shared" si="0"/>
        <v>4.157573872472784</v>
      </c>
      <c r="E30" s="254">
        <f>I30/'- 7 -'!F30</f>
        <v>163.9662612789329</v>
      </c>
      <c r="F30" s="254">
        <f>'- 32 -'!F30</f>
        <v>162094</v>
      </c>
      <c r="G30" s="266">
        <f t="shared" si="1"/>
        <v>0.7756621605455198</v>
      </c>
      <c r="I30" s="1">
        <v>208975</v>
      </c>
    </row>
    <row r="31" spans="1:9" ht="13.5" customHeight="1">
      <c r="A31" s="25" t="s">
        <v>378</v>
      </c>
      <c r="B31" s="253">
        <f>'- 32 -'!D31</f>
        <v>2804684</v>
      </c>
      <c r="C31" s="253">
        <f>B31/'- 7 -'!F31</f>
        <v>824.2282825908076</v>
      </c>
      <c r="D31" s="265">
        <f t="shared" si="0"/>
        <v>4.479023670434474</v>
      </c>
      <c r="E31" s="253">
        <f>I31/'- 7 -'!F31</f>
        <v>184.0196308922064</v>
      </c>
      <c r="F31" s="253">
        <f>'- 32 -'!F31</f>
        <v>128255</v>
      </c>
      <c r="G31" s="265">
        <f t="shared" si="1"/>
        <v>0.20482064319958096</v>
      </c>
      <c r="I31" s="1">
        <v>626182</v>
      </c>
    </row>
    <row r="32" spans="1:9" ht="13.5" customHeight="1">
      <c r="A32" s="27" t="s">
        <v>379</v>
      </c>
      <c r="B32" s="254">
        <f>'- 32 -'!D32</f>
        <v>1614096</v>
      </c>
      <c r="C32" s="254">
        <f>B32/'- 7 -'!F32</f>
        <v>695.1317829457364</v>
      </c>
      <c r="D32" s="266">
        <f t="shared" si="0"/>
        <v>4.0494840601816895</v>
      </c>
      <c r="E32" s="254">
        <f>I32/'- 7 -'!F32</f>
        <v>171.65934539190354</v>
      </c>
      <c r="F32" s="254">
        <f>'- 32 -'!F32</f>
        <v>209262</v>
      </c>
      <c r="G32" s="266">
        <f t="shared" si="1"/>
        <v>0.5250016934567341</v>
      </c>
      <c r="I32" s="1">
        <v>398593</v>
      </c>
    </row>
    <row r="33" spans="1:9" ht="13.5" customHeight="1">
      <c r="A33" s="25" t="s">
        <v>380</v>
      </c>
      <c r="B33" s="253">
        <f>'- 32 -'!D33</f>
        <v>2040407</v>
      </c>
      <c r="C33" s="253">
        <f>B33/'- 7 -'!F33</f>
        <v>808.3060650477361</v>
      </c>
      <c r="D33" s="265">
        <f t="shared" si="0"/>
        <v>4.057152685537942</v>
      </c>
      <c r="E33" s="253">
        <f>I33/'- 7 -'!F33</f>
        <v>199.22988551281546</v>
      </c>
      <c r="F33" s="253">
        <f>'- 32 -'!F33</f>
        <v>158181</v>
      </c>
      <c r="G33" s="265">
        <f t="shared" si="1"/>
        <v>0.31452767460172276</v>
      </c>
      <c r="I33" s="1">
        <v>502916</v>
      </c>
    </row>
    <row r="34" spans="1:9" ht="13.5" customHeight="1">
      <c r="A34" s="27" t="s">
        <v>381</v>
      </c>
      <c r="B34" s="254">
        <f>'- 32 -'!D34</f>
        <v>1448816</v>
      </c>
      <c r="C34" s="254">
        <f>B34/'- 7 -'!F34</f>
        <v>661.8620374600273</v>
      </c>
      <c r="D34" s="266">
        <f t="shared" si="0"/>
        <v>3.9960282874196005</v>
      </c>
      <c r="E34" s="254">
        <f>I34/'- 7 -'!F34</f>
        <v>165.6299680219278</v>
      </c>
      <c r="F34" s="254">
        <f>'- 32 -'!F34</f>
        <v>189242</v>
      </c>
      <c r="G34" s="266">
        <f t="shared" si="1"/>
        <v>0.5219547445416534</v>
      </c>
      <c r="I34" s="1">
        <v>362564</v>
      </c>
    </row>
    <row r="35" spans="1:9" ht="13.5" customHeight="1">
      <c r="A35" s="25" t="s">
        <v>382</v>
      </c>
      <c r="B35" s="253">
        <f>'- 32 -'!D35</f>
        <v>12319127</v>
      </c>
      <c r="C35" s="253">
        <f>B35/'- 7 -'!F35</f>
        <v>690.4759689487992</v>
      </c>
      <c r="D35" s="265">
        <f t="shared" si="0"/>
        <v>5.065134765979947</v>
      </c>
      <c r="E35" s="253">
        <f>I35/'- 7 -'!F35</f>
        <v>136.31936776616317</v>
      </c>
      <c r="F35" s="253">
        <f>'- 32 -'!F35</f>
        <v>720980.75</v>
      </c>
      <c r="G35" s="265">
        <f t="shared" si="1"/>
        <v>0.29643859199010586</v>
      </c>
      <c r="I35" s="1">
        <v>2432142</v>
      </c>
    </row>
    <row r="36" spans="1:9" ht="13.5" customHeight="1">
      <c r="A36" s="27" t="s">
        <v>383</v>
      </c>
      <c r="B36" s="254">
        <f>'- 32 -'!D36</f>
        <v>1642841</v>
      </c>
      <c r="C36" s="254">
        <f>B36/'- 7 -'!F36</f>
        <v>784.7341772151899</v>
      </c>
      <c r="D36" s="266">
        <f t="shared" si="0"/>
        <v>4.877721530262318</v>
      </c>
      <c r="E36" s="254">
        <f>I36/'- 7 -'!F36</f>
        <v>160.8812992596131</v>
      </c>
      <c r="F36" s="254">
        <f>'- 32 -'!F36</f>
        <v>100655</v>
      </c>
      <c r="G36" s="266">
        <f t="shared" si="1"/>
        <v>0.29885245171538427</v>
      </c>
      <c r="I36" s="1">
        <v>336805</v>
      </c>
    </row>
    <row r="37" spans="1:9" ht="13.5" customHeight="1">
      <c r="A37" s="25" t="s">
        <v>384</v>
      </c>
      <c r="B37" s="253">
        <f>'- 32 -'!D37</f>
        <v>2509551</v>
      </c>
      <c r="C37" s="253">
        <f>B37/'- 7 -'!F37</f>
        <v>744.8285994123408</v>
      </c>
      <c r="D37" s="265">
        <f t="shared" si="0"/>
        <v>4.709826531014408</v>
      </c>
      <c r="E37" s="253">
        <f>I37/'- 7 -'!F37</f>
        <v>158.1435312973021</v>
      </c>
      <c r="F37" s="253">
        <f>'- 32 -'!F37</f>
        <v>225903</v>
      </c>
      <c r="G37" s="265">
        <f t="shared" si="1"/>
        <v>0.42396585797050856</v>
      </c>
      <c r="I37" s="1">
        <v>532833</v>
      </c>
    </row>
    <row r="38" spans="1:9" ht="13.5" customHeight="1">
      <c r="A38" s="27" t="s">
        <v>385</v>
      </c>
      <c r="B38" s="254">
        <f>'- 32 -'!D38</f>
        <v>6293638</v>
      </c>
      <c r="C38" s="254">
        <f>B38/'- 7 -'!F38</f>
        <v>739.992710170488</v>
      </c>
      <c r="D38" s="266">
        <f t="shared" si="0"/>
        <v>5.783620953460953</v>
      </c>
      <c r="E38" s="254">
        <f>I38/'- 7 -'!F38</f>
        <v>127.94626690182245</v>
      </c>
      <c r="F38" s="254">
        <f>'- 32 -'!F38</f>
        <v>725667</v>
      </c>
      <c r="G38" s="266">
        <f t="shared" si="1"/>
        <v>0.6668611805183503</v>
      </c>
      <c r="I38" s="1">
        <v>1088183</v>
      </c>
    </row>
    <row r="39" spans="1:9" ht="13.5" customHeight="1">
      <c r="A39" s="25" t="s">
        <v>386</v>
      </c>
      <c r="B39" s="253">
        <f>'- 32 -'!D39</f>
        <v>1298642</v>
      </c>
      <c r="C39" s="253">
        <f>B39/'- 7 -'!F39</f>
        <v>713.5395604395604</v>
      </c>
      <c r="D39" s="265">
        <f t="shared" si="0"/>
        <v>4.033475584378475</v>
      </c>
      <c r="E39" s="253">
        <f>I39/'- 7 -'!F39</f>
        <v>176.9043956043956</v>
      </c>
      <c r="F39" s="253">
        <f>'- 32 -'!F39</f>
        <v>280104</v>
      </c>
      <c r="G39" s="265">
        <f t="shared" si="1"/>
        <v>0.8699800600063361</v>
      </c>
      <c r="I39" s="1">
        <v>321966</v>
      </c>
    </row>
    <row r="40" spans="1:9" ht="13.5" customHeight="1">
      <c r="A40" s="27" t="s">
        <v>387</v>
      </c>
      <c r="B40" s="254">
        <f>'- 32 -'!D40</f>
        <v>5943578</v>
      </c>
      <c r="C40" s="254">
        <f>B40/'- 7 -'!F40</f>
        <v>663.0216478997991</v>
      </c>
      <c r="D40" s="266">
        <f t="shared" si="0"/>
        <v>4.0086315796573135</v>
      </c>
      <c r="E40" s="254">
        <f>I40/'- 7 -'!F40</f>
        <v>165.39849939426932</v>
      </c>
      <c r="F40" s="254">
        <f>'- 32 -'!F40</f>
        <v>887610</v>
      </c>
      <c r="G40" s="266">
        <f t="shared" si="1"/>
        <v>0.5986463837808855</v>
      </c>
      <c r="I40" s="1">
        <v>1482695</v>
      </c>
    </row>
    <row r="41" spans="1:9" ht="13.5" customHeight="1">
      <c r="A41" s="25" t="s">
        <v>388</v>
      </c>
      <c r="B41" s="253">
        <f>'- 32 -'!D41</f>
        <v>3056908</v>
      </c>
      <c r="C41" s="253">
        <f>B41/'- 7 -'!F41</f>
        <v>639.2530322040988</v>
      </c>
      <c r="D41" s="265">
        <f t="shared" si="0"/>
        <v>4.501337778360239</v>
      </c>
      <c r="E41" s="253">
        <f>I41/'- 7 -'!F41</f>
        <v>142.01401087411125</v>
      </c>
      <c r="F41" s="253">
        <f>'- 32 -'!F41</f>
        <v>168481</v>
      </c>
      <c r="G41" s="265">
        <f t="shared" si="1"/>
        <v>0.24809051833941725</v>
      </c>
      <c r="I41" s="1">
        <v>679111</v>
      </c>
    </row>
    <row r="42" spans="1:9" ht="13.5" customHeight="1">
      <c r="A42" s="27" t="s">
        <v>389</v>
      </c>
      <c r="B42" s="254">
        <f>'- 32 -'!D42</f>
        <v>1477381</v>
      </c>
      <c r="C42" s="254">
        <f>B42/'- 7 -'!F42</f>
        <v>789.7899069817171</v>
      </c>
      <c r="D42" s="266">
        <f t="shared" si="0"/>
        <v>4.397543130648061</v>
      </c>
      <c r="E42" s="254">
        <f>I42/'- 7 -'!F42</f>
        <v>179.59798994974872</v>
      </c>
      <c r="F42" s="254">
        <f>'- 32 -'!F42</f>
        <v>141561</v>
      </c>
      <c r="G42" s="266">
        <f t="shared" si="1"/>
        <v>0.4213676791008346</v>
      </c>
      <c r="I42" s="1">
        <v>335956</v>
      </c>
    </row>
    <row r="43" spans="1:9" ht="13.5" customHeight="1">
      <c r="A43" s="25" t="s">
        <v>390</v>
      </c>
      <c r="B43" s="253">
        <f>'- 32 -'!D43</f>
        <v>693781</v>
      </c>
      <c r="C43" s="253">
        <f>B43/'- 7 -'!F43</f>
        <v>573.8469809760132</v>
      </c>
      <c r="D43" s="265">
        <f>B43/I43</f>
        <v>3.682059419812973</v>
      </c>
      <c r="E43" s="253">
        <f>I43/'- 7 -'!F43</f>
        <v>155.8494623655914</v>
      </c>
      <c r="F43" s="253">
        <f>'- 32 -'!F43</f>
        <v>82146</v>
      </c>
      <c r="G43" s="265">
        <f>F43/I43</f>
        <v>0.43596819904257467</v>
      </c>
      <c r="I43" s="1">
        <v>188422</v>
      </c>
    </row>
    <row r="44" spans="1:9" ht="13.5" customHeight="1">
      <c r="A44" s="27" t="s">
        <v>391</v>
      </c>
      <c r="B44" s="254">
        <f>'- 32 -'!D44</f>
        <v>727269</v>
      </c>
      <c r="C44" s="254">
        <f>B44/'- 7 -'!F44</f>
        <v>920.011385199241</v>
      </c>
      <c r="D44" s="266">
        <f>B44/I44</f>
        <v>3.6908027952438225</v>
      </c>
      <c r="E44" s="254">
        <f>I44/'- 7 -'!F44</f>
        <v>249.27134724857686</v>
      </c>
      <c r="F44" s="254">
        <f>'- 32 -'!F44</f>
        <v>131212</v>
      </c>
      <c r="G44" s="266">
        <f>F44/I44</f>
        <v>0.6658851351694248</v>
      </c>
      <c r="I44" s="1">
        <v>197049</v>
      </c>
    </row>
    <row r="45" spans="1:9" ht="13.5" customHeight="1">
      <c r="A45" s="25" t="s">
        <v>392</v>
      </c>
      <c r="B45" s="253">
        <f>'- 32 -'!D45</f>
        <v>891658</v>
      </c>
      <c r="C45" s="253">
        <f>B45/'- 7 -'!F45</f>
        <v>609.8057721241964</v>
      </c>
      <c r="D45" s="265">
        <f>B45/I45</f>
        <v>4.92740344497925</v>
      </c>
      <c r="E45" s="253">
        <f>I45/'- 7 -'!F45</f>
        <v>123.75803583641088</v>
      </c>
      <c r="F45" s="253">
        <f>'- 32 -'!F45</f>
        <v>181180</v>
      </c>
      <c r="G45" s="265">
        <f>F45/I45</f>
        <v>1.0012212711166617</v>
      </c>
      <c r="I45" s="1">
        <v>180959</v>
      </c>
    </row>
    <row r="46" spans="1:9" ht="13.5" customHeight="1">
      <c r="A46" s="27" t="s">
        <v>393</v>
      </c>
      <c r="B46" s="254">
        <f>'- 32 -'!D46</f>
        <v>23330937</v>
      </c>
      <c r="C46" s="254">
        <f>B46/'- 7 -'!F46</f>
        <v>752.1595752226084</v>
      </c>
      <c r="D46" s="266">
        <f>B46/I46</f>
        <v>4.754071159453661</v>
      </c>
      <c r="E46" s="254">
        <f>I46/'- 7 -'!F46</f>
        <v>158.21378140857422</v>
      </c>
      <c r="F46" s="254">
        <f>'- 32 -'!F46</f>
        <v>9894841</v>
      </c>
      <c r="G46" s="266">
        <f>F46/I46</f>
        <v>2.0162404204117315</v>
      </c>
      <c r="I46" s="1">
        <v>4907570</v>
      </c>
    </row>
    <row r="47" spans="1:9" ht="13.5" customHeight="1">
      <c r="A47" s="25" t="s">
        <v>397</v>
      </c>
      <c r="B47" s="253">
        <f>'- 32 -'!D47</f>
        <v>577178</v>
      </c>
      <c r="C47" s="253">
        <f>B47/'- 7 -'!F47</f>
        <v>927.9389067524115</v>
      </c>
      <c r="D47" s="265">
        <f>B47/I47</f>
        <v>4.590614809512448</v>
      </c>
      <c r="E47" s="253">
        <f>I47/'- 7 -'!F47</f>
        <v>202.13826366559485</v>
      </c>
      <c r="F47" s="253">
        <f>'- 32 -'!F47</f>
        <v>37603</v>
      </c>
      <c r="G47" s="265">
        <f>F47/I47</f>
        <v>0.299077388053766</v>
      </c>
      <c r="I47" s="1">
        <v>125730</v>
      </c>
    </row>
    <row r="48" spans="1:7" ht="4.5" customHeight="1">
      <c r="A48" s="29"/>
      <c r="B48" s="255"/>
      <c r="C48" s="255"/>
      <c r="D48" s="267"/>
      <c r="E48" s="255"/>
      <c r="F48" s="255"/>
      <c r="G48" s="267"/>
    </row>
    <row r="49" spans="1:9" ht="13.5" customHeight="1">
      <c r="A49" s="31" t="s">
        <v>394</v>
      </c>
      <c r="B49" s="256">
        <f>SUM(B11:B47)</f>
        <v>134605410.9</v>
      </c>
      <c r="C49" s="256">
        <f>B49/'- 7 -'!F49</f>
        <v>751.9112687640684</v>
      </c>
      <c r="D49" s="268">
        <f>B49/I49</f>
        <v>4.845771028738875</v>
      </c>
      <c r="E49" s="256">
        <f>I49/'- 7 -'!F49</f>
        <v>155.16855094982796</v>
      </c>
      <c r="F49" s="256">
        <f>SUM(F11:F47)</f>
        <v>19130571.75</v>
      </c>
      <c r="G49" s="268">
        <f>F49/I49</f>
        <v>0.6886972056289036</v>
      </c>
      <c r="I49" s="1">
        <f>SUM(I11:I47)</f>
        <v>27777914</v>
      </c>
    </row>
    <row r="50" spans="1:7" ht="4.5" customHeight="1">
      <c r="A50" s="29" t="s">
        <v>78</v>
      </c>
      <c r="B50" s="255"/>
      <c r="C50" s="255"/>
      <c r="D50" s="267"/>
      <c r="E50" s="255"/>
      <c r="F50" s="255"/>
      <c r="G50" s="267"/>
    </row>
    <row r="51" spans="1:9" ht="13.5" customHeight="1">
      <c r="A51" s="27" t="s">
        <v>395</v>
      </c>
      <c r="B51" s="254">
        <f>'- 32 -'!D51</f>
        <v>129474</v>
      </c>
      <c r="C51" s="254">
        <f>B51/'- 7 -'!F51</f>
        <v>892.9241379310345</v>
      </c>
      <c r="D51" s="269" t="s">
        <v>299</v>
      </c>
      <c r="E51" s="270" t="s">
        <v>299</v>
      </c>
      <c r="F51" s="254">
        <f>'- 32 -'!F51</f>
        <v>23281</v>
      </c>
      <c r="G51" s="269" t="s">
        <v>299</v>
      </c>
      <c r="I51" s="218" t="s">
        <v>189</v>
      </c>
    </row>
    <row r="52" spans="1:9" ht="13.5" customHeight="1">
      <c r="A52" s="25" t="s">
        <v>396</v>
      </c>
      <c r="B52" s="253">
        <f>'- 32 -'!D52</f>
        <v>288014</v>
      </c>
      <c r="C52" s="253">
        <f>B52/'- 7 -'!F52</f>
        <v>1041.641952983725</v>
      </c>
      <c r="D52" s="271" t="s">
        <v>299</v>
      </c>
      <c r="E52" s="272" t="s">
        <v>299</v>
      </c>
      <c r="F52" s="253">
        <f>'- 32 -'!F52</f>
        <v>0</v>
      </c>
      <c r="G52" s="271" t="s">
        <v>299</v>
      </c>
      <c r="I52" s="218" t="s">
        <v>189</v>
      </c>
    </row>
    <row r="53" spans="1:7" ht="49.5" customHeight="1">
      <c r="A53" s="33"/>
      <c r="B53" s="33"/>
      <c r="C53" s="33"/>
      <c r="D53" s="33"/>
      <c r="E53" s="33"/>
      <c r="F53" s="33"/>
      <c r="G53" s="33"/>
    </row>
    <row r="54" ht="15" customHeight="1">
      <c r="A54" s="165" t="s">
        <v>565</v>
      </c>
    </row>
    <row r="55" ht="12" customHeight="1">
      <c r="A55" s="165" t="s">
        <v>566</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6"/>
  <sheetViews>
    <sheetView showGridLines="0" showZeros="0" workbookViewId="0" topLeftCell="A1">
      <selection activeCell="A1" sqref="A1"/>
    </sheetView>
  </sheetViews>
  <sheetFormatPr defaultColWidth="15.83203125" defaultRowHeight="12"/>
  <cols>
    <col min="1" max="1" width="32.83203125" style="1" customWidth="1"/>
    <col min="2" max="2" width="13.83203125" style="1" customWidth="1"/>
    <col min="3" max="3" width="8.83203125" style="1" customWidth="1"/>
    <col min="4" max="4" width="9.83203125" style="1" customWidth="1"/>
    <col min="5" max="5" width="14.83203125" style="1" customWidth="1"/>
    <col min="6" max="6" width="8.83203125" style="1" customWidth="1"/>
    <col min="7" max="7" width="9.83203125" style="1" customWidth="1"/>
    <col min="8" max="8" width="14.83203125" style="1" customWidth="1"/>
    <col min="9" max="9" width="8.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219"/>
      <c r="B2" s="7" t="s">
        <v>286</v>
      </c>
      <c r="C2" s="8"/>
      <c r="D2" s="8"/>
      <c r="E2" s="8"/>
      <c r="F2" s="8"/>
      <c r="G2" s="8"/>
      <c r="H2" s="105"/>
      <c r="I2" s="257"/>
      <c r="J2" s="118"/>
    </row>
    <row r="3" spans="1:10" ht="15.75" customHeight="1">
      <c r="A3" s="221"/>
      <c r="B3" s="9" t="str">
        <f>OPYEAR</f>
        <v>OPERATING FUND 2003/2004 ACTUAL</v>
      </c>
      <c r="C3" s="10"/>
      <c r="D3" s="10"/>
      <c r="E3" s="10"/>
      <c r="F3" s="10"/>
      <c r="G3" s="10"/>
      <c r="H3" s="107"/>
      <c r="I3" s="107"/>
      <c r="J3" s="94"/>
    </row>
    <row r="4" spans="2:10" ht="15.75" customHeight="1">
      <c r="B4" s="6"/>
      <c r="C4" s="6"/>
      <c r="D4" s="6"/>
      <c r="E4" s="6"/>
      <c r="F4" s="6"/>
      <c r="G4" s="6"/>
      <c r="H4" s="6"/>
      <c r="I4" s="6"/>
      <c r="J4" s="6"/>
    </row>
    <row r="5" ht="13.5" customHeight="1"/>
    <row r="6" spans="2:10" ht="18" customHeight="1">
      <c r="B6" s="258" t="s">
        <v>567</v>
      </c>
      <c r="C6" s="259"/>
      <c r="D6" s="260"/>
      <c r="E6" s="260"/>
      <c r="F6" s="260"/>
      <c r="G6" s="260"/>
      <c r="H6" s="260"/>
      <c r="I6" s="260"/>
      <c r="J6" s="261"/>
    </row>
    <row r="7" spans="2:10" ht="15.75" customHeight="1">
      <c r="B7" s="108" t="s">
        <v>262</v>
      </c>
      <c r="C7" s="71"/>
      <c r="D7" s="70"/>
      <c r="E7" s="108" t="s">
        <v>247</v>
      </c>
      <c r="F7" s="71"/>
      <c r="G7" s="70"/>
      <c r="H7" s="108" t="s">
        <v>253</v>
      </c>
      <c r="I7" s="71"/>
      <c r="J7" s="70"/>
    </row>
    <row r="8" spans="1:10" ht="15.75" customHeight="1">
      <c r="A8" s="96"/>
      <c r="B8" s="225"/>
      <c r="C8" s="98"/>
      <c r="D8" s="18" t="s">
        <v>150</v>
      </c>
      <c r="E8" s="225"/>
      <c r="F8" s="223"/>
      <c r="G8" s="18" t="s">
        <v>150</v>
      </c>
      <c r="H8" s="225"/>
      <c r="I8" s="223"/>
      <c r="J8" s="18" t="s">
        <v>150</v>
      </c>
    </row>
    <row r="9" spans="1:10" ht="15.75" customHeight="1">
      <c r="A9" s="49" t="s">
        <v>175</v>
      </c>
      <c r="B9" s="113" t="s">
        <v>176</v>
      </c>
      <c r="C9" s="113" t="s">
        <v>177</v>
      </c>
      <c r="D9" s="113" t="s">
        <v>178</v>
      </c>
      <c r="E9" s="113" t="s">
        <v>176</v>
      </c>
      <c r="F9" s="113" t="s">
        <v>177</v>
      </c>
      <c r="G9" s="113" t="s">
        <v>178</v>
      </c>
      <c r="H9" s="113" t="s">
        <v>176</v>
      </c>
      <c r="I9" s="113" t="s">
        <v>177</v>
      </c>
      <c r="J9" s="113" t="s">
        <v>178</v>
      </c>
    </row>
    <row r="10" ht="4.5" customHeight="1">
      <c r="A10" s="4"/>
    </row>
    <row r="11" spans="1:10" ht="13.5" customHeight="1">
      <c r="A11" s="25" t="s">
        <v>359</v>
      </c>
      <c r="B11" s="26">
        <v>92609</v>
      </c>
      <c r="C11" s="226">
        <f>B11/'- 3 -'!D11</f>
        <v>0.008114013414332407</v>
      </c>
      <c r="D11" s="26">
        <f>B11/'- 7 -'!F11</f>
        <v>59.2887323943662</v>
      </c>
      <c r="E11" s="26">
        <v>44556</v>
      </c>
      <c r="F11" s="226">
        <f>E11/'- 3 -'!D11</f>
        <v>0.003903810447029929</v>
      </c>
      <c r="G11" s="26">
        <f>E11/'- 7 -'!F11</f>
        <v>28.52496798975672</v>
      </c>
      <c r="H11" s="26">
        <v>177729</v>
      </c>
      <c r="I11" s="226">
        <f>H11/'- 3 -'!D11</f>
        <v>0.015571871957540673</v>
      </c>
      <c r="J11" s="26">
        <f>H11/'- 7 -'!F11</f>
        <v>113.78297055057618</v>
      </c>
    </row>
    <row r="12" spans="1:10" ht="13.5" customHeight="1">
      <c r="A12" s="27" t="s">
        <v>360</v>
      </c>
      <c r="B12" s="28">
        <v>107682</v>
      </c>
      <c r="C12" s="227">
        <f>B12/'- 3 -'!D12</f>
        <v>0.005616084735381344</v>
      </c>
      <c r="D12" s="28">
        <f>B12/'- 7 -'!F12</f>
        <v>45.335971707645676</v>
      </c>
      <c r="E12" s="28">
        <v>20091</v>
      </c>
      <c r="F12" s="227">
        <f>E12/'- 3 -'!D12</f>
        <v>0.0010478330493355118</v>
      </c>
      <c r="G12" s="28">
        <f>E12/'- 7 -'!F12</f>
        <v>8.458656113169418</v>
      </c>
      <c r="H12" s="28">
        <v>154670</v>
      </c>
      <c r="I12" s="227">
        <f>H12/'- 3 -'!D12</f>
        <v>0.008066713341333116</v>
      </c>
      <c r="J12" s="28">
        <f>H12/'- 7 -'!F12</f>
        <v>65.11872684405525</v>
      </c>
    </row>
    <row r="13" spans="1:10" ht="13.5" customHeight="1">
      <c r="A13" s="25" t="s">
        <v>361</v>
      </c>
      <c r="B13" s="26">
        <v>196149</v>
      </c>
      <c r="C13" s="226">
        <f>B13/'- 3 -'!D13</f>
        <v>0.004008380892604679</v>
      </c>
      <c r="D13" s="26">
        <f>B13/'- 7 -'!F13</f>
        <v>27.591644394429597</v>
      </c>
      <c r="E13" s="26">
        <v>101754</v>
      </c>
      <c r="F13" s="226">
        <f>E13/'- 3 -'!D13</f>
        <v>0.0020793824559192067</v>
      </c>
      <c r="G13" s="26">
        <f>E13/'- 7 -'!F13</f>
        <v>14.313405542270361</v>
      </c>
      <c r="H13" s="26">
        <v>622291</v>
      </c>
      <c r="I13" s="226">
        <f>H13/'- 3 -'!D13</f>
        <v>0.012716757944419082</v>
      </c>
      <c r="J13" s="26">
        <f>H13/'- 7 -'!F13</f>
        <v>87.53565902377268</v>
      </c>
    </row>
    <row r="14" spans="1:10" ht="13.5" customHeight="1">
      <c r="A14" s="27" t="s">
        <v>398</v>
      </c>
      <c r="B14" s="28">
        <v>156439</v>
      </c>
      <c r="C14" s="227">
        <f>B14/'- 3 -'!D14</f>
        <v>0.003693072809664978</v>
      </c>
      <c r="D14" s="28">
        <f>B14/'- 7 -'!F14</f>
        <v>36.61790178362436</v>
      </c>
      <c r="E14" s="28">
        <v>243130</v>
      </c>
      <c r="F14" s="227">
        <f>E14/'- 3 -'!D14</f>
        <v>0.005739596853814241</v>
      </c>
      <c r="G14" s="28">
        <f>E14/'- 7 -'!F14</f>
        <v>56.90978886756238</v>
      </c>
      <c r="H14" s="28">
        <v>267158</v>
      </c>
      <c r="I14" s="227">
        <f>H14/'- 3 -'!D14</f>
        <v>0.006306828512611792</v>
      </c>
      <c r="J14" s="28">
        <f>H14/'- 7 -'!F14</f>
        <v>62.53405739431675</v>
      </c>
    </row>
    <row r="15" spans="1:10" ht="13.5" customHeight="1">
      <c r="A15" s="25" t="s">
        <v>362</v>
      </c>
      <c r="B15" s="26">
        <v>38125</v>
      </c>
      <c r="C15" s="226">
        <f>B15/'- 3 -'!D15</f>
        <v>0.002917358224042399</v>
      </c>
      <c r="D15" s="26">
        <f>B15/'- 7 -'!F15</f>
        <v>22.946133012338247</v>
      </c>
      <c r="E15" s="26">
        <v>17714</v>
      </c>
      <c r="F15" s="226">
        <f>E15/'- 3 -'!D15</f>
        <v>0.00135549071687048</v>
      </c>
      <c r="G15" s="26">
        <f>E15/'- 7 -'!F15</f>
        <v>10.661450496539272</v>
      </c>
      <c r="H15" s="26">
        <v>355145</v>
      </c>
      <c r="I15" s="226">
        <f>H15/'- 3 -'!D15</f>
        <v>0.027176004891214103</v>
      </c>
      <c r="J15" s="26">
        <f>H15/'- 7 -'!F15</f>
        <v>213.74962383388504</v>
      </c>
    </row>
    <row r="16" spans="1:10" ht="13.5" customHeight="1">
      <c r="A16" s="27" t="s">
        <v>363</v>
      </c>
      <c r="B16" s="28">
        <v>91142</v>
      </c>
      <c r="C16" s="227">
        <f>B16/'- 3 -'!D16</f>
        <v>0.00850727524552504</v>
      </c>
      <c r="D16" s="28">
        <f>B16/'- 7 -'!F16</f>
        <v>65.48027875565774</v>
      </c>
      <c r="E16" s="28">
        <v>22317</v>
      </c>
      <c r="F16" s="227">
        <f>E16/'- 3 -'!D16</f>
        <v>0.0020830886051917043</v>
      </c>
      <c r="G16" s="28">
        <f>E16/'- 7 -'!F16</f>
        <v>16.033479416624758</v>
      </c>
      <c r="H16" s="28">
        <v>77404</v>
      </c>
      <c r="I16" s="227">
        <f>H16/'- 3 -'!D16</f>
        <v>0.007224958121443683</v>
      </c>
      <c r="J16" s="28">
        <f>H16/'- 7 -'!F16</f>
        <v>55.61031683310582</v>
      </c>
    </row>
    <row r="17" spans="1:10" ht="13.5" customHeight="1">
      <c r="A17" s="25" t="s">
        <v>364</v>
      </c>
      <c r="B17" s="26">
        <v>73765</v>
      </c>
      <c r="C17" s="226">
        <f>B17/'- 3 -'!D17</f>
        <v>0.005975369634105512</v>
      </c>
      <c r="D17" s="26">
        <f>B17/'- 7 -'!F17</f>
        <v>46.716276124129195</v>
      </c>
      <c r="E17" s="26">
        <v>36175</v>
      </c>
      <c r="F17" s="226">
        <f>E17/'- 3 -'!D17</f>
        <v>0.0029303734360979724</v>
      </c>
      <c r="G17" s="26">
        <f>E17/'- 7 -'!F17</f>
        <v>22.910069664344523</v>
      </c>
      <c r="H17" s="26">
        <v>240865</v>
      </c>
      <c r="I17" s="226">
        <f>H17/'- 3 -'!D17</f>
        <v>0.019511386252542864</v>
      </c>
      <c r="J17" s="26">
        <f>H17/'- 7 -'!F17</f>
        <v>152.5427485750475</v>
      </c>
    </row>
    <row r="18" spans="1:10" ht="13.5" customHeight="1">
      <c r="A18" s="27" t="s">
        <v>365</v>
      </c>
      <c r="B18" s="28">
        <v>360236</v>
      </c>
      <c r="C18" s="227">
        <f>B18/'- 3 -'!D18</f>
        <v>0.004901868400871095</v>
      </c>
      <c r="D18" s="28">
        <f>B18/'- 7 -'!F18</f>
        <v>61.483162943114124</v>
      </c>
      <c r="E18" s="28">
        <v>134374</v>
      </c>
      <c r="F18" s="227">
        <f>E18/'- 3 -'!D18</f>
        <v>0.0018284781768025755</v>
      </c>
      <c r="G18" s="28">
        <f>E18/'- 7 -'!F18</f>
        <v>22.9342390469526</v>
      </c>
      <c r="H18" s="28">
        <v>816934</v>
      </c>
      <c r="I18" s="227">
        <f>H18/'- 3 -'!D18</f>
        <v>0.011116331960706946</v>
      </c>
      <c r="J18" s="28">
        <f>H18/'- 7 -'!F18</f>
        <v>139.4299465788261</v>
      </c>
    </row>
    <row r="19" spans="1:10" ht="13.5" customHeight="1">
      <c r="A19" s="25" t="s">
        <v>366</v>
      </c>
      <c r="B19" s="26">
        <v>126834</v>
      </c>
      <c r="C19" s="226">
        <f>B19/'- 3 -'!D19</f>
        <v>0.006913212513179548</v>
      </c>
      <c r="D19" s="26">
        <f>B19/'- 7 -'!F19</f>
        <v>42.138941493072856</v>
      </c>
      <c r="E19" s="26">
        <v>36583</v>
      </c>
      <c r="F19" s="226">
        <f>E19/'- 3 -'!D19</f>
        <v>0.0019939925679994907</v>
      </c>
      <c r="G19" s="26">
        <f>E19/'- 7 -'!F19</f>
        <v>12.154224392836971</v>
      </c>
      <c r="H19" s="26">
        <v>251879</v>
      </c>
      <c r="I19" s="226">
        <f>H19/'- 3 -'!D19</f>
        <v>0.013728913813387193</v>
      </c>
      <c r="J19" s="26">
        <f>H19/'- 7 -'!F19</f>
        <v>83.68351108010232</v>
      </c>
    </row>
    <row r="20" spans="1:10" ht="13.5" customHeight="1">
      <c r="A20" s="27" t="s">
        <v>367</v>
      </c>
      <c r="B20" s="28">
        <v>207180</v>
      </c>
      <c r="C20" s="227">
        <f>B20/'- 3 -'!D20</f>
        <v>0.005648070571057883</v>
      </c>
      <c r="D20" s="28">
        <f>B20/'- 7 -'!F20</f>
        <v>32.74278941129988</v>
      </c>
      <c r="E20" s="28">
        <v>68786</v>
      </c>
      <c r="F20" s="227">
        <f>E20/'- 3 -'!D20</f>
        <v>0.0018752204957080197</v>
      </c>
      <c r="G20" s="28">
        <f>E20/'- 7 -'!F20</f>
        <v>10.87096009482418</v>
      </c>
      <c r="H20" s="28">
        <v>639411</v>
      </c>
      <c r="I20" s="227">
        <f>H20/'- 3 -'!D20</f>
        <v>0.017431404826289663</v>
      </c>
      <c r="J20" s="28">
        <f>H20/'- 7 -'!F20</f>
        <v>101.05270644014223</v>
      </c>
    </row>
    <row r="21" spans="1:10" ht="13.5" customHeight="1">
      <c r="A21" s="25" t="s">
        <v>368</v>
      </c>
      <c r="B21" s="26">
        <v>146578</v>
      </c>
      <c r="C21" s="226">
        <f>B21/'- 3 -'!D21</f>
        <v>0.006089012120115939</v>
      </c>
      <c r="D21" s="26">
        <f>B21/'- 7 -'!F21</f>
        <v>44.10350534075523</v>
      </c>
      <c r="E21" s="26">
        <v>153322</v>
      </c>
      <c r="F21" s="226">
        <f>E21/'- 3 -'!D21</f>
        <v>0.006369165333681835</v>
      </c>
      <c r="G21" s="26">
        <f>E21/'- 7 -'!F21</f>
        <v>46.132691439747255</v>
      </c>
      <c r="H21" s="26">
        <v>182800</v>
      </c>
      <c r="I21" s="226">
        <f>H21/'- 3 -'!D21</f>
        <v>0.007593714033191841</v>
      </c>
      <c r="J21" s="26">
        <f>H21/'- 7 -'!F21</f>
        <v>55.00225665713856</v>
      </c>
    </row>
    <row r="22" spans="1:10" ht="13.5" customHeight="1">
      <c r="A22" s="27" t="s">
        <v>369</v>
      </c>
      <c r="B22" s="28">
        <v>76499</v>
      </c>
      <c r="C22" s="227">
        <f>B22/'- 3 -'!D22</f>
        <v>0.005674230948075509</v>
      </c>
      <c r="D22" s="28">
        <f>B22/'- 7 -'!F22</f>
        <v>45.21217494089834</v>
      </c>
      <c r="E22" s="28">
        <v>42220</v>
      </c>
      <c r="F22" s="227">
        <f>E22/'- 3 -'!D22</f>
        <v>0.00313162303595796</v>
      </c>
      <c r="G22" s="28">
        <f>E22/'- 7 -'!F22</f>
        <v>24.95271867612293</v>
      </c>
      <c r="H22" s="28">
        <v>108873</v>
      </c>
      <c r="I22" s="227">
        <f>H22/'- 3 -'!D22</f>
        <v>0.008075537536566818</v>
      </c>
      <c r="J22" s="28">
        <f>H22/'- 7 -'!F22</f>
        <v>64.34574468085107</v>
      </c>
    </row>
    <row r="23" spans="1:10" ht="13.5" customHeight="1">
      <c r="A23" s="25" t="s">
        <v>370</v>
      </c>
      <c r="B23" s="26">
        <v>45000</v>
      </c>
      <c r="C23" s="226">
        <f>B23/'- 3 -'!D23</f>
        <v>0.0039778798059749345</v>
      </c>
      <c r="D23" s="26">
        <f>B23/'- 7 -'!F23</f>
        <v>33.898305084745765</v>
      </c>
      <c r="E23" s="26">
        <v>50620</v>
      </c>
      <c r="F23" s="226">
        <f>E23/'- 3 -'!D23</f>
        <v>0.004474672795076693</v>
      </c>
      <c r="G23" s="26">
        <f>E23/'- 7 -'!F23</f>
        <v>38.131826741996235</v>
      </c>
      <c r="H23" s="26">
        <v>319289</v>
      </c>
      <c r="I23" s="226">
        <f>H23/'- 3 -'!D23</f>
        <v>0.028224294785998465</v>
      </c>
      <c r="J23" s="26">
        <f>H23/'- 7 -'!F23</f>
        <v>240.5190207156309</v>
      </c>
    </row>
    <row r="24" spans="1:10" ht="13.5" customHeight="1">
      <c r="A24" s="27" t="s">
        <v>371</v>
      </c>
      <c r="B24" s="28">
        <v>104853</v>
      </c>
      <c r="C24" s="227">
        <f>B24/'- 3 -'!D24</f>
        <v>0.0030103778891048334</v>
      </c>
      <c r="D24" s="28">
        <f>B24/'- 7 -'!F24</f>
        <v>22.498229803669133</v>
      </c>
      <c r="E24" s="28">
        <v>158779</v>
      </c>
      <c r="F24" s="227">
        <f>E24/'- 3 -'!D24</f>
        <v>0.004558618168809442</v>
      </c>
      <c r="G24" s="28">
        <f>E24/'- 7 -'!F24</f>
        <v>34.06909129921682</v>
      </c>
      <c r="H24" s="28">
        <v>462648</v>
      </c>
      <c r="I24" s="227">
        <f>H24/'- 3 -'!D24</f>
        <v>0.013282837015999284</v>
      </c>
      <c r="J24" s="28">
        <f>H24/'- 7 -'!F24</f>
        <v>99.27003540392661</v>
      </c>
    </row>
    <row r="25" spans="1:10" ht="13.5" customHeight="1">
      <c r="A25" s="25" t="s">
        <v>372</v>
      </c>
      <c r="B25" s="26">
        <v>548912</v>
      </c>
      <c r="C25" s="226">
        <f>B25/'- 3 -'!D25</f>
        <v>0.004968398747106424</v>
      </c>
      <c r="D25" s="26">
        <f>B25/'- 7 -'!F25</f>
        <v>36.556358429622726</v>
      </c>
      <c r="E25" s="26">
        <v>657104</v>
      </c>
      <c r="F25" s="226">
        <f>E25/'- 3 -'!D25</f>
        <v>0.005947683217562414</v>
      </c>
      <c r="G25" s="26">
        <f>E25/'- 7 -'!F25</f>
        <v>43.76171289667344</v>
      </c>
      <c r="H25" s="26">
        <v>3463634</v>
      </c>
      <c r="I25" s="226">
        <f>H25/'- 3 -'!D25</f>
        <v>0.03135058957726414</v>
      </c>
      <c r="J25" s="26">
        <f>H25/'- 7 -'!F25</f>
        <v>230.67057374046817</v>
      </c>
    </row>
    <row r="26" spans="1:10" ht="13.5" customHeight="1">
      <c r="A26" s="27" t="s">
        <v>373</v>
      </c>
      <c r="B26" s="28">
        <v>156631</v>
      </c>
      <c r="C26" s="227">
        <f>B26/'- 3 -'!D26</f>
        <v>0.005784986182307266</v>
      </c>
      <c r="D26" s="28">
        <f>B26/'- 7 -'!F26</f>
        <v>47.461062965880856</v>
      </c>
      <c r="E26" s="28">
        <v>41428</v>
      </c>
      <c r="F26" s="227">
        <f>E26/'- 3 -'!D26</f>
        <v>0.0015300956232203423</v>
      </c>
      <c r="G26" s="28">
        <f>E26/'- 7 -'!F26</f>
        <v>12.553178595236654</v>
      </c>
      <c r="H26" s="28">
        <v>310790</v>
      </c>
      <c r="I26" s="227">
        <f>H26/'- 3 -'!D26</f>
        <v>0.011478671882317519</v>
      </c>
      <c r="J26" s="28">
        <f>H26/'- 7 -'!F26</f>
        <v>94.17308041936853</v>
      </c>
    </row>
    <row r="27" spans="1:10" ht="13.5" customHeight="1">
      <c r="A27" s="25" t="s">
        <v>374</v>
      </c>
      <c r="B27" s="26">
        <v>115754</v>
      </c>
      <c r="C27" s="226">
        <f>B27/'- 3 -'!D27</f>
        <v>0.004270160945484713</v>
      </c>
      <c r="D27" s="26">
        <f>B27/'- 7 -'!F27</f>
        <v>35.63854679802956</v>
      </c>
      <c r="E27" s="26">
        <v>23771</v>
      </c>
      <c r="F27" s="226">
        <f>E27/'- 3 -'!D27</f>
        <v>0.0008769113450517227</v>
      </c>
      <c r="G27" s="26">
        <f>E27/'- 7 -'!F27</f>
        <v>7.31865763546798</v>
      </c>
      <c r="H27" s="26">
        <v>272791</v>
      </c>
      <c r="I27" s="226">
        <f>H27/'- 3 -'!D27</f>
        <v>0.010063250293551155</v>
      </c>
      <c r="J27" s="26">
        <f>H27/'- 7 -'!F27</f>
        <v>83.98737684729063</v>
      </c>
    </row>
    <row r="28" spans="1:10" ht="13.5" customHeight="1">
      <c r="A28" s="27" t="s">
        <v>375</v>
      </c>
      <c r="B28" s="28">
        <v>130694</v>
      </c>
      <c r="C28" s="227">
        <f>B28/'- 3 -'!D28</f>
        <v>0.007838259443355283</v>
      </c>
      <c r="D28" s="28">
        <f>B28/'- 7 -'!F28</f>
        <v>62.74315890542487</v>
      </c>
      <c r="E28" s="28">
        <v>23934</v>
      </c>
      <c r="F28" s="227">
        <f>E28/'- 3 -'!D28</f>
        <v>0.0014354209184604138</v>
      </c>
      <c r="G28" s="28">
        <f>E28/'- 7 -'!F28</f>
        <v>11.490158425348056</v>
      </c>
      <c r="H28" s="28">
        <v>151987</v>
      </c>
      <c r="I28" s="227">
        <f>H28/'- 3 -'!D28</f>
        <v>0.009115288674439831</v>
      </c>
      <c r="J28" s="28">
        <f>H28/'- 7 -'!F28</f>
        <v>72.96543446951512</v>
      </c>
    </row>
    <row r="29" spans="1:10" ht="13.5" customHeight="1">
      <c r="A29" s="25" t="s">
        <v>376</v>
      </c>
      <c r="B29" s="26">
        <v>805707</v>
      </c>
      <c r="C29" s="226">
        <f>B29/'- 3 -'!D29</f>
        <v>0.007910331142415473</v>
      </c>
      <c r="D29" s="26">
        <f>B29/'- 7 -'!F29</f>
        <v>61.228588798540926</v>
      </c>
      <c r="E29" s="26">
        <v>480801</v>
      </c>
      <c r="F29" s="226">
        <f>E29/'- 3 -'!D29</f>
        <v>0.004720444434024406</v>
      </c>
      <c r="G29" s="26">
        <f>E29/'- 7 -'!F29</f>
        <v>36.53780682422676</v>
      </c>
      <c r="H29" s="26">
        <v>1334362</v>
      </c>
      <c r="I29" s="226">
        <f>H29/'- 3 -'!D29</f>
        <v>0.013100600198156148</v>
      </c>
      <c r="J29" s="26">
        <f>H29/'- 7 -'!F29</f>
        <v>101.40299414849153</v>
      </c>
    </row>
    <row r="30" spans="1:10" ht="13.5" customHeight="1">
      <c r="A30" s="27" t="s">
        <v>377</v>
      </c>
      <c r="B30" s="28">
        <v>46892</v>
      </c>
      <c r="C30" s="227">
        <f>B30/'- 3 -'!D30</f>
        <v>0.004772906761492377</v>
      </c>
      <c r="D30" s="28">
        <f>B30/'- 7 -'!F30</f>
        <v>36.79246763436642</v>
      </c>
      <c r="E30" s="28">
        <v>16526</v>
      </c>
      <c r="F30" s="227">
        <f>E30/'- 3 -'!D30</f>
        <v>0.0016821005105438673</v>
      </c>
      <c r="G30" s="28">
        <f>E30/'- 7 -'!F30</f>
        <v>12.966653589642997</v>
      </c>
      <c r="H30" s="28">
        <v>91740</v>
      </c>
      <c r="I30" s="227">
        <f>H30/'- 3 -'!D30</f>
        <v>0.00933776478502326</v>
      </c>
      <c r="J30" s="28">
        <f>H30/'- 7 -'!F30</f>
        <v>71.98116908591605</v>
      </c>
    </row>
    <row r="31" spans="1:10" ht="13.5" customHeight="1">
      <c r="A31" s="25" t="s">
        <v>378</v>
      </c>
      <c r="B31" s="26">
        <v>165106</v>
      </c>
      <c r="C31" s="226">
        <f>B31/'- 3 -'!D31</f>
        <v>0.006623853229412289</v>
      </c>
      <c r="D31" s="26">
        <f>B31/'- 7 -'!F31</f>
        <v>48.520630069354645</v>
      </c>
      <c r="E31" s="26">
        <v>41811</v>
      </c>
      <c r="F31" s="226">
        <f>E31/'- 3 -'!D31</f>
        <v>0.001677406801539358</v>
      </c>
      <c r="G31" s="26">
        <f>E31/'- 7 -'!F31</f>
        <v>12.287234042553191</v>
      </c>
      <c r="H31" s="26">
        <v>293878</v>
      </c>
      <c r="I31" s="226">
        <f>H31/'- 3 -'!D31</f>
        <v>0.011790030279658067</v>
      </c>
      <c r="J31" s="26">
        <f>H31/'- 7 -'!F31</f>
        <v>86.36358293170329</v>
      </c>
    </row>
    <row r="32" spans="1:10" ht="13.5" customHeight="1">
      <c r="A32" s="27" t="s">
        <v>379</v>
      </c>
      <c r="B32" s="28">
        <v>112843</v>
      </c>
      <c r="C32" s="227">
        <f>B32/'- 3 -'!D32</f>
        <v>0.006091952018677458</v>
      </c>
      <c r="D32" s="28">
        <f>B32/'- 7 -'!F32</f>
        <v>48.59732988802756</v>
      </c>
      <c r="E32" s="28">
        <v>72450</v>
      </c>
      <c r="F32" s="227">
        <f>E32/'- 3 -'!D32</f>
        <v>0.003911292005292148</v>
      </c>
      <c r="G32" s="28">
        <f>E32/'- 7 -'!F32</f>
        <v>31.2015503875969</v>
      </c>
      <c r="H32" s="28">
        <v>190041</v>
      </c>
      <c r="I32" s="227">
        <f>H32/'- 3 -'!D32</f>
        <v>0.010259569965185992</v>
      </c>
      <c r="J32" s="28">
        <f>H32/'- 7 -'!F32</f>
        <v>81.84366925064599</v>
      </c>
    </row>
    <row r="33" spans="1:10" ht="13.5" customHeight="1">
      <c r="A33" s="25" t="s">
        <v>380</v>
      </c>
      <c r="B33" s="26">
        <v>199802</v>
      </c>
      <c r="C33" s="226">
        <f>B33/'- 3 -'!D33</f>
        <v>0.009090831742264122</v>
      </c>
      <c r="D33" s="26">
        <f>B33/'- 7 -'!F33</f>
        <v>79.15144792615776</v>
      </c>
      <c r="E33" s="26">
        <v>105878</v>
      </c>
      <c r="F33" s="226">
        <f>E33/'- 3 -'!D33</f>
        <v>0.0048173646069981325</v>
      </c>
      <c r="G33" s="26">
        <f>E33/'- 7 -'!F33</f>
        <v>41.943509091629366</v>
      </c>
      <c r="H33" s="26">
        <v>426974</v>
      </c>
      <c r="I33" s="226">
        <f>H33/'- 3 -'!D33</f>
        <v>0.019426976668509233</v>
      </c>
      <c r="J33" s="26">
        <f>H33/'- 7 -'!F33</f>
        <v>169.1455056847443</v>
      </c>
    </row>
    <row r="34" spans="1:10" ht="13.5" customHeight="1">
      <c r="A34" s="27" t="s">
        <v>381</v>
      </c>
      <c r="B34" s="28">
        <v>46294</v>
      </c>
      <c r="C34" s="227">
        <f>B34/'- 3 -'!D34</f>
        <v>0.0027273120382188946</v>
      </c>
      <c r="D34" s="28">
        <f>B34/'- 7 -'!F34</f>
        <v>21.148469620831424</v>
      </c>
      <c r="E34" s="28">
        <v>80578</v>
      </c>
      <c r="F34" s="227">
        <f>E34/'- 3 -'!D34</f>
        <v>0.004747080602574893</v>
      </c>
      <c r="G34" s="28">
        <f>E34/'- 7 -'!F34</f>
        <v>36.81041571493832</v>
      </c>
      <c r="H34" s="28">
        <v>205713</v>
      </c>
      <c r="I34" s="227">
        <f>H34/'- 3 -'!D34</f>
        <v>0.012119141601894921</v>
      </c>
      <c r="J34" s="28">
        <f>H34/'- 7 -'!F34</f>
        <v>93.9757880310644</v>
      </c>
    </row>
    <row r="35" spans="1:10" ht="13.5" customHeight="1">
      <c r="A35" s="25" t="s">
        <v>382</v>
      </c>
      <c r="B35" s="26">
        <v>488520</v>
      </c>
      <c r="C35" s="226">
        <f>B35/'- 3 -'!D35</f>
        <v>0.003871669952378937</v>
      </c>
      <c r="D35" s="26">
        <f>B35/'- 7 -'!F35</f>
        <v>27.381105848723482</v>
      </c>
      <c r="E35" s="26">
        <v>92313</v>
      </c>
      <c r="F35" s="226">
        <f>E35/'- 3 -'!D35</f>
        <v>0.000731608671730854</v>
      </c>
      <c r="G35" s="26">
        <f>E35/'- 7 -'!F35</f>
        <v>5.174060476977832</v>
      </c>
      <c r="H35" s="26">
        <v>1262608</v>
      </c>
      <c r="I35" s="226">
        <f>H35/'- 3 -'!D35</f>
        <v>0.010006553375979008</v>
      </c>
      <c r="J35" s="26">
        <f>H35/'- 7 -'!F35</f>
        <v>70.76804080374409</v>
      </c>
    </row>
    <row r="36" spans="1:10" ht="13.5" customHeight="1">
      <c r="A36" s="27" t="s">
        <v>383</v>
      </c>
      <c r="B36" s="28">
        <v>120698</v>
      </c>
      <c r="C36" s="227">
        <f>B36/'- 3 -'!D36</f>
        <v>0.007230615279843227</v>
      </c>
      <c r="D36" s="28">
        <f>B36/'- 7 -'!F36</f>
        <v>57.65368999283496</v>
      </c>
      <c r="E36" s="28">
        <v>32767</v>
      </c>
      <c r="F36" s="227">
        <f>E36/'- 3 -'!D36</f>
        <v>0.0019629618624552436</v>
      </c>
      <c r="G36" s="28">
        <f>E36/'- 7 -'!F36</f>
        <v>15.651779316933364</v>
      </c>
      <c r="H36" s="28">
        <v>92769</v>
      </c>
      <c r="I36" s="227">
        <f>H36/'- 3 -'!D36</f>
        <v>0.005557481887817331</v>
      </c>
      <c r="J36" s="28">
        <f>H36/'- 7 -'!F36</f>
        <v>44.31287317888703</v>
      </c>
    </row>
    <row r="37" spans="1:10" ht="13.5" customHeight="1">
      <c r="A37" s="25" t="s">
        <v>384</v>
      </c>
      <c r="B37" s="26">
        <v>73333</v>
      </c>
      <c r="C37" s="226">
        <f>B37/'- 3 -'!D37</f>
        <v>0.0029072394283686117</v>
      </c>
      <c r="D37" s="26">
        <f>B37/'- 7 -'!F37</f>
        <v>21.765055055946338</v>
      </c>
      <c r="E37" s="26">
        <v>61683</v>
      </c>
      <c r="F37" s="226">
        <f>E37/'- 3 -'!D37</f>
        <v>0.0024453827016494767</v>
      </c>
      <c r="G37" s="26">
        <f>E37/'- 7 -'!F37</f>
        <v>18.307363547324368</v>
      </c>
      <c r="H37" s="26">
        <v>576408</v>
      </c>
      <c r="I37" s="226">
        <f>H37/'- 3 -'!D37</f>
        <v>0.022851322930019156</v>
      </c>
      <c r="J37" s="26">
        <f>H37/'- 7 -'!F37</f>
        <v>171.0764847297658</v>
      </c>
    </row>
    <row r="38" spans="1:10" ht="13.5" customHeight="1">
      <c r="A38" s="27" t="s">
        <v>385</v>
      </c>
      <c r="B38" s="28">
        <v>102191</v>
      </c>
      <c r="C38" s="227">
        <f>B38/'- 3 -'!D38</f>
        <v>0.0015657558627177651</v>
      </c>
      <c r="D38" s="28">
        <f>B38/'- 7 -'!F38</f>
        <v>12.015402704291594</v>
      </c>
      <c r="E38" s="28">
        <v>162077</v>
      </c>
      <c r="F38" s="227">
        <f>E38/'- 3 -'!D38</f>
        <v>0.0024833205758012663</v>
      </c>
      <c r="G38" s="28">
        <f>E38/'- 7 -'!F38</f>
        <v>19.056672545561433</v>
      </c>
      <c r="H38" s="28">
        <v>1091112</v>
      </c>
      <c r="I38" s="227">
        <f>H38/'- 3 -'!D38</f>
        <v>0.01671786175770573</v>
      </c>
      <c r="J38" s="28">
        <f>H38/'- 7 -'!F38</f>
        <v>128.29065255731922</v>
      </c>
    </row>
    <row r="39" spans="1:10" ht="13.5" customHeight="1">
      <c r="A39" s="25" t="s">
        <v>386</v>
      </c>
      <c r="B39" s="26">
        <v>194241</v>
      </c>
      <c r="C39" s="226">
        <f>B39/'- 3 -'!D39</f>
        <v>0.012669731720594718</v>
      </c>
      <c r="D39" s="26">
        <f>B39/'- 7 -'!F39</f>
        <v>106.72582417582417</v>
      </c>
      <c r="E39" s="26">
        <v>134101</v>
      </c>
      <c r="F39" s="226">
        <f>E39/'- 3 -'!D39</f>
        <v>0.008746987986385327</v>
      </c>
      <c r="G39" s="26">
        <f>E39/'- 7 -'!F39</f>
        <v>73.68186813186813</v>
      </c>
      <c r="H39" s="26">
        <v>177178</v>
      </c>
      <c r="I39" s="226">
        <f>H39/'- 3 -'!D39</f>
        <v>0.011556765702357025</v>
      </c>
      <c r="J39" s="26">
        <f>H39/'- 7 -'!F39</f>
        <v>97.35054945054945</v>
      </c>
    </row>
    <row r="40" spans="1:10" ht="13.5" customHeight="1">
      <c r="A40" s="27" t="s">
        <v>387</v>
      </c>
      <c r="B40" s="28">
        <v>323761</v>
      </c>
      <c r="C40" s="227">
        <f>B40/'- 3 -'!D40</f>
        <v>0.0049275448657764885</v>
      </c>
      <c r="D40" s="28">
        <f>B40/'- 7 -'!F40</f>
        <v>36.116385070690896</v>
      </c>
      <c r="E40" s="28">
        <v>63561</v>
      </c>
      <c r="F40" s="227">
        <f>E40/'- 3 -'!D40</f>
        <v>0.00096737926808238</v>
      </c>
      <c r="G40" s="28">
        <f>E40/'- 7 -'!F40</f>
        <v>7.090395543250064</v>
      </c>
      <c r="H40" s="28">
        <v>731172</v>
      </c>
      <c r="I40" s="227">
        <f>H40/'- 3 -'!D40</f>
        <v>0.01112821752650729</v>
      </c>
      <c r="J40" s="28">
        <f>H40/'- 7 -'!F40</f>
        <v>81.56414609822431</v>
      </c>
    </row>
    <row r="41" spans="1:10" ht="13.5" customHeight="1">
      <c r="A41" s="25" t="s">
        <v>388</v>
      </c>
      <c r="B41" s="26">
        <v>232330</v>
      </c>
      <c r="C41" s="226">
        <f>B41/'- 3 -'!D41</f>
        <v>0.0059427495769375175</v>
      </c>
      <c r="D41" s="26">
        <f>B41/'- 7 -'!F41</f>
        <v>48.58427436219155</v>
      </c>
      <c r="E41" s="26">
        <v>277906</v>
      </c>
      <c r="F41" s="226">
        <f>E41/'- 3 -'!D41</f>
        <v>0.007108534256998225</v>
      </c>
      <c r="G41" s="26">
        <f>E41/'- 7 -'!F41</f>
        <v>58.11501463822668</v>
      </c>
      <c r="H41" s="26">
        <v>295481</v>
      </c>
      <c r="I41" s="226">
        <f>H41/'- 3 -'!D41</f>
        <v>0.0075580837074121915</v>
      </c>
      <c r="J41" s="26">
        <f>H41/'- 7 -'!F41</f>
        <v>61.79025512337934</v>
      </c>
    </row>
    <row r="42" spans="1:10" ht="13.5" customHeight="1">
      <c r="A42" s="27" t="s">
        <v>389</v>
      </c>
      <c r="B42" s="28">
        <v>146234</v>
      </c>
      <c r="C42" s="227">
        <f>B42/'- 3 -'!D42</f>
        <v>0.009675689652753939</v>
      </c>
      <c r="D42" s="28">
        <f>B42/'- 7 -'!F42</f>
        <v>78.17491713888592</v>
      </c>
      <c r="E42" s="28">
        <v>71973</v>
      </c>
      <c r="F42" s="227">
        <f>E42/'- 3 -'!D42</f>
        <v>0.004762151150742367</v>
      </c>
      <c r="G42" s="28">
        <f>E42/'- 7 -'!F42</f>
        <v>38.47589008874158</v>
      </c>
      <c r="H42" s="28">
        <v>264808</v>
      </c>
      <c r="I42" s="227">
        <f>H42/'- 3 -'!D42</f>
        <v>0.017521233266999912</v>
      </c>
      <c r="J42" s="28">
        <f>H42/'- 7 -'!F42</f>
        <v>141.56313482305143</v>
      </c>
    </row>
    <row r="43" spans="1:10" ht="13.5" customHeight="1">
      <c r="A43" s="25" t="s">
        <v>390</v>
      </c>
      <c r="B43" s="26">
        <v>27401</v>
      </c>
      <c r="C43" s="226">
        <f>B43/'- 3 -'!D43</f>
        <v>0.0029669622403948642</v>
      </c>
      <c r="D43" s="26">
        <f>B43/'- 7 -'!F43</f>
        <v>22.664185277088503</v>
      </c>
      <c r="E43" s="26">
        <v>12185</v>
      </c>
      <c r="F43" s="226">
        <f>E43/'- 3 -'!D43</f>
        <v>0.0013193837779355286</v>
      </c>
      <c r="G43" s="26">
        <f>E43/'- 7 -'!F43</f>
        <v>10.078577336641853</v>
      </c>
      <c r="H43" s="26">
        <v>61387</v>
      </c>
      <c r="I43" s="226">
        <f>H43/'- 3 -'!D43</f>
        <v>0.0066469439455173005</v>
      </c>
      <c r="J43" s="26">
        <f>H43/'- 7 -'!F43</f>
        <v>50.775020678246484</v>
      </c>
    </row>
    <row r="44" spans="1:10" ht="13.5" customHeight="1">
      <c r="A44" s="27" t="s">
        <v>391</v>
      </c>
      <c r="B44" s="28">
        <v>36032</v>
      </c>
      <c r="C44" s="227">
        <f>B44/'- 3 -'!D44</f>
        <v>0.005225678629756057</v>
      </c>
      <c r="D44" s="28">
        <f>B44/'- 7 -'!F44</f>
        <v>45.58127767235926</v>
      </c>
      <c r="E44" s="28">
        <v>42092</v>
      </c>
      <c r="F44" s="227">
        <f>E44/'- 3 -'!D44</f>
        <v>0.006104553310493227</v>
      </c>
      <c r="G44" s="28">
        <f>E44/'- 7 -'!F44</f>
        <v>53.24731182795699</v>
      </c>
      <c r="H44" s="28">
        <v>121129</v>
      </c>
      <c r="I44" s="227">
        <f>H44/'- 3 -'!D44</f>
        <v>0.017567196568153903</v>
      </c>
      <c r="J44" s="28">
        <f>H44/'- 7 -'!F44</f>
        <v>153.23086654016444</v>
      </c>
    </row>
    <row r="45" spans="1:10" ht="13.5" customHeight="1">
      <c r="A45" s="25" t="s">
        <v>392</v>
      </c>
      <c r="B45" s="26">
        <v>107199</v>
      </c>
      <c r="C45" s="226">
        <f>B45/'- 3 -'!D45</f>
        <v>0.010255068215350749</v>
      </c>
      <c r="D45" s="26">
        <f>B45/'- 7 -'!F45</f>
        <v>73.31350020517029</v>
      </c>
      <c r="E45" s="26">
        <v>6819</v>
      </c>
      <c r="F45" s="226">
        <f>E45/'- 3 -'!D45</f>
        <v>0.000652331739666198</v>
      </c>
      <c r="G45" s="26">
        <f>E45/'- 7 -'!F45</f>
        <v>4.663520722199426</v>
      </c>
      <c r="H45" s="26">
        <v>128749</v>
      </c>
      <c r="I45" s="226">
        <f>H45/'- 3 -'!D45</f>
        <v>0.012316624013826561</v>
      </c>
      <c r="J45" s="26">
        <f>H45/'- 7 -'!F45</f>
        <v>88.0515661332239</v>
      </c>
    </row>
    <row r="46" spans="1:10" ht="13.5" customHeight="1">
      <c r="A46" s="27" t="s">
        <v>393</v>
      </c>
      <c r="B46" s="28">
        <v>1647060</v>
      </c>
      <c r="C46" s="227">
        <f>B46/'- 3 -'!D46</f>
        <v>0.006332467459867431</v>
      </c>
      <c r="D46" s="28">
        <f>B46/'- 7 -'!F46</f>
        <v>53.099108276969304</v>
      </c>
      <c r="E46" s="28">
        <v>392277</v>
      </c>
      <c r="F46" s="227">
        <f>E46/'- 3 -'!D46</f>
        <v>0.0015081911635000645</v>
      </c>
      <c r="G46" s="28">
        <f>E46/'- 7 -'!F46</f>
        <v>12.646508868872226</v>
      </c>
      <c r="H46" s="28">
        <v>3754878</v>
      </c>
      <c r="I46" s="227">
        <f>H46/'- 3 -'!D46</f>
        <v>0.014436415644100458</v>
      </c>
      <c r="J46" s="28">
        <f>H46/'- 7 -'!F46</f>
        <v>121.05246529501655</v>
      </c>
    </row>
    <row r="47" spans="1:10" ht="13.5" customHeight="1">
      <c r="A47" s="25" t="s">
        <v>397</v>
      </c>
      <c r="B47" s="26">
        <v>0</v>
      </c>
      <c r="C47" s="226">
        <f>B47/'- 3 -'!D47</f>
        <v>0</v>
      </c>
      <c r="D47" s="26">
        <f>B47/'- 7 -'!F47</f>
        <v>0</v>
      </c>
      <c r="E47" s="26">
        <v>1329</v>
      </c>
      <c r="F47" s="226">
        <f>E47/'- 3 -'!D47</f>
        <v>0.0002268973199994878</v>
      </c>
      <c r="G47" s="26">
        <f>E47/'- 7 -'!F47</f>
        <v>2.1366559485530545</v>
      </c>
      <c r="H47" s="26">
        <v>108309</v>
      </c>
      <c r="I47" s="226">
        <f>H47/'- 3 -'!D47</f>
        <v>0.01849136330460837</v>
      </c>
      <c r="J47" s="26">
        <f>H47/'- 7 -'!F47</f>
        <v>174.13022508038586</v>
      </c>
    </row>
    <row r="48" spans="1:10" ht="4.5" customHeight="1">
      <c r="A48" s="29"/>
      <c r="B48" s="30"/>
      <c r="C48" s="215"/>
      <c r="D48" s="30"/>
      <c r="E48" s="30"/>
      <c r="F48" s="215"/>
      <c r="G48" s="30"/>
      <c r="H48" s="30"/>
      <c r="I48" s="215"/>
      <c r="J48" s="30"/>
    </row>
    <row r="49" spans="1:10" ht="13.5" customHeight="1">
      <c r="A49" s="31" t="s">
        <v>394</v>
      </c>
      <c r="B49" s="32">
        <f>SUM(B11:B47)</f>
        <v>7650726</v>
      </c>
      <c r="C49" s="228">
        <f>B49/'- 3 -'!D49</f>
        <v>0.005438440613226408</v>
      </c>
      <c r="D49" s="32">
        <f>B49/'- 7 -'!F49</f>
        <v>42.737264833283504</v>
      </c>
      <c r="E49" s="32">
        <f>SUM(E11:E47)</f>
        <v>4025785</v>
      </c>
      <c r="F49" s="228">
        <f>E49/'- 3 -'!D49</f>
        <v>0.0028616882429350725</v>
      </c>
      <c r="G49" s="32">
        <f>E49/'- 7 -'!F49</f>
        <v>22.488197813757832</v>
      </c>
      <c r="H49" s="32">
        <f>SUM(H11:H47)</f>
        <v>20084994</v>
      </c>
      <c r="I49" s="228">
        <f>H49/'- 3 -'!D49</f>
        <v>0.01427721331099934</v>
      </c>
      <c r="J49" s="32">
        <f>H49/'- 7 -'!F49</f>
        <v>112.19558872620848</v>
      </c>
    </row>
    <row r="50" spans="1:9" ht="4.5" customHeight="1">
      <c r="A50" s="29" t="s">
        <v>78</v>
      </c>
      <c r="B50" s="30"/>
      <c r="C50" s="215"/>
      <c r="E50" s="30"/>
      <c r="F50" s="215"/>
      <c r="G50" s="30"/>
      <c r="H50" s="30"/>
      <c r="I50" s="215"/>
    </row>
    <row r="51" spans="1:10" ht="13.5" customHeight="1">
      <c r="A51" s="27" t="s">
        <v>395</v>
      </c>
      <c r="B51" s="28">
        <v>0</v>
      </c>
      <c r="C51" s="227">
        <f>B51/'- 3 -'!D51</f>
        <v>0</v>
      </c>
      <c r="D51" s="229">
        <f>B51/'- 7 -'!F51</f>
        <v>0</v>
      </c>
      <c r="E51" s="28">
        <v>5078</v>
      </c>
      <c r="F51" s="227">
        <f>E51/'- 3 -'!D51</f>
        <v>0.004039166713066442</v>
      </c>
      <c r="G51" s="28">
        <f>E51/'- 7 -'!F51</f>
        <v>35.02068965517241</v>
      </c>
      <c r="H51" s="28">
        <v>7616</v>
      </c>
      <c r="I51" s="227">
        <f>H51/'- 3 -'!D51</f>
        <v>0.006057954644882635</v>
      </c>
      <c r="J51" s="229">
        <f>H51/'- 7 -'!F51</f>
        <v>52.52413793103448</v>
      </c>
    </row>
    <row r="52" spans="1:10" ht="13.5" customHeight="1">
      <c r="A52" s="25" t="s">
        <v>396</v>
      </c>
      <c r="B52" s="26">
        <v>0</v>
      </c>
      <c r="C52" s="226">
        <f>B52/'- 3 -'!D52</f>
        <v>0</v>
      </c>
      <c r="D52" s="230">
        <f>B52/'- 7 -'!F52</f>
        <v>0</v>
      </c>
      <c r="E52" s="26">
        <v>18022</v>
      </c>
      <c r="F52" s="226">
        <f>E52/'- 3 -'!D52</f>
        <v>0.007445098492018476</v>
      </c>
      <c r="G52" s="26">
        <f>E52/'- 7 -'!F52</f>
        <v>65.17902350813743</v>
      </c>
      <c r="H52" s="26">
        <v>19423</v>
      </c>
      <c r="I52" s="226">
        <f>H52/'- 3 -'!D52</f>
        <v>0.008023867939766666</v>
      </c>
      <c r="J52" s="230">
        <f>H52/'- 7 -'!F52</f>
        <v>70.24593128390596</v>
      </c>
    </row>
    <row r="53" spans="1:10" ht="49.5" customHeight="1">
      <c r="A53" s="33"/>
      <c r="B53" s="33"/>
      <c r="C53" s="33"/>
      <c r="D53" s="33"/>
      <c r="E53" s="33"/>
      <c r="F53" s="33"/>
      <c r="G53" s="33"/>
      <c r="H53" s="33"/>
      <c r="I53" s="33"/>
      <c r="J53" s="33"/>
    </row>
    <row r="54" ht="15" customHeight="1">
      <c r="A54" s="2" t="s">
        <v>582</v>
      </c>
    </row>
    <row r="55" ht="12" customHeight="1">
      <c r="A55" s="208" t="s">
        <v>581</v>
      </c>
    </row>
    <row r="56" ht="12" customHeight="1">
      <c r="A56" s="208" t="s">
        <v>487</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5"/>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0.83203125" style="1" customWidth="1"/>
    <col min="9" max="16384" width="15.83203125" style="1" customWidth="1"/>
  </cols>
  <sheetData>
    <row r="1" spans="1:7" ht="6.75" customHeight="1">
      <c r="A1" s="5"/>
      <c r="B1" s="5"/>
      <c r="C1" s="5"/>
      <c r="D1" s="5"/>
      <c r="E1" s="6"/>
      <c r="F1" s="6"/>
      <c r="G1" s="6"/>
    </row>
    <row r="2" spans="1:8" ht="15.75" customHeight="1">
      <c r="A2" s="219"/>
      <c r="B2" s="7" t="s">
        <v>286</v>
      </c>
      <c r="C2" s="231"/>
      <c r="D2" s="231"/>
      <c r="E2" s="7"/>
      <c r="F2" s="232"/>
      <c r="G2" s="233"/>
      <c r="H2" s="234"/>
    </row>
    <row r="3" spans="1:8" ht="15.75" customHeight="1">
      <c r="A3" s="221"/>
      <c r="B3" s="9" t="str">
        <f>OPYEAR</f>
        <v>OPERATING FUND 2003/2004 ACTUAL</v>
      </c>
      <c r="C3" s="235"/>
      <c r="D3" s="235"/>
      <c r="E3" s="9"/>
      <c r="F3" s="236"/>
      <c r="G3" s="236"/>
      <c r="H3" s="237"/>
    </row>
    <row r="4" spans="5:7" ht="15.75" customHeight="1">
      <c r="E4" s="6"/>
      <c r="F4" s="6"/>
      <c r="G4" s="6"/>
    </row>
    <row r="5" spans="2:7" ht="18" customHeight="1">
      <c r="B5" s="238" t="s">
        <v>567</v>
      </c>
      <c r="C5" s="239"/>
      <c r="D5" s="240"/>
      <c r="E5" s="241"/>
      <c r="F5" s="242"/>
      <c r="G5" s="243"/>
    </row>
    <row r="6" spans="2:7" ht="15.75" customHeight="1">
      <c r="B6" s="244" t="s">
        <v>96</v>
      </c>
      <c r="C6" s="245"/>
      <c r="D6" s="246"/>
      <c r="E6" s="247"/>
      <c r="F6" s="248"/>
      <c r="G6" s="249"/>
    </row>
    <row r="7" spans="2:7" ht="15.75" customHeight="1">
      <c r="B7" s="250" t="s">
        <v>1</v>
      </c>
      <c r="C7" s="251"/>
      <c r="D7" s="252"/>
      <c r="E7" s="250" t="s">
        <v>144</v>
      </c>
      <c r="F7" s="251"/>
      <c r="G7" s="252"/>
    </row>
    <row r="8" spans="1:7" ht="15.75" customHeight="1">
      <c r="A8" s="96"/>
      <c r="B8" s="225"/>
      <c r="C8" s="98"/>
      <c r="D8" s="18" t="s">
        <v>150</v>
      </c>
      <c r="E8" s="225"/>
      <c r="F8" s="223"/>
      <c r="G8" s="18" t="s">
        <v>150</v>
      </c>
    </row>
    <row r="9" spans="1:7" ht="15.75" customHeight="1">
      <c r="A9" s="49" t="s">
        <v>175</v>
      </c>
      <c r="B9" s="113" t="s">
        <v>176</v>
      </c>
      <c r="C9" s="113" t="s">
        <v>177</v>
      </c>
      <c r="D9" s="113" t="s">
        <v>178</v>
      </c>
      <c r="E9" s="113" t="s">
        <v>176</v>
      </c>
      <c r="F9" s="113" t="s">
        <v>177</v>
      </c>
      <c r="G9" s="113" t="s">
        <v>178</v>
      </c>
    </row>
    <row r="10" spans="1:4" ht="4.5" customHeight="1">
      <c r="A10" s="4"/>
      <c r="B10" s="4"/>
      <c r="C10" s="4"/>
      <c r="D10" s="4"/>
    </row>
    <row r="11" spans="1:7" ht="13.5" customHeight="1">
      <c r="A11" s="25" t="s">
        <v>359</v>
      </c>
      <c r="B11" s="253">
        <f>'- 26 -'!B11</f>
        <v>10601</v>
      </c>
      <c r="C11" s="226">
        <f>'- 26 -'!C11</f>
        <v>0.000928815300946321</v>
      </c>
      <c r="D11" s="253">
        <f>'- 26 -'!D11</f>
        <v>6.786811779769526</v>
      </c>
      <c r="E11" s="253">
        <f>SUM('- 38 -'!B11,'- 38 -'!E11,'- 38 -'!H11,B11)</f>
        <v>325495</v>
      </c>
      <c r="F11" s="226">
        <f>E11/'- 3 -'!D11</f>
        <v>0.028518511119849328</v>
      </c>
      <c r="G11" s="253">
        <f>E11/'- 7 -'!F11</f>
        <v>208.38348271446864</v>
      </c>
    </row>
    <row r="12" spans="1:7" ht="13.5" customHeight="1">
      <c r="A12" s="27" t="s">
        <v>360</v>
      </c>
      <c r="B12" s="254">
        <f>'- 26 -'!B12</f>
        <v>5907</v>
      </c>
      <c r="C12" s="227">
        <f>'- 26 -'!C12</f>
        <v>0.0003080757464747832</v>
      </c>
      <c r="D12" s="254">
        <f>'- 26 -'!D12</f>
        <v>2.486948467497474</v>
      </c>
      <c r="E12" s="254">
        <f>SUM('- 38 -'!B12,'- 38 -'!E12,'- 38 -'!H12,B12)</f>
        <v>288350</v>
      </c>
      <c r="F12" s="227">
        <f>E12/'- 3 -'!D12</f>
        <v>0.015038706872524754</v>
      </c>
      <c r="G12" s="254">
        <f>E12/'- 7 -'!F12</f>
        <v>121.40030313236781</v>
      </c>
    </row>
    <row r="13" spans="1:7" ht="13.5" customHeight="1">
      <c r="A13" s="25" t="s">
        <v>361</v>
      </c>
      <c r="B13" s="253">
        <f>'- 26 -'!B13</f>
        <v>192646</v>
      </c>
      <c r="C13" s="226">
        <f>'- 26 -'!C13</f>
        <v>0.00393679572894443</v>
      </c>
      <c r="D13" s="253">
        <f>'- 26 -'!D13</f>
        <v>27.09888873259249</v>
      </c>
      <c r="E13" s="253">
        <f>SUM('- 38 -'!B13,'- 38 -'!E13,'- 38 -'!H13,B13)</f>
        <v>1112840</v>
      </c>
      <c r="F13" s="226">
        <f>E13/'- 3 -'!D13</f>
        <v>0.022741317021887395</v>
      </c>
      <c r="G13" s="253">
        <f>E13/'- 7 -'!F13</f>
        <v>156.53959769306513</v>
      </c>
    </row>
    <row r="14" spans="1:7" ht="13.5" customHeight="1">
      <c r="A14" s="27" t="s">
        <v>398</v>
      </c>
      <c r="B14" s="254">
        <f>'- 26 -'!B14</f>
        <v>133993</v>
      </c>
      <c r="C14" s="227">
        <f>'- 26 -'!C14</f>
        <v>0.0031631876001856274</v>
      </c>
      <c r="D14" s="254">
        <f>'- 26 -'!D14</f>
        <v>31.363934272740043</v>
      </c>
      <c r="E14" s="254">
        <f>SUM('- 38 -'!B14,'- 38 -'!E14,'- 38 -'!H14,B14)</f>
        <v>800720</v>
      </c>
      <c r="F14" s="227">
        <f>E14/'- 3 -'!D14</f>
        <v>0.01890268577627664</v>
      </c>
      <c r="G14" s="254">
        <f>E14/'- 7 -'!F14</f>
        <v>187.42568231824353</v>
      </c>
    </row>
    <row r="15" spans="1:7" ht="13.5" customHeight="1">
      <c r="A15" s="25" t="s">
        <v>362</v>
      </c>
      <c r="B15" s="253">
        <f>'- 26 -'!B15</f>
        <v>0</v>
      </c>
      <c r="C15" s="226">
        <f>'- 26 -'!C15</f>
        <v>0</v>
      </c>
      <c r="D15" s="253">
        <f>'- 26 -'!D15</f>
        <v>0</v>
      </c>
      <c r="E15" s="253">
        <f>SUM('- 38 -'!B15,'- 38 -'!E15,'- 38 -'!H15,B15)</f>
        <v>410984</v>
      </c>
      <c r="F15" s="226">
        <f>E15/'- 3 -'!D15</f>
        <v>0.031448853832126984</v>
      </c>
      <c r="G15" s="253">
        <f>E15/'- 7 -'!F15</f>
        <v>247.35720734276256</v>
      </c>
    </row>
    <row r="16" spans="1:7" ht="13.5" customHeight="1">
      <c r="A16" s="27" t="s">
        <v>363</v>
      </c>
      <c r="B16" s="254">
        <f>'- 26 -'!B16</f>
        <v>5730</v>
      </c>
      <c r="C16" s="227">
        <f>'- 26 -'!C16</f>
        <v>0.0005348432902159101</v>
      </c>
      <c r="D16" s="254">
        <f>'- 26 -'!D16</f>
        <v>4.116675048494863</v>
      </c>
      <c r="E16" s="254">
        <f>SUM('- 38 -'!B16,'- 38 -'!E16,'- 38 -'!H16,B16)</f>
        <v>196593</v>
      </c>
      <c r="F16" s="227">
        <f>E16/'- 3 -'!D16</f>
        <v>0.018350165262376338</v>
      </c>
      <c r="G16" s="254">
        <f>E16/'- 7 -'!F16</f>
        <v>141.24075005388318</v>
      </c>
    </row>
    <row r="17" spans="1:7" ht="13.5" customHeight="1">
      <c r="A17" s="25" t="s">
        <v>364</v>
      </c>
      <c r="B17" s="253">
        <f>'- 26 -'!B17</f>
        <v>33606</v>
      </c>
      <c r="C17" s="226">
        <f>'- 26 -'!C17</f>
        <v>0.0027222703439808834</v>
      </c>
      <c r="D17" s="253">
        <f>'- 26 -'!D17</f>
        <v>21.283090563647878</v>
      </c>
      <c r="E17" s="253">
        <f>SUM('- 38 -'!B17,'- 38 -'!E17,'- 38 -'!H17,B17)</f>
        <v>384411</v>
      </c>
      <c r="F17" s="226">
        <f>E17/'- 3 -'!D17</f>
        <v>0.03113939966672723</v>
      </c>
      <c r="G17" s="253">
        <f>E17/'- 7 -'!F17</f>
        <v>243.4521849271691</v>
      </c>
    </row>
    <row r="18" spans="1:7" ht="13.5" customHeight="1">
      <c r="A18" s="27" t="s">
        <v>365</v>
      </c>
      <c r="B18" s="254">
        <f>'- 26 -'!B18</f>
        <v>119282</v>
      </c>
      <c r="C18" s="227">
        <f>'- 26 -'!C18</f>
        <v>0.0016231155869838273</v>
      </c>
      <c r="D18" s="254">
        <f>'- 26 -'!D18</f>
        <v>20.358416821696164</v>
      </c>
      <c r="E18" s="254">
        <f>SUM('- 38 -'!B18,'- 38 -'!E18,'- 38 -'!H18,B18)</f>
        <v>1430826</v>
      </c>
      <c r="F18" s="227">
        <f>E18/'- 3 -'!D18</f>
        <v>0.019469794125364443</v>
      </c>
      <c r="G18" s="254">
        <f>E18/'- 7 -'!F18</f>
        <v>244.205765390589</v>
      </c>
    </row>
    <row r="19" spans="1:7" ht="13.5" customHeight="1">
      <c r="A19" s="25" t="s">
        <v>366</v>
      </c>
      <c r="B19" s="253">
        <f>'- 26 -'!B19</f>
        <v>9239</v>
      </c>
      <c r="C19" s="226">
        <f>'- 26 -'!C19</f>
        <v>0.0005035808254038022</v>
      </c>
      <c r="D19" s="253">
        <f>'- 26 -'!D19</f>
        <v>3.0695371939267084</v>
      </c>
      <c r="E19" s="253">
        <f>SUM('- 38 -'!B19,'- 38 -'!E19,'- 38 -'!H19,B19)</f>
        <v>424535</v>
      </c>
      <c r="F19" s="226">
        <f>E19/'- 3 -'!D19</f>
        <v>0.023139699719970035</v>
      </c>
      <c r="G19" s="253">
        <f>E19/'- 7 -'!F19</f>
        <v>141.04621415993887</v>
      </c>
    </row>
    <row r="20" spans="1:7" ht="13.5" customHeight="1">
      <c r="A20" s="27" t="s">
        <v>367</v>
      </c>
      <c r="B20" s="254">
        <f>'- 26 -'!B20</f>
        <v>25471</v>
      </c>
      <c r="C20" s="227">
        <f>'- 26 -'!C20</f>
        <v>0.0006943817236963768</v>
      </c>
      <c r="D20" s="254">
        <f>'- 26 -'!D20</f>
        <v>4.025444488344528</v>
      </c>
      <c r="E20" s="254">
        <f>SUM('- 38 -'!B20,'- 38 -'!E20,'- 38 -'!H20,B20)</f>
        <v>940848</v>
      </c>
      <c r="F20" s="227">
        <f>E20/'- 3 -'!D20</f>
        <v>0.02564907761675194</v>
      </c>
      <c r="G20" s="254">
        <f>E20/'- 7 -'!F20</f>
        <v>148.69190043461083</v>
      </c>
    </row>
    <row r="21" spans="1:7" ht="13.5" customHeight="1">
      <c r="A21" s="25" t="s">
        <v>368</v>
      </c>
      <c r="B21" s="253">
        <f>'- 26 -'!B21</f>
        <v>8923</v>
      </c>
      <c r="C21" s="226">
        <f>'- 26 -'!C21</f>
        <v>0.00037067128182806787</v>
      </c>
      <c r="D21" s="253">
        <f>'- 26 -'!D21</f>
        <v>2.6848202196479614</v>
      </c>
      <c r="E21" s="253">
        <f>SUM('- 38 -'!B21,'- 38 -'!E21,'- 38 -'!H21,B21)</f>
        <v>491623</v>
      </c>
      <c r="F21" s="226">
        <f>E21/'- 3 -'!D21</f>
        <v>0.020422562768817685</v>
      </c>
      <c r="G21" s="253">
        <f>E21/'- 7 -'!F21</f>
        <v>147.923273657289</v>
      </c>
    </row>
    <row r="22" spans="1:7" ht="13.5" customHeight="1">
      <c r="A22" s="27" t="s">
        <v>369</v>
      </c>
      <c r="B22" s="254">
        <f>'- 26 -'!B22</f>
        <v>0</v>
      </c>
      <c r="C22" s="227">
        <f>'- 26 -'!C22</f>
        <v>0</v>
      </c>
      <c r="D22" s="254">
        <f>'- 26 -'!D22</f>
        <v>0</v>
      </c>
      <c r="E22" s="254">
        <f>SUM('- 38 -'!B22,'- 38 -'!E22,'- 38 -'!H22,B22)</f>
        <v>227592</v>
      </c>
      <c r="F22" s="227">
        <f>E22/'- 3 -'!D22</f>
        <v>0.016881391520600288</v>
      </c>
      <c r="G22" s="254">
        <f>E22/'- 7 -'!F22</f>
        <v>134.51063829787233</v>
      </c>
    </row>
    <row r="23" spans="1:7" ht="13.5" customHeight="1">
      <c r="A23" s="25" t="s">
        <v>370</v>
      </c>
      <c r="B23" s="253">
        <f>'- 26 -'!B23</f>
        <v>0</v>
      </c>
      <c r="C23" s="226">
        <f>'- 26 -'!C23</f>
        <v>0</v>
      </c>
      <c r="D23" s="253">
        <f>'- 26 -'!D23</f>
        <v>0</v>
      </c>
      <c r="E23" s="253">
        <f>SUM('- 38 -'!B23,'- 38 -'!E23,'- 38 -'!H23,B23)</f>
        <v>414909</v>
      </c>
      <c r="F23" s="226">
        <f>E23/'- 3 -'!D23</f>
        <v>0.03667684738705009</v>
      </c>
      <c r="G23" s="253">
        <f>E23/'- 7 -'!F23</f>
        <v>312.5491525423729</v>
      </c>
    </row>
    <row r="24" spans="1:7" ht="13.5" customHeight="1">
      <c r="A24" s="27" t="s">
        <v>371</v>
      </c>
      <c r="B24" s="254">
        <f>'- 26 -'!B24</f>
        <v>6980</v>
      </c>
      <c r="C24" s="227">
        <f>'- 26 -'!C24</f>
        <v>0.0002003990125790558</v>
      </c>
      <c r="D24" s="254">
        <f>'- 26 -'!D24</f>
        <v>1.4976933805385688</v>
      </c>
      <c r="E24" s="254">
        <f>SUM('- 38 -'!B24,'- 38 -'!E24,'- 38 -'!H24,B24)</f>
        <v>733260</v>
      </c>
      <c r="F24" s="227">
        <f>E24/'- 3 -'!D24</f>
        <v>0.021052232086492616</v>
      </c>
      <c r="G24" s="254">
        <f>E24/'- 7 -'!F24</f>
        <v>157.33504988735115</v>
      </c>
    </row>
    <row r="25" spans="1:7" ht="13.5" customHeight="1">
      <c r="A25" s="25" t="s">
        <v>372</v>
      </c>
      <c r="B25" s="253">
        <f>'- 26 -'!B25</f>
        <v>129719.59</v>
      </c>
      <c r="C25" s="226">
        <f>'- 26 -'!C25</f>
        <v>0.0011741383836228012</v>
      </c>
      <c r="D25" s="253">
        <f>'- 26 -'!D25</f>
        <v>8.639045652825413</v>
      </c>
      <c r="E25" s="253">
        <f>SUM('- 38 -'!B25,'- 38 -'!E25,'- 38 -'!H25,B25)</f>
        <v>4799369.59</v>
      </c>
      <c r="F25" s="226">
        <f>E25/'- 3 -'!D25</f>
        <v>0.043440809925555775</v>
      </c>
      <c r="G25" s="253">
        <f>E25/'- 7 -'!F25</f>
        <v>319.62769071958974</v>
      </c>
    </row>
    <row r="26" spans="1:7" ht="13.5" customHeight="1">
      <c r="A26" s="27" t="s">
        <v>373</v>
      </c>
      <c r="B26" s="254">
        <f>'- 26 -'!B26</f>
        <v>46607</v>
      </c>
      <c r="C26" s="227">
        <f>'- 26 -'!C26</f>
        <v>0.0017213760430489162</v>
      </c>
      <c r="D26" s="254">
        <f>'- 26 -'!D26</f>
        <v>14.122477425610569</v>
      </c>
      <c r="E26" s="254">
        <f>SUM('- 38 -'!B26,'- 38 -'!E26,'- 38 -'!H26,B26)</f>
        <v>555456</v>
      </c>
      <c r="F26" s="227">
        <f>E26/'- 3 -'!D26</f>
        <v>0.020515129730894043</v>
      </c>
      <c r="G26" s="254">
        <f>E26/'- 7 -'!F26</f>
        <v>168.3097994060966</v>
      </c>
    </row>
    <row r="27" spans="1:7" ht="13.5" customHeight="1">
      <c r="A27" s="25" t="s">
        <v>374</v>
      </c>
      <c r="B27" s="253">
        <f>'- 26 -'!B27</f>
        <v>0</v>
      </c>
      <c r="C27" s="226">
        <f>'- 26 -'!C27</f>
        <v>0</v>
      </c>
      <c r="D27" s="253">
        <f>'- 26 -'!D27</f>
        <v>0</v>
      </c>
      <c r="E27" s="253">
        <f>SUM('- 38 -'!B27,'- 38 -'!E27,'- 38 -'!H27,B27)</f>
        <v>412316</v>
      </c>
      <c r="F27" s="226">
        <f>E27/'- 3 -'!D27</f>
        <v>0.015210322584087591</v>
      </c>
      <c r="G27" s="253">
        <f>E27/'- 7 -'!F27</f>
        <v>126.94458128078817</v>
      </c>
    </row>
    <row r="28" spans="1:7" ht="13.5" customHeight="1">
      <c r="A28" s="27" t="s">
        <v>375</v>
      </c>
      <c r="B28" s="254">
        <f>'- 26 -'!B28</f>
        <v>7588</v>
      </c>
      <c r="C28" s="227">
        <f>'- 26 -'!C28</f>
        <v>0.0004550837273033183</v>
      </c>
      <c r="D28" s="254">
        <f>'- 26 -'!D28</f>
        <v>3.642822851656265</v>
      </c>
      <c r="E28" s="254">
        <f>SUM('- 38 -'!B28,'- 38 -'!E28,'- 38 -'!H28,B28)</f>
        <v>314203</v>
      </c>
      <c r="F28" s="227">
        <f>E28/'- 3 -'!D28</f>
        <v>0.018844052763558848</v>
      </c>
      <c r="G28" s="254">
        <f>E28/'- 7 -'!F28</f>
        <v>150.8415746519443</v>
      </c>
    </row>
    <row r="29" spans="1:7" ht="13.5" customHeight="1">
      <c r="A29" s="25" t="s">
        <v>376</v>
      </c>
      <c r="B29" s="253">
        <f>'- 26 -'!B29</f>
        <v>470651</v>
      </c>
      <c r="C29" s="226">
        <f>'- 26 -'!C29</f>
        <v>0.004620792996100301</v>
      </c>
      <c r="D29" s="253">
        <f>'- 26 -'!D29</f>
        <v>35.76647161638422</v>
      </c>
      <c r="E29" s="253">
        <f>SUM('- 38 -'!B29,'- 38 -'!E29,'- 38 -'!H29,B29)</f>
        <v>3091521</v>
      </c>
      <c r="F29" s="226">
        <f>E29/'- 3 -'!D29</f>
        <v>0.03035216877069633</v>
      </c>
      <c r="G29" s="253">
        <f>E29/'- 7 -'!F29</f>
        <v>234.93586138764343</v>
      </c>
    </row>
    <row r="30" spans="1:7" ht="13.5" customHeight="1">
      <c r="A30" s="27" t="s">
        <v>377</v>
      </c>
      <c r="B30" s="254">
        <f>'- 26 -'!B30</f>
        <v>12763</v>
      </c>
      <c r="C30" s="227">
        <f>'- 26 -'!C30</f>
        <v>0.0012990831910971426</v>
      </c>
      <c r="D30" s="254">
        <f>'- 26 -'!D30</f>
        <v>10.014123185562966</v>
      </c>
      <c r="E30" s="254">
        <f>SUM('- 38 -'!B30,'- 38 -'!E30,'- 38 -'!H30,B30)</f>
        <v>167921</v>
      </c>
      <c r="F30" s="227">
        <f>E30/'- 3 -'!D30</f>
        <v>0.017091855248156648</v>
      </c>
      <c r="G30" s="254">
        <f>E30/'- 7 -'!F30</f>
        <v>131.75441349548842</v>
      </c>
    </row>
    <row r="31" spans="1:7" ht="13.5" customHeight="1">
      <c r="A31" s="25" t="s">
        <v>378</v>
      </c>
      <c r="B31" s="253">
        <f>'- 26 -'!B31</f>
        <v>6729</v>
      </c>
      <c r="C31" s="226">
        <f>'- 26 -'!C31</f>
        <v>0.0002699593496342671</v>
      </c>
      <c r="D31" s="253">
        <f>'- 26 -'!D31</f>
        <v>1.9774891266016221</v>
      </c>
      <c r="E31" s="253">
        <f>SUM('- 38 -'!B31,'- 38 -'!E31,'- 38 -'!H31,B31)</f>
        <v>507524</v>
      </c>
      <c r="F31" s="226">
        <f>E31/'- 3 -'!D31</f>
        <v>0.020361249660243982</v>
      </c>
      <c r="G31" s="253">
        <f>E31/'- 7 -'!F31</f>
        <v>149.14893617021275</v>
      </c>
    </row>
    <row r="32" spans="1:7" ht="13.5" customHeight="1">
      <c r="A32" s="27" t="s">
        <v>379</v>
      </c>
      <c r="B32" s="254">
        <f>'- 26 -'!B32</f>
        <v>14265</v>
      </c>
      <c r="C32" s="227">
        <f>'- 26 -'!C32</f>
        <v>0.000770111531476777</v>
      </c>
      <c r="D32" s="254">
        <f>'- 26 -'!D32</f>
        <v>6.1434108527131785</v>
      </c>
      <c r="E32" s="254">
        <f>SUM('- 38 -'!B32,'- 38 -'!E32,'- 38 -'!H32,B32)</f>
        <v>389599</v>
      </c>
      <c r="F32" s="227">
        <f>E32/'- 3 -'!D32</f>
        <v>0.021032925520632375</v>
      </c>
      <c r="G32" s="254">
        <f>E32/'- 7 -'!F32</f>
        <v>167.78596037898365</v>
      </c>
    </row>
    <row r="33" spans="1:7" ht="13.5" customHeight="1">
      <c r="A33" s="25" t="s">
        <v>380</v>
      </c>
      <c r="B33" s="253">
        <f>'- 26 -'!B33</f>
        <v>5950</v>
      </c>
      <c r="C33" s="226">
        <f>'- 26 -'!C33</f>
        <v>0.00027072025738717094</v>
      </c>
      <c r="D33" s="253">
        <f>'- 26 -'!D33</f>
        <v>2.3570890940062594</v>
      </c>
      <c r="E33" s="253">
        <f>SUM('- 38 -'!B33,'- 38 -'!E33,'- 38 -'!H33,B33)</f>
        <v>738604</v>
      </c>
      <c r="F33" s="226">
        <f>E33/'- 3 -'!D33</f>
        <v>0.03360589327515866</v>
      </c>
      <c r="G33" s="253">
        <f>E33/'- 7 -'!F33</f>
        <v>292.5975517965377</v>
      </c>
    </row>
    <row r="34" spans="1:7" ht="13.5" customHeight="1">
      <c r="A34" s="27" t="s">
        <v>381</v>
      </c>
      <c r="B34" s="254">
        <f>'- 26 -'!B34</f>
        <v>22322</v>
      </c>
      <c r="C34" s="227">
        <f>'- 26 -'!C34</f>
        <v>0.0013150529078740693</v>
      </c>
      <c r="D34" s="254">
        <f>'- 26 -'!D34</f>
        <v>10.19735038830516</v>
      </c>
      <c r="E34" s="254">
        <f>SUM('- 38 -'!B34,'- 38 -'!E34,'- 38 -'!H34,B34)</f>
        <v>354907</v>
      </c>
      <c r="F34" s="227">
        <f>E34/'- 3 -'!D34</f>
        <v>0.020908587150562777</v>
      </c>
      <c r="G34" s="254">
        <f>E34/'- 7 -'!F34</f>
        <v>162.1320237551393</v>
      </c>
    </row>
    <row r="35" spans="1:7" ht="13.5" customHeight="1">
      <c r="A35" s="25" t="s">
        <v>382</v>
      </c>
      <c r="B35" s="253">
        <f>'- 26 -'!B35</f>
        <v>642787.99</v>
      </c>
      <c r="C35" s="226">
        <f>'- 26 -'!C35</f>
        <v>0.005094290810269902</v>
      </c>
      <c r="D35" s="253">
        <f>'- 26 -'!D35</f>
        <v>36.02768769442031</v>
      </c>
      <c r="E35" s="253">
        <f>SUM('- 38 -'!B35,'- 38 -'!E35,'- 38 -'!H35,B35)</f>
        <v>2486228.99</v>
      </c>
      <c r="F35" s="226">
        <f>E35/'- 3 -'!D35</f>
        <v>0.0197041228103587</v>
      </c>
      <c r="G35" s="253">
        <f>E35/'- 7 -'!F35</f>
        <v>139.35089482386573</v>
      </c>
    </row>
    <row r="36" spans="1:7" ht="13.5" customHeight="1">
      <c r="A36" s="27" t="s">
        <v>383</v>
      </c>
      <c r="B36" s="254">
        <f>'- 26 -'!B36</f>
        <v>0</v>
      </c>
      <c r="C36" s="227">
        <f>'- 26 -'!C36</f>
        <v>0</v>
      </c>
      <c r="D36" s="254">
        <f>'- 26 -'!D36</f>
        <v>0</v>
      </c>
      <c r="E36" s="254">
        <f>SUM('- 38 -'!B36,'- 38 -'!E36,'- 38 -'!H36,B36)</f>
        <v>246234</v>
      </c>
      <c r="F36" s="227">
        <f>E36/'- 3 -'!D36</f>
        <v>0.014751059030115803</v>
      </c>
      <c r="G36" s="254">
        <f>E36/'- 7 -'!F36</f>
        <v>117.61834248865536</v>
      </c>
    </row>
    <row r="37" spans="1:7" ht="13.5" customHeight="1">
      <c r="A37" s="25" t="s">
        <v>384</v>
      </c>
      <c r="B37" s="253">
        <f>'- 26 -'!B37</f>
        <v>76579</v>
      </c>
      <c r="C37" s="226">
        <f>'- 26 -'!C37</f>
        <v>0.0030359250021823724</v>
      </c>
      <c r="D37" s="253">
        <f>'- 26 -'!D37</f>
        <v>22.72845991749028</v>
      </c>
      <c r="E37" s="253">
        <f>SUM('- 38 -'!B37,'- 38 -'!E37,'- 38 -'!H37,B37)</f>
        <v>788003</v>
      </c>
      <c r="F37" s="226">
        <f>E37/'- 3 -'!D37</f>
        <v>0.031239870062219614</v>
      </c>
      <c r="G37" s="253">
        <f>E37/'- 7 -'!F37</f>
        <v>233.8773632505268</v>
      </c>
    </row>
    <row r="38" spans="1:7" ht="13.5" customHeight="1">
      <c r="A38" s="27" t="s">
        <v>385</v>
      </c>
      <c r="B38" s="254">
        <f>'- 26 -'!B38</f>
        <v>215366</v>
      </c>
      <c r="C38" s="227">
        <f>'- 26 -'!C38</f>
        <v>0.0032998069999322266</v>
      </c>
      <c r="D38" s="254">
        <f>'- 26 -'!D38</f>
        <v>25.3222810111699</v>
      </c>
      <c r="E38" s="254">
        <f>SUM('- 38 -'!B38,'- 38 -'!E38,'- 38 -'!H38,B38)</f>
        <v>1570746</v>
      </c>
      <c r="F38" s="227">
        <f>E38/'- 3 -'!D38</f>
        <v>0.024066745196156987</v>
      </c>
      <c r="G38" s="254">
        <f>E38/'- 7 -'!F38</f>
        <v>184.68500881834214</v>
      </c>
    </row>
    <row r="39" spans="1:7" ht="13.5" customHeight="1">
      <c r="A39" s="25" t="s">
        <v>386</v>
      </c>
      <c r="B39" s="253">
        <f>'- 26 -'!B39</f>
        <v>15395</v>
      </c>
      <c r="C39" s="226">
        <f>'- 26 -'!C39</f>
        <v>0.001004167605389983</v>
      </c>
      <c r="D39" s="253">
        <f>'- 26 -'!D39</f>
        <v>8.458791208791208</v>
      </c>
      <c r="E39" s="253">
        <f>SUM('- 38 -'!B39,'- 38 -'!E39,'- 38 -'!H39,B39)</f>
        <v>520915</v>
      </c>
      <c r="F39" s="226">
        <f>E39/'- 3 -'!D39</f>
        <v>0.03397765301472705</v>
      </c>
      <c r="G39" s="253">
        <f>E39/'- 7 -'!F39</f>
        <v>286.217032967033</v>
      </c>
    </row>
    <row r="40" spans="1:7" ht="13.5" customHeight="1">
      <c r="A40" s="27" t="s">
        <v>387</v>
      </c>
      <c r="B40" s="254">
        <f>'- 26 -'!B40</f>
        <v>110663</v>
      </c>
      <c r="C40" s="227">
        <f>'- 26 -'!C40</f>
        <v>0.0016842575155173835</v>
      </c>
      <c r="D40" s="254">
        <f>'- 26 -'!D40</f>
        <v>12.344746652863892</v>
      </c>
      <c r="E40" s="254">
        <f>SUM('- 38 -'!B40,'- 38 -'!E40,'- 38 -'!H40,B40)</f>
        <v>1229157</v>
      </c>
      <c r="F40" s="227">
        <f>E40/'- 3 -'!D40</f>
        <v>0.018707399175883543</v>
      </c>
      <c r="G40" s="254">
        <f>E40/'- 7 -'!F40</f>
        <v>137.11567336502915</v>
      </c>
    </row>
    <row r="41" spans="1:7" ht="13.5" customHeight="1">
      <c r="A41" s="25" t="s">
        <v>388</v>
      </c>
      <c r="B41" s="253">
        <f>'- 26 -'!B41</f>
        <v>58207</v>
      </c>
      <c r="C41" s="226">
        <f>'- 26 -'!C41</f>
        <v>0.0014888719692885209</v>
      </c>
      <c r="D41" s="253">
        <f>'- 26 -'!D41</f>
        <v>12.172103722291927</v>
      </c>
      <c r="E41" s="253">
        <f>SUM('- 38 -'!B41,'- 38 -'!E41,'- 38 -'!H41,B41)</f>
        <v>863924</v>
      </c>
      <c r="F41" s="226">
        <f>E41/'- 3 -'!D41</f>
        <v>0.022098239510636455</v>
      </c>
      <c r="G41" s="253">
        <f>E41/'- 7 -'!F41</f>
        <v>180.6616478460895</v>
      </c>
    </row>
    <row r="42" spans="1:7" ht="13.5" customHeight="1">
      <c r="A42" s="27" t="s">
        <v>389</v>
      </c>
      <c r="B42" s="254">
        <f>'- 26 -'!B42</f>
        <v>25887</v>
      </c>
      <c r="C42" s="227">
        <f>'- 26 -'!C42</f>
        <v>0.0017128340744344082</v>
      </c>
      <c r="D42" s="254">
        <f>'- 26 -'!D42</f>
        <v>13.838875227199829</v>
      </c>
      <c r="E42" s="254">
        <f>SUM('- 38 -'!B42,'- 38 -'!E42,'- 38 -'!H42,B42)</f>
        <v>508902</v>
      </c>
      <c r="F42" s="227">
        <f>E42/'- 3 -'!D42</f>
        <v>0.03367190814493063</v>
      </c>
      <c r="G42" s="254">
        <f>E42/'- 7 -'!F42</f>
        <v>272.0528172778787</v>
      </c>
    </row>
    <row r="43" spans="1:7" ht="13.5" customHeight="1">
      <c r="A43" s="25" t="s">
        <v>390</v>
      </c>
      <c r="B43" s="253">
        <f>'- 26 -'!B43</f>
        <v>0</v>
      </c>
      <c r="C43" s="226">
        <f>'- 26 -'!C43</f>
        <v>0</v>
      </c>
      <c r="D43" s="253">
        <f>'- 26 -'!D43</f>
        <v>0</v>
      </c>
      <c r="E43" s="253">
        <f>SUM('- 38 -'!B43,'- 38 -'!E43,'- 38 -'!H43,B43)</f>
        <v>100973</v>
      </c>
      <c r="F43" s="226">
        <f>E43/'- 3 -'!D43</f>
        <v>0.010933289963847693</v>
      </c>
      <c r="G43" s="253">
        <f>E43/'- 7 -'!F43</f>
        <v>83.51778329197684</v>
      </c>
    </row>
    <row r="44" spans="1:7" ht="13.5" customHeight="1">
      <c r="A44" s="27" t="s">
        <v>391</v>
      </c>
      <c r="B44" s="254">
        <f>'- 26 -'!B44</f>
        <v>8111</v>
      </c>
      <c r="C44" s="227">
        <f>'- 26 -'!C44</f>
        <v>0.0011763288012308886</v>
      </c>
      <c r="D44" s="254">
        <f>'- 26 -'!D44</f>
        <v>10.260594560404806</v>
      </c>
      <c r="E44" s="254">
        <f>SUM('- 38 -'!B44,'- 38 -'!E44,'- 38 -'!H44,B44)</f>
        <v>207364</v>
      </c>
      <c r="F44" s="227">
        <f>E44/'- 3 -'!D44</f>
        <v>0.030073757309634075</v>
      </c>
      <c r="G44" s="254">
        <f>E44/'- 7 -'!F44</f>
        <v>262.3200506008855</v>
      </c>
    </row>
    <row r="45" spans="1:7" ht="13.5" customHeight="1">
      <c r="A45" s="25" t="s">
        <v>392</v>
      </c>
      <c r="B45" s="253">
        <f>'- 26 -'!B45</f>
        <v>14262</v>
      </c>
      <c r="C45" s="226">
        <f>'- 26 -'!C45</f>
        <v>0.0013643577168381458</v>
      </c>
      <c r="D45" s="253">
        <f>'- 26 -'!D45</f>
        <v>9.753795650389824</v>
      </c>
      <c r="E45" s="253">
        <f>SUM('- 38 -'!B45,'- 38 -'!E45,'- 38 -'!H45,B45)</f>
        <v>257029</v>
      </c>
      <c r="F45" s="226">
        <f>E45/'- 3 -'!D45</f>
        <v>0.024588381685681657</v>
      </c>
      <c r="G45" s="253">
        <f>E45/'- 7 -'!F45</f>
        <v>175.78238271098346</v>
      </c>
    </row>
    <row r="46" spans="1:7" ht="13.5" customHeight="1">
      <c r="A46" s="27" t="s">
        <v>393</v>
      </c>
      <c r="B46" s="254">
        <f>'- 26 -'!B46</f>
        <v>1051988</v>
      </c>
      <c r="C46" s="227">
        <f>'- 26 -'!C46</f>
        <v>0.00404458840489783</v>
      </c>
      <c r="D46" s="254">
        <f>'- 26 -'!D46</f>
        <v>33.914747925438284</v>
      </c>
      <c r="E46" s="254">
        <f>SUM('- 38 -'!B46,'- 38 -'!E46,'- 38 -'!H46,B46)</f>
        <v>6846203</v>
      </c>
      <c r="F46" s="227">
        <f>E46/'- 3 -'!D46</f>
        <v>0.026321662672365784</v>
      </c>
      <c r="G46" s="254">
        <f>E46/'- 7 -'!F46</f>
        <v>220.71283036629637</v>
      </c>
    </row>
    <row r="47" spans="1:7" ht="13.5" customHeight="1">
      <c r="A47" s="25" t="s">
        <v>397</v>
      </c>
      <c r="B47" s="253">
        <f>'- 26 -'!B47</f>
        <v>243078</v>
      </c>
      <c r="C47" s="226">
        <f>'- 26 -'!C47</f>
        <v>0.04150018566654289</v>
      </c>
      <c r="D47" s="253">
        <f>'- 26 -'!D47</f>
        <v>390.8006430868167</v>
      </c>
      <c r="E47" s="253">
        <f>SUM('- 38 -'!B47,'- 38 -'!E47,'- 38 -'!H47,B47)</f>
        <v>352716</v>
      </c>
      <c r="F47" s="226">
        <f>E47/'- 3 -'!D47</f>
        <v>0.06021844629115075</v>
      </c>
      <c r="G47" s="253">
        <f>E47/'- 7 -'!F47</f>
        <v>567.0675241157556</v>
      </c>
    </row>
    <row r="48" spans="1:7" ht="4.5" customHeight="1">
      <c r="A48" s="29"/>
      <c r="B48" s="255"/>
      <c r="C48" s="215"/>
      <c r="D48" s="255"/>
      <c r="E48" s="255"/>
      <c r="F48" s="215"/>
      <c r="G48" s="255"/>
    </row>
    <row r="49" spans="1:7" ht="13.5" customHeight="1">
      <c r="A49" s="31" t="s">
        <v>394</v>
      </c>
      <c r="B49" s="256">
        <f>SUM(B11:B47)</f>
        <v>3731296.58</v>
      </c>
      <c r="C49" s="228">
        <f>'- 26 -'!C49</f>
        <v>0.00265235415052961</v>
      </c>
      <c r="D49" s="256">
        <f>'- 26 -'!D49</f>
        <v>20.843173590452068</v>
      </c>
      <c r="E49" s="256">
        <f>SUM(E11:E47)</f>
        <v>35492801.58</v>
      </c>
      <c r="F49" s="228">
        <f>E49/'- 3 -'!D49</f>
        <v>0.02522969631769043</v>
      </c>
      <c r="G49" s="256">
        <f>E49/'- 7 -'!F49</f>
        <v>198.26422496370188</v>
      </c>
    </row>
    <row r="50" spans="1:7" ht="4.5" customHeight="1">
      <c r="A50" s="29" t="s">
        <v>78</v>
      </c>
      <c r="B50" s="255"/>
      <c r="C50" s="215"/>
      <c r="D50" s="255"/>
      <c r="E50" s="255"/>
      <c r="F50" s="215"/>
      <c r="G50" s="255"/>
    </row>
    <row r="51" spans="1:7" ht="13.5" customHeight="1">
      <c r="A51" s="27" t="s">
        <v>395</v>
      </c>
      <c r="B51" s="254">
        <f>'- 26 -'!B51</f>
        <v>0</v>
      </c>
      <c r="C51" s="227">
        <f>'- 26 -'!C51</f>
        <v>0</v>
      </c>
      <c r="D51" s="254">
        <f>'- 26 -'!D51</f>
        <v>0</v>
      </c>
      <c r="E51" s="254">
        <f>SUM('- 38 -'!B51,'- 38 -'!E51,'- 38 -'!H51,B51)</f>
        <v>12694</v>
      </c>
      <c r="F51" s="227">
        <f>E51/'- 3 -'!D51</f>
        <v>0.010097121357949077</v>
      </c>
      <c r="G51" s="254">
        <f>E51/'- 7 -'!F51</f>
        <v>87.54482758620689</v>
      </c>
    </row>
    <row r="52" spans="1:7" ht="13.5" customHeight="1">
      <c r="A52" s="25" t="s">
        <v>396</v>
      </c>
      <c r="B52" s="253">
        <f>'- 26 -'!B52</f>
        <v>6001</v>
      </c>
      <c r="C52" s="226">
        <f>'- 26 -'!C52</f>
        <v>0.00247908312343818</v>
      </c>
      <c r="D52" s="253">
        <f>'- 26 -'!D52</f>
        <v>21.703435804701627</v>
      </c>
      <c r="E52" s="253">
        <f>SUM('- 38 -'!B52,'- 38 -'!E52,'- 38 -'!H52,B52)</f>
        <v>43446</v>
      </c>
      <c r="F52" s="226">
        <f>E52/'- 3 -'!D52</f>
        <v>0.017948049555223323</v>
      </c>
      <c r="G52" s="253">
        <f>E52/'- 7 -'!F52</f>
        <v>157.12839059674502</v>
      </c>
    </row>
    <row r="53" spans="1:8" ht="49.5" customHeight="1">
      <c r="A53" s="33"/>
      <c r="B53" s="33"/>
      <c r="C53" s="33"/>
      <c r="D53" s="33"/>
      <c r="E53" s="33"/>
      <c r="F53" s="33"/>
      <c r="G53" s="33"/>
      <c r="H53" s="33"/>
    </row>
    <row r="54" ht="15" customHeight="1">
      <c r="A54" s="2" t="s">
        <v>2</v>
      </c>
    </row>
    <row r="55" spans="1:4" ht="12" customHeight="1">
      <c r="A55" s="2" t="s">
        <v>0</v>
      </c>
      <c r="B55" s="208"/>
      <c r="C55" s="208"/>
      <c r="D55" s="208"/>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H56"/>
  <sheetViews>
    <sheetView showGridLines="0" showZeros="0" workbookViewId="0" topLeftCell="A1">
      <selection activeCell="A1" sqref="A1"/>
    </sheetView>
  </sheetViews>
  <sheetFormatPr defaultColWidth="14.83203125" defaultRowHeight="12"/>
  <cols>
    <col min="1" max="1" width="31.83203125" style="1" customWidth="1"/>
    <col min="2" max="2" width="15.83203125" style="1" customWidth="1"/>
    <col min="3" max="3" width="13.83203125" style="1" customWidth="1"/>
    <col min="4" max="5" width="14.83203125" style="1" customWidth="1"/>
    <col min="6" max="6" width="12.83203125" style="1" customWidth="1"/>
    <col min="7" max="7" width="16.83203125" style="1" customWidth="1"/>
    <col min="8" max="8" width="11.83203125" style="1" customWidth="1"/>
    <col min="9" max="16384" width="14.83203125" style="1" customWidth="1"/>
  </cols>
  <sheetData>
    <row r="1" ht="6.75" customHeight="1">
      <c r="A1" s="5"/>
    </row>
    <row r="2" spans="1:8" ht="15.75" customHeight="1">
      <c r="A2" s="366" t="str">
        <f>"  SUMMARY"&amp;REPLACE(REVYEAR,1,8,"")</f>
        <v>  SUMMARY OF OPERATING FUND REVENUE: 2003/2004 ACTUAL</v>
      </c>
      <c r="B2" s="56"/>
      <c r="C2" s="56"/>
      <c r="D2" s="56"/>
      <c r="E2" s="56"/>
      <c r="F2" s="56"/>
      <c r="G2" s="56"/>
      <c r="H2" s="56"/>
    </row>
    <row r="3" ht="15.75" customHeight="1">
      <c r="A3" s="367"/>
    </row>
    <row r="4" spans="2:8" ht="15.75" customHeight="1">
      <c r="B4" s="6"/>
      <c r="C4" s="99"/>
      <c r="D4" s="99"/>
      <c r="E4" s="6"/>
      <c r="F4" s="6"/>
      <c r="G4" s="6"/>
      <c r="H4" s="6"/>
    </row>
    <row r="5" spans="2:8" ht="15.75" customHeight="1">
      <c r="B5" s="6"/>
      <c r="C5" s="6"/>
      <c r="D5" s="6"/>
      <c r="E5" s="6"/>
      <c r="F5" s="6"/>
      <c r="G5" s="6"/>
      <c r="H5" s="6"/>
    </row>
    <row r="6" spans="2:8" ht="15.75" customHeight="1">
      <c r="B6" s="368" t="s">
        <v>197</v>
      </c>
      <c r="C6" s="288"/>
      <c r="D6" s="288"/>
      <c r="E6" s="288"/>
      <c r="F6" s="288"/>
      <c r="G6" s="288"/>
      <c r="H6" s="289"/>
    </row>
    <row r="7" spans="2:8" ht="15.75" customHeight="1">
      <c r="B7" s="209" t="s">
        <v>210</v>
      </c>
      <c r="C7" s="211"/>
      <c r="D7" s="211"/>
      <c r="E7" s="63" t="s">
        <v>132</v>
      </c>
      <c r="F7" s="63" t="s">
        <v>78</v>
      </c>
      <c r="G7" s="63" t="s">
        <v>196</v>
      </c>
      <c r="H7" s="63" t="s">
        <v>78</v>
      </c>
    </row>
    <row r="8" spans="1:8" ht="15.75" customHeight="1">
      <c r="A8" s="47"/>
      <c r="B8" s="369"/>
      <c r="C8" s="370"/>
      <c r="D8" s="370"/>
      <c r="E8" s="371" t="s">
        <v>231</v>
      </c>
      <c r="F8" s="371" t="s">
        <v>232</v>
      </c>
      <c r="G8" s="371" t="s">
        <v>233</v>
      </c>
      <c r="H8" s="371" t="s">
        <v>78</v>
      </c>
    </row>
    <row r="9" spans="1:8" ht="15.75" customHeight="1">
      <c r="A9" s="122" t="s">
        <v>175</v>
      </c>
      <c r="B9" s="69" t="s">
        <v>576</v>
      </c>
      <c r="C9" s="69" t="s">
        <v>204</v>
      </c>
      <c r="D9" s="69" t="s">
        <v>205</v>
      </c>
      <c r="E9" s="69" t="s">
        <v>227</v>
      </c>
      <c r="F9" s="69" t="s">
        <v>249</v>
      </c>
      <c r="G9" s="69" t="s">
        <v>250</v>
      </c>
      <c r="H9" s="69" t="s">
        <v>132</v>
      </c>
    </row>
    <row r="10" spans="1:8" ht="4.5" customHeight="1">
      <c r="A10" s="4"/>
      <c r="B10" s="372"/>
      <c r="C10" s="372"/>
      <c r="D10" s="372"/>
      <c r="E10" s="372"/>
      <c r="F10" s="372"/>
      <c r="G10" s="372"/>
      <c r="H10" s="372"/>
    </row>
    <row r="11" spans="1:8" ht="13.5" customHeight="1">
      <c r="A11" s="25" t="s">
        <v>359</v>
      </c>
      <c r="B11" s="226">
        <f>'- 42 -'!G11</f>
        <v>0.599371027296533</v>
      </c>
      <c r="C11" s="226">
        <f>'- 43 -'!C11</f>
        <v>0.0008516433821688359</v>
      </c>
      <c r="D11" s="226">
        <f>'- 43 -'!E11</f>
        <v>0.3792367980797826</v>
      </c>
      <c r="E11" s="226">
        <f>'- 43 -'!G11</f>
        <v>0.004206692486222965</v>
      </c>
      <c r="F11" s="226">
        <f>'- 43 -'!I11</f>
        <v>0</v>
      </c>
      <c r="G11" s="226">
        <f>'- 44 -'!C11</f>
        <v>0.005521970525644515</v>
      </c>
      <c r="H11" s="226">
        <f>'- 44 -'!E11</f>
        <v>0.010811868229648023</v>
      </c>
    </row>
    <row r="12" spans="1:8" ht="13.5" customHeight="1">
      <c r="A12" s="27" t="s">
        <v>360</v>
      </c>
      <c r="B12" s="227">
        <f>'- 42 -'!G12</f>
        <v>0.5937748499711091</v>
      </c>
      <c r="C12" s="227">
        <f>'- 43 -'!C12</f>
        <v>0.00527363839141217</v>
      </c>
      <c r="D12" s="227">
        <f>'- 43 -'!E12</f>
        <v>0.35710737145547006</v>
      </c>
      <c r="E12" s="227">
        <f>'- 43 -'!G12</f>
        <v>0.010276049962477793</v>
      </c>
      <c r="F12" s="227">
        <f>'- 43 -'!I12</f>
        <v>0.020052203420714655</v>
      </c>
      <c r="G12" s="227">
        <f>'- 44 -'!C12</f>
        <v>0.010051725901671835</v>
      </c>
      <c r="H12" s="227">
        <f>'- 44 -'!E12</f>
        <v>0.003464160897144396</v>
      </c>
    </row>
    <row r="13" spans="1:8" ht="13.5" customHeight="1">
      <c r="A13" s="25" t="s">
        <v>361</v>
      </c>
      <c r="B13" s="226">
        <f>'- 42 -'!G13</f>
        <v>0.5879430706642716</v>
      </c>
      <c r="C13" s="226">
        <f>'- 43 -'!C13</f>
        <v>0.0003400385203126966</v>
      </c>
      <c r="D13" s="226">
        <f>'- 43 -'!E13</f>
        <v>0.38748661530844014</v>
      </c>
      <c r="E13" s="226">
        <f>'- 43 -'!G13</f>
        <v>0.004565847261243223</v>
      </c>
      <c r="F13" s="226">
        <f>'- 43 -'!I13</f>
        <v>0.00586585442383975</v>
      </c>
      <c r="G13" s="226">
        <f>'- 44 -'!C13</f>
        <v>0.01226900626201501</v>
      </c>
      <c r="H13" s="226">
        <f>'- 44 -'!E13</f>
        <v>0.0015295675598775</v>
      </c>
    </row>
    <row r="14" spans="1:8" ht="13.5" customHeight="1">
      <c r="A14" s="27" t="s">
        <v>398</v>
      </c>
      <c r="B14" s="227">
        <f>'- 42 -'!G14</f>
        <v>0.6177255457994318</v>
      </c>
      <c r="C14" s="227">
        <f>'- 43 -'!C14</f>
        <v>0.06182556428805581</v>
      </c>
      <c r="D14" s="227">
        <f>'- 43 -'!E14</f>
        <v>0.3090684641459852</v>
      </c>
      <c r="E14" s="227">
        <f>'- 43 -'!G14</f>
        <v>0.009151332220554632</v>
      </c>
      <c r="F14" s="227">
        <f>'- 43 -'!I14</f>
        <v>0</v>
      </c>
      <c r="G14" s="227">
        <f>'- 44 -'!C14</f>
        <v>0.0015814550439759423</v>
      </c>
      <c r="H14" s="227">
        <f>'- 44 -'!E14</f>
        <v>0.0006476385019966192</v>
      </c>
    </row>
    <row r="15" spans="1:8" ht="13.5" customHeight="1">
      <c r="A15" s="25" t="s">
        <v>362</v>
      </c>
      <c r="B15" s="226">
        <f>'- 42 -'!G15</f>
        <v>0.5358169442542144</v>
      </c>
      <c r="C15" s="226">
        <f>'- 43 -'!C15</f>
        <v>0.0008565914601613774</v>
      </c>
      <c r="D15" s="226">
        <f>'- 43 -'!E15</f>
        <v>0.4390166211375327</v>
      </c>
      <c r="E15" s="226">
        <f>'- 43 -'!G15</f>
        <v>0.004161477057365819</v>
      </c>
      <c r="F15" s="226">
        <f>'- 43 -'!I15</f>
        <v>0.009759654527393647</v>
      </c>
      <c r="G15" s="226">
        <f>'- 44 -'!C15</f>
        <v>0.009749123273078242</v>
      </c>
      <c r="H15" s="226">
        <f>'- 44 -'!E15</f>
        <v>0.0006395882902538284</v>
      </c>
    </row>
    <row r="16" spans="1:8" ht="13.5" customHeight="1">
      <c r="A16" s="27" t="s">
        <v>363</v>
      </c>
      <c r="B16" s="227">
        <f>'- 42 -'!G16</f>
        <v>0.5854929270236713</v>
      </c>
      <c r="C16" s="227">
        <f>'- 43 -'!C16</f>
        <v>0.0013152424826270862</v>
      </c>
      <c r="D16" s="227">
        <f>'- 43 -'!E16</f>
        <v>0.28388253830371873</v>
      </c>
      <c r="E16" s="227">
        <f>'- 43 -'!G16</f>
        <v>0.0172996040725702</v>
      </c>
      <c r="F16" s="227">
        <f>'- 43 -'!I16</f>
        <v>0.004791714414705576</v>
      </c>
      <c r="G16" s="227">
        <f>'- 44 -'!C16</f>
        <v>0.10046242679747579</v>
      </c>
      <c r="H16" s="227">
        <f>'- 44 -'!E16</f>
        <v>0.006755546905231305</v>
      </c>
    </row>
    <row r="17" spans="1:8" ht="13.5" customHeight="1">
      <c r="A17" s="25" t="s">
        <v>364</v>
      </c>
      <c r="B17" s="226">
        <f>'- 42 -'!G17</f>
        <v>0.541204268148022</v>
      </c>
      <c r="C17" s="226">
        <f>'- 43 -'!C17</f>
        <v>0</v>
      </c>
      <c r="D17" s="226">
        <f>'- 43 -'!E17</f>
        <v>0.39472411814149594</v>
      </c>
      <c r="E17" s="226">
        <f>'- 43 -'!G17</f>
        <v>0.0022328918835710153</v>
      </c>
      <c r="F17" s="226">
        <f>'- 43 -'!I17</f>
        <v>0.056224444760078075</v>
      </c>
      <c r="G17" s="226">
        <f>'- 44 -'!C17</f>
        <v>0</v>
      </c>
      <c r="H17" s="226">
        <f>'- 44 -'!E17</f>
        <v>0.005614277066832898</v>
      </c>
    </row>
    <row r="18" spans="1:8" ht="13.5" customHeight="1">
      <c r="A18" s="27" t="s">
        <v>365</v>
      </c>
      <c r="B18" s="227">
        <f>'- 42 -'!G18</f>
        <v>0.48061267327279783</v>
      </c>
      <c r="C18" s="227">
        <f>'- 43 -'!C18</f>
        <v>0.14458964188477225</v>
      </c>
      <c r="D18" s="227">
        <f>'- 43 -'!E18</f>
        <v>0.039306793665848126</v>
      </c>
      <c r="E18" s="227">
        <f>'- 43 -'!G18</f>
        <v>0.00027947947444527854</v>
      </c>
      <c r="F18" s="227">
        <f>'- 43 -'!I18</f>
        <v>0.2936003630932925</v>
      </c>
      <c r="G18" s="227">
        <f>'- 44 -'!C18</f>
        <v>0.03800990121124632</v>
      </c>
      <c r="H18" s="227">
        <f>'- 44 -'!E18</f>
        <v>0.0036011473975976764</v>
      </c>
    </row>
    <row r="19" spans="1:8" ht="13.5" customHeight="1">
      <c r="A19" s="25" t="s">
        <v>366</v>
      </c>
      <c r="B19" s="226">
        <f>'- 42 -'!G19</f>
        <v>0.6756154564584124</v>
      </c>
      <c r="C19" s="226">
        <f>'- 43 -'!C19</f>
        <v>0.00026465269494516</v>
      </c>
      <c r="D19" s="226">
        <f>'- 43 -'!E19</f>
        <v>0.3069971261363856</v>
      </c>
      <c r="E19" s="226">
        <f>'- 43 -'!G19</f>
        <v>0.007437799338738777</v>
      </c>
      <c r="F19" s="226">
        <f>'- 43 -'!I19</f>
        <v>0</v>
      </c>
      <c r="G19" s="226">
        <f>'- 44 -'!C19</f>
        <v>0.0006230983049788847</v>
      </c>
      <c r="H19" s="226">
        <f>'- 44 -'!E19</f>
        <v>0.009061867066539246</v>
      </c>
    </row>
    <row r="20" spans="1:8" ht="13.5" customHeight="1">
      <c r="A20" s="27" t="s">
        <v>367</v>
      </c>
      <c r="B20" s="227">
        <f>'- 42 -'!G20</f>
        <v>0.7031046802225122</v>
      </c>
      <c r="C20" s="227">
        <f>'- 43 -'!C20</f>
        <v>0</v>
      </c>
      <c r="D20" s="227">
        <f>'- 43 -'!E20</f>
        <v>0.27572469362639973</v>
      </c>
      <c r="E20" s="227">
        <f>'- 43 -'!G20</f>
        <v>0.008017578101065095</v>
      </c>
      <c r="F20" s="227">
        <f>'- 43 -'!I20</f>
        <v>0</v>
      </c>
      <c r="G20" s="227">
        <f>'- 44 -'!C20</f>
        <v>0.00972040558061409</v>
      </c>
      <c r="H20" s="227">
        <f>'- 44 -'!E20</f>
        <v>0.0034326424694089354</v>
      </c>
    </row>
    <row r="21" spans="1:8" ht="13.5" customHeight="1">
      <c r="A21" s="25" t="s">
        <v>368</v>
      </c>
      <c r="B21" s="226">
        <f>'- 42 -'!G21</f>
        <v>0.6319671182227401</v>
      </c>
      <c r="C21" s="226">
        <f>'- 43 -'!C21</f>
        <v>0</v>
      </c>
      <c r="D21" s="226">
        <f>'- 43 -'!E21</f>
        <v>0.35473418693781367</v>
      </c>
      <c r="E21" s="226">
        <f>'- 43 -'!G21</f>
        <v>0.0014085682226094589</v>
      </c>
      <c r="F21" s="226">
        <f>'- 43 -'!I21</f>
        <v>0</v>
      </c>
      <c r="G21" s="226">
        <f>'- 44 -'!C21</f>
        <v>0.008954813477580472</v>
      </c>
      <c r="H21" s="226">
        <f>'- 44 -'!E21</f>
        <v>0.0029353131392563137</v>
      </c>
    </row>
    <row r="22" spans="1:8" ht="13.5" customHeight="1">
      <c r="A22" s="27" t="s">
        <v>369</v>
      </c>
      <c r="B22" s="227">
        <f>'- 42 -'!G22</f>
        <v>0.7071662591835083</v>
      </c>
      <c r="C22" s="227">
        <f>'- 43 -'!C22</f>
        <v>0.0013650380571354503</v>
      </c>
      <c r="D22" s="227">
        <f>'- 43 -'!E22</f>
        <v>0.256294734597985</v>
      </c>
      <c r="E22" s="227">
        <f>'- 43 -'!G22</f>
        <v>0.0018308149660676552</v>
      </c>
      <c r="F22" s="227">
        <f>'- 43 -'!I22</f>
        <v>0.026852251841859506</v>
      </c>
      <c r="G22" s="227">
        <f>'- 44 -'!C22</f>
        <v>0</v>
      </c>
      <c r="H22" s="227">
        <f>'- 44 -'!E22</f>
        <v>0.006490901353444092</v>
      </c>
    </row>
    <row r="23" spans="1:8" ht="13.5" customHeight="1">
      <c r="A23" s="25" t="s">
        <v>370</v>
      </c>
      <c r="B23" s="226">
        <f>'- 42 -'!G23</f>
        <v>0.6786985235288178</v>
      </c>
      <c r="C23" s="226">
        <f>'- 43 -'!C23</f>
        <v>0</v>
      </c>
      <c r="D23" s="226">
        <f>'- 43 -'!E23</f>
        <v>0.2632467951723742</v>
      </c>
      <c r="E23" s="226">
        <f>'- 43 -'!G23</f>
        <v>0.006908398352165804</v>
      </c>
      <c r="F23" s="226">
        <f>'- 43 -'!I23</f>
        <v>0.03804281763791857</v>
      </c>
      <c r="G23" s="226">
        <f>'- 44 -'!C23</f>
        <v>0.012609775997593869</v>
      </c>
      <c r="H23" s="226">
        <f>'- 44 -'!E23</f>
        <v>0.0004936893111298243</v>
      </c>
    </row>
    <row r="24" spans="1:8" ht="13.5" customHeight="1">
      <c r="A24" s="27" t="s">
        <v>371</v>
      </c>
      <c r="B24" s="227">
        <f>'- 42 -'!G24</f>
        <v>0.5823051469666212</v>
      </c>
      <c r="C24" s="227">
        <f>'- 43 -'!C24</f>
        <v>0.0008379147963997074</v>
      </c>
      <c r="D24" s="227">
        <f>'- 43 -'!E24</f>
        <v>0.38564393805462954</v>
      </c>
      <c r="E24" s="227">
        <f>'- 43 -'!G24</f>
        <v>0.006049803244765792</v>
      </c>
      <c r="F24" s="227">
        <f>'- 43 -'!I24</f>
        <v>0.00636279963858114</v>
      </c>
      <c r="G24" s="227">
        <f>'- 44 -'!C24</f>
        <v>0.014724198502453378</v>
      </c>
      <c r="H24" s="227">
        <f>'- 44 -'!E24</f>
        <v>0.004076198796549226</v>
      </c>
    </row>
    <row r="25" spans="1:8" ht="13.5" customHeight="1">
      <c r="A25" s="25" t="s">
        <v>372</v>
      </c>
      <c r="B25" s="226">
        <f>'- 42 -'!G25</f>
        <v>0.560392064906736</v>
      </c>
      <c r="C25" s="226">
        <f>'- 43 -'!C25</f>
        <v>0.00039572623406373465</v>
      </c>
      <c r="D25" s="226">
        <f>'- 43 -'!E25</f>
        <v>0.41863956308840666</v>
      </c>
      <c r="E25" s="226">
        <f>'- 43 -'!G25</f>
        <v>0.00316419168402914</v>
      </c>
      <c r="F25" s="226">
        <f>'- 43 -'!I25</f>
        <v>4.5397222486765745E-05</v>
      </c>
      <c r="G25" s="226">
        <f>'- 44 -'!C25</f>
        <v>0.015302073971493692</v>
      </c>
      <c r="H25" s="226">
        <f>'- 44 -'!E25</f>
        <v>0.002060982892784011</v>
      </c>
    </row>
    <row r="26" spans="1:8" ht="13.5" customHeight="1">
      <c r="A26" s="27" t="s">
        <v>373</v>
      </c>
      <c r="B26" s="227">
        <f>'- 42 -'!G26</f>
        <v>0.6184924443378117</v>
      </c>
      <c r="C26" s="227">
        <f>'- 43 -'!C26</f>
        <v>0.018758421015542967</v>
      </c>
      <c r="D26" s="227">
        <f>'- 43 -'!E26</f>
        <v>0.33191368710905467</v>
      </c>
      <c r="E26" s="227">
        <f>'- 43 -'!G26</f>
        <v>0.009850152610926498</v>
      </c>
      <c r="F26" s="227">
        <f>'- 43 -'!I26</f>
        <v>0.006810923810818752</v>
      </c>
      <c r="G26" s="227">
        <f>'- 44 -'!C26</f>
        <v>0.011109346846577491</v>
      </c>
      <c r="H26" s="227">
        <f>'- 44 -'!E26</f>
        <v>0.0030650242692679</v>
      </c>
    </row>
    <row r="27" spans="1:8" ht="13.5" customHeight="1">
      <c r="A27" s="25" t="s">
        <v>374</v>
      </c>
      <c r="B27" s="226">
        <f>'- 42 -'!G27</f>
        <v>0.6813589818521458</v>
      </c>
      <c r="C27" s="226">
        <f>'- 43 -'!C27</f>
        <v>0.0007004707585195094</v>
      </c>
      <c r="D27" s="226">
        <f>'- 43 -'!E27</f>
        <v>0.29516528895622596</v>
      </c>
      <c r="E27" s="226">
        <f>'- 43 -'!G27</f>
        <v>0.0038914758414011924</v>
      </c>
      <c r="F27" s="226">
        <f>'- 43 -'!I27</f>
        <v>0.014687706665229878</v>
      </c>
      <c r="G27" s="226">
        <f>'- 44 -'!C27</f>
        <v>0.002245541010425239</v>
      </c>
      <c r="H27" s="226">
        <f>'- 44 -'!E27</f>
        <v>0.001950534916052399</v>
      </c>
    </row>
    <row r="28" spans="1:8" ht="13.5" customHeight="1">
      <c r="A28" s="27" t="s">
        <v>375</v>
      </c>
      <c r="B28" s="227">
        <f>'- 42 -'!G28</f>
        <v>0.579494566694063</v>
      </c>
      <c r="C28" s="227">
        <f>'- 43 -'!C28</f>
        <v>0</v>
      </c>
      <c r="D28" s="227">
        <f>'- 43 -'!E28</f>
        <v>0.35805043065732767</v>
      </c>
      <c r="E28" s="227">
        <f>'- 43 -'!G28</f>
        <v>0.0005539247663064613</v>
      </c>
      <c r="F28" s="227">
        <f>'- 43 -'!I28</f>
        <v>0.05914107264424131</v>
      </c>
      <c r="G28" s="227">
        <f>'- 44 -'!C28</f>
        <v>0.0008611296596047927</v>
      </c>
      <c r="H28" s="227">
        <f>'- 44 -'!E28</f>
        <v>0.0018988755784569743</v>
      </c>
    </row>
    <row r="29" spans="1:8" ht="13.5" customHeight="1">
      <c r="A29" s="25" t="s">
        <v>376</v>
      </c>
      <c r="B29" s="226">
        <f>'- 42 -'!G29</f>
        <v>0.45582095732711636</v>
      </c>
      <c r="C29" s="226">
        <f>'- 43 -'!C29</f>
        <v>0.00017335346098676247</v>
      </c>
      <c r="D29" s="226">
        <f>'- 43 -'!E29</f>
        <v>0.518457796043893</v>
      </c>
      <c r="E29" s="226">
        <f>'- 43 -'!G29</f>
        <v>0.007520184683609133</v>
      </c>
      <c r="F29" s="226">
        <f>'- 43 -'!I29</f>
        <v>0.00013348947945183184</v>
      </c>
      <c r="G29" s="226">
        <f>'- 44 -'!C29</f>
        <v>0.013320805437117928</v>
      </c>
      <c r="H29" s="226">
        <f>'- 44 -'!E29</f>
        <v>0.0045734135678249755</v>
      </c>
    </row>
    <row r="30" spans="1:8" ht="13.5" customHeight="1">
      <c r="A30" s="27" t="s">
        <v>377</v>
      </c>
      <c r="B30" s="227">
        <f>'- 42 -'!G30</f>
        <v>0.6379768222187551</v>
      </c>
      <c r="C30" s="227">
        <f>'- 43 -'!C30</f>
        <v>0.00010170890713285554</v>
      </c>
      <c r="D30" s="227">
        <f>'- 43 -'!E30</f>
        <v>0.3544430005510055</v>
      </c>
      <c r="E30" s="227">
        <f>'- 43 -'!G30</f>
        <v>0.0036463136939687605</v>
      </c>
      <c r="F30" s="227">
        <f>'- 43 -'!I30</f>
        <v>0</v>
      </c>
      <c r="G30" s="227">
        <f>'- 44 -'!C30</f>
        <v>0.002281241915129348</v>
      </c>
      <c r="H30" s="227">
        <f>'- 44 -'!E30</f>
        <v>0.0015509127140083776</v>
      </c>
    </row>
    <row r="31" spans="1:8" ht="13.5" customHeight="1">
      <c r="A31" s="25" t="s">
        <v>378</v>
      </c>
      <c r="B31" s="226">
        <f>'- 42 -'!G31</f>
        <v>0.6095472763724114</v>
      </c>
      <c r="C31" s="226">
        <f>'- 43 -'!C31</f>
        <v>0.000763396209324555</v>
      </c>
      <c r="D31" s="226">
        <f>'- 43 -'!E31</f>
        <v>0.35589411780217256</v>
      </c>
      <c r="E31" s="226">
        <f>'- 43 -'!G31</f>
        <v>0.0008523030884903472</v>
      </c>
      <c r="F31" s="226">
        <f>'- 43 -'!I31</f>
        <v>0.027290070125300943</v>
      </c>
      <c r="G31" s="226">
        <f>'- 44 -'!C31</f>
        <v>0.0010264522263545243</v>
      </c>
      <c r="H31" s="226">
        <f>'- 44 -'!E31</f>
        <v>0.004626384175945758</v>
      </c>
    </row>
    <row r="32" spans="1:8" ht="13.5" customHeight="1">
      <c r="A32" s="27" t="s">
        <v>379</v>
      </c>
      <c r="B32" s="227">
        <f>'- 42 -'!G32</f>
        <v>0.5900139130691535</v>
      </c>
      <c r="C32" s="227">
        <f>'- 43 -'!C32</f>
        <v>0.0007154496288617955</v>
      </c>
      <c r="D32" s="227">
        <f>'- 43 -'!E32</f>
        <v>0.39838604681198275</v>
      </c>
      <c r="E32" s="227">
        <f>'- 43 -'!G32</f>
        <v>0.004998804228668645</v>
      </c>
      <c r="F32" s="227">
        <f>'- 43 -'!I32</f>
        <v>0</v>
      </c>
      <c r="G32" s="227">
        <f>'- 44 -'!C32</f>
        <v>0.0007582423952634137</v>
      </c>
      <c r="H32" s="227">
        <f>'- 44 -'!E32</f>
        <v>0.005127543866069895</v>
      </c>
    </row>
    <row r="33" spans="1:8" ht="13.5" customHeight="1">
      <c r="A33" s="25" t="s">
        <v>380</v>
      </c>
      <c r="B33" s="226">
        <f>'- 42 -'!G33</f>
        <v>0.6222679994062722</v>
      </c>
      <c r="C33" s="226">
        <f>'- 43 -'!C33</f>
        <v>0.0007465426314837027</v>
      </c>
      <c r="D33" s="226">
        <f>'- 43 -'!E33</f>
        <v>0.35135607376954553</v>
      </c>
      <c r="E33" s="226">
        <f>'- 43 -'!G33</f>
        <v>0.0014696343716866862</v>
      </c>
      <c r="F33" s="226">
        <f>'- 43 -'!I33</f>
        <v>0.01293169803656396</v>
      </c>
      <c r="G33" s="226">
        <f>'- 44 -'!C33</f>
        <v>0.00892850889608883</v>
      </c>
      <c r="H33" s="226">
        <f>'- 44 -'!E33</f>
        <v>0.0022995428883590724</v>
      </c>
    </row>
    <row r="34" spans="1:8" ht="13.5" customHeight="1">
      <c r="A34" s="27" t="s">
        <v>381</v>
      </c>
      <c r="B34" s="227">
        <f>'- 42 -'!G34</f>
        <v>0.589294693974911</v>
      </c>
      <c r="C34" s="227">
        <f>'- 43 -'!C34</f>
        <v>0.0002340383418983507</v>
      </c>
      <c r="D34" s="227">
        <f>'- 43 -'!E34</f>
        <v>0.373986186292617</v>
      </c>
      <c r="E34" s="227">
        <f>'- 43 -'!G34</f>
        <v>0.02040658914941786</v>
      </c>
      <c r="F34" s="227">
        <f>'- 43 -'!I34</f>
        <v>0.00053934022228303</v>
      </c>
      <c r="G34" s="227">
        <f>'- 44 -'!C34</f>
        <v>0.008567748786933862</v>
      </c>
      <c r="H34" s="227">
        <f>'- 44 -'!E34</f>
        <v>0.006971403231938922</v>
      </c>
    </row>
    <row r="35" spans="1:8" ht="13.5" customHeight="1">
      <c r="A35" s="25" t="s">
        <v>382</v>
      </c>
      <c r="B35" s="226">
        <f>'- 42 -'!G35</f>
        <v>0.5871461968595778</v>
      </c>
      <c r="C35" s="226">
        <f>'- 43 -'!C35</f>
        <v>0.0003134557046809882</v>
      </c>
      <c r="D35" s="226">
        <f>'- 43 -'!E35</f>
        <v>0.39130648082306624</v>
      </c>
      <c r="E35" s="226">
        <f>'- 43 -'!G35</f>
        <v>0.006116517559646127</v>
      </c>
      <c r="F35" s="226">
        <f>'- 43 -'!I35</f>
        <v>0.0005769555228725748</v>
      </c>
      <c r="G35" s="226">
        <f>'- 44 -'!C35</f>
        <v>0.012049584820367236</v>
      </c>
      <c r="H35" s="226">
        <f>'- 44 -'!E35</f>
        <v>0.002490808709789046</v>
      </c>
    </row>
    <row r="36" spans="1:8" ht="13.5" customHeight="1">
      <c r="A36" s="27" t="s">
        <v>383</v>
      </c>
      <c r="B36" s="227">
        <f>'- 42 -'!G36</f>
        <v>0.5607749708980547</v>
      </c>
      <c r="C36" s="227">
        <f>'- 43 -'!C36</f>
        <v>0.0010489927130878272</v>
      </c>
      <c r="D36" s="227">
        <f>'- 43 -'!E36</f>
        <v>0.3776762304805574</v>
      </c>
      <c r="E36" s="227">
        <f>'- 43 -'!G36</f>
        <v>0.0047845050697082675</v>
      </c>
      <c r="F36" s="227">
        <f>'- 43 -'!I36</f>
        <v>0.05017674921970649</v>
      </c>
      <c r="G36" s="227">
        <f>'- 44 -'!C36</f>
        <v>0.0018136679528563248</v>
      </c>
      <c r="H36" s="227">
        <f>'- 44 -'!E36</f>
        <v>0.0037248836660290635</v>
      </c>
    </row>
    <row r="37" spans="1:8" ht="13.5" customHeight="1">
      <c r="A37" s="25" t="s">
        <v>384</v>
      </c>
      <c r="B37" s="226">
        <f>'- 42 -'!G37</f>
        <v>0.6412262598859136</v>
      </c>
      <c r="C37" s="226">
        <f>'- 43 -'!C37</f>
        <v>0.0007443806113967868</v>
      </c>
      <c r="D37" s="226">
        <f>'- 43 -'!E37</f>
        <v>0.34779309489387017</v>
      </c>
      <c r="E37" s="226">
        <f>'- 43 -'!G37</f>
        <v>0.003917389514795836</v>
      </c>
      <c r="F37" s="226">
        <f>'- 43 -'!I37</f>
        <v>0</v>
      </c>
      <c r="G37" s="226">
        <f>'- 44 -'!C37</f>
        <v>0.0008498578561543762</v>
      </c>
      <c r="H37" s="226">
        <f>'- 44 -'!E37</f>
        <v>0.005469017237869159</v>
      </c>
    </row>
    <row r="38" spans="1:8" ht="13.5" customHeight="1">
      <c r="A38" s="27" t="s">
        <v>385</v>
      </c>
      <c r="B38" s="227">
        <f>'- 42 -'!G38</f>
        <v>0.5753577408362416</v>
      </c>
      <c r="C38" s="227">
        <f>'- 43 -'!C38</f>
        <v>8.419358508615026E-05</v>
      </c>
      <c r="D38" s="227">
        <f>'- 43 -'!E38</f>
        <v>0.3989060641419908</v>
      </c>
      <c r="E38" s="227">
        <f>'- 43 -'!G38</f>
        <v>0.014678274481213246</v>
      </c>
      <c r="F38" s="227">
        <f>'- 43 -'!I38</f>
        <v>0.0016714079538069975</v>
      </c>
      <c r="G38" s="227">
        <f>'- 44 -'!C38</f>
        <v>0.008162578497786307</v>
      </c>
      <c r="H38" s="227">
        <f>'- 44 -'!E38</f>
        <v>0.00113974050387493</v>
      </c>
    </row>
    <row r="39" spans="1:8" ht="13.5" customHeight="1">
      <c r="A39" s="25" t="s">
        <v>386</v>
      </c>
      <c r="B39" s="226">
        <f>'- 42 -'!G39</f>
        <v>0.5577889907186526</v>
      </c>
      <c r="C39" s="226">
        <f>'- 43 -'!C39</f>
        <v>0.0018141011687558201</v>
      </c>
      <c r="D39" s="226">
        <f>'- 43 -'!E39</f>
        <v>0.42978721374519396</v>
      </c>
      <c r="E39" s="226">
        <f>'- 43 -'!G39</f>
        <v>0.0038806191999635944</v>
      </c>
      <c r="F39" s="226">
        <f>'- 43 -'!I39</f>
        <v>0</v>
      </c>
      <c r="G39" s="226">
        <f>'- 44 -'!C39</f>
        <v>0.002882296328243507</v>
      </c>
      <c r="H39" s="226">
        <f>'- 44 -'!E39</f>
        <v>0.003846778839190541</v>
      </c>
    </row>
    <row r="40" spans="1:8" ht="13.5" customHeight="1">
      <c r="A40" s="27" t="s">
        <v>387</v>
      </c>
      <c r="B40" s="227">
        <f>'- 42 -'!G40</f>
        <v>0.49080817958845285</v>
      </c>
      <c r="C40" s="227">
        <f>'- 43 -'!C40</f>
        <v>6.98969889354144E-05</v>
      </c>
      <c r="D40" s="227">
        <f>'- 43 -'!E40</f>
        <v>0.4745890322845931</v>
      </c>
      <c r="E40" s="227">
        <f>'- 43 -'!G40</f>
        <v>0.010365500765734803</v>
      </c>
      <c r="F40" s="227">
        <f>'- 43 -'!I40</f>
        <v>0.0006847893491528585</v>
      </c>
      <c r="G40" s="227">
        <f>'- 44 -'!C40</f>
        <v>0.016356886755642685</v>
      </c>
      <c r="H40" s="227">
        <f>'- 44 -'!E40</f>
        <v>0.00712571426748832</v>
      </c>
    </row>
    <row r="41" spans="1:8" ht="13.5" customHeight="1">
      <c r="A41" s="25" t="s">
        <v>388</v>
      </c>
      <c r="B41" s="226">
        <f>'- 42 -'!G41</f>
        <v>0.5625073637391704</v>
      </c>
      <c r="C41" s="226">
        <f>'- 43 -'!C41</f>
        <v>0.0003939443526460523</v>
      </c>
      <c r="D41" s="226">
        <f>'- 43 -'!E41</f>
        <v>0.4105439155768213</v>
      </c>
      <c r="E41" s="226">
        <f>'- 43 -'!G41</f>
        <v>0.005480809991102176</v>
      </c>
      <c r="F41" s="226">
        <f>'- 43 -'!I41</f>
        <v>0.010563897360302619</v>
      </c>
      <c r="G41" s="226">
        <f>'- 44 -'!C41</f>
        <v>0.0055826558693296575</v>
      </c>
      <c r="H41" s="226">
        <f>'- 44 -'!E41</f>
        <v>0.004927413110627795</v>
      </c>
    </row>
    <row r="42" spans="1:8" ht="13.5" customHeight="1">
      <c r="A42" s="27" t="s">
        <v>389</v>
      </c>
      <c r="B42" s="227">
        <f>'- 42 -'!G42</f>
        <v>0.6269439465358305</v>
      </c>
      <c r="C42" s="227">
        <f>'- 43 -'!C42</f>
        <v>0.0014036817028270673</v>
      </c>
      <c r="D42" s="227">
        <f>'- 43 -'!E42</f>
        <v>0.31356517181925614</v>
      </c>
      <c r="E42" s="227">
        <f>'- 43 -'!G42</f>
        <v>0.003921157785370459</v>
      </c>
      <c r="F42" s="227">
        <f>'- 43 -'!I42</f>
        <v>0.024933177435257435</v>
      </c>
      <c r="G42" s="227">
        <f>'- 44 -'!C42</f>
        <v>0.018257994492077136</v>
      </c>
      <c r="H42" s="227">
        <f>'- 44 -'!E42</f>
        <v>0.01097487022938123</v>
      </c>
    </row>
    <row r="43" spans="1:8" ht="13.5" customHeight="1">
      <c r="A43" s="25" t="s">
        <v>390</v>
      </c>
      <c r="B43" s="226">
        <f>'- 42 -'!G43</f>
        <v>0.5964998080629702</v>
      </c>
      <c r="C43" s="226">
        <f>'- 43 -'!C43</f>
        <v>0.0010623738504098145</v>
      </c>
      <c r="D43" s="226">
        <f>'- 43 -'!E43</f>
        <v>0.3915785277447022</v>
      </c>
      <c r="E43" s="226">
        <f>'- 43 -'!G43</f>
        <v>0.0037321738417187274</v>
      </c>
      <c r="F43" s="226">
        <f>'- 43 -'!I43</f>
        <v>0</v>
      </c>
      <c r="G43" s="226">
        <f>'- 44 -'!C43</f>
        <v>0.0029847190924804988</v>
      </c>
      <c r="H43" s="226">
        <f>'- 44 -'!E43</f>
        <v>0.004142397407718557</v>
      </c>
    </row>
    <row r="44" spans="1:8" ht="13.5" customHeight="1">
      <c r="A44" s="27" t="s">
        <v>391</v>
      </c>
      <c r="B44" s="227">
        <f>'- 42 -'!G44</f>
        <v>0.7034236758108767</v>
      </c>
      <c r="C44" s="227">
        <f>'- 43 -'!C44</f>
        <v>0.0023543207636570695</v>
      </c>
      <c r="D44" s="227">
        <f>'- 43 -'!E44</f>
        <v>0.28188747728327174</v>
      </c>
      <c r="E44" s="227">
        <f>'- 43 -'!G44</f>
        <v>0.004884299232195378</v>
      </c>
      <c r="F44" s="227">
        <f>'- 43 -'!I44</f>
        <v>0.00351456387053717</v>
      </c>
      <c r="G44" s="227">
        <f>'- 44 -'!C44</f>
        <v>0.0023964729737369177</v>
      </c>
      <c r="H44" s="227">
        <f>'- 44 -'!E44</f>
        <v>0.001539190065725023</v>
      </c>
    </row>
    <row r="45" spans="1:8" ht="13.5" customHeight="1">
      <c r="A45" s="25" t="s">
        <v>392</v>
      </c>
      <c r="B45" s="226">
        <f>'- 42 -'!G45</f>
        <v>0.6162238021773028</v>
      </c>
      <c r="C45" s="226">
        <f>'- 43 -'!C45</f>
        <v>0.011899905375491012</v>
      </c>
      <c r="D45" s="226">
        <f>'- 43 -'!E45</f>
        <v>0.34154864898063597</v>
      </c>
      <c r="E45" s="226">
        <f>'- 43 -'!G45</f>
        <v>0.006242719566237344</v>
      </c>
      <c r="F45" s="226">
        <f>'- 43 -'!I45</f>
        <v>0</v>
      </c>
      <c r="G45" s="226">
        <f>'- 44 -'!C45</f>
        <v>0.020067326521420487</v>
      </c>
      <c r="H45" s="226">
        <f>'- 44 -'!E45</f>
        <v>0.004017597378912371</v>
      </c>
    </row>
    <row r="46" spans="1:8" ht="13.5" customHeight="1">
      <c r="A46" s="27" t="s">
        <v>393</v>
      </c>
      <c r="B46" s="227">
        <f>'- 42 -'!G46</f>
        <v>0.5368411603941975</v>
      </c>
      <c r="C46" s="227">
        <f>'- 43 -'!C46</f>
        <v>4.648808487942017E-05</v>
      </c>
      <c r="D46" s="227">
        <f>'- 43 -'!E46</f>
        <v>0.4370831466234801</v>
      </c>
      <c r="E46" s="227">
        <f>'- 43 -'!G46</f>
        <v>0.00939255450906172</v>
      </c>
      <c r="F46" s="227">
        <f>'- 43 -'!I46</f>
        <v>0.008899365905539728</v>
      </c>
      <c r="G46" s="227">
        <f>'- 44 -'!C46</f>
        <v>0.003589875921811575</v>
      </c>
      <c r="H46" s="227">
        <f>'- 44 -'!E46</f>
        <v>0.004147408561029961</v>
      </c>
    </row>
    <row r="47" spans="1:8" ht="13.5" customHeight="1">
      <c r="A47" s="25" t="s">
        <v>397</v>
      </c>
      <c r="B47" s="226">
        <f>'- 42 -'!G47</f>
        <v>0.4777004850102484</v>
      </c>
      <c r="C47" s="226">
        <f>'- 43 -'!C47</f>
        <v>0</v>
      </c>
      <c r="D47" s="226">
        <f>'- 43 -'!E47</f>
        <v>0</v>
      </c>
      <c r="E47" s="226">
        <f>'- 43 -'!G47</f>
        <v>0.33128035269445305</v>
      </c>
      <c r="F47" s="226">
        <f>'- 43 -'!I47</f>
        <v>0</v>
      </c>
      <c r="G47" s="226">
        <f>'- 44 -'!C47</f>
        <v>0.1828003507642214</v>
      </c>
      <c r="H47" s="226">
        <f>'- 44 -'!E47</f>
        <v>0.008218811531077124</v>
      </c>
    </row>
    <row r="48" spans="1:8" ht="4.5" customHeight="1">
      <c r="A48" s="29"/>
      <c r="B48" s="215"/>
      <c r="C48" s="215"/>
      <c r="D48" s="215"/>
      <c r="E48" s="215"/>
      <c r="F48" s="215"/>
      <c r="G48" s="215"/>
      <c r="H48" s="215"/>
    </row>
    <row r="49" spans="1:8" ht="13.5" customHeight="1">
      <c r="A49" s="31" t="s">
        <v>394</v>
      </c>
      <c r="B49" s="228">
        <f>'- 42 -'!G49</f>
        <v>0.565727103545137</v>
      </c>
      <c r="C49" s="228">
        <f>'- 43 -'!C49</f>
        <v>0.010133042356915927</v>
      </c>
      <c r="D49" s="228">
        <f>'- 43 -'!E49</f>
        <v>0.3774713256779264</v>
      </c>
      <c r="E49" s="228">
        <f>'- 43 -'!G49</f>
        <v>0.00901200061202299</v>
      </c>
      <c r="F49" s="228">
        <f>'- 43 -'!I49</f>
        <v>0.022006599171065507</v>
      </c>
      <c r="G49" s="228">
        <f>'- 44 -'!C49</f>
        <v>0.011880831147949992</v>
      </c>
      <c r="H49" s="228">
        <f>'- 44 -'!E49</f>
        <v>0.00376909748898208</v>
      </c>
    </row>
    <row r="50" spans="1:8" ht="4.5" customHeight="1">
      <c r="A50" s="29" t="s">
        <v>78</v>
      </c>
      <c r="B50" s="215"/>
      <c r="C50" s="215"/>
      <c r="D50" s="215"/>
      <c r="E50" s="215"/>
      <c r="F50" s="215"/>
      <c r="G50" s="215"/>
      <c r="H50" s="215"/>
    </row>
    <row r="51" spans="1:8" ht="13.5" customHeight="1">
      <c r="A51" s="27" t="s">
        <v>395</v>
      </c>
      <c r="B51" s="227">
        <f>'- 42 -'!G51</f>
        <v>0.14886681641924027</v>
      </c>
      <c r="C51" s="227">
        <f>'- 43 -'!C51</f>
        <v>0</v>
      </c>
      <c r="D51" s="227">
        <f>'- 43 -'!E51</f>
        <v>0</v>
      </c>
      <c r="E51" s="227">
        <f>'- 43 -'!G51</f>
        <v>0.13716007629851795</v>
      </c>
      <c r="F51" s="227">
        <f>'- 43 -'!I51</f>
        <v>0.09785943754941208</v>
      </c>
      <c r="G51" s="227">
        <f>'- 44 -'!C51</f>
        <v>0.6044924203445983</v>
      </c>
      <c r="H51" s="227">
        <f>'- 44 -'!E51</f>
        <v>0.011621249388231456</v>
      </c>
    </row>
    <row r="52" spans="1:8" ht="13.5" customHeight="1">
      <c r="A52" s="25" t="s">
        <v>396</v>
      </c>
      <c r="B52" s="226">
        <f>'- 42 -'!G52</f>
        <v>0.2194590031738896</v>
      </c>
      <c r="C52" s="226">
        <f>'- 43 -'!C52</f>
        <v>0</v>
      </c>
      <c r="D52" s="226">
        <f>'- 43 -'!E52</f>
        <v>0.7185435054212069</v>
      </c>
      <c r="E52" s="226">
        <f>'- 43 -'!G52</f>
        <v>0.04901194330804777</v>
      </c>
      <c r="F52" s="226">
        <f>'- 43 -'!I52</f>
        <v>0</v>
      </c>
      <c r="G52" s="226">
        <f>'- 44 -'!C52</f>
        <v>0.010964644231502802</v>
      </c>
      <c r="H52" s="226">
        <f>'- 44 -'!E52</f>
        <v>0.002020903865352922</v>
      </c>
    </row>
    <row r="53" spans="1:8" ht="49.5" customHeight="1">
      <c r="A53" s="33"/>
      <c r="B53" s="33"/>
      <c r="C53" s="33"/>
      <c r="D53" s="33"/>
      <c r="E53" s="33"/>
      <c r="F53" s="33"/>
      <c r="G53" s="33"/>
      <c r="H53" s="33"/>
    </row>
    <row r="54" ht="15" customHeight="1">
      <c r="A54" s="166" t="s">
        <v>577</v>
      </c>
    </row>
    <row r="55" ht="12">
      <c r="A55" s="1" t="s">
        <v>590</v>
      </c>
    </row>
    <row r="56" ht="12">
      <c r="A56" s="1" t="s">
        <v>580</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G59"/>
  <sheetViews>
    <sheetView showGridLines="0" showZeros="0" workbookViewId="0" topLeftCell="A2">
      <selection activeCell="A2" sqref="A2"/>
    </sheetView>
  </sheetViews>
  <sheetFormatPr defaultColWidth="15.83203125" defaultRowHeight="12"/>
  <cols>
    <col min="1" max="1" width="32.83203125" style="1" customWidth="1"/>
    <col min="2" max="2" width="17.83203125" style="1" customWidth="1"/>
    <col min="3" max="4" width="15.83203125" style="1" customWidth="1"/>
    <col min="5" max="7" width="16.83203125" style="1" customWidth="1"/>
    <col min="8" max="16384" width="15.83203125" style="1" customWidth="1"/>
  </cols>
  <sheetData>
    <row r="1" ht="6.75" customHeight="1">
      <c r="A1" s="5"/>
    </row>
    <row r="2" spans="1:7" ht="15.75" customHeight="1">
      <c r="A2" s="380"/>
      <c r="B2" s="389" t="s">
        <v>594</v>
      </c>
      <c r="C2" s="56"/>
      <c r="D2" s="56"/>
      <c r="E2" s="56"/>
      <c r="F2" s="56"/>
      <c r="G2" s="382" t="s">
        <v>77</v>
      </c>
    </row>
    <row r="3" ht="15.75" customHeight="1">
      <c r="A3" s="367"/>
    </row>
    <row r="4" spans="2:7" ht="15.75" customHeight="1">
      <c r="B4" s="95" t="s">
        <v>193</v>
      </c>
      <c r="C4" s="59"/>
      <c r="D4" s="59"/>
      <c r="E4" s="59"/>
      <c r="F4" s="59"/>
      <c r="G4" s="390"/>
    </row>
    <row r="5" ht="15.75" customHeight="1"/>
    <row r="6" spans="2:4" ht="15.75" customHeight="1">
      <c r="B6" s="95" t="s">
        <v>445</v>
      </c>
      <c r="C6" s="391"/>
      <c r="D6" s="60"/>
    </row>
    <row r="7" spans="2:7" ht="15.75" customHeight="1">
      <c r="B7" s="392" t="s">
        <v>349</v>
      </c>
      <c r="C7" s="393"/>
      <c r="D7" s="392"/>
      <c r="E7" s="394" t="s">
        <v>132</v>
      </c>
      <c r="F7" s="392" t="s">
        <v>144</v>
      </c>
      <c r="G7" s="392" t="s">
        <v>203</v>
      </c>
    </row>
    <row r="8" spans="1:7" ht="15.75" customHeight="1">
      <c r="A8" s="96"/>
      <c r="B8" s="395" t="s">
        <v>348</v>
      </c>
      <c r="C8" s="396" t="s">
        <v>132</v>
      </c>
      <c r="D8" s="397"/>
      <c r="E8" s="398" t="s">
        <v>224</v>
      </c>
      <c r="F8" s="397" t="s">
        <v>224</v>
      </c>
      <c r="G8" s="396" t="s">
        <v>225</v>
      </c>
    </row>
    <row r="9" spans="1:7" ht="15.75" customHeight="1">
      <c r="A9" s="49" t="s">
        <v>175</v>
      </c>
      <c r="B9" s="113" t="s">
        <v>3</v>
      </c>
      <c r="C9" s="114" t="s">
        <v>4</v>
      </c>
      <c r="D9" s="114" t="s">
        <v>144</v>
      </c>
      <c r="E9" s="399" t="s">
        <v>5</v>
      </c>
      <c r="F9" s="399" t="s">
        <v>230</v>
      </c>
      <c r="G9" s="541" t="s">
        <v>578</v>
      </c>
    </row>
    <row r="10" spans="1:7" ht="4.5" customHeight="1">
      <c r="A10" s="4"/>
      <c r="B10" s="372"/>
      <c r="C10" s="372"/>
      <c r="D10" s="372"/>
      <c r="E10" s="372"/>
      <c r="F10" s="372"/>
      <c r="G10" s="372"/>
    </row>
    <row r="11" spans="1:7" ht="13.5" customHeight="1">
      <c r="A11" s="25" t="s">
        <v>359</v>
      </c>
      <c r="B11" s="253">
        <f>'- 61 -'!E11</f>
        <v>6846734</v>
      </c>
      <c r="C11" s="253">
        <v>186745</v>
      </c>
      <c r="D11" s="253">
        <f>SUM(B11,C11)</f>
        <v>7033479</v>
      </c>
      <c r="E11" s="253">
        <v>4338</v>
      </c>
      <c r="F11" s="253">
        <f>SUM(D11,E11)</f>
        <v>7037817</v>
      </c>
      <c r="G11" s="226">
        <f>F11/'- 44 -'!I11</f>
        <v>0.599371027296533</v>
      </c>
    </row>
    <row r="12" spans="1:7" ht="13.5" customHeight="1">
      <c r="A12" s="27" t="s">
        <v>360</v>
      </c>
      <c r="B12" s="254">
        <f>'- 61 -'!E12</f>
        <v>11199284</v>
      </c>
      <c r="C12" s="254">
        <v>665420</v>
      </c>
      <c r="D12" s="254">
        <f aca="true" t="shared" si="0" ref="D12:D47">SUM(B12,C12)</f>
        <v>11864704</v>
      </c>
      <c r="E12" s="254">
        <v>22754</v>
      </c>
      <c r="F12" s="254">
        <f aca="true" t="shared" si="1" ref="F12:F47">SUM(D12,E12)</f>
        <v>11887458</v>
      </c>
      <c r="G12" s="227">
        <f>F12/'- 44 -'!I12</f>
        <v>0.5937748499711091</v>
      </c>
    </row>
    <row r="13" spans="1:7" ht="13.5" customHeight="1">
      <c r="A13" s="25" t="s">
        <v>361</v>
      </c>
      <c r="B13" s="253">
        <f>'- 61 -'!E13</f>
        <v>27590392</v>
      </c>
      <c r="C13" s="253">
        <v>1039275</v>
      </c>
      <c r="D13" s="253">
        <f t="shared" si="0"/>
        <v>28629667</v>
      </c>
      <c r="E13" s="253">
        <v>1646</v>
      </c>
      <c r="F13" s="253">
        <f t="shared" si="1"/>
        <v>28631313</v>
      </c>
      <c r="G13" s="226">
        <f>F13/'- 44 -'!I13</f>
        <v>0.5879430706642716</v>
      </c>
    </row>
    <row r="14" spans="1:7" ht="13.5" customHeight="1">
      <c r="A14" s="27" t="s">
        <v>398</v>
      </c>
      <c r="B14" s="254">
        <f>'- 61 -'!E14</f>
        <v>21441198</v>
      </c>
      <c r="C14" s="254">
        <v>3245802</v>
      </c>
      <c r="D14" s="254">
        <f t="shared" si="0"/>
        <v>24687000</v>
      </c>
      <c r="E14" s="254">
        <v>60613</v>
      </c>
      <c r="F14" s="254">
        <f t="shared" si="1"/>
        <v>24747613</v>
      </c>
      <c r="G14" s="227">
        <f>F14/'- 44 -'!I14</f>
        <v>0.6177255457994318</v>
      </c>
    </row>
    <row r="15" spans="1:7" ht="13.5" customHeight="1">
      <c r="A15" s="25" t="s">
        <v>362</v>
      </c>
      <c r="B15" s="253">
        <f>'- 61 -'!E15</f>
        <v>6739278</v>
      </c>
      <c r="C15" s="253">
        <v>485503</v>
      </c>
      <c r="D15" s="253">
        <f t="shared" si="0"/>
        <v>7224781</v>
      </c>
      <c r="E15" s="253">
        <v>0</v>
      </c>
      <c r="F15" s="253">
        <f t="shared" si="1"/>
        <v>7224781</v>
      </c>
      <c r="G15" s="226">
        <f>F15/'- 44 -'!I15</f>
        <v>0.5358169442542144</v>
      </c>
    </row>
    <row r="16" spans="1:7" ht="13.5" customHeight="1">
      <c r="A16" s="27" t="s">
        <v>363</v>
      </c>
      <c r="B16" s="254">
        <f>'- 61 -'!E16</f>
        <v>6139846</v>
      </c>
      <c r="C16" s="254">
        <v>180544</v>
      </c>
      <c r="D16" s="254">
        <f t="shared" si="0"/>
        <v>6320390</v>
      </c>
      <c r="E16" s="254">
        <v>32929</v>
      </c>
      <c r="F16" s="254">
        <f t="shared" si="1"/>
        <v>6353319</v>
      </c>
      <c r="G16" s="227">
        <f>F16/'- 44 -'!I16</f>
        <v>0.5854929270236713</v>
      </c>
    </row>
    <row r="17" spans="1:7" ht="13.5" customHeight="1">
      <c r="A17" s="25" t="s">
        <v>364</v>
      </c>
      <c r="B17" s="253">
        <f>'- 61 -'!E17</f>
        <v>6729701</v>
      </c>
      <c r="C17" s="253">
        <v>220250</v>
      </c>
      <c r="D17" s="253">
        <f t="shared" si="0"/>
        <v>6949951</v>
      </c>
      <c r="E17" s="253">
        <v>7757</v>
      </c>
      <c r="F17" s="253">
        <f t="shared" si="1"/>
        <v>6957708</v>
      </c>
      <c r="G17" s="226">
        <f>F17/'- 44 -'!I17</f>
        <v>0.541204268148022</v>
      </c>
    </row>
    <row r="18" spans="1:7" ht="13.5" customHeight="1">
      <c r="A18" s="27" t="s">
        <v>365</v>
      </c>
      <c r="B18" s="254">
        <f>'- 61 -'!E18</f>
        <v>26432139</v>
      </c>
      <c r="C18" s="254">
        <v>9451037</v>
      </c>
      <c r="D18" s="254">
        <f t="shared" si="0"/>
        <v>35883176</v>
      </c>
      <c r="E18" s="254">
        <v>890263</v>
      </c>
      <c r="F18" s="254">
        <f t="shared" si="1"/>
        <v>36773439</v>
      </c>
      <c r="G18" s="227">
        <f>F18/'- 44 -'!I18</f>
        <v>0.48061267327279783</v>
      </c>
    </row>
    <row r="19" spans="1:7" ht="13.5" customHeight="1">
      <c r="A19" s="25" t="s">
        <v>366</v>
      </c>
      <c r="B19" s="253">
        <f>'- 61 -'!E19</f>
        <v>12408458</v>
      </c>
      <c r="C19" s="253">
        <v>332263</v>
      </c>
      <c r="D19" s="253">
        <f t="shared" si="0"/>
        <v>12740721</v>
      </c>
      <c r="E19" s="253">
        <v>23469</v>
      </c>
      <c r="F19" s="253">
        <f t="shared" si="1"/>
        <v>12764190</v>
      </c>
      <c r="G19" s="226">
        <f>F19/'- 44 -'!I19</f>
        <v>0.6756154564584124</v>
      </c>
    </row>
    <row r="20" spans="1:7" ht="13.5" customHeight="1">
      <c r="A20" s="27" t="s">
        <v>367</v>
      </c>
      <c r="B20" s="254">
        <f>'- 61 -'!E20</f>
        <v>24951669</v>
      </c>
      <c r="C20" s="254">
        <v>770957</v>
      </c>
      <c r="D20" s="254">
        <f t="shared" si="0"/>
        <v>25722626</v>
      </c>
      <c r="E20" s="254">
        <v>95863</v>
      </c>
      <c r="F20" s="254">
        <f t="shared" si="1"/>
        <v>25818489</v>
      </c>
      <c r="G20" s="227">
        <f>F20/'- 44 -'!I20</f>
        <v>0.7031046802225122</v>
      </c>
    </row>
    <row r="21" spans="1:7" ht="13.5" customHeight="1">
      <c r="A21" s="25" t="s">
        <v>368</v>
      </c>
      <c r="B21" s="253">
        <f>'- 61 -'!E21</f>
        <v>14994993</v>
      </c>
      <c r="C21" s="253">
        <v>483842</v>
      </c>
      <c r="D21" s="253">
        <f t="shared" si="0"/>
        <v>15478835</v>
      </c>
      <c r="E21" s="253">
        <v>2600</v>
      </c>
      <c r="F21" s="253">
        <f t="shared" si="1"/>
        <v>15481435</v>
      </c>
      <c r="G21" s="226">
        <f>F21/'- 44 -'!I21</f>
        <v>0.6319671182227401</v>
      </c>
    </row>
    <row r="22" spans="1:7" ht="13.5" customHeight="1">
      <c r="A22" s="27" t="s">
        <v>369</v>
      </c>
      <c r="B22" s="254">
        <f>'- 61 -'!E22</f>
        <v>8643481</v>
      </c>
      <c r="C22" s="254">
        <v>814519</v>
      </c>
      <c r="D22" s="254">
        <f t="shared" si="0"/>
        <v>9458000</v>
      </c>
      <c r="E22" s="254">
        <v>2222</v>
      </c>
      <c r="F22" s="254">
        <f t="shared" si="1"/>
        <v>9460222</v>
      </c>
      <c r="G22" s="227">
        <f>F22/'- 44 -'!I22</f>
        <v>0.7071662591835083</v>
      </c>
    </row>
    <row r="23" spans="1:7" ht="13.5" customHeight="1">
      <c r="A23" s="25" t="s">
        <v>370</v>
      </c>
      <c r="B23" s="253">
        <f>'- 61 -'!E23</f>
        <v>7321585</v>
      </c>
      <c r="C23" s="253">
        <v>393611</v>
      </c>
      <c r="D23" s="253">
        <f t="shared" si="0"/>
        <v>7715196</v>
      </c>
      <c r="E23" s="253">
        <v>6765</v>
      </c>
      <c r="F23" s="253">
        <f t="shared" si="1"/>
        <v>7721961</v>
      </c>
      <c r="G23" s="226">
        <f>F23/'- 44 -'!I23</f>
        <v>0.6786985235288178</v>
      </c>
    </row>
    <row r="24" spans="1:7" ht="13.5" customHeight="1">
      <c r="A24" s="27" t="s">
        <v>371</v>
      </c>
      <c r="B24" s="254">
        <f>'- 61 -'!E24</f>
        <v>19794274</v>
      </c>
      <c r="C24" s="254">
        <v>911753</v>
      </c>
      <c r="D24" s="254">
        <f t="shared" si="0"/>
        <v>20706027</v>
      </c>
      <c r="E24" s="254">
        <v>28368</v>
      </c>
      <c r="F24" s="254">
        <f t="shared" si="1"/>
        <v>20734395</v>
      </c>
      <c r="G24" s="227">
        <f>F24/'- 44 -'!I24</f>
        <v>0.5823051469666212</v>
      </c>
    </row>
    <row r="25" spans="1:7" ht="13.5" customHeight="1">
      <c r="A25" s="25" t="s">
        <v>372</v>
      </c>
      <c r="B25" s="253">
        <f>'- 61 -'!E25</f>
        <v>60938289</v>
      </c>
      <c r="C25" s="253">
        <v>2548918</v>
      </c>
      <c r="D25" s="253">
        <f t="shared" si="0"/>
        <v>63487207</v>
      </c>
      <c r="E25" s="253">
        <v>233516</v>
      </c>
      <c r="F25" s="253">
        <f t="shared" si="1"/>
        <v>63720723</v>
      </c>
      <c r="G25" s="226">
        <f>F25/'- 44 -'!I25</f>
        <v>0.560392064906736</v>
      </c>
    </row>
    <row r="26" spans="1:7" ht="13.5" customHeight="1">
      <c r="A26" s="27" t="s">
        <v>373</v>
      </c>
      <c r="B26" s="254">
        <f>'- 61 -'!E26</f>
        <v>16196191</v>
      </c>
      <c r="C26" s="254">
        <v>580328</v>
      </c>
      <c r="D26" s="254">
        <f t="shared" si="0"/>
        <v>16776519</v>
      </c>
      <c r="E26" s="254">
        <v>31208</v>
      </c>
      <c r="F26" s="254">
        <f t="shared" si="1"/>
        <v>16807727</v>
      </c>
      <c r="G26" s="227">
        <f>F26/'- 44 -'!I26</f>
        <v>0.6184924443378117</v>
      </c>
    </row>
    <row r="27" spans="1:7" ht="13.5" customHeight="1">
      <c r="A27" s="25" t="s">
        <v>374</v>
      </c>
      <c r="B27" s="253">
        <f>'- 61 -'!E27</f>
        <v>18150230</v>
      </c>
      <c r="C27" s="253">
        <v>527859</v>
      </c>
      <c r="D27" s="253">
        <f t="shared" si="0"/>
        <v>18678089</v>
      </c>
      <c r="E27" s="253">
        <v>0</v>
      </c>
      <c r="F27" s="253">
        <f t="shared" si="1"/>
        <v>18678089</v>
      </c>
      <c r="G27" s="226">
        <f>F27/'- 44 -'!I27</f>
        <v>0.6813589818521458</v>
      </c>
    </row>
    <row r="28" spans="1:7" ht="13.5" customHeight="1">
      <c r="A28" s="27" t="s">
        <v>375</v>
      </c>
      <c r="B28" s="254">
        <f>'- 61 -'!E28</f>
        <v>9537014</v>
      </c>
      <c r="C28" s="254">
        <v>278300.65</v>
      </c>
      <c r="D28" s="254">
        <f t="shared" si="0"/>
        <v>9815314.65</v>
      </c>
      <c r="E28" s="254">
        <v>5000</v>
      </c>
      <c r="F28" s="254">
        <f t="shared" si="1"/>
        <v>9820314.65</v>
      </c>
      <c r="G28" s="227">
        <f>F28/'- 44 -'!I28</f>
        <v>0.579494566694063</v>
      </c>
    </row>
    <row r="29" spans="1:7" ht="13.5" customHeight="1">
      <c r="A29" s="25" t="s">
        <v>376</v>
      </c>
      <c r="B29" s="253">
        <f>'- 61 -'!E29</f>
        <v>47614106</v>
      </c>
      <c r="C29" s="253">
        <v>2141735</v>
      </c>
      <c r="D29" s="253">
        <f t="shared" si="0"/>
        <v>49755841</v>
      </c>
      <c r="E29" s="253">
        <v>98170</v>
      </c>
      <c r="F29" s="253">
        <f t="shared" si="1"/>
        <v>49854011</v>
      </c>
      <c r="G29" s="226">
        <f>F29/'- 44 -'!I29</f>
        <v>0.45582095732711636</v>
      </c>
    </row>
    <row r="30" spans="1:7" ht="13.5" customHeight="1">
      <c r="A30" s="27" t="s">
        <v>377</v>
      </c>
      <c r="B30" s="254">
        <f>'- 61 -'!E30</f>
        <v>6292642</v>
      </c>
      <c r="C30" s="254">
        <v>165171</v>
      </c>
      <c r="D30" s="254">
        <f t="shared" si="0"/>
        <v>6457813</v>
      </c>
      <c r="E30" s="254">
        <v>2940</v>
      </c>
      <c r="F30" s="254">
        <f t="shared" si="1"/>
        <v>6460753</v>
      </c>
      <c r="G30" s="227">
        <f>F30/'- 44 -'!I30</f>
        <v>0.6379768222187551</v>
      </c>
    </row>
    <row r="31" spans="1:7" ht="13.5" customHeight="1">
      <c r="A31" s="25" t="s">
        <v>378</v>
      </c>
      <c r="B31" s="253">
        <f>'- 61 -'!E31</f>
        <v>14494406</v>
      </c>
      <c r="C31" s="253">
        <v>804881</v>
      </c>
      <c r="D31" s="253">
        <f t="shared" si="0"/>
        <v>15299287</v>
      </c>
      <c r="E31" s="253">
        <v>3348</v>
      </c>
      <c r="F31" s="253">
        <f t="shared" si="1"/>
        <v>15302635</v>
      </c>
      <c r="G31" s="226">
        <f>F31/'- 44 -'!I31</f>
        <v>0.6095472763724114</v>
      </c>
    </row>
    <row r="32" spans="1:7" ht="13.5" customHeight="1">
      <c r="A32" s="27" t="s">
        <v>379</v>
      </c>
      <c r="B32" s="254">
        <f>'- 61 -'!E32</f>
        <v>10768629</v>
      </c>
      <c r="C32" s="254">
        <v>657008</v>
      </c>
      <c r="D32" s="254">
        <f t="shared" si="0"/>
        <v>11425637</v>
      </c>
      <c r="E32" s="254">
        <v>4368</v>
      </c>
      <c r="F32" s="254">
        <f t="shared" si="1"/>
        <v>11430005</v>
      </c>
      <c r="G32" s="227">
        <f>F32/'- 44 -'!I32</f>
        <v>0.5900139130691535</v>
      </c>
    </row>
    <row r="33" spans="1:7" ht="13.5" customHeight="1">
      <c r="A33" s="25" t="s">
        <v>380</v>
      </c>
      <c r="B33" s="253">
        <f>'- 61 -'!E33</f>
        <v>13220486</v>
      </c>
      <c r="C33" s="253">
        <v>526390</v>
      </c>
      <c r="D33" s="253">
        <f t="shared" si="0"/>
        <v>13746876</v>
      </c>
      <c r="E33" s="253">
        <v>24758</v>
      </c>
      <c r="F33" s="253">
        <f t="shared" si="1"/>
        <v>13771634</v>
      </c>
      <c r="G33" s="226">
        <f>F33/'- 44 -'!I33</f>
        <v>0.6222679994062722</v>
      </c>
    </row>
    <row r="34" spans="1:7" ht="13.5" customHeight="1">
      <c r="A34" s="27" t="s">
        <v>381</v>
      </c>
      <c r="B34" s="254">
        <f>'- 61 -'!E34</f>
        <v>10339802</v>
      </c>
      <c r="C34" s="254">
        <v>806538</v>
      </c>
      <c r="D34" s="254">
        <f t="shared" si="0"/>
        <v>11146340</v>
      </c>
      <c r="E34" s="254">
        <v>584</v>
      </c>
      <c r="F34" s="254">
        <f t="shared" si="1"/>
        <v>11146924</v>
      </c>
      <c r="G34" s="227">
        <f>F34/'- 44 -'!I34</f>
        <v>0.589294693974911</v>
      </c>
    </row>
    <row r="35" spans="1:7" ht="13.5" customHeight="1">
      <c r="A35" s="25" t="s">
        <v>382</v>
      </c>
      <c r="B35" s="253">
        <f>'- 61 -'!E35</f>
        <v>73761790</v>
      </c>
      <c r="C35" s="253">
        <v>3361785</v>
      </c>
      <c r="D35" s="253">
        <f t="shared" si="0"/>
        <v>77123575</v>
      </c>
      <c r="E35" s="253">
        <v>119070</v>
      </c>
      <c r="F35" s="253">
        <f t="shared" si="1"/>
        <v>77242645</v>
      </c>
      <c r="G35" s="226">
        <f>F35/'- 44 -'!I35</f>
        <v>0.5871461968595778</v>
      </c>
    </row>
    <row r="36" spans="1:7" ht="13.5" customHeight="1">
      <c r="A36" s="27" t="s">
        <v>383</v>
      </c>
      <c r="B36" s="254">
        <f>'- 61 -'!E36</f>
        <v>9086417</v>
      </c>
      <c r="C36" s="254">
        <v>410472</v>
      </c>
      <c r="D36" s="254">
        <f t="shared" si="0"/>
        <v>9496889</v>
      </c>
      <c r="E36" s="254">
        <v>0</v>
      </c>
      <c r="F36" s="254">
        <f t="shared" si="1"/>
        <v>9496889</v>
      </c>
      <c r="G36" s="227">
        <f>F36/'- 44 -'!I36</f>
        <v>0.5607749708980547</v>
      </c>
    </row>
    <row r="37" spans="1:7" ht="13.5" customHeight="1">
      <c r="A37" s="25" t="s">
        <v>384</v>
      </c>
      <c r="B37" s="253">
        <f>'- 61 -'!E37</f>
        <v>16681436</v>
      </c>
      <c r="C37" s="253">
        <v>677879</v>
      </c>
      <c r="D37" s="253">
        <f t="shared" si="0"/>
        <v>17359315</v>
      </c>
      <c r="E37" s="253">
        <v>51758</v>
      </c>
      <c r="F37" s="253">
        <f t="shared" si="1"/>
        <v>17411073</v>
      </c>
      <c r="G37" s="226">
        <f>F37/'- 44 -'!I37</f>
        <v>0.6412262598859136</v>
      </c>
    </row>
    <row r="38" spans="1:7" ht="13.5" customHeight="1">
      <c r="A38" s="27" t="s">
        <v>385</v>
      </c>
      <c r="B38" s="254">
        <f>'- 61 -'!E38</f>
        <v>36979734</v>
      </c>
      <c r="C38" s="254">
        <v>1571580</v>
      </c>
      <c r="D38" s="254">
        <f t="shared" si="0"/>
        <v>38551314</v>
      </c>
      <c r="E38" s="254">
        <v>86697</v>
      </c>
      <c r="F38" s="254">
        <f t="shared" si="1"/>
        <v>38638011</v>
      </c>
      <c r="G38" s="227">
        <f>F38/'- 44 -'!I38</f>
        <v>0.5753577408362416</v>
      </c>
    </row>
    <row r="39" spans="1:7" ht="13.5" customHeight="1">
      <c r="A39" s="25" t="s">
        <v>386</v>
      </c>
      <c r="B39" s="253">
        <f>'- 61 -'!E39</f>
        <v>8203958</v>
      </c>
      <c r="C39" s="253">
        <v>339702</v>
      </c>
      <c r="D39" s="253">
        <f t="shared" si="0"/>
        <v>8543660</v>
      </c>
      <c r="E39" s="253">
        <v>109889</v>
      </c>
      <c r="F39" s="253">
        <f t="shared" si="1"/>
        <v>8653549</v>
      </c>
      <c r="G39" s="226">
        <f>F39/'- 44 -'!I39</f>
        <v>0.5577889907186526</v>
      </c>
    </row>
    <row r="40" spans="1:7" ht="13.5" customHeight="1">
      <c r="A40" s="27" t="s">
        <v>387</v>
      </c>
      <c r="B40" s="254">
        <f>'- 61 -'!E40</f>
        <v>32632716</v>
      </c>
      <c r="C40" s="254">
        <v>1464916</v>
      </c>
      <c r="D40" s="254">
        <f t="shared" si="0"/>
        <v>34097632</v>
      </c>
      <c r="E40" s="254">
        <v>63808</v>
      </c>
      <c r="F40" s="254">
        <f t="shared" si="1"/>
        <v>34161440</v>
      </c>
      <c r="G40" s="227">
        <f>F40/'- 44 -'!I40</f>
        <v>0.49080817958845285</v>
      </c>
    </row>
    <row r="41" spans="1:7" ht="13.5" customHeight="1">
      <c r="A41" s="25" t="s">
        <v>388</v>
      </c>
      <c r="B41" s="253">
        <f>'- 61 -'!E41</f>
        <v>21705507</v>
      </c>
      <c r="C41" s="253">
        <v>1817476</v>
      </c>
      <c r="D41" s="253">
        <f t="shared" si="0"/>
        <v>23522983</v>
      </c>
      <c r="E41" s="253">
        <v>0</v>
      </c>
      <c r="F41" s="253">
        <f t="shared" si="1"/>
        <v>23522983</v>
      </c>
      <c r="G41" s="226">
        <f>F41/'- 44 -'!I41</f>
        <v>0.5625073637391704</v>
      </c>
    </row>
    <row r="42" spans="1:7" ht="13.5" customHeight="1">
      <c r="A42" s="27" t="s">
        <v>389</v>
      </c>
      <c r="B42" s="254">
        <f>'- 61 -'!E42</f>
        <v>9446425</v>
      </c>
      <c r="C42" s="254">
        <v>333939</v>
      </c>
      <c r="D42" s="254">
        <f t="shared" si="0"/>
        <v>9780364</v>
      </c>
      <c r="E42" s="254">
        <v>57831</v>
      </c>
      <c r="F42" s="254">
        <f t="shared" si="1"/>
        <v>9838195</v>
      </c>
      <c r="G42" s="227">
        <f>F42/'- 44 -'!I42</f>
        <v>0.6269439465358305</v>
      </c>
    </row>
    <row r="43" spans="1:7" ht="13.5" customHeight="1">
      <c r="A43" s="25" t="s">
        <v>390</v>
      </c>
      <c r="B43" s="253">
        <f>'- 61 -'!E43</f>
        <v>5314668</v>
      </c>
      <c r="C43" s="253">
        <v>299143</v>
      </c>
      <c r="D43" s="253">
        <f t="shared" si="0"/>
        <v>5613811</v>
      </c>
      <c r="E43" s="253">
        <v>410</v>
      </c>
      <c r="F43" s="253">
        <f t="shared" si="1"/>
        <v>5614221</v>
      </c>
      <c r="G43" s="226">
        <f>F43/'- 44 -'!I43</f>
        <v>0.5964998080629702</v>
      </c>
    </row>
    <row r="44" spans="1:7" ht="13.5" customHeight="1">
      <c r="A44" s="27" t="s">
        <v>391</v>
      </c>
      <c r="B44" s="254">
        <f>'- 61 -'!E44</f>
        <v>4851527</v>
      </c>
      <c r="C44" s="254">
        <v>138097</v>
      </c>
      <c r="D44" s="254">
        <f t="shared" si="0"/>
        <v>4989624</v>
      </c>
      <c r="E44" s="254">
        <v>0</v>
      </c>
      <c r="F44" s="254">
        <f t="shared" si="1"/>
        <v>4989624</v>
      </c>
      <c r="G44" s="227">
        <f>F44/'- 44 -'!I44</f>
        <v>0.7034236758108767</v>
      </c>
    </row>
    <row r="45" spans="1:7" ht="13.5" customHeight="1">
      <c r="A45" s="25" t="s">
        <v>392</v>
      </c>
      <c r="B45" s="253">
        <f>'- 61 -'!E45</f>
        <v>5989827</v>
      </c>
      <c r="C45" s="253">
        <v>552778</v>
      </c>
      <c r="D45" s="253">
        <f t="shared" si="0"/>
        <v>6542605</v>
      </c>
      <c r="E45" s="253">
        <v>19195</v>
      </c>
      <c r="F45" s="253">
        <f t="shared" si="1"/>
        <v>6561800</v>
      </c>
      <c r="G45" s="226">
        <f>F45/'- 44 -'!I45</f>
        <v>0.6162238021773028</v>
      </c>
    </row>
    <row r="46" spans="1:7" ht="13.5" customHeight="1">
      <c r="A46" s="27" t="s">
        <v>393</v>
      </c>
      <c r="B46" s="254">
        <f>'- 61 -'!E46</f>
        <v>130727242</v>
      </c>
      <c r="C46" s="254">
        <v>9739677</v>
      </c>
      <c r="D46" s="254">
        <f t="shared" si="0"/>
        <v>140466919</v>
      </c>
      <c r="E46" s="254">
        <v>1861321</v>
      </c>
      <c r="F46" s="254">
        <f t="shared" si="1"/>
        <v>142328240</v>
      </c>
      <c r="G46" s="227">
        <f>F46/'- 44 -'!I46</f>
        <v>0.5368411603941975</v>
      </c>
    </row>
    <row r="47" spans="1:7" ht="13.5" customHeight="1">
      <c r="A47" s="25" t="s">
        <v>397</v>
      </c>
      <c r="B47" s="253">
        <f>'- 61 -'!E47</f>
        <v>761546</v>
      </c>
      <c r="C47" s="253">
        <v>4069332</v>
      </c>
      <c r="D47" s="253">
        <f t="shared" si="0"/>
        <v>4830878</v>
      </c>
      <c r="E47" s="253">
        <v>0</v>
      </c>
      <c r="F47" s="253">
        <f t="shared" si="1"/>
        <v>4830878</v>
      </c>
      <c r="G47" s="226">
        <f>F47/'- 44 -'!I47</f>
        <v>0.4777004850102484</v>
      </c>
    </row>
    <row r="48" spans="1:7" ht="4.5" customHeight="1">
      <c r="A48" s="29"/>
      <c r="B48" s="255"/>
      <c r="C48" s="255"/>
      <c r="D48" s="255"/>
      <c r="E48" s="255"/>
      <c r="F48" s="255"/>
      <c r="G48" s="215"/>
    </row>
    <row r="49" spans="1:7" ht="13.5" customHeight="1">
      <c r="A49" s="31" t="s">
        <v>394</v>
      </c>
      <c r="B49" s="256">
        <f>SUM(B11:B47)</f>
        <v>764927620</v>
      </c>
      <c r="C49" s="256">
        <f>SUM(C11:C47)</f>
        <v>52995425.65</v>
      </c>
      <c r="D49" s="256">
        <f>SUM(D11:D47)</f>
        <v>817923045.65</v>
      </c>
      <c r="E49" s="256">
        <f>SUM(E11:E47)</f>
        <v>3953458</v>
      </c>
      <c r="F49" s="256">
        <f>SUM(F11:F47)</f>
        <v>821876503.65</v>
      </c>
      <c r="G49" s="228">
        <f>F49/'- 44 -'!$I49</f>
        <v>0.565727103545137</v>
      </c>
    </row>
    <row r="50" spans="1:7" ht="4.5" customHeight="1">
      <c r="A50" s="29" t="s">
        <v>78</v>
      </c>
      <c r="B50" s="255"/>
      <c r="C50" s="255"/>
      <c r="D50" s="255"/>
      <c r="E50" s="255"/>
      <c r="F50" s="255"/>
      <c r="G50" s="215"/>
    </row>
    <row r="51" spans="1:7" ht="13.5" customHeight="1">
      <c r="A51" s="27" t="s">
        <v>395</v>
      </c>
      <c r="B51" s="254">
        <f>'- 61 -'!E51</f>
        <v>189804</v>
      </c>
      <c r="C51" s="254">
        <v>0</v>
      </c>
      <c r="D51" s="254">
        <f>SUM(B51,C51)</f>
        <v>189804</v>
      </c>
      <c r="E51" s="254">
        <v>0</v>
      </c>
      <c r="F51" s="254">
        <f>SUM(D51,E51)</f>
        <v>189804</v>
      </c>
      <c r="G51" s="227">
        <f>F51/'- 44 -'!I51</f>
        <v>0.14886681641924027</v>
      </c>
    </row>
    <row r="52" spans="1:7" ht="13.5" customHeight="1">
      <c r="A52" s="25" t="s">
        <v>396</v>
      </c>
      <c r="B52" s="253">
        <f>'- 61 -'!E52</f>
        <v>500297</v>
      </c>
      <c r="C52" s="253">
        <v>32925</v>
      </c>
      <c r="D52" s="253">
        <f>SUM(B52,C52)</f>
        <v>533222</v>
      </c>
      <c r="E52" s="253">
        <v>1823</v>
      </c>
      <c r="F52" s="253">
        <f>SUM(D52,E52)</f>
        <v>535045</v>
      </c>
      <c r="G52" s="226">
        <f>F52/'- 44 -'!I52</f>
        <v>0.2194590031738896</v>
      </c>
    </row>
    <row r="53" spans="1:7" ht="49.5" customHeight="1">
      <c r="A53" s="33"/>
      <c r="B53" s="33"/>
      <c r="C53" s="33"/>
      <c r="D53" s="33"/>
      <c r="E53" s="33"/>
      <c r="F53" s="33"/>
      <c r="G53" s="33"/>
    </row>
    <row r="54" spans="1:7" ht="15" customHeight="1">
      <c r="A54" s="166" t="s">
        <v>6</v>
      </c>
      <c r="C54" s="53"/>
      <c r="D54" s="400"/>
      <c r="E54" s="400"/>
      <c r="F54" s="400"/>
      <c r="G54" s="400"/>
    </row>
    <row r="55" spans="1:7" ht="12" customHeight="1">
      <c r="A55" s="166" t="s">
        <v>7</v>
      </c>
      <c r="C55" s="53"/>
      <c r="D55" s="400"/>
      <c r="E55" s="400"/>
      <c r="F55" s="400"/>
      <c r="G55" s="400"/>
    </row>
    <row r="56" spans="1:7" ht="12" customHeight="1">
      <c r="A56" s="166" t="s">
        <v>8</v>
      </c>
      <c r="C56" s="53"/>
      <c r="D56" s="400"/>
      <c r="E56" s="400"/>
      <c r="F56" s="400"/>
      <c r="G56" s="400"/>
    </row>
    <row r="57" ht="12" customHeight="1">
      <c r="A57" s="166" t="s">
        <v>579</v>
      </c>
    </row>
    <row r="58" ht="12" customHeight="1">
      <c r="A58" s="1" t="s">
        <v>591</v>
      </c>
    </row>
    <row r="59" ht="12" customHeight="1">
      <c r="A59" s="1" t="s">
        <v>580</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2"/>
  <sheetViews>
    <sheetView showGridLines="0" showZeros="0" workbookViewId="0" topLeftCell="A1">
      <selection activeCell="A1" sqref="A1"/>
    </sheetView>
  </sheetViews>
  <sheetFormatPr defaultColWidth="15.83203125" defaultRowHeight="12"/>
  <cols>
    <col min="1" max="1" width="34.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4.83203125" style="1" customWidth="1"/>
    <col min="9" max="9" width="8.83203125" style="1" customWidth="1"/>
    <col min="10" max="16384" width="15.83203125" style="1" customWidth="1"/>
  </cols>
  <sheetData>
    <row r="1" ht="6.75" customHeight="1">
      <c r="A1" s="5"/>
    </row>
    <row r="2" spans="1:9" ht="15.75" customHeight="1">
      <c r="A2" s="380"/>
      <c r="B2" s="366" t="str">
        <f>REVYEAR</f>
        <v>ANALYSIS OF OPERATING FUND REVENUE: 2003/2004 ACTUAL</v>
      </c>
      <c r="C2" s="56"/>
      <c r="D2" s="56"/>
      <c r="E2" s="56"/>
      <c r="F2" s="56"/>
      <c r="G2" s="387"/>
      <c r="H2" s="388"/>
      <c r="I2" s="382" t="s">
        <v>79</v>
      </c>
    </row>
    <row r="3" ht="15.75" customHeight="1">
      <c r="A3" s="367"/>
    </row>
    <row r="4" spans="2:9" ht="15.75" customHeight="1">
      <c r="B4" s="6"/>
      <c r="C4" s="6"/>
      <c r="D4" s="6"/>
      <c r="E4" s="6"/>
      <c r="F4" s="6"/>
      <c r="G4" s="6"/>
      <c r="H4" s="6"/>
      <c r="I4" s="58"/>
    </row>
    <row r="5" spans="2:9" ht="15.75" customHeight="1">
      <c r="B5" s="6"/>
      <c r="C5" s="6"/>
      <c r="D5" s="6"/>
      <c r="E5" s="6"/>
      <c r="F5" s="6"/>
      <c r="G5" s="6"/>
      <c r="H5" s="6"/>
      <c r="I5" s="6"/>
    </row>
    <row r="6" spans="2:9" ht="15.75" customHeight="1">
      <c r="B6" s="6"/>
      <c r="C6" s="6"/>
      <c r="D6" s="6"/>
      <c r="E6" s="6"/>
      <c r="F6" s="6"/>
      <c r="G6" s="6"/>
      <c r="H6" s="6"/>
      <c r="I6" s="6"/>
    </row>
    <row r="7" spans="2:9" ht="15.75" customHeight="1">
      <c r="B7" s="209" t="s">
        <v>204</v>
      </c>
      <c r="C7" s="210"/>
      <c r="D7" s="211" t="s">
        <v>205</v>
      </c>
      <c r="E7" s="210"/>
      <c r="F7" s="211" t="s">
        <v>206</v>
      </c>
      <c r="G7" s="210"/>
      <c r="H7" s="212"/>
      <c r="I7" s="210"/>
    </row>
    <row r="8" spans="1:9" ht="15.75" customHeight="1">
      <c r="A8" s="96"/>
      <c r="B8" s="71" t="s">
        <v>226</v>
      </c>
      <c r="C8" s="70"/>
      <c r="D8" s="71" t="s">
        <v>226</v>
      </c>
      <c r="E8" s="70"/>
      <c r="F8" s="71" t="s">
        <v>227</v>
      </c>
      <c r="G8" s="70"/>
      <c r="H8" s="71" t="s">
        <v>228</v>
      </c>
      <c r="I8" s="70"/>
    </row>
    <row r="9" spans="1:9" ht="15.75" customHeight="1">
      <c r="A9" s="49" t="s">
        <v>175</v>
      </c>
      <c r="B9" s="287" t="s">
        <v>230</v>
      </c>
      <c r="C9" s="368" t="s">
        <v>177</v>
      </c>
      <c r="D9" s="368" t="s">
        <v>230</v>
      </c>
      <c r="E9" s="368" t="s">
        <v>177</v>
      </c>
      <c r="F9" s="368" t="s">
        <v>230</v>
      </c>
      <c r="G9" s="368" t="s">
        <v>177</v>
      </c>
      <c r="H9" s="386" t="s">
        <v>230</v>
      </c>
      <c r="I9" s="386" t="s">
        <v>177</v>
      </c>
    </row>
    <row r="10" spans="1:9" ht="4.5" customHeight="1">
      <c r="A10" s="4"/>
      <c r="B10" s="372"/>
      <c r="C10" s="372"/>
      <c r="D10" s="372"/>
      <c r="E10" s="372"/>
      <c r="F10" s="372"/>
      <c r="G10" s="372"/>
      <c r="H10" s="372"/>
      <c r="I10" s="372"/>
    </row>
    <row r="11" spans="1:9" ht="13.5" customHeight="1">
      <c r="A11" s="25" t="s">
        <v>359</v>
      </c>
      <c r="B11" s="253">
        <v>10000</v>
      </c>
      <c r="C11" s="226">
        <f>B11/'- 44 -'!I11</f>
        <v>0.0008516433821688359</v>
      </c>
      <c r="D11" s="253">
        <v>4453000</v>
      </c>
      <c r="E11" s="226">
        <f>D11/'- 44 -'!I11</f>
        <v>0.3792367980797826</v>
      </c>
      <c r="F11" s="253">
        <v>49395</v>
      </c>
      <c r="G11" s="226">
        <f>F11/'- 44 -'!I11</f>
        <v>0.004206692486222965</v>
      </c>
      <c r="H11" s="253">
        <v>0</v>
      </c>
      <c r="I11" s="226">
        <f>H11/'- 44 -'!I11</f>
        <v>0</v>
      </c>
    </row>
    <row r="12" spans="1:9" ht="13.5" customHeight="1">
      <c r="A12" s="27" t="s">
        <v>360</v>
      </c>
      <c r="B12" s="254">
        <v>105579</v>
      </c>
      <c r="C12" s="227">
        <f>B12/'- 44 -'!I12</f>
        <v>0.00527363839141217</v>
      </c>
      <c r="D12" s="254">
        <v>7149341</v>
      </c>
      <c r="E12" s="227">
        <f>D12/'- 44 -'!I12</f>
        <v>0.35710737145547006</v>
      </c>
      <c r="F12" s="254">
        <v>205728</v>
      </c>
      <c r="G12" s="227">
        <f>F12/'- 44 -'!I12</f>
        <v>0.010276049962477793</v>
      </c>
      <c r="H12" s="254">
        <v>401448</v>
      </c>
      <c r="I12" s="227">
        <f>H12/'- 44 -'!I12</f>
        <v>0.020052203420714655</v>
      </c>
    </row>
    <row r="13" spans="1:9" ht="13.5" customHeight="1">
      <c r="A13" s="25" t="s">
        <v>361</v>
      </c>
      <c r="B13" s="253">
        <v>16559</v>
      </c>
      <c r="C13" s="226">
        <f>B13/'- 44 -'!I13</f>
        <v>0.0003400385203126966</v>
      </c>
      <c r="D13" s="253">
        <v>18869600</v>
      </c>
      <c r="E13" s="226">
        <f>D13/'- 44 -'!I13</f>
        <v>0.38748661530844014</v>
      </c>
      <c r="F13" s="253">
        <v>222345</v>
      </c>
      <c r="G13" s="226">
        <f>F13/'- 44 -'!I13</f>
        <v>0.004565847261243223</v>
      </c>
      <c r="H13" s="253">
        <v>285652</v>
      </c>
      <c r="I13" s="226">
        <f>H13/'- 44 -'!I13</f>
        <v>0.00586585442383975</v>
      </c>
    </row>
    <row r="14" spans="1:9" ht="13.5" customHeight="1">
      <c r="A14" s="27" t="s">
        <v>398</v>
      </c>
      <c r="B14" s="254">
        <v>2476885</v>
      </c>
      <c r="C14" s="227">
        <f>B14/'- 44 -'!I14</f>
        <v>0.06182556428805581</v>
      </c>
      <c r="D14" s="254">
        <v>12382047</v>
      </c>
      <c r="E14" s="227">
        <f>D14/'- 44 -'!I14</f>
        <v>0.3090684641459852</v>
      </c>
      <c r="F14" s="254">
        <v>366625</v>
      </c>
      <c r="G14" s="227">
        <f>F14/'- 44 -'!I14</f>
        <v>0.009151332220554632</v>
      </c>
      <c r="H14" s="254">
        <v>0</v>
      </c>
      <c r="I14" s="227">
        <f>H14/'- 44 -'!I14</f>
        <v>0</v>
      </c>
    </row>
    <row r="15" spans="1:9" ht="13.5" customHeight="1">
      <c r="A15" s="25" t="s">
        <v>362</v>
      </c>
      <c r="B15" s="253">
        <v>11550</v>
      </c>
      <c r="C15" s="226">
        <f>B15/'- 44 -'!I15</f>
        <v>0.0008565914601613774</v>
      </c>
      <c r="D15" s="253">
        <v>5919557</v>
      </c>
      <c r="E15" s="226">
        <f>D15/'- 44 -'!I15</f>
        <v>0.4390166211375327</v>
      </c>
      <c r="F15" s="253">
        <v>56112</v>
      </c>
      <c r="G15" s="226">
        <f>F15/'- 44 -'!I15</f>
        <v>0.004161477057365819</v>
      </c>
      <c r="H15" s="253">
        <v>131596</v>
      </c>
      <c r="I15" s="226">
        <f>H15/'- 44 -'!I15</f>
        <v>0.009759654527393647</v>
      </c>
    </row>
    <row r="16" spans="1:9" ht="13.5" customHeight="1">
      <c r="A16" s="27" t="s">
        <v>363</v>
      </c>
      <c r="B16" s="254">
        <v>14272</v>
      </c>
      <c r="C16" s="227">
        <f>B16/'- 44 -'!I16</f>
        <v>0.0013152424826270862</v>
      </c>
      <c r="D16" s="254">
        <v>3080475</v>
      </c>
      <c r="E16" s="227">
        <f>D16/'- 44 -'!I16</f>
        <v>0.28388253830371873</v>
      </c>
      <c r="F16" s="254">
        <v>187722</v>
      </c>
      <c r="G16" s="227">
        <f>F16/'- 44 -'!I16</f>
        <v>0.0172996040725702</v>
      </c>
      <c r="H16" s="254">
        <v>51996</v>
      </c>
      <c r="I16" s="227">
        <f>H16/'- 44 -'!I16</f>
        <v>0.004791714414705576</v>
      </c>
    </row>
    <row r="17" spans="1:9" ht="13.5" customHeight="1">
      <c r="A17" s="25" t="s">
        <v>364</v>
      </c>
      <c r="B17" s="253">
        <v>0</v>
      </c>
      <c r="C17" s="226">
        <f>B17/'- 44 -'!I17</f>
        <v>0</v>
      </c>
      <c r="D17" s="253">
        <v>5074563</v>
      </c>
      <c r="E17" s="226">
        <f>D17/'- 44 -'!I17</f>
        <v>0.39472411814149594</v>
      </c>
      <c r="F17" s="253">
        <v>28706</v>
      </c>
      <c r="G17" s="226">
        <f>F17/'- 44 -'!I17</f>
        <v>0.0022328918835710153</v>
      </c>
      <c r="H17" s="253">
        <v>722820</v>
      </c>
      <c r="I17" s="226">
        <f>H17/'- 44 -'!I17</f>
        <v>0.056224444760078075</v>
      </c>
    </row>
    <row r="18" spans="1:9" ht="13.5" customHeight="1">
      <c r="A18" s="27" t="s">
        <v>365</v>
      </c>
      <c r="B18" s="254">
        <v>11063084</v>
      </c>
      <c r="C18" s="227">
        <f>B18/'- 44 -'!I18</f>
        <v>0.14458964188477225</v>
      </c>
      <c r="D18" s="254">
        <v>3007507</v>
      </c>
      <c r="E18" s="227">
        <f>D18/'- 44 -'!I18</f>
        <v>0.039306793665848126</v>
      </c>
      <c r="F18" s="254">
        <v>21384</v>
      </c>
      <c r="G18" s="227">
        <f>F18/'- 44 -'!I18</f>
        <v>0.00027947947444527854</v>
      </c>
      <c r="H18" s="254">
        <v>22464441</v>
      </c>
      <c r="I18" s="227">
        <f>H18/'- 44 -'!I18</f>
        <v>0.2936003630932925</v>
      </c>
    </row>
    <row r="19" spans="1:9" ht="13.5" customHeight="1">
      <c r="A19" s="25" t="s">
        <v>366</v>
      </c>
      <c r="B19" s="253">
        <v>5000</v>
      </c>
      <c r="C19" s="226">
        <f>B19/'- 44 -'!I19</f>
        <v>0.00026465269494516</v>
      </c>
      <c r="D19" s="253">
        <v>5800000</v>
      </c>
      <c r="E19" s="226">
        <f>D19/'- 44 -'!I19</f>
        <v>0.3069971261363856</v>
      </c>
      <c r="F19" s="253">
        <v>140520</v>
      </c>
      <c r="G19" s="226">
        <f>F19/'- 44 -'!I19</f>
        <v>0.007437799338738777</v>
      </c>
      <c r="H19" s="253">
        <v>0</v>
      </c>
      <c r="I19" s="226">
        <f>H19/'- 44 -'!I19</f>
        <v>0</v>
      </c>
    </row>
    <row r="20" spans="1:9" ht="13.5" customHeight="1">
      <c r="A20" s="27" t="s">
        <v>367</v>
      </c>
      <c r="B20" s="254">
        <v>0</v>
      </c>
      <c r="C20" s="227">
        <f>B20/'- 44 -'!I20</f>
        <v>0</v>
      </c>
      <c r="D20" s="254">
        <v>10124801</v>
      </c>
      <c r="E20" s="227">
        <f>D20/'- 44 -'!I20</f>
        <v>0.27572469362639973</v>
      </c>
      <c r="F20" s="254">
        <v>294411</v>
      </c>
      <c r="G20" s="227">
        <f>F20/'- 44 -'!I20</f>
        <v>0.008017578101065095</v>
      </c>
      <c r="H20" s="254">
        <v>0</v>
      </c>
      <c r="I20" s="227">
        <f>H20/'- 44 -'!I20</f>
        <v>0</v>
      </c>
    </row>
    <row r="21" spans="1:9" ht="13.5" customHeight="1">
      <c r="A21" s="25" t="s">
        <v>368</v>
      </c>
      <c r="B21" s="253">
        <v>0</v>
      </c>
      <c r="C21" s="226">
        <f>B21/'- 44 -'!I21</f>
        <v>0</v>
      </c>
      <c r="D21" s="253">
        <v>8690000</v>
      </c>
      <c r="E21" s="226">
        <f>D21/'- 44 -'!I21</f>
        <v>0.35473418693781367</v>
      </c>
      <c r="F21" s="253">
        <v>34506</v>
      </c>
      <c r="G21" s="226">
        <f>F21/'- 44 -'!I21</f>
        <v>0.0014085682226094589</v>
      </c>
      <c r="H21" s="253">
        <v>0</v>
      </c>
      <c r="I21" s="226">
        <f>H21/'- 44 -'!I21</f>
        <v>0</v>
      </c>
    </row>
    <row r="22" spans="1:9" ht="13.5" customHeight="1">
      <c r="A22" s="27" t="s">
        <v>369</v>
      </c>
      <c r="B22" s="254">
        <v>18261</v>
      </c>
      <c r="C22" s="227">
        <f>B22/'- 44 -'!I22</f>
        <v>0.0013650380571354503</v>
      </c>
      <c r="D22" s="254">
        <v>3428621</v>
      </c>
      <c r="E22" s="227">
        <f>D22/'- 44 -'!I22</f>
        <v>0.256294734597985</v>
      </c>
      <c r="F22" s="254">
        <v>24492</v>
      </c>
      <c r="G22" s="227">
        <f>F22/'- 44 -'!I22</f>
        <v>0.0018308149660676552</v>
      </c>
      <c r="H22" s="254">
        <v>359220</v>
      </c>
      <c r="I22" s="227">
        <f>H22/'- 44 -'!I22</f>
        <v>0.026852251841859506</v>
      </c>
    </row>
    <row r="23" spans="1:9" ht="13.5" customHeight="1">
      <c r="A23" s="25" t="s">
        <v>370</v>
      </c>
      <c r="B23" s="253">
        <v>0</v>
      </c>
      <c r="C23" s="226">
        <f>B23/'- 44 -'!I23</f>
        <v>0</v>
      </c>
      <c r="D23" s="253">
        <v>2995117</v>
      </c>
      <c r="E23" s="226">
        <f>D23/'- 44 -'!I23</f>
        <v>0.2632467951723742</v>
      </c>
      <c r="F23" s="253">
        <v>78601</v>
      </c>
      <c r="G23" s="226">
        <f>F23/'- 44 -'!I23</f>
        <v>0.006908398352165804</v>
      </c>
      <c r="H23" s="253">
        <v>432836</v>
      </c>
      <c r="I23" s="226">
        <f>H23/'- 44 -'!I23</f>
        <v>0.03804281763791857</v>
      </c>
    </row>
    <row r="24" spans="1:9" ht="13.5" customHeight="1">
      <c r="A24" s="27" t="s">
        <v>371</v>
      </c>
      <c r="B24" s="254">
        <v>29836</v>
      </c>
      <c r="C24" s="227">
        <f>B24/'- 44 -'!I24</f>
        <v>0.0008379147963997074</v>
      </c>
      <c r="D24" s="254">
        <v>13731793</v>
      </c>
      <c r="E24" s="227">
        <f>D24/'- 44 -'!I24</f>
        <v>0.38564393805462954</v>
      </c>
      <c r="F24" s="254">
        <v>215418</v>
      </c>
      <c r="G24" s="227">
        <f>F24/'- 44 -'!I24</f>
        <v>0.006049803244765792</v>
      </c>
      <c r="H24" s="254">
        <v>226563</v>
      </c>
      <c r="I24" s="227">
        <f>H24/'- 44 -'!I24</f>
        <v>0.00636279963858114</v>
      </c>
    </row>
    <row r="25" spans="1:9" ht="13.5" customHeight="1">
      <c r="A25" s="25" t="s">
        <v>372</v>
      </c>
      <c r="B25" s="253">
        <v>44997</v>
      </c>
      <c r="C25" s="226">
        <f>B25/'- 44 -'!I25</f>
        <v>0.00039572623406373465</v>
      </c>
      <c r="D25" s="253">
        <v>47602415</v>
      </c>
      <c r="E25" s="226">
        <f>D25/'- 44 -'!I25</f>
        <v>0.41863956308840666</v>
      </c>
      <c r="F25" s="253">
        <v>359792</v>
      </c>
      <c r="G25" s="226">
        <f>F25/'- 44 -'!I25</f>
        <v>0.00316419168402914</v>
      </c>
      <c r="H25" s="253">
        <v>5162</v>
      </c>
      <c r="I25" s="226">
        <f>H25/'- 44 -'!I25</f>
        <v>4.5397222486765745E-05</v>
      </c>
    </row>
    <row r="26" spans="1:9" ht="13.5" customHeight="1">
      <c r="A26" s="27" t="s">
        <v>373</v>
      </c>
      <c r="B26" s="254">
        <v>509766</v>
      </c>
      <c r="C26" s="227">
        <f>B26/'- 44 -'!I26</f>
        <v>0.018758421015542967</v>
      </c>
      <c r="D26" s="254">
        <v>9019859</v>
      </c>
      <c r="E26" s="227">
        <f>D26/'- 44 -'!I26</f>
        <v>0.33191368710905467</v>
      </c>
      <c r="F26" s="254">
        <v>267681</v>
      </c>
      <c r="G26" s="227">
        <f>F26/'- 44 -'!I26</f>
        <v>0.009850152610926498</v>
      </c>
      <c r="H26" s="254">
        <v>185089</v>
      </c>
      <c r="I26" s="227">
        <f>H26/'- 44 -'!I26</f>
        <v>0.006810923810818752</v>
      </c>
    </row>
    <row r="27" spans="1:9" ht="13.5" customHeight="1">
      <c r="A27" s="25" t="s">
        <v>374</v>
      </c>
      <c r="B27" s="253">
        <v>19202</v>
      </c>
      <c r="C27" s="226">
        <f>B27/'- 44 -'!I27</f>
        <v>0.0007004707585195094</v>
      </c>
      <c r="D27" s="253">
        <v>8091364</v>
      </c>
      <c r="E27" s="226">
        <f>D27/'- 44 -'!I27</f>
        <v>0.29516528895622596</v>
      </c>
      <c r="F27" s="253">
        <v>106677</v>
      </c>
      <c r="G27" s="226">
        <f>F27/'- 44 -'!I27</f>
        <v>0.0038914758414011924</v>
      </c>
      <c r="H27" s="253">
        <v>402634</v>
      </c>
      <c r="I27" s="226">
        <f>H27/'- 44 -'!I27</f>
        <v>0.014687706665229878</v>
      </c>
    </row>
    <row r="28" spans="1:9" ht="13.5" customHeight="1">
      <c r="A28" s="27" t="s">
        <v>375</v>
      </c>
      <c r="B28" s="254">
        <v>0</v>
      </c>
      <c r="C28" s="227">
        <f>B28/'- 44 -'!I28</f>
        <v>0</v>
      </c>
      <c r="D28" s="254">
        <v>6067646</v>
      </c>
      <c r="E28" s="227">
        <f>D28/'- 44 -'!I28</f>
        <v>0.35805043065732767</v>
      </c>
      <c r="F28" s="254">
        <v>9387</v>
      </c>
      <c r="G28" s="227">
        <f>F28/'- 44 -'!I28</f>
        <v>0.0005539247663064613</v>
      </c>
      <c r="H28" s="254">
        <v>1002225</v>
      </c>
      <c r="I28" s="227">
        <f>H28/'- 44 -'!I28</f>
        <v>0.05914107264424131</v>
      </c>
    </row>
    <row r="29" spans="1:9" ht="13.5" customHeight="1">
      <c r="A29" s="25" t="s">
        <v>376</v>
      </c>
      <c r="B29" s="253">
        <v>18960</v>
      </c>
      <c r="C29" s="226">
        <f>B29/'- 44 -'!I29</f>
        <v>0.00017335346098676247</v>
      </c>
      <c r="D29" s="253">
        <v>56704722</v>
      </c>
      <c r="E29" s="226">
        <f>D29/'- 44 -'!I29</f>
        <v>0.518457796043893</v>
      </c>
      <c r="F29" s="253">
        <v>822497</v>
      </c>
      <c r="G29" s="226">
        <f>F29/'- 44 -'!I29</f>
        <v>0.007520184683609133</v>
      </c>
      <c r="H29" s="253">
        <v>14600</v>
      </c>
      <c r="I29" s="226">
        <f>H29/'- 44 -'!I29</f>
        <v>0.00013348947945183184</v>
      </c>
    </row>
    <row r="30" spans="1:9" ht="13.5" customHeight="1">
      <c r="A30" s="27" t="s">
        <v>377</v>
      </c>
      <c r="B30" s="254">
        <v>1030</v>
      </c>
      <c r="C30" s="227">
        <f>B30/'- 44 -'!I30</f>
        <v>0.00010170890713285554</v>
      </c>
      <c r="D30" s="254">
        <v>3589423</v>
      </c>
      <c r="E30" s="227">
        <f>D30/'- 44 -'!I30</f>
        <v>0.3544430005510055</v>
      </c>
      <c r="F30" s="254">
        <v>36926</v>
      </c>
      <c r="G30" s="227">
        <f>F30/'- 44 -'!I30</f>
        <v>0.0036463136939687605</v>
      </c>
      <c r="H30" s="254">
        <v>0</v>
      </c>
      <c r="I30" s="227">
        <f>H30/'- 44 -'!I30</f>
        <v>0</v>
      </c>
    </row>
    <row r="31" spans="1:9" ht="13.5" customHeight="1">
      <c r="A31" s="25" t="s">
        <v>378</v>
      </c>
      <c r="B31" s="253">
        <v>19165</v>
      </c>
      <c r="C31" s="226">
        <f>B31/'- 44 -'!I31</f>
        <v>0.000763396209324555</v>
      </c>
      <c r="D31" s="253">
        <v>8934693</v>
      </c>
      <c r="E31" s="226">
        <f>D31/'- 44 -'!I31</f>
        <v>0.35589411780217256</v>
      </c>
      <c r="F31" s="253">
        <v>21397</v>
      </c>
      <c r="G31" s="226">
        <f>F31/'- 44 -'!I31</f>
        <v>0.0008523030884903472</v>
      </c>
      <c r="H31" s="253">
        <v>685115</v>
      </c>
      <c r="I31" s="226">
        <f>H31/'- 44 -'!I31</f>
        <v>0.027290070125300943</v>
      </c>
    </row>
    <row r="32" spans="1:9" ht="13.5" customHeight="1">
      <c r="A32" s="27" t="s">
        <v>379</v>
      </c>
      <c r="B32" s="254">
        <v>13860</v>
      </c>
      <c r="C32" s="227">
        <f>B32/'- 44 -'!I32</f>
        <v>0.0007154496288617955</v>
      </c>
      <c r="D32" s="254">
        <v>7717707</v>
      </c>
      <c r="E32" s="227">
        <f>D32/'- 44 -'!I32</f>
        <v>0.39838604681198275</v>
      </c>
      <c r="F32" s="254">
        <v>96839</v>
      </c>
      <c r="G32" s="227">
        <f>F32/'- 44 -'!I32</f>
        <v>0.004998804228668645</v>
      </c>
      <c r="H32" s="254">
        <v>0</v>
      </c>
      <c r="I32" s="227">
        <f>H32/'- 44 -'!I32</f>
        <v>0</v>
      </c>
    </row>
    <row r="33" spans="1:9" ht="13.5" customHeight="1">
      <c r="A33" s="25" t="s">
        <v>380</v>
      </c>
      <c r="B33" s="253">
        <v>16522</v>
      </c>
      <c r="C33" s="226">
        <f>B33/'- 44 -'!I33</f>
        <v>0.0007465426314837027</v>
      </c>
      <c r="D33" s="253">
        <v>7775986</v>
      </c>
      <c r="E33" s="226">
        <f>D33/'- 44 -'!I33</f>
        <v>0.35135607376954553</v>
      </c>
      <c r="F33" s="253">
        <v>32525</v>
      </c>
      <c r="G33" s="226">
        <f>F33/'- 44 -'!I33</f>
        <v>0.0014696343716866862</v>
      </c>
      <c r="H33" s="253">
        <v>286196</v>
      </c>
      <c r="I33" s="226">
        <f>H33/'- 44 -'!I33</f>
        <v>0.01293169803656396</v>
      </c>
    </row>
    <row r="34" spans="1:9" ht="13.5" customHeight="1">
      <c r="A34" s="27" t="s">
        <v>381</v>
      </c>
      <c r="B34" s="254">
        <v>4427</v>
      </c>
      <c r="C34" s="227">
        <f>B34/'- 44 -'!I34</f>
        <v>0.0002340383418983507</v>
      </c>
      <c r="D34" s="254">
        <v>7074212</v>
      </c>
      <c r="E34" s="227">
        <f>D34/'- 44 -'!I34</f>
        <v>0.373986186292617</v>
      </c>
      <c r="F34" s="254">
        <v>386005</v>
      </c>
      <c r="G34" s="227">
        <f>F34/'- 44 -'!I34</f>
        <v>0.02040658914941786</v>
      </c>
      <c r="H34" s="254">
        <v>10202</v>
      </c>
      <c r="I34" s="227">
        <f>H34/'- 44 -'!I34</f>
        <v>0.00053934022228303</v>
      </c>
    </row>
    <row r="35" spans="1:9" ht="13.5" customHeight="1">
      <c r="A35" s="25" t="s">
        <v>382</v>
      </c>
      <c r="B35" s="253">
        <v>41237</v>
      </c>
      <c r="C35" s="226">
        <f>B35/'- 44 -'!I35</f>
        <v>0.0003134557046809882</v>
      </c>
      <c r="D35" s="253">
        <v>51478742</v>
      </c>
      <c r="E35" s="226">
        <f>D35/'- 44 -'!I35</f>
        <v>0.39130648082306624</v>
      </c>
      <c r="F35" s="253">
        <v>804665</v>
      </c>
      <c r="G35" s="226">
        <f>F35/'- 44 -'!I35</f>
        <v>0.006116517559646127</v>
      </c>
      <c r="H35" s="253">
        <v>75902</v>
      </c>
      <c r="I35" s="226">
        <f>H35/'- 44 -'!I35</f>
        <v>0.0005769555228725748</v>
      </c>
    </row>
    <row r="36" spans="1:9" ht="13.5" customHeight="1">
      <c r="A36" s="27" t="s">
        <v>383</v>
      </c>
      <c r="B36" s="254">
        <v>17765</v>
      </c>
      <c r="C36" s="227">
        <f>B36/'- 44 -'!I36</f>
        <v>0.0010489927130878272</v>
      </c>
      <c r="D36" s="254">
        <v>6396058</v>
      </c>
      <c r="E36" s="227">
        <f>D36/'- 44 -'!I36</f>
        <v>0.3776762304805574</v>
      </c>
      <c r="F36" s="254">
        <v>81027</v>
      </c>
      <c r="G36" s="227">
        <f>F36/'- 44 -'!I36</f>
        <v>0.0047845050697082675</v>
      </c>
      <c r="H36" s="254">
        <v>849758</v>
      </c>
      <c r="I36" s="227">
        <f>H36/'- 44 -'!I36</f>
        <v>0.05017674921970649</v>
      </c>
    </row>
    <row r="37" spans="1:9" ht="13.5" customHeight="1">
      <c r="A37" s="25" t="s">
        <v>384</v>
      </c>
      <c r="B37" s="253">
        <v>20212</v>
      </c>
      <c r="C37" s="226">
        <f>B37/'- 44 -'!I37</f>
        <v>0.0007443806113967868</v>
      </c>
      <c r="D37" s="253">
        <v>9443548</v>
      </c>
      <c r="E37" s="226">
        <f>D37/'- 44 -'!I37</f>
        <v>0.34779309489387017</v>
      </c>
      <c r="F37" s="253">
        <v>106368</v>
      </c>
      <c r="G37" s="226">
        <f>F37/'- 44 -'!I37</f>
        <v>0.003917389514795836</v>
      </c>
      <c r="H37" s="253">
        <v>0</v>
      </c>
      <c r="I37" s="226">
        <f>H37/'- 44 -'!I37</f>
        <v>0</v>
      </c>
    </row>
    <row r="38" spans="1:9" ht="13.5" customHeight="1">
      <c r="A38" s="27" t="s">
        <v>385</v>
      </c>
      <c r="B38" s="254">
        <v>5654</v>
      </c>
      <c r="C38" s="227">
        <f>B38/'- 44 -'!I38</f>
        <v>8.419358508615026E-05</v>
      </c>
      <c r="D38" s="254">
        <v>26788441</v>
      </c>
      <c r="E38" s="227">
        <f>D38/'- 44 -'!I38</f>
        <v>0.3989060641419908</v>
      </c>
      <c r="F38" s="254">
        <v>985716</v>
      </c>
      <c r="G38" s="227">
        <f>F38/'- 44 -'!I38</f>
        <v>0.014678274481213246</v>
      </c>
      <c r="H38" s="254">
        <v>112243</v>
      </c>
      <c r="I38" s="227">
        <f>H38/'- 44 -'!I38</f>
        <v>0.0016714079538069975</v>
      </c>
    </row>
    <row r="39" spans="1:9" ht="13.5" customHeight="1">
      <c r="A39" s="25" t="s">
        <v>386</v>
      </c>
      <c r="B39" s="253">
        <v>28144</v>
      </c>
      <c r="C39" s="226">
        <f>B39/'- 44 -'!I39</f>
        <v>0.0018141011687558201</v>
      </c>
      <c r="D39" s="253">
        <v>6667727</v>
      </c>
      <c r="E39" s="226">
        <f>D39/'- 44 -'!I39</f>
        <v>0.42978721374519396</v>
      </c>
      <c r="F39" s="253">
        <v>60204</v>
      </c>
      <c r="G39" s="226">
        <f>F39/'- 44 -'!I39</f>
        <v>0.0038806191999635944</v>
      </c>
      <c r="H39" s="253">
        <v>0</v>
      </c>
      <c r="I39" s="226">
        <f>H39/'- 44 -'!I39</f>
        <v>0</v>
      </c>
    </row>
    <row r="40" spans="1:9" ht="13.5" customHeight="1">
      <c r="A40" s="27" t="s">
        <v>387</v>
      </c>
      <c r="B40" s="254">
        <v>4865</v>
      </c>
      <c r="C40" s="227">
        <f>B40/'- 44 -'!I40</f>
        <v>6.98969889354144E-05</v>
      </c>
      <c r="D40" s="254">
        <v>33032548</v>
      </c>
      <c r="E40" s="227">
        <f>D40/'- 44 -'!I40</f>
        <v>0.4745890322845931</v>
      </c>
      <c r="F40" s="254">
        <v>721464</v>
      </c>
      <c r="G40" s="227">
        <f>F40/'- 44 -'!I40</f>
        <v>0.010365500765734803</v>
      </c>
      <c r="H40" s="254">
        <v>47663</v>
      </c>
      <c r="I40" s="227">
        <f>H40/'- 44 -'!I40</f>
        <v>0.0006847893491528585</v>
      </c>
    </row>
    <row r="41" spans="1:9" ht="13.5" customHeight="1">
      <c r="A41" s="25" t="s">
        <v>388</v>
      </c>
      <c r="B41" s="253">
        <v>16474</v>
      </c>
      <c r="C41" s="226">
        <f>B41/'- 44 -'!I41</f>
        <v>0.0003939443526460523</v>
      </c>
      <c r="D41" s="253">
        <v>17168162</v>
      </c>
      <c r="E41" s="226">
        <f>D41/'- 44 -'!I41</f>
        <v>0.4105439155768213</v>
      </c>
      <c r="F41" s="253">
        <v>229197</v>
      </c>
      <c r="G41" s="226">
        <f>F41/'- 44 -'!I41</f>
        <v>0.005480809991102176</v>
      </c>
      <c r="H41" s="253">
        <v>441762</v>
      </c>
      <c r="I41" s="226">
        <f>H41/'- 44 -'!I41</f>
        <v>0.010563897360302619</v>
      </c>
    </row>
    <row r="42" spans="1:9" ht="13.5" customHeight="1">
      <c r="A42" s="27" t="s">
        <v>389</v>
      </c>
      <c r="B42" s="254">
        <v>22027</v>
      </c>
      <c r="C42" s="227">
        <f>B42/'- 44 -'!I42</f>
        <v>0.0014036817028270673</v>
      </c>
      <c r="D42" s="254">
        <v>4920560</v>
      </c>
      <c r="E42" s="227">
        <f>D42/'- 44 -'!I42</f>
        <v>0.31356517181925614</v>
      </c>
      <c r="F42" s="254">
        <v>61532</v>
      </c>
      <c r="G42" s="227">
        <f>F42/'- 44 -'!I42</f>
        <v>0.003921157785370459</v>
      </c>
      <c r="H42" s="254">
        <v>391259</v>
      </c>
      <c r="I42" s="227">
        <f>H42/'- 44 -'!I42</f>
        <v>0.024933177435257435</v>
      </c>
    </row>
    <row r="43" spans="1:9" ht="13.5" customHeight="1">
      <c r="A43" s="25" t="s">
        <v>390</v>
      </c>
      <c r="B43" s="253">
        <v>9999</v>
      </c>
      <c r="C43" s="226">
        <f>B43/'- 44 -'!I43</f>
        <v>0.0010623738504098145</v>
      </c>
      <c r="D43" s="253">
        <v>3685514</v>
      </c>
      <c r="E43" s="226">
        <f>D43/'- 44 -'!I43</f>
        <v>0.3915785277447022</v>
      </c>
      <c r="F43" s="253">
        <v>35127</v>
      </c>
      <c r="G43" s="226">
        <f>F43/'- 44 -'!I43</f>
        <v>0.0037321738417187274</v>
      </c>
      <c r="H43" s="253">
        <v>0</v>
      </c>
      <c r="I43" s="226">
        <f>H43/'- 44 -'!I43</f>
        <v>0</v>
      </c>
    </row>
    <row r="44" spans="1:9" ht="13.5" customHeight="1">
      <c r="A44" s="27" t="s">
        <v>391</v>
      </c>
      <c r="B44" s="254">
        <v>16700</v>
      </c>
      <c r="C44" s="227">
        <f>B44/'- 44 -'!I44</f>
        <v>0.0023543207636570695</v>
      </c>
      <c r="D44" s="254">
        <v>1999524</v>
      </c>
      <c r="E44" s="227">
        <f>D44/'- 44 -'!I44</f>
        <v>0.28188747728327174</v>
      </c>
      <c r="F44" s="254">
        <v>34646</v>
      </c>
      <c r="G44" s="227">
        <f>F44/'- 44 -'!I44</f>
        <v>0.004884299232195378</v>
      </c>
      <c r="H44" s="254">
        <v>24930</v>
      </c>
      <c r="I44" s="227">
        <f>H44/'- 44 -'!I44</f>
        <v>0.00351456387053717</v>
      </c>
    </row>
    <row r="45" spans="1:9" ht="13.5" customHeight="1">
      <c r="A45" s="25" t="s">
        <v>392</v>
      </c>
      <c r="B45" s="253">
        <v>126715</v>
      </c>
      <c r="C45" s="226">
        <f>B45/'- 44 -'!I45</f>
        <v>0.011899905375491012</v>
      </c>
      <c r="D45" s="253">
        <v>3636948</v>
      </c>
      <c r="E45" s="226">
        <f>D45/'- 44 -'!I45</f>
        <v>0.34154864898063597</v>
      </c>
      <c r="F45" s="253">
        <v>66475</v>
      </c>
      <c r="G45" s="226">
        <f>F45/'- 44 -'!I45</f>
        <v>0.006242719566237344</v>
      </c>
      <c r="H45" s="253">
        <v>0</v>
      </c>
      <c r="I45" s="226">
        <f>H45/'- 44 -'!I45</f>
        <v>0</v>
      </c>
    </row>
    <row r="46" spans="1:9" ht="13.5" customHeight="1">
      <c r="A46" s="27" t="s">
        <v>393</v>
      </c>
      <c r="B46" s="254">
        <v>12325</v>
      </c>
      <c r="C46" s="227">
        <f>B46/'- 44 -'!I46</f>
        <v>4.648808487942017E-05</v>
      </c>
      <c r="D46" s="254">
        <v>115880226</v>
      </c>
      <c r="E46" s="227">
        <f>D46/'- 44 -'!I46</f>
        <v>0.4370831466234801</v>
      </c>
      <c r="F46" s="254">
        <v>2490170</v>
      </c>
      <c r="G46" s="227">
        <f>F46/'- 44 -'!I46</f>
        <v>0.00939255450906172</v>
      </c>
      <c r="H46" s="254">
        <v>2359415</v>
      </c>
      <c r="I46" s="227">
        <f>H46/'- 44 -'!I46</f>
        <v>0.008899365905539728</v>
      </c>
    </row>
    <row r="47" spans="1:9" ht="13.5" customHeight="1">
      <c r="A47" s="25" t="s">
        <v>397</v>
      </c>
      <c r="B47" s="253">
        <v>0</v>
      </c>
      <c r="C47" s="226">
        <f>B47/'- 44 -'!I47</f>
        <v>0</v>
      </c>
      <c r="D47" s="253">
        <v>0</v>
      </c>
      <c r="E47" s="226">
        <f>D47/'- 44 -'!I47</f>
        <v>0</v>
      </c>
      <c r="F47" s="253">
        <v>3350164</v>
      </c>
      <c r="G47" s="226">
        <f>F47/'- 44 -'!I47</f>
        <v>0.33128035269445305</v>
      </c>
      <c r="H47" s="253">
        <v>0</v>
      </c>
      <c r="I47" s="226">
        <f>H47/'- 44 -'!I47</f>
        <v>0</v>
      </c>
    </row>
    <row r="48" spans="1:9" ht="4.5" customHeight="1">
      <c r="A48" s="29"/>
      <c r="B48" s="255"/>
      <c r="C48" s="215"/>
      <c r="D48" s="255"/>
      <c r="E48" s="215"/>
      <c r="F48" s="255"/>
      <c r="G48" s="215"/>
      <c r="H48" s="255"/>
      <c r="I48" s="215"/>
    </row>
    <row r="49" spans="1:9" ht="13.5" customHeight="1">
      <c r="A49" s="31" t="s">
        <v>394</v>
      </c>
      <c r="B49" s="256">
        <f>SUM(B11:B47)</f>
        <v>14721072</v>
      </c>
      <c r="C49" s="228">
        <f>B49/'- 44 -'!$I49</f>
        <v>0.010133042356915927</v>
      </c>
      <c r="D49" s="256">
        <f>SUM(D11:D47)</f>
        <v>548382447</v>
      </c>
      <c r="E49" s="228">
        <f>D49/'- 44 -'!$I49</f>
        <v>0.3774713256779264</v>
      </c>
      <c r="F49" s="256">
        <f>SUM(F11:F47)</f>
        <v>13092446</v>
      </c>
      <c r="G49" s="228">
        <f>F49/'- 44 -'!$I49</f>
        <v>0.00901200061202299</v>
      </c>
      <c r="H49" s="256">
        <f>SUM(H11:H47)</f>
        <v>31970727</v>
      </c>
      <c r="I49" s="228">
        <f>H49/'- 44 -'!$I49</f>
        <v>0.022006599171065507</v>
      </c>
    </row>
    <row r="50" spans="1:9" ht="4.5" customHeight="1">
      <c r="A50" s="29" t="s">
        <v>78</v>
      </c>
      <c r="B50" s="255"/>
      <c r="C50" s="215"/>
      <c r="D50" s="255"/>
      <c r="E50" s="215"/>
      <c r="F50" s="255"/>
      <c r="G50" s="215"/>
      <c r="H50" s="255"/>
      <c r="I50" s="215"/>
    </row>
    <row r="51" spans="1:9" ht="13.5" customHeight="1">
      <c r="A51" s="27" t="s">
        <v>395</v>
      </c>
      <c r="B51" s="254">
        <v>0</v>
      </c>
      <c r="C51" s="227">
        <f>B51/'- 44 -'!I51</f>
        <v>0</v>
      </c>
      <c r="D51" s="254">
        <v>0</v>
      </c>
      <c r="E51" s="227">
        <f>D51/'- 44 -'!I51</f>
        <v>0</v>
      </c>
      <c r="F51" s="254">
        <v>174878</v>
      </c>
      <c r="G51" s="227">
        <f>F51/'- 44 -'!I51</f>
        <v>0.13716007629851795</v>
      </c>
      <c r="H51" s="254">
        <v>124770</v>
      </c>
      <c r="I51" s="227">
        <f>H51/'- 44 -'!I51</f>
        <v>0.09785943754941208</v>
      </c>
    </row>
    <row r="52" spans="1:9" ht="13.5" customHeight="1">
      <c r="A52" s="25" t="s">
        <v>396</v>
      </c>
      <c r="B52" s="253">
        <v>0</v>
      </c>
      <c r="C52" s="226">
        <f>B52/'- 44 -'!I52</f>
        <v>0</v>
      </c>
      <c r="D52" s="253">
        <v>1751822</v>
      </c>
      <c r="E52" s="226">
        <f>D52/'- 44 -'!I52</f>
        <v>0.7185435054212069</v>
      </c>
      <c r="F52" s="253">
        <v>119492</v>
      </c>
      <c r="G52" s="226">
        <f>F52/'- 44 -'!I52</f>
        <v>0.04901194330804777</v>
      </c>
      <c r="H52" s="253">
        <v>0</v>
      </c>
      <c r="I52" s="226">
        <f>H52/'- 44 -'!I52</f>
        <v>0</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2"/>
  <sheetViews>
    <sheetView showGridLines="0" showZeros="0" workbookViewId="0" topLeftCell="A1">
      <selection activeCell="A1" sqref="A1"/>
    </sheetView>
  </sheetViews>
  <sheetFormatPr defaultColWidth="15.83203125" defaultRowHeight="12"/>
  <cols>
    <col min="1" max="1" width="35.83203125" style="1" customWidth="1"/>
    <col min="2" max="2" width="15.83203125" style="1" customWidth="1"/>
    <col min="3" max="3" width="8.83203125" style="1" customWidth="1"/>
    <col min="4" max="4" width="13.83203125" style="1" customWidth="1"/>
    <col min="5" max="5" width="8.83203125" style="1" customWidth="1"/>
    <col min="6" max="6" width="15.83203125" style="1" customWidth="1"/>
    <col min="7" max="7" width="8.83203125" style="1" customWidth="1"/>
    <col min="8" max="8" width="4.83203125" style="1" customWidth="1"/>
    <col min="9" max="9" width="19.83203125" style="1" customWidth="1"/>
    <col min="10" max="16384" width="15.83203125" style="1" customWidth="1"/>
  </cols>
  <sheetData>
    <row r="1" ht="6.75" customHeight="1">
      <c r="A1" s="5"/>
    </row>
    <row r="2" spans="1:9" ht="15.75" customHeight="1">
      <c r="A2" s="380"/>
      <c r="B2" s="366" t="str">
        <f>REVYEAR</f>
        <v>ANALYSIS OF OPERATING FUND REVENUE: 2003/2004 ACTUAL</v>
      </c>
      <c r="C2" s="56"/>
      <c r="D2" s="56"/>
      <c r="E2" s="56"/>
      <c r="F2" s="56"/>
      <c r="G2" s="381"/>
      <c r="H2" s="57"/>
      <c r="I2" s="382" t="s">
        <v>80</v>
      </c>
    </row>
    <row r="3" ht="15.75" customHeight="1">
      <c r="A3" s="367"/>
    </row>
    <row r="4" spans="2:9" ht="15.75" customHeight="1">
      <c r="B4" s="58"/>
      <c r="C4" s="6"/>
      <c r="D4" s="6"/>
      <c r="E4" s="6"/>
      <c r="F4" s="6"/>
      <c r="G4" s="6"/>
      <c r="H4" s="6"/>
      <c r="I4" s="6"/>
    </row>
    <row r="5" spans="2:9" ht="15.75" customHeight="1">
      <c r="B5" s="6"/>
      <c r="C5" s="6"/>
      <c r="D5" s="6"/>
      <c r="E5" s="6"/>
      <c r="F5" s="6"/>
      <c r="G5" s="6"/>
      <c r="H5" s="6"/>
      <c r="I5" s="6"/>
    </row>
    <row r="6" spans="2:9" ht="15.75" customHeight="1">
      <c r="B6" s="209" t="s">
        <v>196</v>
      </c>
      <c r="C6" s="210"/>
      <c r="D6" s="212"/>
      <c r="E6" s="212"/>
      <c r="F6" s="209" t="s">
        <v>144</v>
      </c>
      <c r="G6" s="210"/>
      <c r="H6" s="6"/>
      <c r="I6" s="383" t="s">
        <v>144</v>
      </c>
    </row>
    <row r="7" spans="2:9" ht="15.75" customHeight="1">
      <c r="B7" s="369" t="s">
        <v>207</v>
      </c>
      <c r="C7" s="384"/>
      <c r="D7" s="385"/>
      <c r="E7" s="385"/>
      <c r="F7" s="369" t="s">
        <v>208</v>
      </c>
      <c r="G7" s="384"/>
      <c r="H7" s="6"/>
      <c r="I7" s="379" t="s">
        <v>209</v>
      </c>
    </row>
    <row r="8" spans="1:9" ht="15.75" customHeight="1">
      <c r="A8" s="96"/>
      <c r="B8" s="71" t="s">
        <v>229</v>
      </c>
      <c r="C8" s="70"/>
      <c r="D8" s="71" t="s">
        <v>132</v>
      </c>
      <c r="E8" s="71"/>
      <c r="F8" s="108" t="s">
        <v>230</v>
      </c>
      <c r="G8" s="70"/>
      <c r="H8" s="6"/>
      <c r="I8" s="109" t="s">
        <v>225</v>
      </c>
    </row>
    <row r="9" spans="1:9" ht="15.75" customHeight="1">
      <c r="A9" s="49" t="s">
        <v>175</v>
      </c>
      <c r="B9" s="287" t="s">
        <v>230</v>
      </c>
      <c r="C9" s="368" t="s">
        <v>177</v>
      </c>
      <c r="D9" s="386" t="s">
        <v>230</v>
      </c>
      <c r="E9" s="386" t="s">
        <v>177</v>
      </c>
      <c r="F9" s="368" t="s">
        <v>230</v>
      </c>
      <c r="G9" s="386" t="s">
        <v>177</v>
      </c>
      <c r="H9" s="6"/>
      <c r="I9" s="386" t="s">
        <v>230</v>
      </c>
    </row>
    <row r="10" spans="1:9" ht="4.5" customHeight="1">
      <c r="A10" s="4"/>
      <c r="B10" s="372"/>
      <c r="C10" s="372"/>
      <c r="D10" s="372"/>
      <c r="E10" s="372"/>
      <c r="F10" s="372"/>
      <c r="G10" s="5"/>
      <c r="H10" s="5"/>
      <c r="I10" s="372"/>
    </row>
    <row r="11" spans="1:9" ht="13.5" customHeight="1">
      <c r="A11" s="25" t="s">
        <v>359</v>
      </c>
      <c r="B11" s="253">
        <v>64839</v>
      </c>
      <c r="C11" s="226">
        <f>B11/I11</f>
        <v>0.005521970525644515</v>
      </c>
      <c r="D11" s="253">
        <v>126953</v>
      </c>
      <c r="E11" s="226">
        <f>D11/I11</f>
        <v>0.010811868229648023</v>
      </c>
      <c r="F11" s="253">
        <f>SUM('- 43 -'!B11,'- 43 -'!D11,'- 43 -'!F11,'- 43 -'!H11,B11,D11)</f>
        <v>4704187</v>
      </c>
      <c r="G11" s="226">
        <f>F11/I11</f>
        <v>0.400628972703467</v>
      </c>
      <c r="I11" s="253">
        <f>SUM('- 42 -'!F11,F11)</f>
        <v>11742004</v>
      </c>
    </row>
    <row r="12" spans="1:9" ht="13.5" customHeight="1">
      <c r="A12" s="27" t="s">
        <v>360</v>
      </c>
      <c r="B12" s="254">
        <v>201237</v>
      </c>
      <c r="C12" s="227">
        <f aca="true" t="shared" si="0" ref="C12:C47">B12/I12</f>
        <v>0.010051725901671835</v>
      </c>
      <c r="D12" s="254">
        <v>69353</v>
      </c>
      <c r="E12" s="227">
        <f aca="true" t="shared" si="1" ref="E12:E47">D12/I12</f>
        <v>0.003464160897144396</v>
      </c>
      <c r="F12" s="254">
        <f>SUM('- 43 -'!B12,'- 43 -'!D12,'- 43 -'!F12,'- 43 -'!H12,B12,D12)</f>
        <v>8132686</v>
      </c>
      <c r="G12" s="227">
        <f>F12/I12</f>
        <v>0.4062251500288909</v>
      </c>
      <c r="I12" s="254">
        <f>SUM('- 42 -'!F12,F12)</f>
        <v>20020144</v>
      </c>
    </row>
    <row r="13" spans="1:9" ht="13.5" customHeight="1">
      <c r="A13" s="25" t="s">
        <v>361</v>
      </c>
      <c r="B13" s="253">
        <v>597469</v>
      </c>
      <c r="C13" s="226">
        <f t="shared" si="0"/>
        <v>0.01226900626201501</v>
      </c>
      <c r="D13" s="253">
        <v>74486</v>
      </c>
      <c r="E13" s="226">
        <f t="shared" si="1"/>
        <v>0.0015295675598775</v>
      </c>
      <c r="F13" s="253">
        <f>SUM('- 43 -'!B13,'- 43 -'!D13,'- 43 -'!F13,'- 43 -'!H13,B13,D13)</f>
        <v>20066111</v>
      </c>
      <c r="G13" s="226">
        <f aca="true" t="shared" si="2" ref="G13:G47">F13/I13</f>
        <v>0.4120569293357283</v>
      </c>
      <c r="I13" s="253">
        <f>SUM('- 42 -'!F13,F13)</f>
        <v>48697424</v>
      </c>
    </row>
    <row r="14" spans="1:9" ht="13.5" customHeight="1">
      <c r="A14" s="27" t="s">
        <v>398</v>
      </c>
      <c r="B14" s="254">
        <v>63357</v>
      </c>
      <c r="C14" s="227">
        <f t="shared" si="0"/>
        <v>0.0015814550439759423</v>
      </c>
      <c r="D14" s="254">
        <v>25946</v>
      </c>
      <c r="E14" s="227">
        <f t="shared" si="1"/>
        <v>0.0006476385019966192</v>
      </c>
      <c r="F14" s="254">
        <f>SUM('- 43 -'!B14,'- 43 -'!D14,'- 43 -'!F14,'- 43 -'!H14,B14,D14)</f>
        <v>15314860</v>
      </c>
      <c r="G14" s="227">
        <f t="shared" si="2"/>
        <v>0.3822744542005682</v>
      </c>
      <c r="I14" s="254">
        <f>SUM('- 42 -'!F14,F14)</f>
        <v>40062473</v>
      </c>
    </row>
    <row r="15" spans="1:9" ht="13.5" customHeight="1">
      <c r="A15" s="25" t="s">
        <v>362</v>
      </c>
      <c r="B15" s="253">
        <v>131454</v>
      </c>
      <c r="C15" s="226">
        <f t="shared" si="0"/>
        <v>0.009749123273078242</v>
      </c>
      <c r="D15" s="253">
        <v>8624</v>
      </c>
      <c r="E15" s="226">
        <f t="shared" si="1"/>
        <v>0.0006395882902538284</v>
      </c>
      <c r="F15" s="253">
        <f>SUM('- 43 -'!B15,'- 43 -'!D15,'- 43 -'!F15,'- 43 -'!H15,B15,D15)</f>
        <v>6258893</v>
      </c>
      <c r="G15" s="226">
        <f t="shared" si="2"/>
        <v>0.4641830557457856</v>
      </c>
      <c r="I15" s="253">
        <f>SUM('- 42 -'!F15,F15)</f>
        <v>13483674</v>
      </c>
    </row>
    <row r="16" spans="1:9" ht="13.5" customHeight="1">
      <c r="A16" s="27" t="s">
        <v>363</v>
      </c>
      <c r="B16" s="254">
        <v>1090141</v>
      </c>
      <c r="C16" s="227">
        <f t="shared" si="0"/>
        <v>0.10046242679747579</v>
      </c>
      <c r="D16" s="254">
        <v>73306</v>
      </c>
      <c r="E16" s="227">
        <f t="shared" si="1"/>
        <v>0.006755546905231305</v>
      </c>
      <c r="F16" s="254">
        <f>SUM('- 43 -'!B16,'- 43 -'!D16,'- 43 -'!F16,'- 43 -'!H16,B16,D16)</f>
        <v>4497912</v>
      </c>
      <c r="G16" s="227">
        <f t="shared" si="2"/>
        <v>0.41450707297632866</v>
      </c>
      <c r="I16" s="254">
        <f>SUM('- 42 -'!F16,F16)</f>
        <v>10851231</v>
      </c>
    </row>
    <row r="17" spans="1:9" ht="13.5" customHeight="1">
      <c r="A17" s="25" t="s">
        <v>364</v>
      </c>
      <c r="B17" s="253">
        <v>0</v>
      </c>
      <c r="C17" s="226">
        <f t="shared" si="0"/>
        <v>0</v>
      </c>
      <c r="D17" s="253">
        <v>72177</v>
      </c>
      <c r="E17" s="226">
        <f t="shared" si="1"/>
        <v>0.005614277066832898</v>
      </c>
      <c r="F17" s="253">
        <f>SUM('- 43 -'!B17,'- 43 -'!D17,'- 43 -'!F17,'- 43 -'!H17,B17,D17)</f>
        <v>5898266</v>
      </c>
      <c r="G17" s="226">
        <f t="shared" si="2"/>
        <v>0.4587957318519779</v>
      </c>
      <c r="I17" s="253">
        <f>SUM('- 42 -'!F17,F17)</f>
        <v>12855974</v>
      </c>
    </row>
    <row r="18" spans="1:9" ht="13.5" customHeight="1">
      <c r="A18" s="27" t="s">
        <v>365</v>
      </c>
      <c r="B18" s="254">
        <v>2908277</v>
      </c>
      <c r="C18" s="227">
        <f t="shared" si="0"/>
        <v>0.03800990121124632</v>
      </c>
      <c r="D18" s="254">
        <v>275537</v>
      </c>
      <c r="E18" s="227">
        <f t="shared" si="1"/>
        <v>0.0036011473975976764</v>
      </c>
      <c r="F18" s="254">
        <f>SUM('- 43 -'!B18,'- 43 -'!D18,'- 43 -'!F18,'- 43 -'!H18,B18,D18)</f>
        <v>39740230</v>
      </c>
      <c r="G18" s="227">
        <f t="shared" si="2"/>
        <v>0.5193873267272021</v>
      </c>
      <c r="I18" s="254">
        <f>SUM('- 42 -'!F18,F18)</f>
        <v>76513669</v>
      </c>
    </row>
    <row r="19" spans="1:9" ht="13.5" customHeight="1">
      <c r="A19" s="25" t="s">
        <v>366</v>
      </c>
      <c r="B19" s="253">
        <v>11772</v>
      </c>
      <c r="C19" s="226">
        <f t="shared" si="0"/>
        <v>0.0006230983049788847</v>
      </c>
      <c r="D19" s="253">
        <v>171203</v>
      </c>
      <c r="E19" s="226">
        <f t="shared" si="1"/>
        <v>0.009061867066539246</v>
      </c>
      <c r="F19" s="253">
        <f>SUM('- 43 -'!B19,'- 43 -'!D19,'- 43 -'!F19,'- 43 -'!H19,B19,D19)</f>
        <v>6128495</v>
      </c>
      <c r="G19" s="226">
        <f t="shared" si="2"/>
        <v>0.32438454354158763</v>
      </c>
      <c r="I19" s="253">
        <f>SUM('- 42 -'!F19,F19)</f>
        <v>18892685</v>
      </c>
    </row>
    <row r="20" spans="1:9" ht="13.5" customHeight="1">
      <c r="A20" s="27" t="s">
        <v>367</v>
      </c>
      <c r="B20" s="254">
        <v>356940</v>
      </c>
      <c r="C20" s="227">
        <f t="shared" si="0"/>
        <v>0.00972040558061409</v>
      </c>
      <c r="D20" s="254">
        <v>126049</v>
      </c>
      <c r="E20" s="227">
        <f t="shared" si="1"/>
        <v>0.0034326424694089354</v>
      </c>
      <c r="F20" s="254">
        <f>SUM('- 43 -'!B20,'- 43 -'!D20,'- 43 -'!F20,'- 43 -'!H20,B20,D20)</f>
        <v>10902201</v>
      </c>
      <c r="G20" s="227">
        <f t="shared" si="2"/>
        <v>0.29689531977748784</v>
      </c>
      <c r="I20" s="254">
        <f>SUM('- 42 -'!F20,F20)</f>
        <v>36720690</v>
      </c>
    </row>
    <row r="21" spans="1:9" ht="13.5" customHeight="1">
      <c r="A21" s="25" t="s">
        <v>368</v>
      </c>
      <c r="B21" s="253">
        <v>219368</v>
      </c>
      <c r="C21" s="226">
        <f t="shared" si="0"/>
        <v>0.008954813477580472</v>
      </c>
      <c r="D21" s="253">
        <v>71907</v>
      </c>
      <c r="E21" s="226">
        <f t="shared" si="1"/>
        <v>0.0029353131392563137</v>
      </c>
      <c r="F21" s="253">
        <f>SUM('- 43 -'!B21,'- 43 -'!D21,'- 43 -'!F21,'- 43 -'!H21,B21,D21)</f>
        <v>9015781</v>
      </c>
      <c r="G21" s="226">
        <f t="shared" si="2"/>
        <v>0.3680328817772599</v>
      </c>
      <c r="I21" s="253">
        <f>SUM('- 42 -'!F21,F21)</f>
        <v>24497216</v>
      </c>
    </row>
    <row r="22" spans="1:9" ht="13.5" customHeight="1">
      <c r="A22" s="27" t="s">
        <v>369</v>
      </c>
      <c r="B22" s="254">
        <v>0</v>
      </c>
      <c r="C22" s="227">
        <f t="shared" si="0"/>
        <v>0</v>
      </c>
      <c r="D22" s="254">
        <v>86833</v>
      </c>
      <c r="E22" s="227">
        <f t="shared" si="1"/>
        <v>0.006490901353444092</v>
      </c>
      <c r="F22" s="254">
        <f>SUM('- 43 -'!B22,'- 43 -'!D22,'- 43 -'!F22,'- 43 -'!H22,B22,D22)</f>
        <v>3917427</v>
      </c>
      <c r="G22" s="227">
        <f t="shared" si="2"/>
        <v>0.29283374081649177</v>
      </c>
      <c r="I22" s="254">
        <f>SUM('- 42 -'!F22,F22)</f>
        <v>13377649</v>
      </c>
    </row>
    <row r="23" spans="1:9" ht="13.5" customHeight="1">
      <c r="A23" s="25" t="s">
        <v>370</v>
      </c>
      <c r="B23" s="253">
        <v>143469</v>
      </c>
      <c r="C23" s="226">
        <f t="shared" si="0"/>
        <v>0.012609775997593869</v>
      </c>
      <c r="D23" s="253">
        <v>5617</v>
      </c>
      <c r="E23" s="226">
        <f t="shared" si="1"/>
        <v>0.0004936893111298243</v>
      </c>
      <c r="F23" s="253">
        <f>SUM('- 43 -'!B23,'- 43 -'!D23,'- 43 -'!F23,'- 43 -'!H23,B23,D23)</f>
        <v>3655640</v>
      </c>
      <c r="G23" s="226">
        <f t="shared" si="2"/>
        <v>0.3213014764711823</v>
      </c>
      <c r="I23" s="253">
        <f>SUM('- 42 -'!F23,F23)</f>
        <v>11377601</v>
      </c>
    </row>
    <row r="24" spans="1:9" ht="13.5" customHeight="1">
      <c r="A24" s="27" t="s">
        <v>371</v>
      </c>
      <c r="B24" s="254">
        <v>524291</v>
      </c>
      <c r="C24" s="227">
        <f t="shared" si="0"/>
        <v>0.014724198502453378</v>
      </c>
      <c r="D24" s="254">
        <v>145143</v>
      </c>
      <c r="E24" s="227">
        <f t="shared" si="1"/>
        <v>0.004076198796549226</v>
      </c>
      <c r="F24" s="254">
        <f>SUM('- 43 -'!B24,'- 43 -'!D24,'- 43 -'!F24,'- 43 -'!H24,B24,D24)</f>
        <v>14873044</v>
      </c>
      <c r="G24" s="227">
        <f t="shared" si="2"/>
        <v>0.4176948530333788</v>
      </c>
      <c r="I24" s="254">
        <f>SUM('- 42 -'!F24,F24)</f>
        <v>35607439</v>
      </c>
    </row>
    <row r="25" spans="1:9" ht="13.5" customHeight="1">
      <c r="A25" s="25" t="s">
        <v>372</v>
      </c>
      <c r="B25" s="253">
        <v>1739959</v>
      </c>
      <c r="C25" s="226">
        <f t="shared" si="0"/>
        <v>0.015302073971493692</v>
      </c>
      <c r="D25" s="253">
        <v>234349</v>
      </c>
      <c r="E25" s="226">
        <f t="shared" si="1"/>
        <v>0.002060982892784011</v>
      </c>
      <c r="F25" s="253">
        <f>SUM('- 43 -'!B25,'- 43 -'!D25,'- 43 -'!F25,'- 43 -'!H25,B25,D25)</f>
        <v>49986674</v>
      </c>
      <c r="G25" s="226">
        <f t="shared" si="2"/>
        <v>0.439607935093264</v>
      </c>
      <c r="I25" s="253">
        <f>SUM('- 42 -'!F25,F25)</f>
        <v>113707397</v>
      </c>
    </row>
    <row r="26" spans="1:9" ht="13.5" customHeight="1">
      <c r="A26" s="27" t="s">
        <v>373</v>
      </c>
      <c r="B26" s="254">
        <v>301900</v>
      </c>
      <c r="C26" s="227">
        <f t="shared" si="0"/>
        <v>0.011109346846577491</v>
      </c>
      <c r="D26" s="254">
        <v>83293</v>
      </c>
      <c r="E26" s="227">
        <f t="shared" si="1"/>
        <v>0.0030650242692679</v>
      </c>
      <c r="F26" s="254">
        <f>SUM('- 43 -'!B26,'- 43 -'!D26,'- 43 -'!F26,'- 43 -'!H26,B26,D26)</f>
        <v>10367588</v>
      </c>
      <c r="G26" s="227">
        <f t="shared" si="2"/>
        <v>0.3815075556621883</v>
      </c>
      <c r="I26" s="254">
        <f>SUM('- 42 -'!F26,F26)</f>
        <v>27175315</v>
      </c>
    </row>
    <row r="27" spans="1:9" ht="13.5" customHeight="1">
      <c r="A27" s="25" t="s">
        <v>374</v>
      </c>
      <c r="B27" s="253">
        <v>61557</v>
      </c>
      <c r="C27" s="226">
        <f t="shared" si="0"/>
        <v>0.002245541010425239</v>
      </c>
      <c r="D27" s="253">
        <v>53470</v>
      </c>
      <c r="E27" s="226">
        <f t="shared" si="1"/>
        <v>0.001950534916052399</v>
      </c>
      <c r="F27" s="253">
        <f>SUM('- 43 -'!B27,'- 43 -'!D27,'- 43 -'!F27,'- 43 -'!H27,B27,D27)</f>
        <v>8734904</v>
      </c>
      <c r="G27" s="226">
        <f t="shared" si="2"/>
        <v>0.31864101814785417</v>
      </c>
      <c r="I27" s="253">
        <f>SUM('- 42 -'!F27,F27)</f>
        <v>27412993</v>
      </c>
    </row>
    <row r="28" spans="1:9" ht="13.5" customHeight="1">
      <c r="A28" s="27" t="s">
        <v>375</v>
      </c>
      <c r="B28" s="254">
        <v>14593</v>
      </c>
      <c r="C28" s="227">
        <f t="shared" si="0"/>
        <v>0.0008611296596047927</v>
      </c>
      <c r="D28" s="254">
        <v>32179</v>
      </c>
      <c r="E28" s="227">
        <f t="shared" si="1"/>
        <v>0.0018988755784569743</v>
      </c>
      <c r="F28" s="254">
        <f>SUM('- 43 -'!B28,'- 43 -'!D28,'- 43 -'!F28,'- 43 -'!H28,B28,D28)</f>
        <v>7126030</v>
      </c>
      <c r="G28" s="227">
        <f t="shared" si="2"/>
        <v>0.4205054333059372</v>
      </c>
      <c r="I28" s="254">
        <f>SUM('- 42 -'!F28,F28)</f>
        <v>16946344.65</v>
      </c>
    </row>
    <row r="29" spans="1:9" ht="13.5" customHeight="1">
      <c r="A29" s="25" t="s">
        <v>376</v>
      </c>
      <c r="B29" s="253">
        <v>1456922</v>
      </c>
      <c r="C29" s="226">
        <f t="shared" si="0"/>
        <v>0.013320805437117928</v>
      </c>
      <c r="D29" s="253">
        <v>500203</v>
      </c>
      <c r="E29" s="226">
        <f t="shared" si="1"/>
        <v>0.0045734135678249755</v>
      </c>
      <c r="F29" s="253">
        <f>SUM('- 43 -'!B29,'- 43 -'!D29,'- 43 -'!F29,'- 43 -'!H29,B29,D29)</f>
        <v>59517904</v>
      </c>
      <c r="G29" s="226">
        <f t="shared" si="2"/>
        <v>0.5441790426728836</v>
      </c>
      <c r="I29" s="253">
        <f>SUM('- 42 -'!F29,F29)</f>
        <v>109371915</v>
      </c>
    </row>
    <row r="30" spans="1:9" ht="13.5" customHeight="1">
      <c r="A30" s="27" t="s">
        <v>377</v>
      </c>
      <c r="B30" s="254">
        <v>23102</v>
      </c>
      <c r="C30" s="227">
        <f t="shared" si="0"/>
        <v>0.002281241915129348</v>
      </c>
      <c r="D30" s="254">
        <v>15706</v>
      </c>
      <c r="E30" s="227">
        <f t="shared" si="1"/>
        <v>0.0015509127140083776</v>
      </c>
      <c r="F30" s="254">
        <f>SUM('- 43 -'!B30,'- 43 -'!D30,'- 43 -'!F30,'- 43 -'!H30,B30,D30)</f>
        <v>3666187</v>
      </c>
      <c r="G30" s="227">
        <f t="shared" si="2"/>
        <v>0.3620231777812449</v>
      </c>
      <c r="I30" s="254">
        <f>SUM('- 42 -'!F30,F30)</f>
        <v>10126940</v>
      </c>
    </row>
    <row r="31" spans="1:9" ht="13.5" customHeight="1">
      <c r="A31" s="25" t="s">
        <v>378</v>
      </c>
      <c r="B31" s="253">
        <v>25769</v>
      </c>
      <c r="C31" s="226">
        <f t="shared" si="0"/>
        <v>0.0010264522263545243</v>
      </c>
      <c r="D31" s="253">
        <v>116145</v>
      </c>
      <c r="E31" s="226">
        <f t="shared" si="1"/>
        <v>0.004626384175945758</v>
      </c>
      <c r="F31" s="253">
        <f>SUM('- 43 -'!B31,'- 43 -'!D31,'- 43 -'!F31,'- 43 -'!H31,B31,D31)</f>
        <v>9802284</v>
      </c>
      <c r="G31" s="226">
        <f t="shared" si="2"/>
        <v>0.3904527236275887</v>
      </c>
      <c r="I31" s="253">
        <f>SUM('- 42 -'!F31,F31)</f>
        <v>25104919</v>
      </c>
    </row>
    <row r="32" spans="1:9" ht="13.5" customHeight="1">
      <c r="A32" s="27" t="s">
        <v>379</v>
      </c>
      <c r="B32" s="254">
        <v>14689</v>
      </c>
      <c r="C32" s="227">
        <f t="shared" si="0"/>
        <v>0.0007582423952634137</v>
      </c>
      <c r="D32" s="254">
        <v>99333</v>
      </c>
      <c r="E32" s="227">
        <f t="shared" si="1"/>
        <v>0.005127543866069895</v>
      </c>
      <c r="F32" s="254">
        <f>SUM('- 43 -'!B32,'- 43 -'!D32,'- 43 -'!F32,'- 43 -'!H32,B32,D32)</f>
        <v>7942428</v>
      </c>
      <c r="G32" s="227">
        <f t="shared" si="2"/>
        <v>0.40998608693084654</v>
      </c>
      <c r="I32" s="254">
        <f>SUM('- 42 -'!F32,F32)</f>
        <v>19372433</v>
      </c>
    </row>
    <row r="33" spans="1:9" ht="13.5" customHeight="1">
      <c r="A33" s="25" t="s">
        <v>380</v>
      </c>
      <c r="B33" s="253">
        <v>197600</v>
      </c>
      <c r="C33" s="226">
        <f t="shared" si="0"/>
        <v>0.00892850889608883</v>
      </c>
      <c r="D33" s="253">
        <v>50892</v>
      </c>
      <c r="E33" s="226">
        <f t="shared" si="1"/>
        <v>0.0022995428883590724</v>
      </c>
      <c r="F33" s="253">
        <f>SUM('- 43 -'!B33,'- 43 -'!D33,'- 43 -'!F33,'- 43 -'!H33,B33,D33)</f>
        <v>8359721</v>
      </c>
      <c r="G33" s="226">
        <f t="shared" si="2"/>
        <v>0.37773200059372775</v>
      </c>
      <c r="I33" s="253">
        <f>SUM('- 42 -'!F33,F33)</f>
        <v>22131355</v>
      </c>
    </row>
    <row r="34" spans="1:9" ht="13.5" customHeight="1">
      <c r="A34" s="27" t="s">
        <v>381</v>
      </c>
      <c r="B34" s="254">
        <v>162065</v>
      </c>
      <c r="C34" s="227">
        <f t="shared" si="0"/>
        <v>0.008567748786933862</v>
      </c>
      <c r="D34" s="254">
        <v>131869</v>
      </c>
      <c r="E34" s="227">
        <f t="shared" si="1"/>
        <v>0.006971403231938922</v>
      </c>
      <c r="F34" s="254">
        <f>SUM('- 43 -'!B34,'- 43 -'!D34,'- 43 -'!F34,'- 43 -'!H34,B34,D34)</f>
        <v>7768780</v>
      </c>
      <c r="G34" s="227">
        <f t="shared" si="2"/>
        <v>0.410705306025089</v>
      </c>
      <c r="I34" s="254">
        <f>SUM('- 42 -'!F34,F34)</f>
        <v>18915704</v>
      </c>
    </row>
    <row r="35" spans="1:9" ht="13.5" customHeight="1">
      <c r="A35" s="25" t="s">
        <v>382</v>
      </c>
      <c r="B35" s="253">
        <v>1585196</v>
      </c>
      <c r="C35" s="226">
        <f t="shared" si="0"/>
        <v>0.012049584820367236</v>
      </c>
      <c r="D35" s="253">
        <v>327681</v>
      </c>
      <c r="E35" s="226">
        <f t="shared" si="1"/>
        <v>0.002490808709789046</v>
      </c>
      <c r="F35" s="253">
        <f>SUM('- 43 -'!B35,'- 43 -'!D35,'- 43 -'!F35,'- 43 -'!H35,B35,D35)</f>
        <v>54313423</v>
      </c>
      <c r="G35" s="226">
        <f t="shared" si="2"/>
        <v>0.41285380314042225</v>
      </c>
      <c r="I35" s="253">
        <f>SUM('- 42 -'!F35,F35)</f>
        <v>131556068</v>
      </c>
    </row>
    <row r="36" spans="1:9" ht="13.5" customHeight="1">
      <c r="A36" s="27" t="s">
        <v>383</v>
      </c>
      <c r="B36" s="254">
        <v>30715</v>
      </c>
      <c r="C36" s="227">
        <f t="shared" si="0"/>
        <v>0.0018136679528563248</v>
      </c>
      <c r="D36" s="254">
        <v>63082</v>
      </c>
      <c r="E36" s="227">
        <f t="shared" si="1"/>
        <v>0.0037248836660290635</v>
      </c>
      <c r="F36" s="254">
        <f>SUM('- 43 -'!B36,'- 43 -'!D36,'- 43 -'!F36,'- 43 -'!H36,B36,D36)</f>
        <v>7438405</v>
      </c>
      <c r="G36" s="227">
        <f t="shared" si="2"/>
        <v>0.43922502910194533</v>
      </c>
      <c r="I36" s="254">
        <f>SUM('- 42 -'!F36,F36)</f>
        <v>16935294</v>
      </c>
    </row>
    <row r="37" spans="1:9" ht="13.5" customHeight="1">
      <c r="A37" s="25" t="s">
        <v>384</v>
      </c>
      <c r="B37" s="253">
        <v>23076</v>
      </c>
      <c r="C37" s="226">
        <f t="shared" si="0"/>
        <v>0.0008498578561543762</v>
      </c>
      <c r="D37" s="253">
        <v>148499</v>
      </c>
      <c r="E37" s="226">
        <f t="shared" si="1"/>
        <v>0.005469017237869159</v>
      </c>
      <c r="F37" s="253">
        <f>SUM('- 43 -'!B37,'- 43 -'!D37,'- 43 -'!F37,'- 43 -'!H37,B37,D37)</f>
        <v>9741703</v>
      </c>
      <c r="G37" s="226">
        <f t="shared" si="2"/>
        <v>0.3587737401140863</v>
      </c>
      <c r="I37" s="253">
        <f>SUM('- 42 -'!F37,F37)</f>
        <v>27152776</v>
      </c>
    </row>
    <row r="38" spans="1:9" ht="13.5" customHeight="1">
      <c r="A38" s="27" t="s">
        <v>385</v>
      </c>
      <c r="B38" s="254">
        <v>548156</v>
      </c>
      <c r="C38" s="227">
        <f t="shared" si="0"/>
        <v>0.008162578497786307</v>
      </c>
      <c r="D38" s="254">
        <v>76539</v>
      </c>
      <c r="E38" s="227">
        <f t="shared" si="1"/>
        <v>0.00113974050387493</v>
      </c>
      <c r="F38" s="254">
        <f>SUM('- 43 -'!B38,'- 43 -'!D38,'- 43 -'!F38,'- 43 -'!H38,B38,D38)</f>
        <v>28516749</v>
      </c>
      <c r="G38" s="227">
        <f t="shared" si="2"/>
        <v>0.4246422591637585</v>
      </c>
      <c r="I38" s="254">
        <f>SUM('- 42 -'!F38,F38)</f>
        <v>67154760</v>
      </c>
    </row>
    <row r="39" spans="1:9" ht="13.5" customHeight="1">
      <c r="A39" s="25" t="s">
        <v>386</v>
      </c>
      <c r="B39" s="253">
        <v>44716</v>
      </c>
      <c r="C39" s="226">
        <f t="shared" si="0"/>
        <v>0.002882296328243507</v>
      </c>
      <c r="D39" s="253">
        <v>59679</v>
      </c>
      <c r="E39" s="226">
        <f t="shared" si="1"/>
        <v>0.003846778839190541</v>
      </c>
      <c r="F39" s="253">
        <f>SUM('- 43 -'!B39,'- 43 -'!D39,'- 43 -'!F39,'- 43 -'!H39,B39,D39)</f>
        <v>6860470</v>
      </c>
      <c r="G39" s="226">
        <f t="shared" si="2"/>
        <v>0.44221100928134743</v>
      </c>
      <c r="I39" s="253">
        <f>SUM('- 42 -'!F39,F39)</f>
        <v>15514019</v>
      </c>
    </row>
    <row r="40" spans="1:9" ht="13.5" customHeight="1">
      <c r="A40" s="27" t="s">
        <v>387</v>
      </c>
      <c r="B40" s="254">
        <v>1138479</v>
      </c>
      <c r="C40" s="227">
        <f t="shared" si="0"/>
        <v>0.016356886755642685</v>
      </c>
      <c r="D40" s="254">
        <v>495967</v>
      </c>
      <c r="E40" s="227">
        <f t="shared" si="1"/>
        <v>0.00712571426748832</v>
      </c>
      <c r="F40" s="254">
        <f>SUM('- 43 -'!B40,'- 43 -'!D40,'- 43 -'!F40,'- 43 -'!H40,B40,D40)</f>
        <v>35440986</v>
      </c>
      <c r="G40" s="227">
        <f t="shared" si="2"/>
        <v>0.5091918204115472</v>
      </c>
      <c r="I40" s="254">
        <f>SUM('- 42 -'!F40,F40)</f>
        <v>69602426</v>
      </c>
    </row>
    <row r="41" spans="1:9" ht="13.5" customHeight="1">
      <c r="A41" s="25" t="s">
        <v>388</v>
      </c>
      <c r="B41" s="253">
        <v>233456</v>
      </c>
      <c r="C41" s="226">
        <f t="shared" si="0"/>
        <v>0.0055826558693296575</v>
      </c>
      <c r="D41" s="253">
        <v>206055</v>
      </c>
      <c r="E41" s="226">
        <f t="shared" si="1"/>
        <v>0.004927413110627795</v>
      </c>
      <c r="F41" s="253">
        <f>SUM('- 43 -'!B41,'- 43 -'!D41,'- 43 -'!F41,'- 43 -'!H41,B41,D41)</f>
        <v>18295106</v>
      </c>
      <c r="G41" s="226">
        <f t="shared" si="2"/>
        <v>0.4374926362608296</v>
      </c>
      <c r="I41" s="253">
        <f>SUM('- 42 -'!F41,F41)</f>
        <v>41818089</v>
      </c>
    </row>
    <row r="42" spans="1:9" ht="13.5" customHeight="1">
      <c r="A42" s="27" t="s">
        <v>389</v>
      </c>
      <c r="B42" s="254">
        <v>286510</v>
      </c>
      <c r="C42" s="227">
        <f t="shared" si="0"/>
        <v>0.018257994492077136</v>
      </c>
      <c r="D42" s="254">
        <v>172221</v>
      </c>
      <c r="E42" s="227">
        <f t="shared" si="1"/>
        <v>0.01097487022938123</v>
      </c>
      <c r="F42" s="254">
        <f>SUM('- 43 -'!B42,'- 43 -'!D42,'- 43 -'!F42,'- 43 -'!H42,B42,D42)</f>
        <v>5854109</v>
      </c>
      <c r="G42" s="227">
        <f t="shared" si="2"/>
        <v>0.3730560534641694</v>
      </c>
      <c r="I42" s="254">
        <f>SUM('- 42 -'!F42,F42)</f>
        <v>15692304</v>
      </c>
    </row>
    <row r="43" spans="1:9" ht="13.5" customHeight="1">
      <c r="A43" s="25" t="s">
        <v>390</v>
      </c>
      <c r="B43" s="253">
        <v>28092</v>
      </c>
      <c r="C43" s="226">
        <f t="shared" si="0"/>
        <v>0.0029847190924804988</v>
      </c>
      <c r="D43" s="253">
        <v>38988</v>
      </c>
      <c r="E43" s="226">
        <f t="shared" si="1"/>
        <v>0.004142397407718557</v>
      </c>
      <c r="F43" s="253">
        <f>SUM('- 43 -'!B43,'- 43 -'!D43,'- 43 -'!F43,'- 43 -'!H43,B43,D43)</f>
        <v>3797720</v>
      </c>
      <c r="G43" s="226">
        <f t="shared" si="2"/>
        <v>0.4035001919370298</v>
      </c>
      <c r="I43" s="253">
        <f>SUM('- 42 -'!F43,F43)</f>
        <v>9411941</v>
      </c>
    </row>
    <row r="44" spans="1:9" ht="13.5" customHeight="1">
      <c r="A44" s="27" t="s">
        <v>391</v>
      </c>
      <c r="B44" s="254">
        <v>16999</v>
      </c>
      <c r="C44" s="227">
        <f t="shared" si="0"/>
        <v>0.0023964729737369177</v>
      </c>
      <c r="D44" s="254">
        <v>10918</v>
      </c>
      <c r="E44" s="227">
        <f t="shared" si="1"/>
        <v>0.001539190065725023</v>
      </c>
      <c r="F44" s="254">
        <f>SUM('- 43 -'!B44,'- 43 -'!D44,'- 43 -'!F44,'- 43 -'!H44,B44,D44)</f>
        <v>2103717</v>
      </c>
      <c r="G44" s="227">
        <f t="shared" si="2"/>
        <v>0.2965763241891233</v>
      </c>
      <c r="I44" s="254">
        <f>SUM('- 42 -'!F44,F44)</f>
        <v>7093341</v>
      </c>
    </row>
    <row r="45" spans="1:9" ht="13.5" customHeight="1">
      <c r="A45" s="25" t="s">
        <v>392</v>
      </c>
      <c r="B45" s="253">
        <v>213685</v>
      </c>
      <c r="C45" s="226">
        <f t="shared" si="0"/>
        <v>0.020067326521420487</v>
      </c>
      <c r="D45" s="253">
        <v>42781</v>
      </c>
      <c r="E45" s="226">
        <f t="shared" si="1"/>
        <v>0.004017597378912371</v>
      </c>
      <c r="F45" s="253">
        <f>SUM('- 43 -'!B45,'- 43 -'!D45,'- 43 -'!F45,'- 43 -'!H45,B45,D45)</f>
        <v>4086604</v>
      </c>
      <c r="G45" s="226">
        <f t="shared" si="2"/>
        <v>0.3837761978226972</v>
      </c>
      <c r="I45" s="253">
        <f>SUM('- 42 -'!F45,F45)</f>
        <v>10648404</v>
      </c>
    </row>
    <row r="46" spans="1:9" ht="13.5" customHeight="1">
      <c r="A46" s="27" t="s">
        <v>393</v>
      </c>
      <c r="B46" s="254">
        <v>951754</v>
      </c>
      <c r="C46" s="227">
        <f t="shared" si="0"/>
        <v>0.003589875921811575</v>
      </c>
      <c r="D46" s="254">
        <v>1099568</v>
      </c>
      <c r="E46" s="227">
        <f t="shared" si="1"/>
        <v>0.004147408561029961</v>
      </c>
      <c r="F46" s="254">
        <f>SUM('- 43 -'!B46,'- 43 -'!D46,'- 43 -'!F46,'- 43 -'!H46,B46,D46)</f>
        <v>122793458</v>
      </c>
      <c r="G46" s="227">
        <f t="shared" si="2"/>
        <v>0.46315883960580245</v>
      </c>
      <c r="I46" s="254">
        <f>SUM('- 42 -'!F46,F46)</f>
        <v>265121698</v>
      </c>
    </row>
    <row r="47" spans="1:9" ht="13.5" customHeight="1">
      <c r="A47" s="25" t="s">
        <v>397</v>
      </c>
      <c r="B47" s="253">
        <v>1848619</v>
      </c>
      <c r="C47" s="226">
        <f t="shared" si="0"/>
        <v>0.1828003507642214</v>
      </c>
      <c r="D47" s="253">
        <v>83115</v>
      </c>
      <c r="E47" s="226">
        <f t="shared" si="1"/>
        <v>0.008218811531077124</v>
      </c>
      <c r="F47" s="253">
        <f>SUM('- 43 -'!B47,'- 43 -'!D47,'- 43 -'!F47,'- 43 -'!H47,B47,D47)</f>
        <v>5281898</v>
      </c>
      <c r="G47" s="226">
        <f t="shared" si="2"/>
        <v>0.5222995149897516</v>
      </c>
      <c r="I47" s="253">
        <f>SUM('- 42 -'!F47,F47)</f>
        <v>10112776</v>
      </c>
    </row>
    <row r="48" spans="1:9" ht="4.5" customHeight="1">
      <c r="A48" s="29"/>
      <c r="B48" s="255"/>
      <c r="C48" s="215"/>
      <c r="D48" s="255"/>
      <c r="E48" s="215"/>
      <c r="F48" s="255"/>
      <c r="G48" s="215"/>
      <c r="I48" s="255"/>
    </row>
    <row r="49" spans="1:9" ht="13.5" customHeight="1">
      <c r="A49" s="31" t="s">
        <v>394</v>
      </c>
      <c r="B49" s="256">
        <f>SUM(B11:B47)</f>
        <v>17260223</v>
      </c>
      <c r="C49" s="228">
        <f>B49/$I49</f>
        <v>0.011880831147949992</v>
      </c>
      <c r="D49" s="256">
        <f>SUM(D11:D47)</f>
        <v>5475666</v>
      </c>
      <c r="E49" s="228">
        <f>D49/$I49</f>
        <v>0.00376909748898208</v>
      </c>
      <c r="F49" s="256">
        <f>SUM(F11:F47)</f>
        <v>630902581</v>
      </c>
      <c r="G49" s="228">
        <f>F49/$I49</f>
        <v>0.4342728964548629</v>
      </c>
      <c r="I49" s="256">
        <f>SUM(I11:I47)</f>
        <v>1452779084.65</v>
      </c>
    </row>
    <row r="50" spans="1:9" ht="4.5" customHeight="1">
      <c r="A50" s="29" t="s">
        <v>78</v>
      </c>
      <c r="B50" s="255"/>
      <c r="C50" s="215"/>
      <c r="D50" s="255"/>
      <c r="E50" s="215"/>
      <c r="F50" s="255"/>
      <c r="G50" s="215"/>
      <c r="I50" s="255"/>
    </row>
    <row r="51" spans="1:9" ht="13.5" customHeight="1">
      <c r="A51" s="27" t="s">
        <v>395</v>
      </c>
      <c r="B51" s="254">
        <v>770723</v>
      </c>
      <c r="C51" s="227">
        <f>B51/I51</f>
        <v>0.6044924203445983</v>
      </c>
      <c r="D51" s="254">
        <v>14817</v>
      </c>
      <c r="E51" s="227">
        <f>D51/I51</f>
        <v>0.011621249388231456</v>
      </c>
      <c r="F51" s="254">
        <f>SUM('- 43 -'!B51,'- 43 -'!D51,'- 43 -'!F51,'- 43 -'!H51,B51,D51)</f>
        <v>1085188</v>
      </c>
      <c r="G51" s="227">
        <f>F51/I51</f>
        <v>0.8511331835807597</v>
      </c>
      <c r="I51" s="254">
        <f>SUM('- 42 -'!F51,F51)</f>
        <v>1274992</v>
      </c>
    </row>
    <row r="52" spans="1:9" ht="13.5" customHeight="1">
      <c r="A52" s="25" t="s">
        <v>396</v>
      </c>
      <c r="B52" s="253">
        <v>26732</v>
      </c>
      <c r="C52" s="226">
        <f>B52/I52</f>
        <v>0.010964644231502802</v>
      </c>
      <c r="D52" s="253">
        <v>4927</v>
      </c>
      <c r="E52" s="226">
        <f>D52/I52</f>
        <v>0.002020903865352922</v>
      </c>
      <c r="F52" s="253">
        <f>SUM('- 43 -'!B52,'- 43 -'!D52,'- 43 -'!F52,'- 43 -'!H52,B52,D52)</f>
        <v>1902973</v>
      </c>
      <c r="G52" s="226">
        <f>F52/I52</f>
        <v>0.7805409968261104</v>
      </c>
      <c r="I52" s="253">
        <f>SUM('- 42 -'!F52,F52)</f>
        <v>2438018</v>
      </c>
    </row>
    <row r="53"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H55"/>
  <sheetViews>
    <sheetView showGridLines="0" showZeros="0" workbookViewId="0" topLeftCell="A1">
      <selection activeCell="A1" sqref="A1"/>
    </sheetView>
  </sheetViews>
  <sheetFormatPr defaultColWidth="12.83203125" defaultRowHeight="12"/>
  <cols>
    <col min="1" max="1" width="29.83203125" style="1" customWidth="1"/>
    <col min="2" max="8" width="14.83203125" style="1" customWidth="1"/>
    <col min="9" max="16384" width="12.83203125" style="1" customWidth="1"/>
  </cols>
  <sheetData>
    <row r="1" spans="1:8" ht="6.75" customHeight="1">
      <c r="A1" s="5"/>
      <c r="B1" s="130"/>
      <c r="C1" s="130"/>
      <c r="D1" s="130"/>
      <c r="E1" s="130"/>
      <c r="F1" s="130"/>
      <c r="G1" s="130"/>
      <c r="H1" s="130"/>
    </row>
    <row r="2" spans="1:8" ht="15.75" customHeight="1">
      <c r="A2" s="91"/>
      <c r="B2" s="131" t="s">
        <v>275</v>
      </c>
      <c r="C2" s="132"/>
      <c r="D2" s="132"/>
      <c r="E2" s="132"/>
      <c r="F2" s="132"/>
      <c r="G2" s="132"/>
      <c r="H2" s="133" t="s">
        <v>276</v>
      </c>
    </row>
    <row r="3" spans="1:8" ht="15.75" customHeight="1">
      <c r="A3" s="93"/>
      <c r="B3" s="134" t="s">
        <v>593</v>
      </c>
      <c r="C3" s="135"/>
      <c r="D3" s="136"/>
      <c r="E3" s="135"/>
      <c r="F3" s="136"/>
      <c r="G3" s="135"/>
      <c r="H3" s="137"/>
    </row>
    <row r="4" spans="2:8" ht="15.75" customHeight="1">
      <c r="B4" s="130"/>
      <c r="C4" s="130"/>
      <c r="D4" s="130"/>
      <c r="E4" s="130"/>
      <c r="F4" s="130"/>
      <c r="G4" s="138"/>
      <c r="H4" s="130"/>
    </row>
    <row r="5" spans="2:8" ht="15.75" customHeight="1">
      <c r="B5" s="130"/>
      <c r="C5" s="130"/>
      <c r="D5" s="130"/>
      <c r="E5" s="130"/>
      <c r="F5" s="130"/>
      <c r="G5" s="130"/>
      <c r="H5" s="130"/>
    </row>
    <row r="6" spans="2:8" ht="15.75" customHeight="1">
      <c r="B6" s="139" t="s">
        <v>137</v>
      </c>
      <c r="C6" s="120"/>
      <c r="D6" s="120"/>
      <c r="E6" s="120"/>
      <c r="F6" s="120"/>
      <c r="G6" s="120"/>
      <c r="H6" s="140"/>
    </row>
    <row r="7" spans="2:8" ht="15.75" customHeight="1">
      <c r="B7" s="141" t="s">
        <v>531</v>
      </c>
      <c r="C7" s="142"/>
      <c r="D7" s="142"/>
      <c r="E7" s="143" t="s">
        <v>532</v>
      </c>
      <c r="F7" s="142"/>
      <c r="G7" s="142"/>
      <c r="H7" s="144"/>
    </row>
    <row r="8" spans="1:8" ht="15.75" customHeight="1">
      <c r="A8" s="145"/>
      <c r="B8" s="146" t="s">
        <v>160</v>
      </c>
      <c r="C8" s="147" t="s">
        <v>78</v>
      </c>
      <c r="D8" s="148" t="s">
        <v>161</v>
      </c>
      <c r="E8" s="149" t="s">
        <v>160</v>
      </c>
      <c r="F8" s="147" t="s">
        <v>78</v>
      </c>
      <c r="G8" s="148" t="s">
        <v>161</v>
      </c>
      <c r="H8" s="150" t="s">
        <v>132</v>
      </c>
    </row>
    <row r="9" spans="1:8" ht="15.75" customHeight="1">
      <c r="A9" s="151" t="s">
        <v>175</v>
      </c>
      <c r="B9" s="152" t="s">
        <v>179</v>
      </c>
      <c r="C9" s="153" t="s">
        <v>115</v>
      </c>
      <c r="D9" s="153" t="s">
        <v>180</v>
      </c>
      <c r="E9" s="154" t="s">
        <v>179</v>
      </c>
      <c r="F9" s="153" t="s">
        <v>115</v>
      </c>
      <c r="G9" s="153" t="s">
        <v>180</v>
      </c>
      <c r="H9" s="155" t="s">
        <v>181</v>
      </c>
    </row>
    <row r="10" spans="1:8" ht="4.5" customHeight="1">
      <c r="A10" s="4"/>
      <c r="B10" s="125"/>
      <c r="C10" s="125"/>
      <c r="D10" s="125"/>
      <c r="E10" s="125"/>
      <c r="F10" s="125"/>
      <c r="G10" s="125"/>
      <c r="H10" s="125"/>
    </row>
    <row r="11" spans="1:8" ht="13.5" customHeight="1">
      <c r="A11" s="25" t="s">
        <v>359</v>
      </c>
      <c r="B11" s="100">
        <v>1523</v>
      </c>
      <c r="C11" s="100">
        <v>0</v>
      </c>
      <c r="D11" s="156">
        <v>0</v>
      </c>
      <c r="E11" s="157">
        <v>0</v>
      </c>
      <c r="F11" s="100">
        <v>0</v>
      </c>
      <c r="G11" s="100">
        <v>0</v>
      </c>
      <c r="H11" s="100">
        <v>0</v>
      </c>
    </row>
    <row r="12" spans="1:8" ht="13.5" customHeight="1">
      <c r="A12" s="27" t="s">
        <v>360</v>
      </c>
      <c r="B12" s="101">
        <v>2226.6</v>
      </c>
      <c r="C12" s="101">
        <v>0</v>
      </c>
      <c r="D12" s="158">
        <v>30.2</v>
      </c>
      <c r="E12" s="159">
        <v>0</v>
      </c>
      <c r="F12" s="101">
        <v>0</v>
      </c>
      <c r="G12" s="101">
        <v>0</v>
      </c>
      <c r="H12" s="101">
        <v>0</v>
      </c>
    </row>
    <row r="13" spans="1:8" ht="13.5" customHeight="1">
      <c r="A13" s="25" t="s">
        <v>361</v>
      </c>
      <c r="B13" s="100">
        <v>5511.3</v>
      </c>
      <c r="C13" s="100">
        <v>0</v>
      </c>
      <c r="D13" s="156">
        <v>0</v>
      </c>
      <c r="E13" s="157">
        <v>616.5</v>
      </c>
      <c r="F13" s="100">
        <v>0</v>
      </c>
      <c r="G13" s="100">
        <v>433.5</v>
      </c>
      <c r="H13" s="100">
        <v>0</v>
      </c>
    </row>
    <row r="14" spans="1:8" ht="13.5" customHeight="1">
      <c r="A14" s="27" t="s">
        <v>398</v>
      </c>
      <c r="B14" s="101">
        <v>0</v>
      </c>
      <c r="C14" s="101">
        <v>4200.2</v>
      </c>
      <c r="D14" s="158">
        <v>0</v>
      </c>
      <c r="E14" s="159">
        <v>0</v>
      </c>
      <c r="F14" s="101">
        <v>0</v>
      </c>
      <c r="G14" s="101">
        <v>0</v>
      </c>
      <c r="H14" s="101">
        <v>0</v>
      </c>
    </row>
    <row r="15" spans="1:8" ht="13.5" customHeight="1">
      <c r="A15" s="25" t="s">
        <v>362</v>
      </c>
      <c r="B15" s="100">
        <v>1661.5</v>
      </c>
      <c r="C15" s="100">
        <v>0</v>
      </c>
      <c r="D15" s="156">
        <v>0</v>
      </c>
      <c r="E15" s="157">
        <v>0</v>
      </c>
      <c r="F15" s="100">
        <v>0</v>
      </c>
      <c r="G15" s="100">
        <v>0</v>
      </c>
      <c r="H15" s="100">
        <v>0</v>
      </c>
    </row>
    <row r="16" spans="1:8" ht="13.5" customHeight="1">
      <c r="A16" s="27" t="s">
        <v>363</v>
      </c>
      <c r="B16" s="101">
        <v>970.9</v>
      </c>
      <c r="C16" s="101">
        <v>0</v>
      </c>
      <c r="D16" s="158">
        <v>0</v>
      </c>
      <c r="E16" s="159">
        <v>301</v>
      </c>
      <c r="F16" s="101">
        <v>0</v>
      </c>
      <c r="G16" s="101">
        <v>100</v>
      </c>
      <c r="H16" s="101">
        <v>0</v>
      </c>
    </row>
    <row r="17" spans="1:8" ht="13.5" customHeight="1">
      <c r="A17" s="25" t="s">
        <v>364</v>
      </c>
      <c r="B17" s="100">
        <v>1549</v>
      </c>
      <c r="C17" s="100">
        <v>0</v>
      </c>
      <c r="D17" s="156">
        <v>0</v>
      </c>
      <c r="E17" s="157">
        <v>0</v>
      </c>
      <c r="F17" s="100">
        <v>0</v>
      </c>
      <c r="G17" s="100">
        <v>0</v>
      </c>
      <c r="H17" s="100">
        <v>0</v>
      </c>
    </row>
    <row r="18" spans="1:8" ht="13.5" customHeight="1">
      <c r="A18" s="27" t="s">
        <v>365</v>
      </c>
      <c r="B18" s="101">
        <v>5835.1</v>
      </c>
      <c r="C18" s="101">
        <v>0</v>
      </c>
      <c r="D18" s="158">
        <v>0</v>
      </c>
      <c r="E18" s="159">
        <v>0</v>
      </c>
      <c r="F18" s="101">
        <v>0</v>
      </c>
      <c r="G18" s="101">
        <v>0</v>
      </c>
      <c r="H18" s="101">
        <v>0</v>
      </c>
    </row>
    <row r="19" spans="1:8" ht="13.5" customHeight="1">
      <c r="A19" s="25" t="s">
        <v>366</v>
      </c>
      <c r="B19" s="100">
        <v>2850.22</v>
      </c>
      <c r="C19" s="100">
        <v>0</v>
      </c>
      <c r="D19" s="156">
        <v>0</v>
      </c>
      <c r="E19" s="157">
        <v>0</v>
      </c>
      <c r="F19" s="100">
        <v>0</v>
      </c>
      <c r="G19" s="100">
        <v>0</v>
      </c>
      <c r="H19" s="100">
        <v>0</v>
      </c>
    </row>
    <row r="20" spans="1:8" ht="13.5" customHeight="1">
      <c r="A20" s="27" t="s">
        <v>367</v>
      </c>
      <c r="B20" s="101">
        <v>6014.9</v>
      </c>
      <c r="C20" s="101">
        <v>0</v>
      </c>
      <c r="D20" s="158">
        <v>0</v>
      </c>
      <c r="E20" s="159">
        <v>0</v>
      </c>
      <c r="F20" s="101">
        <v>0</v>
      </c>
      <c r="G20" s="101">
        <v>0</v>
      </c>
      <c r="H20" s="101">
        <v>0</v>
      </c>
    </row>
    <row r="21" spans="1:8" ht="13.5" customHeight="1">
      <c r="A21" s="25" t="s">
        <v>368</v>
      </c>
      <c r="B21" s="100">
        <v>3298.5</v>
      </c>
      <c r="C21" s="100">
        <v>0</v>
      </c>
      <c r="D21" s="156">
        <v>0</v>
      </c>
      <c r="E21" s="157">
        <v>0</v>
      </c>
      <c r="F21" s="100">
        <v>0</v>
      </c>
      <c r="G21" s="100">
        <v>0</v>
      </c>
      <c r="H21" s="100">
        <v>0</v>
      </c>
    </row>
    <row r="22" spans="1:8" ht="13.5" customHeight="1">
      <c r="A22" s="27" t="s">
        <v>369</v>
      </c>
      <c r="B22" s="101">
        <v>1133.5</v>
      </c>
      <c r="C22" s="101">
        <v>0</v>
      </c>
      <c r="D22" s="158">
        <v>0</v>
      </c>
      <c r="E22" s="159">
        <v>366.5</v>
      </c>
      <c r="F22" s="101">
        <v>0</v>
      </c>
      <c r="G22" s="101">
        <v>140</v>
      </c>
      <c r="H22" s="101">
        <v>0</v>
      </c>
    </row>
    <row r="23" spans="1:8" ht="13.5" customHeight="1">
      <c r="A23" s="25" t="s">
        <v>370</v>
      </c>
      <c r="B23" s="100">
        <v>1287.5</v>
      </c>
      <c r="C23" s="100">
        <v>0</v>
      </c>
      <c r="D23" s="156">
        <v>0</v>
      </c>
      <c r="E23" s="157">
        <v>0</v>
      </c>
      <c r="F23" s="100">
        <v>0</v>
      </c>
      <c r="G23" s="100">
        <v>0</v>
      </c>
      <c r="H23" s="100">
        <v>0</v>
      </c>
    </row>
    <row r="24" spans="1:8" ht="13.5" customHeight="1">
      <c r="A24" s="27" t="s">
        <v>371</v>
      </c>
      <c r="B24" s="101">
        <v>3007.5</v>
      </c>
      <c r="C24" s="101">
        <v>0</v>
      </c>
      <c r="D24" s="158">
        <v>202</v>
      </c>
      <c r="E24" s="159">
        <v>960</v>
      </c>
      <c r="F24" s="101">
        <v>0</v>
      </c>
      <c r="G24" s="101">
        <v>64</v>
      </c>
      <c r="H24" s="101">
        <v>107</v>
      </c>
    </row>
    <row r="25" spans="1:8" ht="13.5" customHeight="1">
      <c r="A25" s="25" t="s">
        <v>372</v>
      </c>
      <c r="B25" s="100">
        <v>10972.5</v>
      </c>
      <c r="C25" s="100">
        <v>369</v>
      </c>
      <c r="D25" s="156">
        <v>3275</v>
      </c>
      <c r="E25" s="157">
        <v>0</v>
      </c>
      <c r="F25" s="100">
        <v>0</v>
      </c>
      <c r="G25" s="100">
        <v>0</v>
      </c>
      <c r="H25" s="100">
        <v>0</v>
      </c>
    </row>
    <row r="26" spans="1:8" ht="13.5" customHeight="1">
      <c r="A26" s="27" t="s">
        <v>373</v>
      </c>
      <c r="B26" s="101">
        <v>2631.5</v>
      </c>
      <c r="C26" s="101">
        <v>0</v>
      </c>
      <c r="D26" s="158">
        <v>111</v>
      </c>
      <c r="E26" s="159">
        <v>226</v>
      </c>
      <c r="F26" s="101">
        <v>0</v>
      </c>
      <c r="G26" s="101">
        <v>40</v>
      </c>
      <c r="H26" s="101">
        <v>94</v>
      </c>
    </row>
    <row r="27" spans="1:8" ht="13.5" customHeight="1">
      <c r="A27" s="25" t="s">
        <v>374</v>
      </c>
      <c r="B27" s="100">
        <v>2518.1</v>
      </c>
      <c r="C27" s="100">
        <v>0</v>
      </c>
      <c r="D27" s="156">
        <v>0</v>
      </c>
      <c r="E27" s="157">
        <v>232</v>
      </c>
      <c r="F27" s="100">
        <v>0</v>
      </c>
      <c r="G27" s="100">
        <v>227</v>
      </c>
      <c r="H27" s="100">
        <v>0</v>
      </c>
    </row>
    <row r="28" spans="1:8" ht="13.5" customHeight="1">
      <c r="A28" s="27" t="s">
        <v>375</v>
      </c>
      <c r="B28" s="101">
        <v>2083</v>
      </c>
      <c r="C28" s="101">
        <v>0</v>
      </c>
      <c r="D28" s="158">
        <v>0</v>
      </c>
      <c r="E28" s="159">
        <v>0</v>
      </c>
      <c r="F28" s="101">
        <v>0</v>
      </c>
      <c r="G28" s="101">
        <v>0</v>
      </c>
      <c r="H28" s="101">
        <v>0</v>
      </c>
    </row>
    <row r="29" spans="1:8" ht="13.5" customHeight="1">
      <c r="A29" s="25" t="s">
        <v>376</v>
      </c>
      <c r="B29" s="100">
        <v>8865.5</v>
      </c>
      <c r="C29" s="100">
        <v>0</v>
      </c>
      <c r="D29" s="156">
        <v>1245</v>
      </c>
      <c r="E29" s="157">
        <v>2300.5</v>
      </c>
      <c r="F29" s="100">
        <v>0</v>
      </c>
      <c r="G29" s="100">
        <v>700</v>
      </c>
      <c r="H29" s="100">
        <v>0</v>
      </c>
    </row>
    <row r="30" spans="1:8" ht="13.5" customHeight="1">
      <c r="A30" s="27" t="s">
        <v>377</v>
      </c>
      <c r="B30" s="101">
        <v>1274.5</v>
      </c>
      <c r="C30" s="101">
        <v>0</v>
      </c>
      <c r="D30" s="158">
        <v>0</v>
      </c>
      <c r="E30" s="159">
        <v>0</v>
      </c>
      <c r="F30" s="101">
        <v>0</v>
      </c>
      <c r="G30" s="101">
        <v>0</v>
      </c>
      <c r="H30" s="101">
        <v>0</v>
      </c>
    </row>
    <row r="31" spans="1:8" ht="13.5" customHeight="1">
      <c r="A31" s="25" t="s">
        <v>378</v>
      </c>
      <c r="B31" s="100">
        <v>2766.4</v>
      </c>
      <c r="C31" s="100">
        <v>0</v>
      </c>
      <c r="D31" s="156">
        <v>0</v>
      </c>
      <c r="E31" s="157">
        <v>288</v>
      </c>
      <c r="F31" s="100">
        <v>0</v>
      </c>
      <c r="G31" s="100">
        <v>182</v>
      </c>
      <c r="H31" s="100">
        <v>0</v>
      </c>
    </row>
    <row r="32" spans="1:8" ht="13.5" customHeight="1">
      <c r="A32" s="27" t="s">
        <v>379</v>
      </c>
      <c r="B32" s="101">
        <v>2027.5</v>
      </c>
      <c r="C32" s="101">
        <v>0</v>
      </c>
      <c r="D32" s="158">
        <v>102.5</v>
      </c>
      <c r="E32" s="159">
        <v>122</v>
      </c>
      <c r="F32" s="101">
        <v>0</v>
      </c>
      <c r="G32" s="101">
        <v>70</v>
      </c>
      <c r="H32" s="101">
        <v>0</v>
      </c>
    </row>
    <row r="33" spans="1:8" ht="13.5" customHeight="1">
      <c r="A33" s="25" t="s">
        <v>380</v>
      </c>
      <c r="B33" s="100">
        <v>2085.2</v>
      </c>
      <c r="C33" s="100">
        <v>0</v>
      </c>
      <c r="D33" s="156">
        <v>54</v>
      </c>
      <c r="E33" s="157">
        <v>163.1</v>
      </c>
      <c r="F33" s="100">
        <v>154</v>
      </c>
      <c r="G33" s="100">
        <v>68</v>
      </c>
      <c r="H33" s="100">
        <v>0</v>
      </c>
    </row>
    <row r="34" spans="1:8" ht="13.5" customHeight="1">
      <c r="A34" s="27" t="s">
        <v>381</v>
      </c>
      <c r="B34" s="101">
        <v>1793.9</v>
      </c>
      <c r="C34" s="101">
        <v>114</v>
      </c>
      <c r="D34" s="158">
        <v>249.3</v>
      </c>
      <c r="E34" s="159">
        <v>0</v>
      </c>
      <c r="F34" s="101">
        <v>0</v>
      </c>
      <c r="G34" s="101">
        <v>0</v>
      </c>
      <c r="H34" s="101">
        <v>0</v>
      </c>
    </row>
    <row r="35" spans="1:8" ht="13.5" customHeight="1">
      <c r="A35" s="25" t="s">
        <v>382</v>
      </c>
      <c r="B35" s="100">
        <v>11098</v>
      </c>
      <c r="C35" s="100">
        <v>0</v>
      </c>
      <c r="D35" s="156">
        <v>1026</v>
      </c>
      <c r="E35" s="157">
        <v>3312.5</v>
      </c>
      <c r="F35" s="100">
        <v>0</v>
      </c>
      <c r="G35" s="100">
        <v>1169.5</v>
      </c>
      <c r="H35" s="100">
        <v>611.5</v>
      </c>
    </row>
    <row r="36" spans="1:8" ht="13.5" customHeight="1">
      <c r="A36" s="27" t="s">
        <v>383</v>
      </c>
      <c r="B36" s="101">
        <v>2073.9</v>
      </c>
      <c r="C36" s="101">
        <v>0</v>
      </c>
      <c r="D36" s="158">
        <v>0</v>
      </c>
      <c r="E36" s="159">
        <v>0</v>
      </c>
      <c r="F36" s="101">
        <v>0</v>
      </c>
      <c r="G36" s="101">
        <v>0</v>
      </c>
      <c r="H36" s="101">
        <v>0</v>
      </c>
    </row>
    <row r="37" spans="1:8" ht="13.5" customHeight="1">
      <c r="A37" s="25" t="s">
        <v>384</v>
      </c>
      <c r="B37" s="100">
        <v>1566.8</v>
      </c>
      <c r="C37" s="100">
        <v>0</v>
      </c>
      <c r="D37" s="156">
        <v>604</v>
      </c>
      <c r="E37" s="157">
        <v>778.5</v>
      </c>
      <c r="F37" s="100">
        <v>0</v>
      </c>
      <c r="G37" s="100">
        <v>420</v>
      </c>
      <c r="H37" s="100">
        <v>0</v>
      </c>
    </row>
    <row r="38" spans="1:8" ht="13.5" customHeight="1">
      <c r="A38" s="27" t="s">
        <v>385</v>
      </c>
      <c r="B38" s="101">
        <v>4493</v>
      </c>
      <c r="C38" s="101">
        <v>0</v>
      </c>
      <c r="D38" s="158">
        <v>198.5</v>
      </c>
      <c r="E38" s="159">
        <v>2734.5</v>
      </c>
      <c r="F38" s="101">
        <v>0</v>
      </c>
      <c r="G38" s="101">
        <v>742</v>
      </c>
      <c r="H38" s="101">
        <v>156.5</v>
      </c>
    </row>
    <row r="39" spans="1:8" ht="13.5" customHeight="1">
      <c r="A39" s="25" t="s">
        <v>386</v>
      </c>
      <c r="B39" s="100">
        <v>1820</v>
      </c>
      <c r="C39" s="100">
        <v>0</v>
      </c>
      <c r="D39" s="156">
        <v>0</v>
      </c>
      <c r="E39" s="157">
        <v>0</v>
      </c>
      <c r="F39" s="100">
        <v>0</v>
      </c>
      <c r="G39" s="100">
        <v>0</v>
      </c>
      <c r="H39" s="100">
        <v>0</v>
      </c>
    </row>
    <row r="40" spans="1:8" ht="13.5" customHeight="1">
      <c r="A40" s="27" t="s">
        <v>387</v>
      </c>
      <c r="B40" s="101">
        <v>6049.54</v>
      </c>
      <c r="C40" s="101">
        <v>0</v>
      </c>
      <c r="D40" s="158">
        <v>748</v>
      </c>
      <c r="E40" s="159">
        <v>899.49</v>
      </c>
      <c r="F40" s="101">
        <v>0</v>
      </c>
      <c r="G40" s="101">
        <v>517</v>
      </c>
      <c r="H40" s="101">
        <v>0</v>
      </c>
    </row>
    <row r="41" spans="1:8" ht="13.5" customHeight="1">
      <c r="A41" s="25" t="s">
        <v>388</v>
      </c>
      <c r="B41" s="100">
        <v>3148.6</v>
      </c>
      <c r="C41" s="100">
        <v>0</v>
      </c>
      <c r="D41" s="156">
        <v>0</v>
      </c>
      <c r="E41" s="157">
        <v>1114</v>
      </c>
      <c r="F41" s="100">
        <v>0</v>
      </c>
      <c r="G41" s="100">
        <v>428</v>
      </c>
      <c r="H41" s="100">
        <v>70</v>
      </c>
    </row>
    <row r="42" spans="1:8" ht="13.5" customHeight="1">
      <c r="A42" s="27" t="s">
        <v>389</v>
      </c>
      <c r="B42" s="101">
        <v>1428.9</v>
      </c>
      <c r="C42" s="101">
        <v>0</v>
      </c>
      <c r="D42" s="158">
        <v>0</v>
      </c>
      <c r="E42" s="159">
        <v>196</v>
      </c>
      <c r="F42" s="101">
        <v>0</v>
      </c>
      <c r="G42" s="101">
        <v>106</v>
      </c>
      <c r="H42" s="101">
        <v>0</v>
      </c>
    </row>
    <row r="43" spans="1:8" ht="13.5" customHeight="1">
      <c r="A43" s="25" t="s">
        <v>390</v>
      </c>
      <c r="B43" s="100">
        <v>1209</v>
      </c>
      <c r="C43" s="100">
        <v>0</v>
      </c>
      <c r="D43" s="156">
        <v>0</v>
      </c>
      <c r="E43" s="157">
        <v>0</v>
      </c>
      <c r="F43" s="100">
        <v>0</v>
      </c>
      <c r="G43" s="100">
        <v>0</v>
      </c>
      <c r="H43" s="100">
        <v>0</v>
      </c>
    </row>
    <row r="44" spans="1:8" ht="13.5" customHeight="1">
      <c r="A44" s="27" t="s">
        <v>391</v>
      </c>
      <c r="B44" s="101">
        <v>739</v>
      </c>
      <c r="C44" s="101">
        <v>51.5</v>
      </c>
      <c r="D44" s="158">
        <v>0</v>
      </c>
      <c r="E44" s="159">
        <v>0</v>
      </c>
      <c r="F44" s="101">
        <v>0</v>
      </c>
      <c r="G44" s="101">
        <v>0</v>
      </c>
      <c r="H44" s="101">
        <v>0</v>
      </c>
    </row>
    <row r="45" spans="1:8" ht="13.5" customHeight="1">
      <c r="A45" s="25" t="s">
        <v>392</v>
      </c>
      <c r="B45" s="100">
        <v>627.1</v>
      </c>
      <c r="C45" s="100">
        <v>0</v>
      </c>
      <c r="D45" s="156">
        <v>0</v>
      </c>
      <c r="E45" s="157">
        <v>694.1</v>
      </c>
      <c r="F45" s="100">
        <v>0</v>
      </c>
      <c r="G45" s="100">
        <v>116</v>
      </c>
      <c r="H45" s="100">
        <v>0</v>
      </c>
    </row>
    <row r="46" spans="1:8" ht="13.5" customHeight="1">
      <c r="A46" s="27" t="s">
        <v>393</v>
      </c>
      <c r="B46" s="101">
        <v>22962.6</v>
      </c>
      <c r="C46" s="101">
        <v>0</v>
      </c>
      <c r="D46" s="158">
        <v>847</v>
      </c>
      <c r="E46" s="159">
        <v>3556.5</v>
      </c>
      <c r="F46" s="101">
        <v>0</v>
      </c>
      <c r="G46" s="101">
        <v>1773.5</v>
      </c>
      <c r="H46" s="101">
        <v>281</v>
      </c>
    </row>
    <row r="47" spans="1:8" ht="13.5" customHeight="1">
      <c r="A47" s="25" t="s">
        <v>397</v>
      </c>
      <c r="B47" s="100">
        <v>27.6</v>
      </c>
      <c r="C47" s="100">
        <v>0</v>
      </c>
      <c r="D47" s="156">
        <v>0</v>
      </c>
      <c r="E47" s="157">
        <v>0</v>
      </c>
      <c r="F47" s="100">
        <v>0</v>
      </c>
      <c r="G47" s="100">
        <v>0</v>
      </c>
      <c r="H47" s="100">
        <v>0</v>
      </c>
    </row>
    <row r="48" spans="1:8" ht="4.5" customHeight="1">
      <c r="A48" s="29"/>
      <c r="B48" s="102"/>
      <c r="C48" s="102"/>
      <c r="D48" s="102"/>
      <c r="E48" s="102"/>
      <c r="F48" s="102"/>
      <c r="G48" s="102"/>
      <c r="H48" s="102"/>
    </row>
    <row r="49" spans="1:8" ht="13.5" customHeight="1">
      <c r="A49" s="31" t="s">
        <v>394</v>
      </c>
      <c r="B49" s="103">
        <f aca="true" t="shared" si="0" ref="B49:H49">SUM(B11:B47)</f>
        <v>131131.66</v>
      </c>
      <c r="C49" s="103">
        <f t="shared" si="0"/>
        <v>4734.7</v>
      </c>
      <c r="D49" s="160">
        <f t="shared" si="0"/>
        <v>8692.5</v>
      </c>
      <c r="E49" s="161">
        <f t="shared" si="0"/>
        <v>18861.190000000002</v>
      </c>
      <c r="F49" s="103">
        <f t="shared" si="0"/>
        <v>154</v>
      </c>
      <c r="G49" s="103">
        <f t="shared" si="0"/>
        <v>7296.5</v>
      </c>
      <c r="H49" s="103">
        <f t="shared" si="0"/>
        <v>1320</v>
      </c>
    </row>
    <row r="50" spans="1:8" ht="4.5" customHeight="1">
      <c r="A50" s="29" t="s">
        <v>78</v>
      </c>
      <c r="B50" s="102"/>
      <c r="C50" s="102"/>
      <c r="D50" s="102"/>
      <c r="E50" s="102"/>
      <c r="F50" s="102"/>
      <c r="G50" s="102"/>
      <c r="H50" s="102"/>
    </row>
    <row r="51" spans="1:8" ht="13.5" customHeight="1">
      <c r="A51" s="27" t="s">
        <v>395</v>
      </c>
      <c r="B51" s="101">
        <v>145</v>
      </c>
      <c r="C51" s="101">
        <v>0</v>
      </c>
      <c r="D51" s="158">
        <v>0</v>
      </c>
      <c r="E51" s="101">
        <v>0</v>
      </c>
      <c r="F51" s="101">
        <v>0</v>
      </c>
      <c r="G51" s="101">
        <v>0</v>
      </c>
      <c r="H51" s="101">
        <v>0</v>
      </c>
    </row>
    <row r="52" spans="1:8" ht="13.5" customHeight="1">
      <c r="A52" s="25" t="s">
        <v>396</v>
      </c>
      <c r="B52" s="100">
        <v>276.5</v>
      </c>
      <c r="C52" s="100">
        <v>0</v>
      </c>
      <c r="D52" s="156">
        <v>0</v>
      </c>
      <c r="E52" s="100">
        <v>0</v>
      </c>
      <c r="F52" s="100">
        <v>0</v>
      </c>
      <c r="G52" s="100">
        <v>0</v>
      </c>
      <c r="H52" s="100">
        <v>0</v>
      </c>
    </row>
    <row r="53" spans="1:8" ht="49.5" customHeight="1">
      <c r="A53" s="33"/>
      <c r="B53" s="162"/>
      <c r="C53" s="162"/>
      <c r="D53" s="162"/>
      <c r="E53" s="162"/>
      <c r="F53" s="162"/>
      <c r="G53" s="162"/>
      <c r="H53" s="162"/>
    </row>
    <row r="54" spans="1:8" ht="15" customHeight="1">
      <c r="A54" s="164" t="s">
        <v>533</v>
      </c>
      <c r="C54" s="125"/>
      <c r="D54" s="125"/>
      <c r="E54" s="125"/>
      <c r="F54" s="125"/>
      <c r="G54" s="125"/>
      <c r="H54" s="125"/>
    </row>
    <row r="55" spans="1:8" ht="12" customHeight="1">
      <c r="A55" s="164" t="s">
        <v>534</v>
      </c>
      <c r="C55" s="125"/>
      <c r="D55" s="125"/>
      <c r="E55" s="125"/>
      <c r="F55" s="125"/>
      <c r="G55" s="125"/>
      <c r="H55" s="12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sheetPr codeName="Sheet23">
    <pageSetUpPr fitToPage="1"/>
  </sheetPr>
  <dimension ref="A1:D57"/>
  <sheetViews>
    <sheetView showGridLines="0" workbookViewId="0" topLeftCell="A1">
      <selection activeCell="A1" sqref="A1"/>
    </sheetView>
  </sheetViews>
  <sheetFormatPr defaultColWidth="15.83203125" defaultRowHeight="12"/>
  <cols>
    <col min="1" max="1" width="36.83203125" style="1" customWidth="1"/>
    <col min="2" max="2" width="34.83203125" style="1" customWidth="1"/>
    <col min="3" max="3" width="25.83203125" style="1" customWidth="1"/>
    <col min="4" max="4" width="35.83203125" style="1" customWidth="1"/>
    <col min="5" max="16384" width="15.83203125" style="1" customWidth="1"/>
  </cols>
  <sheetData>
    <row r="1" ht="6.75" customHeight="1">
      <c r="A1" s="5"/>
    </row>
    <row r="2" spans="1:4" ht="13.5" customHeight="1">
      <c r="A2" s="91"/>
      <c r="B2" s="373" t="s">
        <v>441</v>
      </c>
      <c r="C2" s="374"/>
      <c r="D2" s="375"/>
    </row>
    <row r="3" spans="1:4" ht="13.5" customHeight="1">
      <c r="A3" s="93"/>
      <c r="B3" s="376" t="s">
        <v>595</v>
      </c>
      <c r="C3" s="377"/>
      <c r="D3" s="378"/>
    </row>
    <row r="7" spans="2:3" ht="12">
      <c r="B7" s="63"/>
      <c r="C7" s="63" t="s">
        <v>597</v>
      </c>
    </row>
    <row r="8" spans="1:3" ht="12">
      <c r="A8" s="96"/>
      <c r="B8" s="371" t="s">
        <v>442</v>
      </c>
      <c r="C8" s="379" t="s">
        <v>209</v>
      </c>
    </row>
    <row r="9" spans="1:3" ht="14.25">
      <c r="A9" s="49" t="s">
        <v>175</v>
      </c>
      <c r="B9" s="69" t="s">
        <v>9</v>
      </c>
      <c r="C9" s="69" t="s">
        <v>10</v>
      </c>
    </row>
    <row r="10" spans="1:4" ht="4.5" customHeight="1">
      <c r="A10" s="4"/>
      <c r="B10" s="5"/>
      <c r="C10" s="5"/>
      <c r="D10" s="5"/>
    </row>
    <row r="11" spans="1:4" ht="13.5" customHeight="1">
      <c r="A11" s="25" t="s">
        <v>359</v>
      </c>
      <c r="B11" s="253">
        <v>618395.9600000009</v>
      </c>
      <c r="C11" s="226">
        <f>B11/'- 3 -'!B11</f>
        <v>0.05399132047183701</v>
      </c>
      <c r="D11" s="84"/>
    </row>
    <row r="12" spans="1:4" ht="13.5" customHeight="1">
      <c r="A12" s="27" t="s">
        <v>360</v>
      </c>
      <c r="B12" s="254">
        <v>397174</v>
      </c>
      <c r="C12" s="227">
        <f>B12/'- 3 -'!B12</f>
        <v>0.02055848832836022</v>
      </c>
      <c r="D12" s="84"/>
    </row>
    <row r="13" spans="1:4" ht="13.5" customHeight="1">
      <c r="A13" s="25" t="s">
        <v>361</v>
      </c>
      <c r="B13" s="253">
        <v>1859360.68</v>
      </c>
      <c r="C13" s="226">
        <f>B13/'- 3 -'!B13</f>
        <v>0.03791022927377166</v>
      </c>
      <c r="D13" s="84"/>
    </row>
    <row r="14" spans="1:4" ht="13.5" customHeight="1">
      <c r="A14" s="27" t="s">
        <v>398</v>
      </c>
      <c r="B14" s="254">
        <v>-872624</v>
      </c>
      <c r="C14" s="227">
        <f>B14/'- 3 -'!B14</f>
        <v>-0.020547580067426987</v>
      </c>
      <c r="D14" s="84"/>
    </row>
    <row r="15" spans="1:4" ht="13.5" customHeight="1">
      <c r="A15" s="25" t="s">
        <v>362</v>
      </c>
      <c r="B15" s="253">
        <v>814574</v>
      </c>
      <c r="C15" s="226">
        <f>B15/'- 3 -'!B15</f>
        <v>0.06197410486176731</v>
      </c>
      <c r="D15" s="84"/>
    </row>
    <row r="16" spans="1:4" ht="13.5" customHeight="1">
      <c r="A16" s="27" t="s">
        <v>363</v>
      </c>
      <c r="B16" s="254">
        <v>909236.7799999994</v>
      </c>
      <c r="C16" s="227">
        <f>B16/'- 3 -'!B16</f>
        <v>0.08486896876099813</v>
      </c>
      <c r="D16" s="84"/>
    </row>
    <row r="17" spans="1:4" ht="13.5" customHeight="1">
      <c r="A17" s="25" t="s">
        <v>364</v>
      </c>
      <c r="B17" s="253">
        <v>1137524.03</v>
      </c>
      <c r="C17" s="226">
        <f>B17/'- 3 -'!B17</f>
        <v>0.09191889054505499</v>
      </c>
      <c r="D17" s="84"/>
    </row>
    <row r="18" spans="1:4" ht="13.5" customHeight="1">
      <c r="A18" s="27" t="s">
        <v>365</v>
      </c>
      <c r="B18" s="254">
        <v>3004247.430000007</v>
      </c>
      <c r="C18" s="227">
        <f>B18/'- 3 -'!B18</f>
        <v>0.03922872839398496</v>
      </c>
      <c r="D18" s="84"/>
    </row>
    <row r="19" spans="1:4" ht="13.5" customHeight="1">
      <c r="A19" s="25" t="s">
        <v>366</v>
      </c>
      <c r="B19" s="253">
        <v>842798</v>
      </c>
      <c r="C19" s="226">
        <f>B19/'- 3 -'!B19</f>
        <v>0.04550549555213502</v>
      </c>
      <c r="D19" s="84"/>
    </row>
    <row r="20" spans="1:4" ht="13.5" customHeight="1">
      <c r="A20" s="27" t="s">
        <v>367</v>
      </c>
      <c r="B20" s="254">
        <v>2066910</v>
      </c>
      <c r="C20" s="227">
        <f>B20/'- 3 -'!B20</f>
        <v>0.056026540225676706</v>
      </c>
      <c r="D20" s="84"/>
    </row>
    <row r="21" spans="1:4" ht="13.5" customHeight="1">
      <c r="A21" s="25" t="s">
        <v>368</v>
      </c>
      <c r="B21" s="253">
        <v>805325</v>
      </c>
      <c r="C21" s="226">
        <f>B21/'- 3 -'!B21</f>
        <v>0.03315046464163805</v>
      </c>
      <c r="D21" s="84"/>
    </row>
    <row r="22" spans="1:4" ht="13.5" customHeight="1">
      <c r="A22" s="27" t="s">
        <v>369</v>
      </c>
      <c r="B22" s="254">
        <v>278784.7100000009</v>
      </c>
      <c r="C22" s="227">
        <f>B22/'- 3 -'!B22</f>
        <v>0.020659255357510006</v>
      </c>
      <c r="D22" s="84"/>
    </row>
    <row r="23" spans="1:4" ht="13.5" customHeight="1">
      <c r="A23" s="25" t="s">
        <v>370</v>
      </c>
      <c r="B23" s="253">
        <v>459050</v>
      </c>
      <c r="C23" s="226">
        <f>B23/'- 3 -'!B23</f>
        <v>0.040475756119836455</v>
      </c>
      <c r="D23" s="84"/>
    </row>
    <row r="24" spans="1:4" ht="13.5" customHeight="1">
      <c r="A24" s="27" t="s">
        <v>371</v>
      </c>
      <c r="B24" s="254">
        <v>1870449.650000006</v>
      </c>
      <c r="C24" s="227">
        <f>B24/'- 3 -'!B24</f>
        <v>0.05342724059985569</v>
      </c>
      <c r="D24" s="84"/>
    </row>
    <row r="25" spans="1:4" ht="13.5" customHeight="1">
      <c r="A25" s="25" t="s">
        <v>372</v>
      </c>
      <c r="B25" s="253">
        <v>5801302.50999999</v>
      </c>
      <c r="C25" s="226">
        <f>B25/'- 3 -'!B25</f>
        <v>0.05188062498556597</v>
      </c>
      <c r="D25" s="84"/>
    </row>
    <row r="26" spans="1:4" ht="13.5" customHeight="1">
      <c r="A26" s="27" t="s">
        <v>373</v>
      </c>
      <c r="B26" s="254">
        <v>920353.8800000056</v>
      </c>
      <c r="C26" s="227">
        <f>B26/'- 3 -'!B26</f>
        <v>0.033981046605177444</v>
      </c>
      <c r="D26" s="84"/>
    </row>
    <row r="27" spans="1:4" ht="13.5" customHeight="1">
      <c r="A27" s="25" t="s">
        <v>374</v>
      </c>
      <c r="B27" s="253">
        <v>363033.8100000024</v>
      </c>
      <c r="C27" s="226">
        <f>B27/'- 3 -'!B27</f>
        <v>0.013390361068980694</v>
      </c>
      <c r="D27" s="84"/>
    </row>
    <row r="28" spans="1:4" ht="13.5" customHeight="1">
      <c r="A28" s="27" t="s">
        <v>375</v>
      </c>
      <c r="B28" s="254">
        <v>2059751.87</v>
      </c>
      <c r="C28" s="227">
        <f>B28/'- 3 -'!B28</f>
        <v>0.12310096236853345</v>
      </c>
      <c r="D28" s="84"/>
    </row>
    <row r="29" spans="1:4" ht="13.5" customHeight="1">
      <c r="A29" s="25" t="s">
        <v>376</v>
      </c>
      <c r="B29" s="253">
        <v>4769858</v>
      </c>
      <c r="C29" s="226">
        <f>B29/'- 3 -'!B29</f>
        <v>0.04516921592770407</v>
      </c>
      <c r="D29" s="84"/>
    </row>
    <row r="30" spans="1:4" ht="13.5" customHeight="1">
      <c r="A30" s="27" t="s">
        <v>377</v>
      </c>
      <c r="B30" s="254">
        <v>1099459</v>
      </c>
      <c r="C30" s="227">
        <f>B30/'- 3 -'!B30</f>
        <v>0.11166468753643584</v>
      </c>
      <c r="D30" s="84"/>
    </row>
    <row r="31" spans="1:4" ht="13.5" customHeight="1">
      <c r="A31" s="25" t="s">
        <v>378</v>
      </c>
      <c r="B31" s="253">
        <v>775008</v>
      </c>
      <c r="C31" s="226">
        <f>B31/'- 3 -'!B31</f>
        <v>0.030722882539347282</v>
      </c>
      <c r="D31" s="84"/>
    </row>
    <row r="32" spans="1:4" ht="13.5" customHeight="1">
      <c r="A32" s="27" t="s">
        <v>379</v>
      </c>
      <c r="B32" s="254">
        <v>1966063</v>
      </c>
      <c r="C32" s="227">
        <f>B32/'- 3 -'!B32</f>
        <v>0.10514587533328998</v>
      </c>
      <c r="D32" s="84"/>
    </row>
    <row r="33" spans="1:4" ht="13.5" customHeight="1">
      <c r="A33" s="25" t="s">
        <v>380</v>
      </c>
      <c r="B33" s="253">
        <v>1986186</v>
      </c>
      <c r="C33" s="226">
        <f>B33/'- 3 -'!B33</f>
        <v>0.08984303367803109</v>
      </c>
      <c r="D33" s="84"/>
    </row>
    <row r="34" spans="1:4" ht="13.5" customHeight="1">
      <c r="A34" s="27" t="s">
        <v>381</v>
      </c>
      <c r="B34" s="254">
        <v>1561898.78</v>
      </c>
      <c r="C34" s="227">
        <f>B34/'- 3 -'!B34</f>
        <v>0.0902525588576406</v>
      </c>
      <c r="D34" s="84"/>
    </row>
    <row r="35" spans="1:4" ht="13.5" customHeight="1">
      <c r="A35" s="25" t="s">
        <v>382</v>
      </c>
      <c r="B35" s="253">
        <v>5863924.260000005</v>
      </c>
      <c r="C35" s="226">
        <f>B35/'- 3 -'!B35</f>
        <v>0.04617440305135916</v>
      </c>
      <c r="D35" s="84"/>
    </row>
    <row r="36" spans="1:4" ht="13.5" customHeight="1">
      <c r="A36" s="27" t="s">
        <v>383</v>
      </c>
      <c r="B36" s="254">
        <v>877611</v>
      </c>
      <c r="C36" s="227">
        <f>B36/'- 3 -'!B36</f>
        <v>0.05217890266217872</v>
      </c>
      <c r="D36" s="84"/>
    </row>
    <row r="37" spans="1:4" ht="13.5" customHeight="1">
      <c r="A37" s="25" t="s">
        <v>384</v>
      </c>
      <c r="B37" s="253">
        <v>3591858.83</v>
      </c>
      <c r="C37" s="226">
        <f>B37/'- 3 -'!B37</f>
        <v>0.13893931979911503</v>
      </c>
      <c r="D37" s="84"/>
    </row>
    <row r="38" spans="1:4" ht="13.5" customHeight="1">
      <c r="A38" s="27" t="s">
        <v>385</v>
      </c>
      <c r="B38" s="254">
        <v>2674816.92</v>
      </c>
      <c r="C38" s="227">
        <f>B38/'- 3 -'!B38</f>
        <v>0.040266434010284416</v>
      </c>
      <c r="D38" s="84"/>
    </row>
    <row r="39" spans="1:4" ht="13.5" customHeight="1">
      <c r="A39" s="25" t="s">
        <v>386</v>
      </c>
      <c r="B39" s="253">
        <v>1332800.23</v>
      </c>
      <c r="C39" s="226">
        <f>B39/'- 3 -'!B39</f>
        <v>0.08637942466828213</v>
      </c>
      <c r="D39" s="84"/>
    </row>
    <row r="40" spans="1:4" ht="13.5" customHeight="1">
      <c r="A40" s="27" t="s">
        <v>387</v>
      </c>
      <c r="B40" s="254">
        <v>4635543.89</v>
      </c>
      <c r="C40" s="227">
        <f>B40/'- 3 -'!B40</f>
        <v>0.06986338183094264</v>
      </c>
      <c r="D40" s="84"/>
    </row>
    <row r="41" spans="1:4" ht="13.5" customHeight="1">
      <c r="A41" s="25" t="s">
        <v>388</v>
      </c>
      <c r="B41" s="253">
        <v>327410</v>
      </c>
      <c r="C41" s="226">
        <f>B41/'- 3 -'!B41</f>
        <v>0.008221365843548269</v>
      </c>
      <c r="D41" s="84"/>
    </row>
    <row r="42" spans="1:4" ht="13.5" customHeight="1">
      <c r="A42" s="27" t="s">
        <v>389</v>
      </c>
      <c r="B42" s="254">
        <v>1561559.72</v>
      </c>
      <c r="C42" s="227">
        <f>B42/'- 3 -'!B42</f>
        <v>0.10324438237162484</v>
      </c>
      <c r="D42" s="84"/>
    </row>
    <row r="43" spans="1:4" ht="13.5" customHeight="1">
      <c r="A43" s="25" t="s">
        <v>390</v>
      </c>
      <c r="B43" s="253">
        <v>540186</v>
      </c>
      <c r="C43" s="226">
        <f>B43/'- 3 -'!B43</f>
        <v>0.058279476644935546</v>
      </c>
      <c r="D43" s="84"/>
    </row>
    <row r="44" spans="1:4" ht="13.5" customHeight="1">
      <c r="A44" s="27" t="s">
        <v>391</v>
      </c>
      <c r="B44" s="254">
        <v>459387.13</v>
      </c>
      <c r="C44" s="227">
        <f>B44/'- 3 -'!B44</f>
        <v>0.06551188117061062</v>
      </c>
      <c r="D44" s="84"/>
    </row>
    <row r="45" spans="1:4" ht="13.5" customHeight="1">
      <c r="A45" s="25" t="s">
        <v>392</v>
      </c>
      <c r="B45" s="253">
        <v>690458.4199999981</v>
      </c>
      <c r="C45" s="226">
        <f>B45/'- 3 -'!B45</f>
        <v>0.0658138031304148</v>
      </c>
      <c r="D45" s="84"/>
    </row>
    <row r="46" spans="1:4" ht="13.5" customHeight="1">
      <c r="A46" s="27" t="s">
        <v>393</v>
      </c>
      <c r="B46" s="254">
        <v>18829104.059999973</v>
      </c>
      <c r="C46" s="227">
        <f>B46/'- 3 -'!B46</f>
        <v>0.07178256651995794</v>
      </c>
      <c r="D46" s="84"/>
    </row>
    <row r="47" spans="1:4" ht="13.5" customHeight="1">
      <c r="A47" s="25" t="s">
        <v>397</v>
      </c>
      <c r="B47" s="272" t="s">
        <v>443</v>
      </c>
      <c r="C47" s="272" t="s">
        <v>443</v>
      </c>
      <c r="D47" s="84"/>
    </row>
    <row r="48" spans="2:3" ht="4.5" customHeight="1">
      <c r="B48" s="255"/>
      <c r="C48" s="215"/>
    </row>
    <row r="49" spans="1:4" ht="13.5" customHeight="1">
      <c r="A49" s="31" t="s">
        <v>394</v>
      </c>
      <c r="B49" s="256">
        <f>SUM(B11:B47)</f>
        <v>76878781.55</v>
      </c>
      <c r="C49" s="228">
        <f>B49/'- 3 -'!B49</f>
        <v>0.05383434195886525</v>
      </c>
      <c r="D49" s="84"/>
    </row>
    <row r="50" spans="1:4" ht="4.5" customHeight="1">
      <c r="A50" s="29" t="s">
        <v>78</v>
      </c>
      <c r="B50" s="255"/>
      <c r="C50" s="215"/>
      <c r="D50" s="84"/>
    </row>
    <row r="51" spans="1:4" ht="13.5" customHeight="1">
      <c r="A51" s="27" t="s">
        <v>395</v>
      </c>
      <c r="B51" s="254">
        <v>61174.6</v>
      </c>
      <c r="C51" s="227">
        <f>B51/'- 3 -'!B51</f>
        <v>0.04587143167792683</v>
      </c>
      <c r="D51" s="84"/>
    </row>
    <row r="52" spans="1:4" ht="13.5" customHeight="1">
      <c r="A52" s="25" t="s">
        <v>396</v>
      </c>
      <c r="B52" s="253">
        <v>82578</v>
      </c>
      <c r="C52" s="226">
        <f>B52/'- 3 -'!B52</f>
        <v>0.03396517436467997</v>
      </c>
      <c r="D52" s="84"/>
    </row>
    <row r="53" spans="1:4" ht="49.5" customHeight="1">
      <c r="A53" s="33"/>
      <c r="B53" s="33"/>
      <c r="C53" s="33"/>
      <c r="D53" s="33"/>
    </row>
    <row r="54" ht="15" customHeight="1">
      <c r="A54" s="401" t="s">
        <v>11</v>
      </c>
    </row>
    <row r="55" ht="12" customHeight="1">
      <c r="A55" s="402" t="s">
        <v>74</v>
      </c>
    </row>
    <row r="56" ht="12" customHeight="1">
      <c r="A56" s="166" t="s">
        <v>12</v>
      </c>
    </row>
    <row r="57" ht="12" customHeight="1">
      <c r="A57" s="53" t="s">
        <v>13</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G54"/>
  <sheetViews>
    <sheetView showGridLines="0" showZeros="0" workbookViewId="0" topLeftCell="A1">
      <selection activeCell="A1" sqref="A1"/>
    </sheetView>
  </sheetViews>
  <sheetFormatPr defaultColWidth="15.83203125" defaultRowHeight="12"/>
  <cols>
    <col min="1" max="1" width="30.83203125" style="1" customWidth="1"/>
    <col min="2" max="2" width="18.83203125" style="1" customWidth="1"/>
    <col min="3" max="3" width="17.83203125" style="1" customWidth="1"/>
    <col min="4" max="4" width="16.83203125" style="1" customWidth="1"/>
    <col min="5" max="5" width="15.83203125" style="1" customWidth="1"/>
    <col min="6" max="7" width="16.83203125" style="1" customWidth="1"/>
    <col min="8" max="16384" width="15.83203125" style="1" customWidth="1"/>
  </cols>
  <sheetData>
    <row r="1" ht="6.75" customHeight="1">
      <c r="A1" s="5"/>
    </row>
    <row r="2" spans="1:7" ht="15.75" customHeight="1">
      <c r="A2" s="219"/>
      <c r="B2" s="373" t="s">
        <v>190</v>
      </c>
      <c r="C2" s="405"/>
      <c r="D2" s="405"/>
      <c r="E2" s="405"/>
      <c r="F2" s="406"/>
      <c r="G2" s="407" t="s">
        <v>77</v>
      </c>
    </row>
    <row r="3" spans="1:7" ht="15.75" customHeight="1">
      <c r="A3" s="221"/>
      <c r="B3" s="432" t="s">
        <v>596</v>
      </c>
      <c r="C3" s="408"/>
      <c r="D3" s="409"/>
      <c r="E3" s="409"/>
      <c r="F3" s="410"/>
      <c r="G3" s="410"/>
    </row>
    <row r="4" spans="2:7" ht="15.75" customHeight="1">
      <c r="B4" s="6"/>
      <c r="C4" s="411"/>
      <c r="D4" s="99"/>
      <c r="E4" s="6"/>
      <c r="F4" s="6"/>
      <c r="G4" s="6"/>
    </row>
    <row r="5" spans="2:7" ht="15.75" customHeight="1">
      <c r="B5" s="6"/>
      <c r="C5" s="6"/>
      <c r="D5" s="6"/>
      <c r="E5" s="6"/>
      <c r="F5" s="6"/>
      <c r="G5" s="6"/>
    </row>
    <row r="6" spans="2:7" ht="15.75" customHeight="1">
      <c r="B6" s="258" t="s">
        <v>198</v>
      </c>
      <c r="C6" s="288"/>
      <c r="D6" s="288"/>
      <c r="E6" s="288"/>
      <c r="F6" s="288"/>
      <c r="G6" s="289"/>
    </row>
    <row r="7" spans="2:7" ht="15.75" customHeight="1">
      <c r="B7" s="63"/>
      <c r="C7" s="63"/>
      <c r="D7" s="63"/>
      <c r="E7" s="412"/>
      <c r="F7" s="63" t="s">
        <v>211</v>
      </c>
      <c r="G7" s="412"/>
    </row>
    <row r="8" spans="1:7" ht="15.75" customHeight="1">
      <c r="A8" s="96"/>
      <c r="B8" s="384" t="s">
        <v>224</v>
      </c>
      <c r="C8" s="371" t="s">
        <v>234</v>
      </c>
      <c r="D8" s="371" t="s">
        <v>235</v>
      </c>
      <c r="E8" s="413"/>
      <c r="F8" s="371" t="s">
        <v>236</v>
      </c>
      <c r="G8" s="413"/>
    </row>
    <row r="9" spans="1:7" ht="15.75" customHeight="1">
      <c r="A9" s="49" t="s">
        <v>175</v>
      </c>
      <c r="B9" s="70" t="s">
        <v>226</v>
      </c>
      <c r="C9" s="69" t="s">
        <v>15</v>
      </c>
      <c r="D9" s="69" t="s">
        <v>237</v>
      </c>
      <c r="E9" s="69" t="s">
        <v>132</v>
      </c>
      <c r="F9" s="69" t="s">
        <v>239</v>
      </c>
      <c r="G9" s="69" t="s">
        <v>144</v>
      </c>
    </row>
    <row r="10" spans="1:7" ht="4.5" customHeight="1">
      <c r="A10" s="4"/>
      <c r="B10" s="372"/>
      <c r="C10" s="372"/>
      <c r="D10" s="372"/>
      <c r="E10" s="372"/>
      <c r="F10" s="372"/>
      <c r="G10" s="372"/>
    </row>
    <row r="11" spans="1:7" ht="13.5" customHeight="1">
      <c r="A11" s="25" t="s">
        <v>359</v>
      </c>
      <c r="B11" s="253">
        <v>1075046</v>
      </c>
      <c r="C11" s="253">
        <v>381263</v>
      </c>
      <c r="D11" s="253">
        <v>1446300</v>
      </c>
      <c r="E11" s="253">
        <v>1300</v>
      </c>
      <c r="F11" s="253">
        <v>78131</v>
      </c>
      <c r="G11" s="253">
        <f>SUM(B11:F11)</f>
        <v>2982040</v>
      </c>
    </row>
    <row r="12" spans="1:7" ht="13.5" customHeight="1">
      <c r="A12" s="27" t="s">
        <v>360</v>
      </c>
      <c r="B12" s="254">
        <v>791899</v>
      </c>
      <c r="C12" s="254">
        <v>644883</v>
      </c>
      <c r="D12" s="254">
        <v>883400</v>
      </c>
      <c r="E12" s="254">
        <v>29081</v>
      </c>
      <c r="F12" s="254">
        <v>146186</v>
      </c>
      <c r="G12" s="254">
        <f aca="true" t="shared" si="0" ref="G12:G47">SUM(B12:F12)</f>
        <v>2495449</v>
      </c>
    </row>
    <row r="13" spans="1:7" ht="13.5" customHeight="1">
      <c r="A13" s="25" t="s">
        <v>361</v>
      </c>
      <c r="B13" s="253">
        <v>2679050</v>
      </c>
      <c r="C13" s="253">
        <v>311181</v>
      </c>
      <c r="D13" s="253">
        <v>2110300</v>
      </c>
      <c r="E13" s="253">
        <v>22644</v>
      </c>
      <c r="F13" s="253">
        <v>1072765</v>
      </c>
      <c r="G13" s="253">
        <f t="shared" si="0"/>
        <v>6195940</v>
      </c>
    </row>
    <row r="14" spans="1:7" ht="13.5" customHeight="1">
      <c r="A14" s="27" t="s">
        <v>398</v>
      </c>
      <c r="B14" s="254">
        <v>3028651</v>
      </c>
      <c r="C14" s="254">
        <v>313544</v>
      </c>
      <c r="D14" s="254">
        <v>5639600</v>
      </c>
      <c r="E14" s="254">
        <v>2003</v>
      </c>
      <c r="F14" s="254">
        <v>2160152</v>
      </c>
      <c r="G14" s="254">
        <f t="shared" si="0"/>
        <v>11143950</v>
      </c>
    </row>
    <row r="15" spans="1:7" ht="13.5" customHeight="1">
      <c r="A15" s="25" t="s">
        <v>362</v>
      </c>
      <c r="B15" s="253">
        <v>1063373</v>
      </c>
      <c r="C15" s="253">
        <v>234984</v>
      </c>
      <c r="D15" s="253">
        <v>826200</v>
      </c>
      <c r="E15" s="253">
        <v>0</v>
      </c>
      <c r="F15" s="253">
        <v>162054</v>
      </c>
      <c r="G15" s="253">
        <f t="shared" si="0"/>
        <v>2286611</v>
      </c>
    </row>
    <row r="16" spans="1:7" ht="13.5" customHeight="1">
      <c r="A16" s="27" t="s">
        <v>363</v>
      </c>
      <c r="B16" s="254">
        <v>78629</v>
      </c>
      <c r="C16" s="254">
        <v>41712</v>
      </c>
      <c r="D16" s="254">
        <v>0</v>
      </c>
      <c r="E16" s="254">
        <v>175000</v>
      </c>
      <c r="F16" s="254">
        <v>69748</v>
      </c>
      <c r="G16" s="254">
        <f t="shared" si="0"/>
        <v>365089</v>
      </c>
    </row>
    <row r="17" spans="1:7" ht="13.5" customHeight="1">
      <c r="A17" s="25" t="s">
        <v>364</v>
      </c>
      <c r="B17" s="253">
        <v>1169354</v>
      </c>
      <c r="C17" s="253">
        <v>173461</v>
      </c>
      <c r="D17" s="253">
        <v>735500</v>
      </c>
      <c r="E17" s="253">
        <v>3176</v>
      </c>
      <c r="F17" s="253">
        <v>339700</v>
      </c>
      <c r="G17" s="253">
        <f t="shared" si="0"/>
        <v>2421191</v>
      </c>
    </row>
    <row r="18" spans="1:7" ht="13.5" customHeight="1">
      <c r="A18" s="27" t="s">
        <v>365</v>
      </c>
      <c r="B18" s="254">
        <v>1250167</v>
      </c>
      <c r="C18" s="254">
        <v>0</v>
      </c>
      <c r="D18" s="254">
        <v>486941</v>
      </c>
      <c r="E18" s="254">
        <v>-203847</v>
      </c>
      <c r="F18" s="254">
        <v>4003361</v>
      </c>
      <c r="G18" s="254">
        <f t="shared" si="0"/>
        <v>5536622</v>
      </c>
    </row>
    <row r="19" spans="1:7" ht="13.5" customHeight="1">
      <c r="A19" s="25" t="s">
        <v>366</v>
      </c>
      <c r="B19" s="253">
        <v>1555460</v>
      </c>
      <c r="C19" s="253">
        <v>159434</v>
      </c>
      <c r="D19" s="253">
        <v>423700</v>
      </c>
      <c r="E19" s="253">
        <v>0</v>
      </c>
      <c r="F19" s="253">
        <v>588895</v>
      </c>
      <c r="G19" s="253">
        <f t="shared" si="0"/>
        <v>2727489</v>
      </c>
    </row>
    <row r="20" spans="1:7" ht="13.5" customHeight="1">
      <c r="A20" s="27" t="s">
        <v>367</v>
      </c>
      <c r="B20" s="254">
        <v>3083785</v>
      </c>
      <c r="C20" s="254">
        <v>548969</v>
      </c>
      <c r="D20" s="254">
        <v>5217100</v>
      </c>
      <c r="E20" s="254">
        <v>5100</v>
      </c>
      <c r="F20" s="254">
        <v>394439</v>
      </c>
      <c r="G20" s="254">
        <f t="shared" si="0"/>
        <v>9249393</v>
      </c>
    </row>
    <row r="21" spans="1:7" ht="13.5" customHeight="1">
      <c r="A21" s="25" t="s">
        <v>368</v>
      </c>
      <c r="B21" s="253">
        <v>828139</v>
      </c>
      <c r="C21" s="253">
        <v>381823</v>
      </c>
      <c r="D21" s="253">
        <v>878100</v>
      </c>
      <c r="E21" s="253">
        <v>8458</v>
      </c>
      <c r="F21" s="253">
        <v>706326</v>
      </c>
      <c r="G21" s="253">
        <f t="shared" si="0"/>
        <v>2802846</v>
      </c>
    </row>
    <row r="22" spans="1:7" ht="13.5" customHeight="1">
      <c r="A22" s="27" t="s">
        <v>369</v>
      </c>
      <c r="B22" s="254">
        <v>351747</v>
      </c>
      <c r="C22" s="254">
        <v>93410</v>
      </c>
      <c r="D22" s="254">
        <v>810900</v>
      </c>
      <c r="E22" s="254">
        <v>4</v>
      </c>
      <c r="F22" s="254">
        <v>210106</v>
      </c>
      <c r="G22" s="254">
        <f t="shared" si="0"/>
        <v>1466167</v>
      </c>
    </row>
    <row r="23" spans="1:7" ht="13.5" customHeight="1">
      <c r="A23" s="25" t="s">
        <v>370</v>
      </c>
      <c r="B23" s="253">
        <v>405967</v>
      </c>
      <c r="C23" s="253">
        <v>222297</v>
      </c>
      <c r="D23" s="253">
        <v>942500</v>
      </c>
      <c r="E23" s="253">
        <v>1458</v>
      </c>
      <c r="F23" s="253">
        <v>143486</v>
      </c>
      <c r="G23" s="253">
        <f t="shared" si="0"/>
        <v>1715708</v>
      </c>
    </row>
    <row r="24" spans="1:7" ht="13.5" customHeight="1">
      <c r="A24" s="27" t="s">
        <v>371</v>
      </c>
      <c r="B24" s="254">
        <v>1341252</v>
      </c>
      <c r="C24" s="254">
        <v>514902</v>
      </c>
      <c r="D24" s="254">
        <v>1741400</v>
      </c>
      <c r="E24" s="254">
        <v>966887</v>
      </c>
      <c r="F24" s="254">
        <v>665568</v>
      </c>
      <c r="G24" s="254">
        <f t="shared" si="0"/>
        <v>5230009</v>
      </c>
    </row>
    <row r="25" spans="1:7" ht="13.5" customHeight="1">
      <c r="A25" s="25" t="s">
        <v>372</v>
      </c>
      <c r="B25" s="253">
        <v>4655968</v>
      </c>
      <c r="C25" s="253">
        <v>1563744</v>
      </c>
      <c r="D25" s="253">
        <v>2364600</v>
      </c>
      <c r="E25" s="253">
        <v>208997</v>
      </c>
      <c r="F25" s="253">
        <v>934113</v>
      </c>
      <c r="G25" s="253">
        <f t="shared" si="0"/>
        <v>9727422</v>
      </c>
    </row>
    <row r="26" spans="1:7" ht="13.5" customHeight="1">
      <c r="A26" s="27" t="s">
        <v>373</v>
      </c>
      <c r="B26" s="254">
        <v>1191878</v>
      </c>
      <c r="C26" s="254">
        <v>376297.11</v>
      </c>
      <c r="D26" s="254">
        <v>1696500</v>
      </c>
      <c r="E26" s="254">
        <v>12471</v>
      </c>
      <c r="F26" s="254">
        <v>123965</v>
      </c>
      <c r="G26" s="254">
        <f t="shared" si="0"/>
        <v>3401111.11</v>
      </c>
    </row>
    <row r="27" spans="1:7" ht="13.5" customHeight="1">
      <c r="A27" s="25" t="s">
        <v>374</v>
      </c>
      <c r="B27" s="253">
        <v>941001</v>
      </c>
      <c r="C27" s="253">
        <v>74789</v>
      </c>
      <c r="D27" s="253">
        <v>1685600</v>
      </c>
      <c r="E27" s="253">
        <v>0</v>
      </c>
      <c r="F27" s="253">
        <v>84127</v>
      </c>
      <c r="G27" s="253">
        <f t="shared" si="0"/>
        <v>2785517</v>
      </c>
    </row>
    <row r="28" spans="1:7" ht="13.5" customHeight="1">
      <c r="A28" s="27" t="s">
        <v>375</v>
      </c>
      <c r="B28" s="254">
        <v>1193437</v>
      </c>
      <c r="C28" s="254">
        <v>172241</v>
      </c>
      <c r="D28" s="254">
        <v>2486900</v>
      </c>
      <c r="E28" s="254">
        <v>4895</v>
      </c>
      <c r="F28" s="254">
        <v>1820723</v>
      </c>
      <c r="G28" s="254">
        <f t="shared" si="0"/>
        <v>5678196</v>
      </c>
    </row>
    <row r="29" spans="1:7" ht="13.5" customHeight="1">
      <c r="A29" s="25" t="s">
        <v>376</v>
      </c>
      <c r="B29" s="253">
        <v>4032347</v>
      </c>
      <c r="C29" s="253">
        <v>579290</v>
      </c>
      <c r="D29" s="253">
        <v>956600</v>
      </c>
      <c r="E29" s="253">
        <v>11898</v>
      </c>
      <c r="F29" s="253">
        <v>776037</v>
      </c>
      <c r="G29" s="253">
        <f t="shared" si="0"/>
        <v>6356172</v>
      </c>
    </row>
    <row r="30" spans="1:7" ht="13.5" customHeight="1">
      <c r="A30" s="27" t="s">
        <v>377</v>
      </c>
      <c r="B30" s="254">
        <v>340282</v>
      </c>
      <c r="C30" s="254">
        <v>185594</v>
      </c>
      <c r="D30" s="254">
        <v>691500</v>
      </c>
      <c r="E30" s="254">
        <v>12479</v>
      </c>
      <c r="F30" s="254">
        <v>357389</v>
      </c>
      <c r="G30" s="254">
        <f t="shared" si="0"/>
        <v>1587244</v>
      </c>
    </row>
    <row r="31" spans="1:7" ht="13.5" customHeight="1">
      <c r="A31" s="25" t="s">
        <v>378</v>
      </c>
      <c r="B31" s="253">
        <v>995447</v>
      </c>
      <c r="C31" s="253">
        <v>167003</v>
      </c>
      <c r="D31" s="253">
        <v>365100</v>
      </c>
      <c r="E31" s="253">
        <v>9977</v>
      </c>
      <c r="F31" s="253">
        <v>433097</v>
      </c>
      <c r="G31" s="253">
        <f t="shared" si="0"/>
        <v>1970624</v>
      </c>
    </row>
    <row r="32" spans="1:7" ht="13.5" customHeight="1">
      <c r="A32" s="27" t="s">
        <v>379</v>
      </c>
      <c r="B32" s="254">
        <v>1075496</v>
      </c>
      <c r="C32" s="254">
        <v>597674</v>
      </c>
      <c r="D32" s="254">
        <v>178600</v>
      </c>
      <c r="E32" s="254">
        <v>0</v>
      </c>
      <c r="F32" s="254">
        <v>159672</v>
      </c>
      <c r="G32" s="254">
        <f t="shared" si="0"/>
        <v>2011442</v>
      </c>
    </row>
    <row r="33" spans="1:7" ht="13.5" customHeight="1">
      <c r="A33" s="25" t="s">
        <v>380</v>
      </c>
      <c r="B33" s="253">
        <v>1394193</v>
      </c>
      <c r="C33" s="253">
        <v>378317</v>
      </c>
      <c r="D33" s="253">
        <v>135700</v>
      </c>
      <c r="E33" s="253">
        <v>0</v>
      </c>
      <c r="F33" s="253">
        <v>285051</v>
      </c>
      <c r="G33" s="253">
        <f t="shared" si="0"/>
        <v>2193261</v>
      </c>
    </row>
    <row r="34" spans="1:7" ht="13.5" customHeight="1">
      <c r="A34" s="27" t="s">
        <v>381</v>
      </c>
      <c r="B34" s="254">
        <v>1204364</v>
      </c>
      <c r="C34" s="254">
        <v>382029</v>
      </c>
      <c r="D34" s="254">
        <v>75500</v>
      </c>
      <c r="E34" s="254">
        <v>6000</v>
      </c>
      <c r="F34" s="254">
        <v>215335</v>
      </c>
      <c r="G34" s="254">
        <f t="shared" si="0"/>
        <v>1883228</v>
      </c>
    </row>
    <row r="35" spans="1:7" ht="13.5" customHeight="1">
      <c r="A35" s="25" t="s">
        <v>382</v>
      </c>
      <c r="B35" s="253">
        <v>4813336</v>
      </c>
      <c r="C35" s="253">
        <v>1684926</v>
      </c>
      <c r="D35" s="253">
        <v>2538200</v>
      </c>
      <c r="E35" s="253">
        <v>18371</v>
      </c>
      <c r="F35" s="253">
        <v>3445938</v>
      </c>
      <c r="G35" s="253">
        <f t="shared" si="0"/>
        <v>12500771</v>
      </c>
    </row>
    <row r="36" spans="1:7" ht="13.5" customHeight="1">
      <c r="A36" s="27" t="s">
        <v>383</v>
      </c>
      <c r="B36" s="254">
        <v>1096609</v>
      </c>
      <c r="C36" s="254">
        <v>120692</v>
      </c>
      <c r="D36" s="254">
        <v>319400</v>
      </c>
      <c r="E36" s="254">
        <v>0</v>
      </c>
      <c r="F36" s="254">
        <v>485667</v>
      </c>
      <c r="G36" s="254">
        <f t="shared" si="0"/>
        <v>2022368</v>
      </c>
    </row>
    <row r="37" spans="1:7" ht="13.5" customHeight="1">
      <c r="A37" s="25" t="s">
        <v>384</v>
      </c>
      <c r="B37" s="253">
        <v>1848150</v>
      </c>
      <c r="C37" s="253">
        <v>567227</v>
      </c>
      <c r="D37" s="253">
        <v>1573898</v>
      </c>
      <c r="E37" s="253">
        <v>7168</v>
      </c>
      <c r="F37" s="253">
        <v>395784</v>
      </c>
      <c r="G37" s="253">
        <f t="shared" si="0"/>
        <v>4392227</v>
      </c>
    </row>
    <row r="38" spans="1:7" ht="13.5" customHeight="1">
      <c r="A38" s="27" t="s">
        <v>385</v>
      </c>
      <c r="B38" s="254">
        <v>3149713</v>
      </c>
      <c r="C38" s="254">
        <v>799170</v>
      </c>
      <c r="D38" s="254">
        <v>2885500</v>
      </c>
      <c r="E38" s="254">
        <v>3593</v>
      </c>
      <c r="F38" s="254">
        <v>1007632</v>
      </c>
      <c r="G38" s="254">
        <f t="shared" si="0"/>
        <v>7845608</v>
      </c>
    </row>
    <row r="39" spans="1:7" ht="13.5" customHeight="1">
      <c r="A39" s="25" t="s">
        <v>386</v>
      </c>
      <c r="B39" s="253">
        <v>764050</v>
      </c>
      <c r="C39" s="253">
        <v>256375</v>
      </c>
      <c r="D39" s="253">
        <v>1783600</v>
      </c>
      <c r="E39" s="253">
        <v>1244</v>
      </c>
      <c r="F39" s="253">
        <v>52156</v>
      </c>
      <c r="G39" s="253">
        <f t="shared" si="0"/>
        <v>2857425</v>
      </c>
    </row>
    <row r="40" spans="1:7" ht="13.5" customHeight="1">
      <c r="A40" s="27" t="s">
        <v>387</v>
      </c>
      <c r="B40" s="254">
        <v>1178864</v>
      </c>
      <c r="C40" s="254">
        <v>0</v>
      </c>
      <c r="D40" s="254">
        <v>1405300</v>
      </c>
      <c r="E40" s="254">
        <v>518926</v>
      </c>
      <c r="F40" s="254">
        <v>1596690</v>
      </c>
      <c r="G40" s="254">
        <f t="shared" si="0"/>
        <v>4699780</v>
      </c>
    </row>
    <row r="41" spans="1:7" ht="13.5" customHeight="1">
      <c r="A41" s="25" t="s">
        <v>388</v>
      </c>
      <c r="B41" s="253">
        <v>2111302</v>
      </c>
      <c r="C41" s="253">
        <v>1424954</v>
      </c>
      <c r="D41" s="253">
        <v>3186100</v>
      </c>
      <c r="E41" s="253">
        <v>220107</v>
      </c>
      <c r="F41" s="253">
        <v>1451051</v>
      </c>
      <c r="G41" s="253">
        <f t="shared" si="0"/>
        <v>8393514</v>
      </c>
    </row>
    <row r="42" spans="1:7" ht="13.5" customHeight="1">
      <c r="A42" s="27" t="s">
        <v>389</v>
      </c>
      <c r="B42" s="254">
        <v>319133</v>
      </c>
      <c r="C42" s="254">
        <v>640375</v>
      </c>
      <c r="D42" s="254">
        <v>1032500</v>
      </c>
      <c r="E42" s="254">
        <v>53048</v>
      </c>
      <c r="F42" s="254">
        <v>46533</v>
      </c>
      <c r="G42" s="254">
        <f t="shared" si="0"/>
        <v>2091589</v>
      </c>
    </row>
    <row r="43" spans="1:7" ht="13.5" customHeight="1">
      <c r="A43" s="25" t="s">
        <v>390</v>
      </c>
      <c r="B43" s="253">
        <v>460583</v>
      </c>
      <c r="C43" s="253">
        <v>167875</v>
      </c>
      <c r="D43" s="253">
        <v>1272100</v>
      </c>
      <c r="E43" s="253">
        <v>6448</v>
      </c>
      <c r="F43" s="253">
        <v>112600</v>
      </c>
      <c r="G43" s="253">
        <f t="shared" si="0"/>
        <v>2019606</v>
      </c>
    </row>
    <row r="44" spans="1:7" ht="13.5" customHeight="1">
      <c r="A44" s="27" t="s">
        <v>391</v>
      </c>
      <c r="B44" s="254">
        <v>337469</v>
      </c>
      <c r="C44" s="254">
        <v>177402</v>
      </c>
      <c r="D44" s="254">
        <v>0</v>
      </c>
      <c r="E44" s="254">
        <v>5033</v>
      </c>
      <c r="F44" s="254">
        <v>416058</v>
      </c>
      <c r="G44" s="254">
        <f t="shared" si="0"/>
        <v>935962</v>
      </c>
    </row>
    <row r="45" spans="1:7" ht="13.5" customHeight="1">
      <c r="A45" s="25" t="s">
        <v>392</v>
      </c>
      <c r="B45" s="253">
        <v>753281</v>
      </c>
      <c r="C45" s="253">
        <v>160735</v>
      </c>
      <c r="D45" s="253">
        <v>0</v>
      </c>
      <c r="E45" s="253">
        <v>0</v>
      </c>
      <c r="F45" s="253">
        <v>878019</v>
      </c>
      <c r="G45" s="253">
        <f t="shared" si="0"/>
        <v>1792035</v>
      </c>
    </row>
    <row r="46" spans="1:7" ht="13.5" customHeight="1">
      <c r="A46" s="27" t="s">
        <v>393</v>
      </c>
      <c r="B46" s="254">
        <v>12389845</v>
      </c>
      <c r="C46" s="254">
        <v>2378517</v>
      </c>
      <c r="D46" s="254">
        <v>9788300</v>
      </c>
      <c r="E46" s="254">
        <v>783243</v>
      </c>
      <c r="F46" s="254">
        <v>6694442</v>
      </c>
      <c r="G46" s="254">
        <f t="shared" si="0"/>
        <v>32034347</v>
      </c>
    </row>
    <row r="47" spans="1:7" ht="13.5" customHeight="1">
      <c r="A47" s="25" t="s">
        <v>397</v>
      </c>
      <c r="B47" s="253">
        <v>729361</v>
      </c>
      <c r="C47" s="253">
        <v>62569</v>
      </c>
      <c r="D47" s="253">
        <v>0</v>
      </c>
      <c r="E47" s="253">
        <v>0</v>
      </c>
      <c r="F47" s="253">
        <v>68840</v>
      </c>
      <c r="G47" s="253">
        <f t="shared" si="0"/>
        <v>860770</v>
      </c>
    </row>
    <row r="48" spans="1:7" ht="4.5" customHeight="1">
      <c r="A48" s="29"/>
      <c r="B48" s="255"/>
      <c r="C48" s="255"/>
      <c r="D48" s="255"/>
      <c r="E48" s="255"/>
      <c r="F48" s="255"/>
      <c r="G48" s="255"/>
    </row>
    <row r="49" spans="1:7" ht="13.5" customHeight="1">
      <c r="A49" s="31" t="s">
        <v>394</v>
      </c>
      <c r="B49" s="256">
        <f aca="true" t="shared" si="1" ref="B49:G49">SUM(B11:B47)</f>
        <v>65678628</v>
      </c>
      <c r="C49" s="256">
        <f t="shared" si="1"/>
        <v>16939658.11</v>
      </c>
      <c r="D49" s="256">
        <f t="shared" si="1"/>
        <v>58563439</v>
      </c>
      <c r="E49" s="256">
        <f t="shared" si="1"/>
        <v>2895162</v>
      </c>
      <c r="F49" s="256">
        <f t="shared" si="1"/>
        <v>32581836</v>
      </c>
      <c r="G49" s="256">
        <f t="shared" si="1"/>
        <v>176658723.11</v>
      </c>
    </row>
    <row r="50" spans="1:7" ht="4.5" customHeight="1">
      <c r="A50" s="29" t="s">
        <v>78</v>
      </c>
      <c r="B50" s="255"/>
      <c r="C50" s="255"/>
      <c r="D50" s="255"/>
      <c r="E50" s="255"/>
      <c r="F50" s="255"/>
      <c r="G50" s="255"/>
    </row>
    <row r="51" spans="1:7" ht="13.5" customHeight="1">
      <c r="A51" s="27" t="s">
        <v>395</v>
      </c>
      <c r="B51" s="254">
        <v>0</v>
      </c>
      <c r="C51" s="254">
        <v>0</v>
      </c>
      <c r="D51" s="254">
        <v>0</v>
      </c>
      <c r="E51" s="254">
        <v>0</v>
      </c>
      <c r="F51" s="254">
        <v>0</v>
      </c>
      <c r="G51" s="254">
        <f>SUM(B51:F51)</f>
        <v>0</v>
      </c>
    </row>
    <row r="52" spans="1:7" ht="13.5" customHeight="1">
      <c r="A52" s="25" t="s">
        <v>396</v>
      </c>
      <c r="B52" s="253">
        <v>0</v>
      </c>
      <c r="C52" s="253">
        <v>316861</v>
      </c>
      <c r="D52" s="253">
        <v>250000</v>
      </c>
      <c r="E52" s="253">
        <v>829</v>
      </c>
      <c r="F52" s="253">
        <v>79534</v>
      </c>
      <c r="G52" s="253">
        <f>SUM(B52:F52)</f>
        <v>647224</v>
      </c>
    </row>
    <row r="53" spans="1:7" ht="49.5" customHeight="1">
      <c r="A53" s="33"/>
      <c r="B53" s="33"/>
      <c r="C53" s="33"/>
      <c r="D53" s="33"/>
      <c r="E53" s="33"/>
      <c r="F53" s="33"/>
      <c r="G53" s="33"/>
    </row>
    <row r="54" ht="15" customHeight="1">
      <c r="A54" s="216" t="s">
        <v>16</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sheetPr codeName="Sheet40">
    <pageSetUpPr fitToPage="1"/>
  </sheetPr>
  <dimension ref="A1:F54"/>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16384" width="19.83203125" style="1" customWidth="1"/>
  </cols>
  <sheetData>
    <row r="1" ht="6.75" customHeight="1">
      <c r="A1" s="5"/>
    </row>
    <row r="2" spans="1:6" ht="15.75" customHeight="1">
      <c r="A2" s="219"/>
      <c r="B2" s="373" t="s">
        <v>190</v>
      </c>
      <c r="C2" s="405"/>
      <c r="D2" s="405"/>
      <c r="E2" s="406"/>
      <c r="F2" s="407" t="s">
        <v>79</v>
      </c>
    </row>
    <row r="3" spans="1:6" ht="15.75" customHeight="1">
      <c r="A3" s="221"/>
      <c r="B3" s="432" t="str">
        <f>capyear</f>
        <v>CAPITAL FUND 2003/2004 ACTUAL</v>
      </c>
      <c r="C3" s="409"/>
      <c r="D3" s="409"/>
      <c r="E3" s="410"/>
      <c r="F3" s="410"/>
    </row>
    <row r="4" spans="2:6" ht="15.75" customHeight="1">
      <c r="B4" s="6"/>
      <c r="C4" s="6"/>
      <c r="D4" s="6"/>
      <c r="E4" s="6"/>
      <c r="F4" s="6"/>
    </row>
    <row r="5" spans="2:6" ht="15.75" customHeight="1">
      <c r="B5" s="6"/>
      <c r="C5" s="6"/>
      <c r="D5" s="6"/>
      <c r="E5" s="6"/>
      <c r="F5" s="6"/>
    </row>
    <row r="6" spans="2:6" ht="15.75" customHeight="1">
      <c r="B6" s="258" t="s">
        <v>199</v>
      </c>
      <c r="C6" s="288"/>
      <c r="D6" s="288"/>
      <c r="E6" s="288"/>
      <c r="F6" s="289"/>
    </row>
    <row r="7" spans="2:6" ht="15.75" customHeight="1">
      <c r="B7" s="209" t="s">
        <v>212</v>
      </c>
      <c r="C7" s="211"/>
      <c r="D7" s="211"/>
      <c r="E7" s="210"/>
      <c r="F7" s="412"/>
    </row>
    <row r="8" spans="1:6" ht="15.75" customHeight="1">
      <c r="A8" s="96"/>
      <c r="B8" s="433"/>
      <c r="C8" s="434"/>
      <c r="D8" s="434"/>
      <c r="E8" s="384"/>
      <c r="F8" s="371" t="s">
        <v>237</v>
      </c>
    </row>
    <row r="9" spans="1:6" ht="15.75" customHeight="1">
      <c r="A9" s="49" t="s">
        <v>175</v>
      </c>
      <c r="B9" s="70" t="s">
        <v>251</v>
      </c>
      <c r="C9" s="69" t="s">
        <v>252</v>
      </c>
      <c r="D9" s="69" t="s">
        <v>253</v>
      </c>
      <c r="E9" s="69" t="s">
        <v>254</v>
      </c>
      <c r="F9" s="69" t="s">
        <v>247</v>
      </c>
    </row>
    <row r="10" spans="1:6" ht="4.5" customHeight="1">
      <c r="A10" s="4"/>
      <c r="B10" s="372"/>
      <c r="C10" s="372"/>
      <c r="D10" s="372"/>
      <c r="E10" s="372"/>
      <c r="F10" s="372"/>
    </row>
    <row r="11" spans="1:6" ht="13.5" customHeight="1">
      <c r="A11" s="25" t="s">
        <v>359</v>
      </c>
      <c r="B11" s="253">
        <v>0</v>
      </c>
      <c r="C11" s="253">
        <v>1428343</v>
      </c>
      <c r="D11" s="253">
        <v>0</v>
      </c>
      <c r="E11" s="253">
        <v>258398</v>
      </c>
      <c r="F11" s="253">
        <v>1072303</v>
      </c>
    </row>
    <row r="12" spans="1:6" ht="13.5" customHeight="1">
      <c r="A12" s="27" t="s">
        <v>360</v>
      </c>
      <c r="B12" s="254">
        <v>0</v>
      </c>
      <c r="C12" s="254">
        <v>1173512</v>
      </c>
      <c r="D12" s="254">
        <v>4391</v>
      </c>
      <c r="E12" s="254">
        <v>168658</v>
      </c>
      <c r="F12" s="254">
        <v>805130</v>
      </c>
    </row>
    <row r="13" spans="1:6" ht="13.5" customHeight="1">
      <c r="A13" s="25" t="s">
        <v>361</v>
      </c>
      <c r="B13" s="253">
        <v>0</v>
      </c>
      <c r="C13" s="253">
        <v>1581073</v>
      </c>
      <c r="D13" s="253">
        <v>0</v>
      </c>
      <c r="E13" s="253">
        <v>302613</v>
      </c>
      <c r="F13" s="253">
        <v>2719649</v>
      </c>
    </row>
    <row r="14" spans="1:6" ht="13.5" customHeight="1">
      <c r="A14" s="27" t="s">
        <v>398</v>
      </c>
      <c r="B14" s="254">
        <v>1298830</v>
      </c>
      <c r="C14" s="254">
        <v>4783226</v>
      </c>
      <c r="D14" s="254">
        <v>3921</v>
      </c>
      <c r="E14" s="254">
        <v>0</v>
      </c>
      <c r="F14" s="254">
        <v>3210941</v>
      </c>
    </row>
    <row r="15" spans="1:6" ht="13.5" customHeight="1">
      <c r="A15" s="25" t="s">
        <v>362</v>
      </c>
      <c r="B15" s="253">
        <v>0</v>
      </c>
      <c r="C15" s="253">
        <v>450225</v>
      </c>
      <c r="D15" s="253">
        <v>13762</v>
      </c>
      <c r="E15" s="253">
        <v>714856</v>
      </c>
      <c r="F15" s="253">
        <v>1107768</v>
      </c>
    </row>
    <row r="16" spans="1:6" ht="13.5" customHeight="1">
      <c r="A16" s="27" t="s">
        <v>363</v>
      </c>
      <c r="B16" s="254">
        <v>0</v>
      </c>
      <c r="C16" s="254">
        <v>103365</v>
      </c>
      <c r="D16" s="254">
        <v>125666</v>
      </c>
      <c r="E16" s="254">
        <v>0</v>
      </c>
      <c r="F16" s="254">
        <v>78629</v>
      </c>
    </row>
    <row r="17" spans="1:6" ht="13.5" customHeight="1">
      <c r="A17" s="25" t="s">
        <v>364</v>
      </c>
      <c r="B17" s="253">
        <v>0</v>
      </c>
      <c r="C17" s="253">
        <v>755123</v>
      </c>
      <c r="D17" s="253">
        <v>0</v>
      </c>
      <c r="E17" s="253">
        <v>0</v>
      </c>
      <c r="F17" s="253">
        <v>1168118</v>
      </c>
    </row>
    <row r="18" spans="1:6" ht="13.5" customHeight="1">
      <c r="A18" s="27" t="s">
        <v>365</v>
      </c>
      <c r="B18" s="254">
        <v>313</v>
      </c>
      <c r="C18" s="254">
        <v>1954970</v>
      </c>
      <c r="D18" s="254">
        <v>57567</v>
      </c>
      <c r="E18" s="254">
        <v>302027</v>
      </c>
      <c r="F18" s="254">
        <v>1250165</v>
      </c>
    </row>
    <row r="19" spans="1:6" ht="13.5" customHeight="1">
      <c r="A19" s="25" t="s">
        <v>366</v>
      </c>
      <c r="B19" s="253">
        <v>0</v>
      </c>
      <c r="C19" s="253">
        <v>771984</v>
      </c>
      <c r="D19" s="253">
        <v>53754</v>
      </c>
      <c r="E19" s="253">
        <v>201022</v>
      </c>
      <c r="F19" s="253">
        <v>1555444</v>
      </c>
    </row>
    <row r="20" spans="1:6" ht="13.5" customHeight="1">
      <c r="A20" s="27" t="s">
        <v>367</v>
      </c>
      <c r="B20" s="254">
        <v>142</v>
      </c>
      <c r="C20" s="254">
        <v>4775213</v>
      </c>
      <c r="D20" s="254">
        <v>193833</v>
      </c>
      <c r="E20" s="254">
        <v>498402</v>
      </c>
      <c r="F20" s="254">
        <v>3059672</v>
      </c>
    </row>
    <row r="21" spans="1:6" ht="13.5" customHeight="1">
      <c r="A21" s="25" t="s">
        <v>368</v>
      </c>
      <c r="B21" s="253">
        <v>15000</v>
      </c>
      <c r="C21" s="253">
        <v>911553</v>
      </c>
      <c r="D21" s="253">
        <v>0</v>
      </c>
      <c r="E21" s="253">
        <v>543638</v>
      </c>
      <c r="F21" s="253">
        <v>828139</v>
      </c>
    </row>
    <row r="22" spans="1:6" ht="13.5" customHeight="1">
      <c r="A22" s="27" t="s">
        <v>369</v>
      </c>
      <c r="B22" s="254">
        <v>0</v>
      </c>
      <c r="C22" s="254">
        <v>805827</v>
      </c>
      <c r="D22" s="254">
        <v>0</v>
      </c>
      <c r="E22" s="254">
        <v>91830</v>
      </c>
      <c r="F22" s="254">
        <v>351584</v>
      </c>
    </row>
    <row r="23" spans="1:6" ht="13.5" customHeight="1">
      <c r="A23" s="25" t="s">
        <v>370</v>
      </c>
      <c r="B23" s="253">
        <v>0</v>
      </c>
      <c r="C23" s="253">
        <v>985022</v>
      </c>
      <c r="D23" s="253">
        <v>0</v>
      </c>
      <c r="E23" s="253">
        <v>177437</v>
      </c>
      <c r="F23" s="253">
        <v>405805</v>
      </c>
    </row>
    <row r="24" spans="1:6" ht="13.5" customHeight="1">
      <c r="A24" s="27" t="s">
        <v>371</v>
      </c>
      <c r="B24" s="254">
        <v>0</v>
      </c>
      <c r="C24" s="254">
        <v>3168038</v>
      </c>
      <c r="D24" s="254">
        <v>69992</v>
      </c>
      <c r="E24" s="254">
        <v>0</v>
      </c>
      <c r="F24" s="254">
        <v>1340870</v>
      </c>
    </row>
    <row r="25" spans="1:6" ht="13.5" customHeight="1">
      <c r="A25" s="25" t="s">
        <v>372</v>
      </c>
      <c r="B25" s="253">
        <v>0</v>
      </c>
      <c r="C25" s="253">
        <v>2717001</v>
      </c>
      <c r="D25" s="253">
        <v>222692</v>
      </c>
      <c r="E25" s="253">
        <v>175506</v>
      </c>
      <c r="F25" s="253">
        <v>4645023</v>
      </c>
    </row>
    <row r="26" spans="1:6" ht="13.5" customHeight="1">
      <c r="A26" s="27" t="s">
        <v>373</v>
      </c>
      <c r="B26" s="254">
        <v>39345</v>
      </c>
      <c r="C26" s="254">
        <v>798113</v>
      </c>
      <c r="D26" s="254">
        <v>44089</v>
      </c>
      <c r="E26" s="254">
        <v>385336</v>
      </c>
      <c r="F26" s="254">
        <v>1198045</v>
      </c>
    </row>
    <row r="27" spans="1:6" ht="13.5" customHeight="1">
      <c r="A27" s="25" t="s">
        <v>374</v>
      </c>
      <c r="B27" s="253">
        <v>0</v>
      </c>
      <c r="C27" s="253">
        <v>790978</v>
      </c>
      <c r="D27" s="253">
        <v>0</v>
      </c>
      <c r="E27" s="253">
        <v>0</v>
      </c>
      <c r="F27" s="253">
        <v>1010660</v>
      </c>
    </row>
    <row r="28" spans="1:6" ht="13.5" customHeight="1">
      <c r="A28" s="27" t="s">
        <v>375</v>
      </c>
      <c r="B28" s="254">
        <v>0</v>
      </c>
      <c r="C28" s="254">
        <v>1931377</v>
      </c>
      <c r="D28" s="254">
        <v>0</v>
      </c>
      <c r="E28" s="254">
        <v>91479</v>
      </c>
      <c r="F28" s="254">
        <v>1217897</v>
      </c>
    </row>
    <row r="29" spans="1:6" ht="13.5" customHeight="1">
      <c r="A29" s="25" t="s">
        <v>376</v>
      </c>
      <c r="B29" s="253">
        <v>0</v>
      </c>
      <c r="C29" s="253">
        <v>1315203</v>
      </c>
      <c r="D29" s="253">
        <v>9788</v>
      </c>
      <c r="E29" s="253">
        <v>210777</v>
      </c>
      <c r="F29" s="253">
        <v>4031981</v>
      </c>
    </row>
    <row r="30" spans="1:6" ht="13.5" customHeight="1">
      <c r="A30" s="27" t="s">
        <v>377</v>
      </c>
      <c r="B30" s="254">
        <v>0</v>
      </c>
      <c r="C30" s="254">
        <v>475580</v>
      </c>
      <c r="D30" s="254">
        <v>0</v>
      </c>
      <c r="E30" s="254">
        <v>1000</v>
      </c>
      <c r="F30" s="254">
        <v>340237</v>
      </c>
    </row>
    <row r="31" spans="1:6" ht="13.5" customHeight="1">
      <c r="A31" s="25" t="s">
        <v>378</v>
      </c>
      <c r="B31" s="253">
        <v>200000</v>
      </c>
      <c r="C31" s="253">
        <v>514473</v>
      </c>
      <c r="D31" s="253">
        <v>0</v>
      </c>
      <c r="E31" s="253">
        <v>85723</v>
      </c>
      <c r="F31" s="253">
        <v>985498</v>
      </c>
    </row>
    <row r="32" spans="1:6" ht="13.5" customHeight="1">
      <c r="A32" s="27" t="s">
        <v>379</v>
      </c>
      <c r="B32" s="254">
        <v>0</v>
      </c>
      <c r="C32" s="254">
        <v>219650</v>
      </c>
      <c r="D32" s="254">
        <v>0</v>
      </c>
      <c r="E32" s="254">
        <v>266656</v>
      </c>
      <c r="F32" s="254">
        <v>1395629</v>
      </c>
    </row>
    <row r="33" spans="1:6" ht="13.5" customHeight="1">
      <c r="A33" s="25" t="s">
        <v>380</v>
      </c>
      <c r="B33" s="253">
        <v>0</v>
      </c>
      <c r="C33" s="253">
        <v>359584</v>
      </c>
      <c r="D33" s="253">
        <v>0</v>
      </c>
      <c r="E33" s="253">
        <v>439484</v>
      </c>
      <c r="F33" s="253">
        <v>1394193</v>
      </c>
    </row>
    <row r="34" spans="1:6" ht="13.5" customHeight="1">
      <c r="A34" s="27" t="s">
        <v>381</v>
      </c>
      <c r="B34" s="254">
        <v>0</v>
      </c>
      <c r="C34" s="254">
        <v>98551</v>
      </c>
      <c r="D34" s="254">
        <v>69598</v>
      </c>
      <c r="E34" s="254">
        <v>340998</v>
      </c>
      <c r="F34" s="254">
        <v>1251023</v>
      </c>
    </row>
    <row r="35" spans="1:6" ht="13.5" customHeight="1">
      <c r="A35" s="25" t="s">
        <v>382</v>
      </c>
      <c r="B35" s="253">
        <v>0</v>
      </c>
      <c r="C35" s="253">
        <v>2959319</v>
      </c>
      <c r="D35" s="253">
        <v>344227</v>
      </c>
      <c r="E35" s="253">
        <v>475239</v>
      </c>
      <c r="F35" s="253">
        <v>5407619</v>
      </c>
    </row>
    <row r="36" spans="1:6" ht="13.5" customHeight="1">
      <c r="A36" s="27" t="s">
        <v>383</v>
      </c>
      <c r="B36" s="254">
        <v>0</v>
      </c>
      <c r="C36" s="254">
        <v>329987</v>
      </c>
      <c r="D36" s="254">
        <v>0</v>
      </c>
      <c r="E36" s="254">
        <v>216801</v>
      </c>
      <c r="F36" s="254">
        <v>1096583</v>
      </c>
    </row>
    <row r="37" spans="1:6" ht="13.5" customHeight="1">
      <c r="A37" s="25" t="s">
        <v>384</v>
      </c>
      <c r="B37" s="253">
        <v>0</v>
      </c>
      <c r="C37" s="253">
        <v>1189300</v>
      </c>
      <c r="D37" s="253">
        <v>0</v>
      </c>
      <c r="E37" s="253">
        <v>659537</v>
      </c>
      <c r="F37" s="253">
        <v>2109529</v>
      </c>
    </row>
    <row r="38" spans="1:6" ht="13.5" customHeight="1">
      <c r="A38" s="27" t="s">
        <v>385</v>
      </c>
      <c r="B38" s="254">
        <v>641094</v>
      </c>
      <c r="C38" s="254">
        <v>1111080</v>
      </c>
      <c r="D38" s="254">
        <v>105304</v>
      </c>
      <c r="E38" s="254">
        <v>208428</v>
      </c>
      <c r="F38" s="254">
        <v>3246092</v>
      </c>
    </row>
    <row r="39" spans="1:6" ht="13.5" customHeight="1">
      <c r="A39" s="25" t="s">
        <v>386</v>
      </c>
      <c r="B39" s="253">
        <v>0</v>
      </c>
      <c r="C39" s="253">
        <v>355042</v>
      </c>
      <c r="D39" s="253">
        <v>1037383</v>
      </c>
      <c r="E39" s="253">
        <v>291083</v>
      </c>
      <c r="F39" s="253">
        <v>764033</v>
      </c>
    </row>
    <row r="40" spans="1:6" ht="13.5" customHeight="1">
      <c r="A40" s="27" t="s">
        <v>387</v>
      </c>
      <c r="B40" s="254">
        <v>0</v>
      </c>
      <c r="C40" s="254">
        <v>1782215</v>
      </c>
      <c r="D40" s="254">
        <v>0</v>
      </c>
      <c r="E40" s="254">
        <v>0</v>
      </c>
      <c r="F40" s="254">
        <v>1110941</v>
      </c>
    </row>
    <row r="41" spans="1:6" ht="13.5" customHeight="1">
      <c r="A41" s="25" t="s">
        <v>388</v>
      </c>
      <c r="B41" s="253">
        <v>0</v>
      </c>
      <c r="C41" s="253">
        <v>2368838</v>
      </c>
      <c r="D41" s="253">
        <v>0</v>
      </c>
      <c r="E41" s="253">
        <v>0</v>
      </c>
      <c r="F41" s="253">
        <v>2354205</v>
      </c>
    </row>
    <row r="42" spans="1:6" ht="13.5" customHeight="1">
      <c r="A42" s="27" t="s">
        <v>389</v>
      </c>
      <c r="B42" s="254">
        <v>0</v>
      </c>
      <c r="C42" s="254">
        <v>1057857</v>
      </c>
      <c r="D42" s="254">
        <v>89857</v>
      </c>
      <c r="E42" s="254">
        <v>308981</v>
      </c>
      <c r="F42" s="254">
        <v>319133</v>
      </c>
    </row>
    <row r="43" spans="1:6" ht="13.5" customHeight="1">
      <c r="A43" s="25" t="s">
        <v>390</v>
      </c>
      <c r="B43" s="253">
        <v>0</v>
      </c>
      <c r="C43" s="253">
        <v>1207038</v>
      </c>
      <c r="D43" s="253">
        <v>0</v>
      </c>
      <c r="E43" s="253">
        <v>167875</v>
      </c>
      <c r="F43" s="253">
        <v>459530</v>
      </c>
    </row>
    <row r="44" spans="1:6" ht="13.5" customHeight="1">
      <c r="A44" s="27" t="s">
        <v>391</v>
      </c>
      <c r="B44" s="254">
        <v>0</v>
      </c>
      <c r="C44" s="254">
        <v>118724</v>
      </c>
      <c r="D44" s="254">
        <v>0</v>
      </c>
      <c r="E44" s="254">
        <v>177402</v>
      </c>
      <c r="F44" s="254">
        <v>337469</v>
      </c>
    </row>
    <row r="45" spans="1:6" ht="13.5" customHeight="1">
      <c r="A45" s="25" t="s">
        <v>392</v>
      </c>
      <c r="B45" s="253">
        <v>20000</v>
      </c>
      <c r="C45" s="253">
        <v>801218</v>
      </c>
      <c r="D45" s="253">
        <v>0</v>
      </c>
      <c r="E45" s="253">
        <v>0</v>
      </c>
      <c r="F45" s="253">
        <v>890039</v>
      </c>
    </row>
    <row r="46" spans="1:6" ht="13.5" customHeight="1">
      <c r="A46" s="27" t="s">
        <v>393</v>
      </c>
      <c r="B46" s="254">
        <v>96853</v>
      </c>
      <c r="C46" s="254">
        <v>13497059</v>
      </c>
      <c r="D46" s="254">
        <v>639684</v>
      </c>
      <c r="E46" s="254">
        <v>98914</v>
      </c>
      <c r="F46" s="254">
        <v>12339230</v>
      </c>
    </row>
    <row r="47" spans="1:6" ht="13.5" customHeight="1">
      <c r="A47" s="25" t="s">
        <v>397</v>
      </c>
      <c r="B47" s="253">
        <v>0</v>
      </c>
      <c r="C47" s="253">
        <v>68840</v>
      </c>
      <c r="D47" s="253">
        <v>0</v>
      </c>
      <c r="E47" s="253">
        <v>0</v>
      </c>
      <c r="F47" s="253">
        <v>791930</v>
      </c>
    </row>
    <row r="48" spans="1:6" ht="4.5" customHeight="1">
      <c r="A48" s="29"/>
      <c r="B48" s="255"/>
      <c r="C48" s="255"/>
      <c r="D48" s="255"/>
      <c r="E48" s="255"/>
      <c r="F48" s="255"/>
    </row>
    <row r="49" spans="1:6" ht="13.5" customHeight="1">
      <c r="A49" s="31" t="s">
        <v>394</v>
      </c>
      <c r="B49" s="256">
        <f>SUM(B11:B47)</f>
        <v>2311577</v>
      </c>
      <c r="C49" s="256">
        <f>SUM(C11:C47)</f>
        <v>59714501</v>
      </c>
      <c r="D49" s="256">
        <f>SUM(D11:D47)</f>
        <v>3085508</v>
      </c>
      <c r="E49" s="256">
        <f>SUM(E11:E47)</f>
        <v>7860100</v>
      </c>
      <c r="F49" s="256">
        <f>SUM(F11:F47)</f>
        <v>67650736</v>
      </c>
    </row>
    <row r="50" spans="1:6" ht="4.5" customHeight="1">
      <c r="A50" s="29" t="s">
        <v>78</v>
      </c>
      <c r="B50" s="255"/>
      <c r="C50" s="255"/>
      <c r="D50" s="255"/>
      <c r="E50" s="255"/>
      <c r="F50" s="255"/>
    </row>
    <row r="51" spans="1:6" ht="13.5" customHeight="1">
      <c r="A51" s="27" t="s">
        <v>395</v>
      </c>
      <c r="B51" s="254">
        <v>0</v>
      </c>
      <c r="C51" s="254">
        <v>0</v>
      </c>
      <c r="D51" s="254">
        <v>0</v>
      </c>
      <c r="E51" s="254">
        <v>0</v>
      </c>
      <c r="F51" s="254">
        <v>0</v>
      </c>
    </row>
    <row r="52" spans="1:6" ht="13.5" customHeight="1">
      <c r="A52" s="25" t="s">
        <v>396</v>
      </c>
      <c r="B52" s="253">
        <v>0</v>
      </c>
      <c r="C52" s="253">
        <v>319654</v>
      </c>
      <c r="D52" s="253">
        <v>0</v>
      </c>
      <c r="E52" s="253">
        <v>0</v>
      </c>
      <c r="F52" s="253">
        <v>79644</v>
      </c>
    </row>
    <row r="53" spans="1:6" ht="49.5" customHeight="1">
      <c r="A53" s="316"/>
      <c r="B53" s="316"/>
      <c r="C53" s="316"/>
      <c r="D53" s="316"/>
      <c r="E53" s="316"/>
      <c r="F53" s="316"/>
    </row>
    <row r="54" spans="1:6" ht="15" customHeight="1">
      <c r="A54" s="540"/>
      <c r="B54" s="316"/>
      <c r="C54" s="316"/>
      <c r="D54" s="316"/>
      <c r="E54" s="316"/>
      <c r="F54" s="316"/>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E54"/>
  <sheetViews>
    <sheetView showGridLines="0" showZeros="0" workbookViewId="0" topLeftCell="A1">
      <selection activeCell="A1" sqref="A1"/>
    </sheetView>
  </sheetViews>
  <sheetFormatPr defaultColWidth="19.83203125" defaultRowHeight="12"/>
  <cols>
    <col min="1" max="1" width="36.83203125" style="1" customWidth="1"/>
    <col min="2" max="4" width="20.83203125" style="1" customWidth="1"/>
    <col min="5" max="5" width="34.83203125" style="1" customWidth="1"/>
    <col min="6" max="16384" width="19.83203125" style="1" customWidth="1"/>
  </cols>
  <sheetData>
    <row r="1" ht="6.75" customHeight="1">
      <c r="A1" s="5"/>
    </row>
    <row r="2" spans="1:5" ht="15.75" customHeight="1">
      <c r="A2" s="219"/>
      <c r="B2" s="373" t="s">
        <v>190</v>
      </c>
      <c r="C2" s="405"/>
      <c r="D2" s="405"/>
      <c r="E2" s="430" t="s">
        <v>80</v>
      </c>
    </row>
    <row r="3" spans="1:5" ht="15.75" customHeight="1">
      <c r="A3" s="221"/>
      <c r="B3" s="432" t="str">
        <f>capyear</f>
        <v>CAPITAL FUND 2003/2004 ACTUAL</v>
      </c>
      <c r="C3" s="409"/>
      <c r="D3" s="409"/>
      <c r="E3" s="410"/>
    </row>
    <row r="4" spans="2:5" ht="15.75" customHeight="1">
      <c r="B4" s="6"/>
      <c r="D4" s="6"/>
      <c r="E4" s="6"/>
    </row>
    <row r="5" spans="2:5" ht="15.75" customHeight="1">
      <c r="B5" s="6"/>
      <c r="C5" s="6"/>
      <c r="D5" s="6"/>
      <c r="E5" s="6"/>
    </row>
    <row r="6" spans="2:5" ht="15.75" customHeight="1">
      <c r="B6" s="258" t="s">
        <v>200</v>
      </c>
      <c r="C6" s="288"/>
      <c r="D6" s="289"/>
      <c r="E6" s="6"/>
    </row>
    <row r="7" spans="2:5" ht="15.75" customHeight="1">
      <c r="B7" s="63"/>
      <c r="C7" s="63" t="s">
        <v>213</v>
      </c>
      <c r="D7" s="412"/>
      <c r="E7" s="6"/>
    </row>
    <row r="8" spans="1:5" ht="15.75" customHeight="1">
      <c r="A8" s="96"/>
      <c r="B8" s="384" t="s">
        <v>234</v>
      </c>
      <c r="C8" s="371" t="s">
        <v>238</v>
      </c>
      <c r="D8" s="413"/>
      <c r="E8" s="6"/>
    </row>
    <row r="9" spans="1:5" ht="15.75" customHeight="1">
      <c r="A9" s="49" t="s">
        <v>175</v>
      </c>
      <c r="B9" s="70" t="s">
        <v>188</v>
      </c>
      <c r="C9" s="69" t="s">
        <v>239</v>
      </c>
      <c r="D9" s="69" t="s">
        <v>144</v>
      </c>
      <c r="E9" s="6"/>
    </row>
    <row r="10" spans="1:5" ht="4.5" customHeight="1">
      <c r="A10" s="4"/>
      <c r="B10" s="372"/>
      <c r="C10" s="372"/>
      <c r="D10" s="372"/>
      <c r="E10" s="5"/>
    </row>
    <row r="11" spans="1:4" ht="13.5" customHeight="1">
      <c r="A11" s="25" t="s">
        <v>359</v>
      </c>
      <c r="B11" s="253">
        <v>0</v>
      </c>
      <c r="C11" s="253">
        <v>222996</v>
      </c>
      <c r="D11" s="253">
        <f>SUM('- 49 -'!B11:F11,B11:C11)</f>
        <v>2982040</v>
      </c>
    </row>
    <row r="12" spans="1:4" ht="13.5" customHeight="1">
      <c r="A12" s="27" t="s">
        <v>360</v>
      </c>
      <c r="B12" s="254">
        <v>0</v>
      </c>
      <c r="C12" s="254">
        <v>343758</v>
      </c>
      <c r="D12" s="254">
        <f>SUM('- 49 -'!B12:F12,B12:C12)</f>
        <v>2495449</v>
      </c>
    </row>
    <row r="13" spans="1:4" ht="13.5" customHeight="1">
      <c r="A13" s="25" t="s">
        <v>361</v>
      </c>
      <c r="B13" s="253">
        <v>14000</v>
      </c>
      <c r="C13" s="253">
        <v>1578605</v>
      </c>
      <c r="D13" s="253">
        <f>SUM('- 49 -'!B13:F13,B13:C13)</f>
        <v>6195940</v>
      </c>
    </row>
    <row r="14" spans="1:4" ht="13.5" customHeight="1">
      <c r="A14" s="27" t="s">
        <v>398</v>
      </c>
      <c r="B14" s="254">
        <v>0</v>
      </c>
      <c r="C14" s="254">
        <v>1847032</v>
      </c>
      <c r="D14" s="254">
        <f>SUM('- 49 -'!B14:F14,B14:C14)</f>
        <v>11143950</v>
      </c>
    </row>
    <row r="15" spans="1:4" ht="13.5" customHeight="1">
      <c r="A15" s="25" t="s">
        <v>362</v>
      </c>
      <c r="B15" s="253">
        <v>0</v>
      </c>
      <c r="C15" s="253">
        <v>0</v>
      </c>
      <c r="D15" s="253">
        <f>SUM('- 49 -'!B15:F15,B15:C15)</f>
        <v>2286611</v>
      </c>
    </row>
    <row r="16" spans="1:4" ht="13.5" customHeight="1">
      <c r="A16" s="27" t="s">
        <v>363</v>
      </c>
      <c r="B16" s="254">
        <v>0</v>
      </c>
      <c r="C16" s="254">
        <v>57429</v>
      </c>
      <c r="D16" s="254">
        <f>SUM('- 49 -'!B16:F16,B16:C16)</f>
        <v>365089</v>
      </c>
    </row>
    <row r="17" spans="1:4" ht="13.5" customHeight="1">
      <c r="A17" s="25" t="s">
        <v>364</v>
      </c>
      <c r="B17" s="253">
        <v>5376</v>
      </c>
      <c r="C17" s="253">
        <v>492574</v>
      </c>
      <c r="D17" s="253">
        <f>SUM('- 49 -'!B17:F17,B17:C17)</f>
        <v>2421191</v>
      </c>
    </row>
    <row r="18" spans="1:4" ht="13.5" customHeight="1">
      <c r="A18" s="27" t="s">
        <v>365</v>
      </c>
      <c r="B18" s="254">
        <v>0</v>
      </c>
      <c r="C18" s="254">
        <v>1971580</v>
      </c>
      <c r="D18" s="254">
        <f>SUM('- 49 -'!B18:F18,B18:C18)</f>
        <v>5536622</v>
      </c>
    </row>
    <row r="19" spans="1:4" ht="13.5" customHeight="1">
      <c r="A19" s="25" t="s">
        <v>366</v>
      </c>
      <c r="B19" s="253">
        <v>0</v>
      </c>
      <c r="C19" s="253">
        <v>145285</v>
      </c>
      <c r="D19" s="253">
        <f>SUM('- 49 -'!B19:F19,B19:C19)</f>
        <v>2727489</v>
      </c>
    </row>
    <row r="20" spans="1:4" ht="13.5" customHeight="1">
      <c r="A20" s="27" t="s">
        <v>367</v>
      </c>
      <c r="B20" s="254">
        <v>5100</v>
      </c>
      <c r="C20" s="254">
        <v>717031</v>
      </c>
      <c r="D20" s="254">
        <f>SUM('- 49 -'!B20:F20,B20:C20)</f>
        <v>9249393</v>
      </c>
    </row>
    <row r="21" spans="1:4" ht="13.5" customHeight="1">
      <c r="A21" s="25" t="s">
        <v>368</v>
      </c>
      <c r="B21" s="253">
        <v>59483</v>
      </c>
      <c r="C21" s="253">
        <v>445033</v>
      </c>
      <c r="D21" s="253">
        <f>SUM('- 49 -'!B21:F21,B21:C21)</f>
        <v>2802846</v>
      </c>
    </row>
    <row r="22" spans="1:4" ht="13.5" customHeight="1">
      <c r="A22" s="27" t="s">
        <v>369</v>
      </c>
      <c r="B22" s="254">
        <v>0</v>
      </c>
      <c r="C22" s="254">
        <v>216926</v>
      </c>
      <c r="D22" s="254">
        <f>SUM('- 49 -'!B22:F22,B22:C22)</f>
        <v>1466167</v>
      </c>
    </row>
    <row r="23" spans="1:4" ht="13.5" customHeight="1">
      <c r="A23" s="25" t="s">
        <v>370</v>
      </c>
      <c r="B23" s="253">
        <v>0</v>
      </c>
      <c r="C23" s="253">
        <v>147444</v>
      </c>
      <c r="D23" s="253">
        <f>SUM('- 49 -'!B23:F23,B23:C23)</f>
        <v>1715708</v>
      </c>
    </row>
    <row r="24" spans="1:4" ht="13.5" customHeight="1">
      <c r="A24" s="27" t="s">
        <v>371</v>
      </c>
      <c r="B24" s="254">
        <v>0</v>
      </c>
      <c r="C24" s="254">
        <v>651109</v>
      </c>
      <c r="D24" s="254">
        <f>SUM('- 49 -'!B24:F24,B24:C24)</f>
        <v>5230009</v>
      </c>
    </row>
    <row r="25" spans="1:4" ht="13.5" customHeight="1">
      <c r="A25" s="25" t="s">
        <v>372</v>
      </c>
      <c r="B25" s="253">
        <v>0</v>
      </c>
      <c r="C25" s="253">
        <v>1967200</v>
      </c>
      <c r="D25" s="253">
        <f>SUM('- 49 -'!B25:F25,B25:C25)</f>
        <v>9727422</v>
      </c>
    </row>
    <row r="26" spans="1:4" ht="13.5" customHeight="1">
      <c r="A26" s="27" t="s">
        <v>373</v>
      </c>
      <c r="B26" s="254">
        <v>0</v>
      </c>
      <c r="C26" s="254">
        <v>936183.11</v>
      </c>
      <c r="D26" s="254">
        <f>SUM('- 49 -'!B26:F26,B26:C26)</f>
        <v>3401111.11</v>
      </c>
    </row>
    <row r="27" spans="1:4" ht="13.5" customHeight="1">
      <c r="A27" s="25" t="s">
        <v>374</v>
      </c>
      <c r="B27" s="253">
        <v>0</v>
      </c>
      <c r="C27" s="253">
        <v>983879</v>
      </c>
      <c r="D27" s="253">
        <f>SUM('- 49 -'!B27:F27,B27:C27)</f>
        <v>2785517</v>
      </c>
    </row>
    <row r="28" spans="1:4" ht="13.5" customHeight="1">
      <c r="A28" s="27" t="s">
        <v>375</v>
      </c>
      <c r="B28" s="254">
        <v>4895</v>
      </c>
      <c r="C28" s="254">
        <v>2432548</v>
      </c>
      <c r="D28" s="254">
        <f>SUM('- 49 -'!B28:F28,B28:C28)</f>
        <v>5678196</v>
      </c>
    </row>
    <row r="29" spans="1:4" ht="13.5" customHeight="1">
      <c r="A29" s="25" t="s">
        <v>376</v>
      </c>
      <c r="B29" s="253">
        <v>0</v>
      </c>
      <c r="C29" s="253">
        <v>788423</v>
      </c>
      <c r="D29" s="253">
        <f>SUM('- 49 -'!B29:F29,B29:C29)</f>
        <v>6356172</v>
      </c>
    </row>
    <row r="30" spans="1:4" ht="13.5" customHeight="1">
      <c r="A30" s="27" t="s">
        <v>377</v>
      </c>
      <c r="B30" s="254">
        <v>69234</v>
      </c>
      <c r="C30" s="254">
        <v>701193</v>
      </c>
      <c r="D30" s="254">
        <f>SUM('- 49 -'!B30:F30,B30:C30)</f>
        <v>1587244</v>
      </c>
    </row>
    <row r="31" spans="1:4" ht="13.5" customHeight="1">
      <c r="A31" s="25" t="s">
        <v>378</v>
      </c>
      <c r="B31" s="253">
        <v>0</v>
      </c>
      <c r="C31" s="253">
        <v>184930</v>
      </c>
      <c r="D31" s="253">
        <f>SUM('- 49 -'!B31:F31,B31:C31)</f>
        <v>1970624</v>
      </c>
    </row>
    <row r="32" spans="1:4" ht="13.5" customHeight="1">
      <c r="A32" s="27" t="s">
        <v>379</v>
      </c>
      <c r="B32" s="254">
        <v>21240</v>
      </c>
      <c r="C32" s="254">
        <v>108267</v>
      </c>
      <c r="D32" s="254">
        <f>SUM('- 49 -'!B32:F32,B32:C32)</f>
        <v>2011442</v>
      </c>
    </row>
    <row r="33" spans="1:4" ht="13.5" customHeight="1">
      <c r="A33" s="25" t="s">
        <v>380</v>
      </c>
      <c r="B33" s="253">
        <v>0</v>
      </c>
      <c r="C33" s="253">
        <v>0</v>
      </c>
      <c r="D33" s="253">
        <f>SUM('- 49 -'!B33:F33,B33:C33)</f>
        <v>2193261</v>
      </c>
    </row>
    <row r="34" spans="1:4" ht="13.5" customHeight="1">
      <c r="A34" s="27" t="s">
        <v>381</v>
      </c>
      <c r="B34" s="254">
        <v>34719</v>
      </c>
      <c r="C34" s="254">
        <v>88339</v>
      </c>
      <c r="D34" s="254">
        <f>SUM('- 49 -'!B34:F34,B34:C34)</f>
        <v>1883228</v>
      </c>
    </row>
    <row r="35" spans="1:4" ht="13.5" customHeight="1">
      <c r="A35" s="25" t="s">
        <v>382</v>
      </c>
      <c r="B35" s="253">
        <v>0</v>
      </c>
      <c r="C35" s="253">
        <v>3314367</v>
      </c>
      <c r="D35" s="253">
        <f>SUM('- 49 -'!B35:F35,B35:C35)</f>
        <v>12500771</v>
      </c>
    </row>
    <row r="36" spans="1:4" ht="13.5" customHeight="1">
      <c r="A36" s="27" t="s">
        <v>383</v>
      </c>
      <c r="B36" s="254">
        <v>0</v>
      </c>
      <c r="C36" s="254">
        <v>378997</v>
      </c>
      <c r="D36" s="254">
        <f>SUM('- 49 -'!B36:F36,B36:C36)</f>
        <v>2022368</v>
      </c>
    </row>
    <row r="37" spans="1:4" ht="13.5" customHeight="1">
      <c r="A37" s="25" t="s">
        <v>384</v>
      </c>
      <c r="B37" s="253">
        <v>0</v>
      </c>
      <c r="C37" s="253">
        <v>433861</v>
      </c>
      <c r="D37" s="253">
        <f>SUM('- 49 -'!B37:F37,B37:C37)</f>
        <v>4392227</v>
      </c>
    </row>
    <row r="38" spans="1:4" ht="13.5" customHeight="1">
      <c r="A38" s="27" t="s">
        <v>385</v>
      </c>
      <c r="B38" s="254">
        <v>61571</v>
      </c>
      <c r="C38" s="254">
        <v>2472039</v>
      </c>
      <c r="D38" s="254">
        <f>SUM('- 49 -'!B38:F38,B38:C38)</f>
        <v>7845608</v>
      </c>
    </row>
    <row r="39" spans="1:4" ht="13.5" customHeight="1">
      <c r="A39" s="25" t="s">
        <v>386</v>
      </c>
      <c r="B39" s="253">
        <v>0</v>
      </c>
      <c r="C39" s="253">
        <v>409884</v>
      </c>
      <c r="D39" s="253">
        <f>SUM('- 49 -'!B39:F39,B39:C39)</f>
        <v>2857425</v>
      </c>
    </row>
    <row r="40" spans="1:4" ht="13.5" customHeight="1">
      <c r="A40" s="27" t="s">
        <v>387</v>
      </c>
      <c r="B40" s="254">
        <v>0</v>
      </c>
      <c r="C40" s="254">
        <v>1806624</v>
      </c>
      <c r="D40" s="254">
        <f>SUM('- 49 -'!B40:F40,B40:C40)</f>
        <v>4699780</v>
      </c>
    </row>
    <row r="41" spans="1:4" ht="13.5" customHeight="1">
      <c r="A41" s="25" t="s">
        <v>388</v>
      </c>
      <c r="B41" s="253">
        <v>0</v>
      </c>
      <c r="C41" s="253">
        <v>3670471</v>
      </c>
      <c r="D41" s="253">
        <f>SUM('- 49 -'!B41:F41,B41:C41)</f>
        <v>8393514</v>
      </c>
    </row>
    <row r="42" spans="1:4" ht="13.5" customHeight="1">
      <c r="A42" s="27" t="s">
        <v>389</v>
      </c>
      <c r="B42" s="254">
        <v>0</v>
      </c>
      <c r="C42" s="254">
        <v>315761</v>
      </c>
      <c r="D42" s="254">
        <f>SUM('- 49 -'!B42:F42,B42:C42)</f>
        <v>2091589</v>
      </c>
    </row>
    <row r="43" spans="1:4" ht="13.5" customHeight="1">
      <c r="A43" s="25" t="s">
        <v>390</v>
      </c>
      <c r="B43" s="253">
        <v>0</v>
      </c>
      <c r="C43" s="253">
        <v>185163</v>
      </c>
      <c r="D43" s="253">
        <f>SUM('- 49 -'!B43:F43,B43:C43)</f>
        <v>2019606</v>
      </c>
    </row>
    <row r="44" spans="1:4" ht="13.5" customHeight="1">
      <c r="A44" s="27" t="s">
        <v>391</v>
      </c>
      <c r="B44" s="254">
        <v>0</v>
      </c>
      <c r="C44" s="254">
        <v>302367</v>
      </c>
      <c r="D44" s="254">
        <f>SUM('- 49 -'!B44:F44,B44:C44)</f>
        <v>935962</v>
      </c>
    </row>
    <row r="45" spans="1:4" ht="13.5" customHeight="1">
      <c r="A45" s="25" t="s">
        <v>392</v>
      </c>
      <c r="B45" s="253">
        <v>0</v>
      </c>
      <c r="C45" s="253">
        <v>80778</v>
      </c>
      <c r="D45" s="253">
        <f>SUM('- 49 -'!B45:F45,B45:C45)</f>
        <v>1792035</v>
      </c>
    </row>
    <row r="46" spans="1:4" ht="13.5" customHeight="1">
      <c r="A46" s="27" t="s">
        <v>393</v>
      </c>
      <c r="B46" s="254">
        <v>0</v>
      </c>
      <c r="C46" s="254">
        <v>5362607</v>
      </c>
      <c r="D46" s="254">
        <f>SUM('- 49 -'!B46:F46,B46:C46)</f>
        <v>32034347</v>
      </c>
    </row>
    <row r="47" spans="1:4" ht="13.5" customHeight="1">
      <c r="A47" s="25" t="s">
        <v>397</v>
      </c>
      <c r="B47" s="253">
        <v>0</v>
      </c>
      <c r="C47" s="253">
        <v>0</v>
      </c>
      <c r="D47" s="253">
        <f>SUM('- 49 -'!B47:F47,B47:C47)</f>
        <v>860770</v>
      </c>
    </row>
    <row r="48" spans="1:4" ht="4.5" customHeight="1">
      <c r="A48" s="29"/>
      <c r="B48" s="255"/>
      <c r="C48" s="255"/>
      <c r="D48" s="255"/>
    </row>
    <row r="49" spans="1:4" ht="13.5" customHeight="1">
      <c r="A49" s="31" t="s">
        <v>394</v>
      </c>
      <c r="B49" s="256">
        <f>SUM(B11:B47)</f>
        <v>275618</v>
      </c>
      <c r="C49" s="256">
        <f>SUM(C11:C47)</f>
        <v>35760683.11</v>
      </c>
      <c r="D49" s="256">
        <f>SUM(D11:D47)</f>
        <v>176658723.11</v>
      </c>
    </row>
    <row r="50" spans="1:4" ht="4.5" customHeight="1">
      <c r="A50" s="29" t="s">
        <v>78</v>
      </c>
      <c r="B50" s="255"/>
      <c r="C50" s="255"/>
      <c r="D50" s="255"/>
    </row>
    <row r="51" spans="1:4" ht="13.5" customHeight="1">
      <c r="A51" s="27" t="s">
        <v>395</v>
      </c>
      <c r="B51" s="254">
        <v>0</v>
      </c>
      <c r="C51" s="254">
        <v>0</v>
      </c>
      <c r="D51" s="254">
        <f>SUM('- 49 -'!B51:F51,B51:C51)</f>
        <v>0</v>
      </c>
    </row>
    <row r="52" spans="1:4" ht="13.5" customHeight="1">
      <c r="A52" s="25" t="s">
        <v>396</v>
      </c>
      <c r="B52" s="253">
        <v>0</v>
      </c>
      <c r="C52" s="253">
        <v>247926</v>
      </c>
      <c r="D52" s="253">
        <f>SUM('- 49 -'!B52:F52,B52:C52)</f>
        <v>647224</v>
      </c>
    </row>
    <row r="53" spans="1:5" ht="49.5" customHeight="1">
      <c r="A53" s="316"/>
      <c r="B53" s="316"/>
      <c r="C53" s="316"/>
      <c r="D53" s="316"/>
      <c r="E53" s="316"/>
    </row>
    <row r="54" spans="1:5" ht="15" customHeight="1">
      <c r="A54" s="540"/>
      <c r="B54" s="316"/>
      <c r="C54" s="316"/>
      <c r="D54" s="316"/>
      <c r="E54" s="316"/>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sheetPr codeName="Sheet59">
    <pageSetUpPr fitToPage="1"/>
  </sheetPr>
  <dimension ref="A1:G56"/>
  <sheetViews>
    <sheetView showGridLines="0" showZeros="0" workbookViewId="0" topLeftCell="A1">
      <selection activeCell="A1" sqref="A1"/>
    </sheetView>
  </sheetViews>
  <sheetFormatPr defaultColWidth="15.83203125" defaultRowHeight="12"/>
  <cols>
    <col min="1" max="1" width="30.83203125" style="1" customWidth="1"/>
    <col min="2" max="2" width="18.83203125" style="1" customWidth="1"/>
    <col min="3" max="4" width="16.83203125" style="1" customWidth="1"/>
    <col min="5" max="5" width="18.83203125" style="1" customWidth="1"/>
    <col min="6" max="16384" width="15.83203125" style="1" customWidth="1"/>
  </cols>
  <sheetData>
    <row r="1" ht="6.75" customHeight="1">
      <c r="A1" s="5"/>
    </row>
    <row r="2" spans="1:7" ht="15.75" customHeight="1">
      <c r="A2" s="414"/>
      <c r="B2" s="415" t="s">
        <v>191</v>
      </c>
      <c r="C2" s="262"/>
      <c r="D2" s="262"/>
      <c r="E2" s="262"/>
      <c r="F2" s="257"/>
      <c r="G2" s="257"/>
    </row>
    <row r="3" spans="1:7" ht="15.75" customHeight="1">
      <c r="A3" s="416"/>
      <c r="B3" s="417" t="s">
        <v>484</v>
      </c>
      <c r="C3" s="418"/>
      <c r="D3" s="419"/>
      <c r="E3" s="420"/>
      <c r="F3" s="421"/>
      <c r="G3" s="421"/>
    </row>
    <row r="4" spans="1:7" ht="15.75" customHeight="1">
      <c r="A4" s="217"/>
      <c r="B4" s="6"/>
      <c r="C4" s="6"/>
      <c r="D4" s="58"/>
      <c r="E4" s="58"/>
      <c r="F4" s="58"/>
      <c r="G4" s="6"/>
    </row>
    <row r="5" spans="1:7" ht="15.75" customHeight="1">
      <c r="A5" s="1">
        <f>REPLACE(A4,5,5,"")</f>
      </c>
      <c r="B5" s="6"/>
      <c r="C5" s="6"/>
      <c r="D5" s="6"/>
      <c r="E5" s="6"/>
      <c r="F5" s="6"/>
      <c r="G5" s="6"/>
    </row>
    <row r="6" spans="2:7" ht="15.75" customHeight="1">
      <c r="B6" s="368" t="s">
        <v>201</v>
      </c>
      <c r="C6" s="287"/>
      <c r="D6" s="287"/>
      <c r="E6" s="368" t="s">
        <v>14</v>
      </c>
      <c r="F6" s="287"/>
      <c r="G6" s="284"/>
    </row>
    <row r="7" spans="2:7" ht="15.75" customHeight="1">
      <c r="B7" s="422" t="s">
        <v>214</v>
      </c>
      <c r="C7" s="423"/>
      <c r="D7" s="63"/>
      <c r="E7" s="63" t="s">
        <v>214</v>
      </c>
      <c r="F7" s="383"/>
      <c r="G7" s="63"/>
    </row>
    <row r="8" spans="1:7" ht="15.75" customHeight="1">
      <c r="A8" s="96"/>
      <c r="B8" s="424" t="s">
        <v>240</v>
      </c>
      <c r="C8" s="425"/>
      <c r="D8" s="371"/>
      <c r="E8" s="371" t="s">
        <v>240</v>
      </c>
      <c r="F8" s="379"/>
      <c r="G8" s="371"/>
    </row>
    <row r="9" spans="1:7" ht="15.75" customHeight="1">
      <c r="A9" s="49" t="s">
        <v>175</v>
      </c>
      <c r="B9" s="426" t="s">
        <v>255</v>
      </c>
      <c r="C9" s="69" t="s">
        <v>132</v>
      </c>
      <c r="D9" s="69" t="s">
        <v>144</v>
      </c>
      <c r="E9" s="69" t="s">
        <v>255</v>
      </c>
      <c r="F9" s="69" t="s">
        <v>132</v>
      </c>
      <c r="G9" s="69" t="s">
        <v>144</v>
      </c>
    </row>
    <row r="10" spans="1:7" ht="4.5" customHeight="1">
      <c r="A10" s="4"/>
      <c r="B10" s="372"/>
      <c r="C10" s="372"/>
      <c r="D10" s="372"/>
      <c r="E10" s="403">
        <v>0.00528</v>
      </c>
      <c r="F10" s="403">
        <v>0.0165</v>
      </c>
      <c r="G10" s="372"/>
    </row>
    <row r="11" spans="1:7" ht="13.5" customHeight="1">
      <c r="A11" s="25" t="s">
        <v>359</v>
      </c>
      <c r="B11" s="253">
        <v>91578680</v>
      </c>
      <c r="C11" s="253">
        <v>74113000</v>
      </c>
      <c r="D11" s="253">
        <f aca="true" t="shared" si="0" ref="D11:D46">SUM(B11:C11)</f>
        <v>165691680</v>
      </c>
      <c r="E11" s="253">
        <f aca="true" t="shared" si="1" ref="E11:E46">B11*E$10</f>
        <v>483535.4304</v>
      </c>
      <c r="F11" s="253">
        <f aca="true" t="shared" si="2" ref="F11:F46">C11*F$10</f>
        <v>1222864.5</v>
      </c>
      <c r="G11" s="253">
        <f aca="true" t="shared" si="3" ref="G11:G46">SUM(E11:F11)</f>
        <v>1706399.9304</v>
      </c>
    </row>
    <row r="12" spans="1:7" ht="13.5" customHeight="1">
      <c r="A12" s="27" t="s">
        <v>360</v>
      </c>
      <c r="B12" s="254">
        <v>125384720</v>
      </c>
      <c r="C12" s="254">
        <v>75709880</v>
      </c>
      <c r="D12" s="254">
        <f t="shared" si="0"/>
        <v>201094600</v>
      </c>
      <c r="E12" s="254">
        <f t="shared" si="1"/>
        <v>662031.3216</v>
      </c>
      <c r="F12" s="254">
        <f t="shared" si="2"/>
        <v>1249213.02</v>
      </c>
      <c r="G12" s="254">
        <f t="shared" si="3"/>
        <v>1911244.3416</v>
      </c>
    </row>
    <row r="13" spans="1:7" ht="13.5" customHeight="1">
      <c r="A13" s="25" t="s">
        <v>361</v>
      </c>
      <c r="B13" s="253">
        <v>623267070</v>
      </c>
      <c r="C13" s="253">
        <v>392423670</v>
      </c>
      <c r="D13" s="253">
        <f t="shared" si="0"/>
        <v>1015690740</v>
      </c>
      <c r="E13" s="253">
        <f t="shared" si="1"/>
        <v>3290850.1296</v>
      </c>
      <c r="F13" s="253">
        <f t="shared" si="2"/>
        <v>6474990.555000001</v>
      </c>
      <c r="G13" s="253">
        <f t="shared" si="3"/>
        <v>9765840.684600001</v>
      </c>
    </row>
    <row r="14" spans="1:7" ht="13.5" customHeight="1">
      <c r="A14" s="27" t="s">
        <v>398</v>
      </c>
      <c r="B14" s="254">
        <v>0</v>
      </c>
      <c r="C14" s="254">
        <v>0</v>
      </c>
      <c r="D14" s="254">
        <f t="shared" si="0"/>
        <v>0</v>
      </c>
      <c r="E14" s="254">
        <f t="shared" si="1"/>
        <v>0</v>
      </c>
      <c r="F14" s="254">
        <f t="shared" si="2"/>
        <v>0</v>
      </c>
      <c r="G14" s="254">
        <f t="shared" si="3"/>
        <v>0</v>
      </c>
    </row>
    <row r="15" spans="1:7" ht="13.5" customHeight="1">
      <c r="A15" s="25" t="s">
        <v>362</v>
      </c>
      <c r="B15" s="253">
        <v>237010630</v>
      </c>
      <c r="C15" s="253">
        <v>64900990</v>
      </c>
      <c r="D15" s="253">
        <f t="shared" si="0"/>
        <v>301911620</v>
      </c>
      <c r="E15" s="253">
        <f t="shared" si="1"/>
        <v>1251416.1264</v>
      </c>
      <c r="F15" s="253">
        <f t="shared" si="2"/>
        <v>1070866.335</v>
      </c>
      <c r="G15" s="253">
        <f t="shared" si="3"/>
        <v>2322282.4614</v>
      </c>
    </row>
    <row r="16" spans="1:7" ht="13.5" customHeight="1">
      <c r="A16" s="27" t="s">
        <v>363</v>
      </c>
      <c r="B16" s="254">
        <v>50809760</v>
      </c>
      <c r="C16" s="254">
        <v>19724600</v>
      </c>
      <c r="D16" s="254">
        <f t="shared" si="0"/>
        <v>70534360</v>
      </c>
      <c r="E16" s="254">
        <f t="shared" si="1"/>
        <v>268275.5328</v>
      </c>
      <c r="F16" s="254">
        <f t="shared" si="2"/>
        <v>325455.9</v>
      </c>
      <c r="G16" s="254">
        <f t="shared" si="3"/>
        <v>593731.4328000001</v>
      </c>
    </row>
    <row r="17" spans="1:7" ht="13.5" customHeight="1">
      <c r="A17" s="25" t="s">
        <v>364</v>
      </c>
      <c r="B17" s="253">
        <v>70724310</v>
      </c>
      <c r="C17" s="253">
        <v>106769710</v>
      </c>
      <c r="D17" s="253">
        <f t="shared" si="0"/>
        <v>177494020</v>
      </c>
      <c r="E17" s="253">
        <f t="shared" si="1"/>
        <v>373424.3568</v>
      </c>
      <c r="F17" s="253">
        <f t="shared" si="2"/>
        <v>1761700.215</v>
      </c>
      <c r="G17" s="253">
        <f t="shared" si="3"/>
        <v>2135124.5718</v>
      </c>
    </row>
    <row r="18" spans="1:7" ht="13.5" customHeight="1">
      <c r="A18" s="27" t="s">
        <v>365</v>
      </c>
      <c r="B18" s="254">
        <v>66598230</v>
      </c>
      <c r="C18" s="254">
        <v>45781790</v>
      </c>
      <c r="D18" s="254">
        <f t="shared" si="0"/>
        <v>112380020</v>
      </c>
      <c r="E18" s="254">
        <f t="shared" si="1"/>
        <v>351638.6544</v>
      </c>
      <c r="F18" s="254">
        <f t="shared" si="2"/>
        <v>755399.535</v>
      </c>
      <c r="G18" s="254">
        <f t="shared" si="3"/>
        <v>1107038.1894</v>
      </c>
    </row>
    <row r="19" spans="1:7" ht="13.5" customHeight="1">
      <c r="A19" s="25" t="s">
        <v>366</v>
      </c>
      <c r="B19" s="253">
        <v>163528810</v>
      </c>
      <c r="C19" s="253">
        <v>79013650</v>
      </c>
      <c r="D19" s="253">
        <f t="shared" si="0"/>
        <v>242542460</v>
      </c>
      <c r="E19" s="253">
        <f t="shared" si="1"/>
        <v>863432.1168</v>
      </c>
      <c r="F19" s="253">
        <f t="shared" si="2"/>
        <v>1303725.225</v>
      </c>
      <c r="G19" s="253">
        <f t="shared" si="3"/>
        <v>2167157.3418</v>
      </c>
    </row>
    <row r="20" spans="1:7" ht="13.5" customHeight="1">
      <c r="A20" s="27" t="s">
        <v>367</v>
      </c>
      <c r="B20" s="254">
        <v>338818440</v>
      </c>
      <c r="C20" s="254">
        <v>140298670</v>
      </c>
      <c r="D20" s="254">
        <f t="shared" si="0"/>
        <v>479117110</v>
      </c>
      <c r="E20" s="254">
        <f t="shared" si="1"/>
        <v>1788961.3632</v>
      </c>
      <c r="F20" s="254">
        <f t="shared" si="2"/>
        <v>2314928.055</v>
      </c>
      <c r="G20" s="254">
        <f t="shared" si="3"/>
        <v>4103889.4182</v>
      </c>
    </row>
    <row r="21" spans="1:7" ht="13.5" customHeight="1">
      <c r="A21" s="25" t="s">
        <v>368</v>
      </c>
      <c r="B21" s="253">
        <v>244097380</v>
      </c>
      <c r="C21" s="253">
        <v>92315910</v>
      </c>
      <c r="D21" s="253">
        <f t="shared" si="0"/>
        <v>336413290</v>
      </c>
      <c r="E21" s="253">
        <f t="shared" si="1"/>
        <v>1288834.1664</v>
      </c>
      <c r="F21" s="253">
        <f t="shared" si="2"/>
        <v>1523212.5150000001</v>
      </c>
      <c r="G21" s="253">
        <f t="shared" si="3"/>
        <v>2812046.6814</v>
      </c>
    </row>
    <row r="22" spans="1:7" ht="13.5" customHeight="1">
      <c r="A22" s="27" t="s">
        <v>369</v>
      </c>
      <c r="B22" s="254">
        <v>76709310</v>
      </c>
      <c r="C22" s="254">
        <v>58486180</v>
      </c>
      <c r="D22" s="254">
        <f t="shared" si="0"/>
        <v>135195490</v>
      </c>
      <c r="E22" s="254">
        <f t="shared" si="1"/>
        <v>405025.1568</v>
      </c>
      <c r="F22" s="254">
        <f t="shared" si="2"/>
        <v>965021.9700000001</v>
      </c>
      <c r="G22" s="254">
        <f t="shared" si="3"/>
        <v>1370047.1268000002</v>
      </c>
    </row>
    <row r="23" spans="1:7" ht="13.5" customHeight="1">
      <c r="A23" s="25" t="s">
        <v>370</v>
      </c>
      <c r="B23" s="253">
        <v>64353160</v>
      </c>
      <c r="C23" s="253">
        <v>18872880</v>
      </c>
      <c r="D23" s="253">
        <f t="shared" si="0"/>
        <v>83226040</v>
      </c>
      <c r="E23" s="253">
        <f t="shared" si="1"/>
        <v>339784.6848</v>
      </c>
      <c r="F23" s="253">
        <f t="shared" si="2"/>
        <v>311402.52</v>
      </c>
      <c r="G23" s="253">
        <f t="shared" si="3"/>
        <v>651187.2048</v>
      </c>
    </row>
    <row r="24" spans="1:7" ht="13.5" customHeight="1">
      <c r="A24" s="27" t="s">
        <v>371</v>
      </c>
      <c r="B24" s="254">
        <v>523353880</v>
      </c>
      <c r="C24" s="254">
        <v>104154920</v>
      </c>
      <c r="D24" s="254">
        <f t="shared" si="0"/>
        <v>627508800</v>
      </c>
      <c r="E24" s="254">
        <f t="shared" si="1"/>
        <v>2763308.4864</v>
      </c>
      <c r="F24" s="254">
        <f t="shared" si="2"/>
        <v>1718556.1800000002</v>
      </c>
      <c r="G24" s="254">
        <f t="shared" si="3"/>
        <v>4481864.6664</v>
      </c>
    </row>
    <row r="25" spans="1:7" ht="13.5" customHeight="1">
      <c r="A25" s="25" t="s">
        <v>372</v>
      </c>
      <c r="B25" s="253">
        <v>1607373423.15</v>
      </c>
      <c r="C25" s="253">
        <v>503043779</v>
      </c>
      <c r="D25" s="253">
        <f t="shared" si="0"/>
        <v>2110417202.15</v>
      </c>
      <c r="E25" s="253">
        <f t="shared" si="1"/>
        <v>8486931.674232</v>
      </c>
      <c r="F25" s="253">
        <f t="shared" si="2"/>
        <v>8300222.3535</v>
      </c>
      <c r="G25" s="253">
        <f t="shared" si="3"/>
        <v>16787154.027732</v>
      </c>
    </row>
    <row r="26" spans="1:7" ht="13.5" customHeight="1">
      <c r="A26" s="27" t="s">
        <v>373</v>
      </c>
      <c r="B26" s="254">
        <v>199967360</v>
      </c>
      <c r="C26" s="254">
        <v>69765620</v>
      </c>
      <c r="D26" s="254">
        <f t="shared" si="0"/>
        <v>269732980</v>
      </c>
      <c r="E26" s="254">
        <f t="shared" si="1"/>
        <v>1055827.6608</v>
      </c>
      <c r="F26" s="254">
        <f t="shared" si="2"/>
        <v>1151132.73</v>
      </c>
      <c r="G26" s="254">
        <f t="shared" si="3"/>
        <v>2206960.3908</v>
      </c>
    </row>
    <row r="27" spans="1:7" ht="13.5" customHeight="1">
      <c r="A27" s="25" t="s">
        <v>374</v>
      </c>
      <c r="B27" s="253">
        <v>129772620</v>
      </c>
      <c r="C27" s="253">
        <v>56025730</v>
      </c>
      <c r="D27" s="253">
        <f t="shared" si="0"/>
        <v>185798350</v>
      </c>
      <c r="E27" s="253">
        <f t="shared" si="1"/>
        <v>685199.4336</v>
      </c>
      <c r="F27" s="253">
        <f t="shared" si="2"/>
        <v>924424.545</v>
      </c>
      <c r="G27" s="253">
        <f t="shared" si="3"/>
        <v>1609623.9786</v>
      </c>
    </row>
    <row r="28" spans="1:7" ht="13.5" customHeight="1">
      <c r="A28" s="27" t="s">
        <v>375</v>
      </c>
      <c r="B28" s="254">
        <v>93113120</v>
      </c>
      <c r="C28" s="254">
        <v>97803660</v>
      </c>
      <c r="D28" s="254">
        <f t="shared" si="0"/>
        <v>190916780</v>
      </c>
      <c r="E28" s="254">
        <f t="shared" si="1"/>
        <v>491637.2736</v>
      </c>
      <c r="F28" s="254">
        <f t="shared" si="2"/>
        <v>1613760.3900000001</v>
      </c>
      <c r="G28" s="254">
        <f t="shared" si="3"/>
        <v>2105397.6636</v>
      </c>
    </row>
    <row r="29" spans="1:7" ht="13.5" customHeight="1">
      <c r="A29" s="25" t="s">
        <v>376</v>
      </c>
      <c r="B29" s="253">
        <v>1668442544</v>
      </c>
      <c r="C29" s="253">
        <v>540372892.5</v>
      </c>
      <c r="D29" s="253">
        <f t="shared" si="0"/>
        <v>2208815436.5</v>
      </c>
      <c r="E29" s="253">
        <f t="shared" si="1"/>
        <v>8809376.63232</v>
      </c>
      <c r="F29" s="253">
        <f t="shared" si="2"/>
        <v>8916152.72625</v>
      </c>
      <c r="G29" s="253">
        <f t="shared" si="3"/>
        <v>17725529.358570002</v>
      </c>
    </row>
    <row r="30" spans="1:7" ht="13.5" customHeight="1">
      <c r="A30" s="27" t="s">
        <v>377</v>
      </c>
      <c r="B30" s="254">
        <v>50168770</v>
      </c>
      <c r="C30" s="254">
        <v>45763390</v>
      </c>
      <c r="D30" s="254">
        <f t="shared" si="0"/>
        <v>95932160</v>
      </c>
      <c r="E30" s="254">
        <f t="shared" si="1"/>
        <v>264891.1056</v>
      </c>
      <c r="F30" s="254">
        <f t="shared" si="2"/>
        <v>755095.935</v>
      </c>
      <c r="G30" s="254">
        <f t="shared" si="3"/>
        <v>1019987.0406000001</v>
      </c>
    </row>
    <row r="31" spans="1:7" ht="13.5" customHeight="1">
      <c r="A31" s="25" t="s">
        <v>378</v>
      </c>
      <c r="B31" s="253">
        <v>217763190</v>
      </c>
      <c r="C31" s="253">
        <v>153176520</v>
      </c>
      <c r="D31" s="253">
        <f t="shared" si="0"/>
        <v>370939710</v>
      </c>
      <c r="E31" s="253">
        <f t="shared" si="1"/>
        <v>1149789.6432</v>
      </c>
      <c r="F31" s="253">
        <f t="shared" si="2"/>
        <v>2527412.58</v>
      </c>
      <c r="G31" s="253">
        <f t="shared" si="3"/>
        <v>3677202.2232</v>
      </c>
    </row>
    <row r="32" spans="1:7" ht="13.5" customHeight="1">
      <c r="A32" s="27" t="s">
        <v>379</v>
      </c>
      <c r="B32" s="254">
        <v>163234130</v>
      </c>
      <c r="C32" s="254">
        <v>64193970</v>
      </c>
      <c r="D32" s="254">
        <f t="shared" si="0"/>
        <v>227428100</v>
      </c>
      <c r="E32" s="254">
        <f t="shared" si="1"/>
        <v>861876.2064</v>
      </c>
      <c r="F32" s="254">
        <f t="shared" si="2"/>
        <v>1059200.5050000001</v>
      </c>
      <c r="G32" s="254">
        <f t="shared" si="3"/>
        <v>1921076.7114000001</v>
      </c>
    </row>
    <row r="33" spans="1:7" ht="13.5" customHeight="1">
      <c r="A33" s="25" t="s">
        <v>380</v>
      </c>
      <c r="B33" s="253">
        <v>108299190</v>
      </c>
      <c r="C33" s="253">
        <v>68299810</v>
      </c>
      <c r="D33" s="253">
        <f t="shared" si="0"/>
        <v>176599000</v>
      </c>
      <c r="E33" s="253">
        <f t="shared" si="1"/>
        <v>571819.7232</v>
      </c>
      <c r="F33" s="253">
        <f t="shared" si="2"/>
        <v>1126946.865</v>
      </c>
      <c r="G33" s="253">
        <f t="shared" si="3"/>
        <v>1698766.5882</v>
      </c>
    </row>
    <row r="34" spans="1:7" ht="13.5" customHeight="1">
      <c r="A34" s="27" t="s">
        <v>381</v>
      </c>
      <c r="B34" s="254">
        <v>147841690</v>
      </c>
      <c r="C34" s="254">
        <v>101462430</v>
      </c>
      <c r="D34" s="254">
        <f t="shared" si="0"/>
        <v>249304120</v>
      </c>
      <c r="E34" s="254">
        <f t="shared" si="1"/>
        <v>780604.1232</v>
      </c>
      <c r="F34" s="254">
        <f t="shared" si="2"/>
        <v>1674130.095</v>
      </c>
      <c r="G34" s="254">
        <f t="shared" si="3"/>
        <v>2454734.2182</v>
      </c>
    </row>
    <row r="35" spans="1:7" ht="13.5" customHeight="1">
      <c r="A35" s="25" t="s">
        <v>382</v>
      </c>
      <c r="B35" s="253">
        <v>1558518022.5</v>
      </c>
      <c r="C35" s="253">
        <v>450760247.15</v>
      </c>
      <c r="D35" s="253">
        <f t="shared" si="0"/>
        <v>2009278269.65</v>
      </c>
      <c r="E35" s="253">
        <f t="shared" si="1"/>
        <v>8228975.1588</v>
      </c>
      <c r="F35" s="253">
        <f t="shared" si="2"/>
        <v>7437544.077975</v>
      </c>
      <c r="G35" s="253">
        <f t="shared" si="3"/>
        <v>15666519.236775</v>
      </c>
    </row>
    <row r="36" spans="1:7" ht="13.5" customHeight="1">
      <c r="A36" s="27" t="s">
        <v>383</v>
      </c>
      <c r="B36" s="254">
        <v>133487630</v>
      </c>
      <c r="C36" s="254">
        <v>83955900</v>
      </c>
      <c r="D36" s="254">
        <f t="shared" si="0"/>
        <v>217443530</v>
      </c>
      <c r="E36" s="254">
        <f t="shared" si="1"/>
        <v>704814.6864</v>
      </c>
      <c r="F36" s="254">
        <f t="shared" si="2"/>
        <v>1385272.35</v>
      </c>
      <c r="G36" s="254">
        <f t="shared" si="3"/>
        <v>2090087.0364</v>
      </c>
    </row>
    <row r="37" spans="1:7" ht="13.5" customHeight="1">
      <c r="A37" s="25" t="s">
        <v>384</v>
      </c>
      <c r="B37" s="253">
        <v>336483330</v>
      </c>
      <c r="C37" s="253">
        <v>77436310</v>
      </c>
      <c r="D37" s="253">
        <f t="shared" si="0"/>
        <v>413919640</v>
      </c>
      <c r="E37" s="253">
        <f t="shared" si="1"/>
        <v>1776631.9824</v>
      </c>
      <c r="F37" s="253">
        <f t="shared" si="2"/>
        <v>1277699.115</v>
      </c>
      <c r="G37" s="253">
        <f t="shared" si="3"/>
        <v>3054331.0974000003</v>
      </c>
    </row>
    <row r="38" spans="1:7" ht="13.5" customHeight="1">
      <c r="A38" s="27" t="s">
        <v>385</v>
      </c>
      <c r="B38" s="254">
        <v>750748360</v>
      </c>
      <c r="C38" s="254">
        <v>148757430</v>
      </c>
      <c r="D38" s="254">
        <f t="shared" si="0"/>
        <v>899505790</v>
      </c>
      <c r="E38" s="254">
        <f t="shared" si="1"/>
        <v>3963951.3408</v>
      </c>
      <c r="F38" s="254">
        <f t="shared" si="2"/>
        <v>2454497.595</v>
      </c>
      <c r="G38" s="254">
        <f t="shared" si="3"/>
        <v>6418448.9358</v>
      </c>
    </row>
    <row r="39" spans="1:7" ht="13.5" customHeight="1">
      <c r="A39" s="25" t="s">
        <v>386</v>
      </c>
      <c r="B39" s="253">
        <v>88135790</v>
      </c>
      <c r="C39" s="253">
        <v>76893330</v>
      </c>
      <c r="D39" s="253">
        <f t="shared" si="0"/>
        <v>165029120</v>
      </c>
      <c r="E39" s="253">
        <f t="shared" si="1"/>
        <v>465356.97119999997</v>
      </c>
      <c r="F39" s="253">
        <f t="shared" si="2"/>
        <v>1268739.945</v>
      </c>
      <c r="G39" s="253">
        <f t="shared" si="3"/>
        <v>1734096.9162</v>
      </c>
    </row>
    <row r="40" spans="1:7" ht="13.5" customHeight="1">
      <c r="A40" s="27" t="s">
        <v>387</v>
      </c>
      <c r="B40" s="254">
        <v>903257030</v>
      </c>
      <c r="C40" s="254">
        <v>655097830</v>
      </c>
      <c r="D40" s="254">
        <f t="shared" si="0"/>
        <v>1558354860</v>
      </c>
      <c r="E40" s="254">
        <f t="shared" si="1"/>
        <v>4769197.1184</v>
      </c>
      <c r="F40" s="254">
        <f t="shared" si="2"/>
        <v>10809114.195</v>
      </c>
      <c r="G40" s="254">
        <f t="shared" si="3"/>
        <v>15578311.3134</v>
      </c>
    </row>
    <row r="41" spans="1:7" ht="13.5" customHeight="1">
      <c r="A41" s="25" t="s">
        <v>388</v>
      </c>
      <c r="B41" s="253">
        <v>486308800</v>
      </c>
      <c r="C41" s="253">
        <v>143454060</v>
      </c>
      <c r="D41" s="253">
        <f t="shared" si="0"/>
        <v>629762860</v>
      </c>
      <c r="E41" s="253">
        <f t="shared" si="1"/>
        <v>2567710.464</v>
      </c>
      <c r="F41" s="253">
        <f t="shared" si="2"/>
        <v>2366991.99</v>
      </c>
      <c r="G41" s="253">
        <f t="shared" si="3"/>
        <v>4934702.454</v>
      </c>
    </row>
    <row r="42" spans="1:7" ht="13.5" customHeight="1">
      <c r="A42" s="27" t="s">
        <v>389</v>
      </c>
      <c r="B42" s="254">
        <v>96993950</v>
      </c>
      <c r="C42" s="254">
        <v>48122020</v>
      </c>
      <c r="D42" s="254">
        <f t="shared" si="0"/>
        <v>145115970</v>
      </c>
      <c r="E42" s="254">
        <f t="shared" si="1"/>
        <v>512128.056</v>
      </c>
      <c r="F42" s="254">
        <f t="shared" si="2"/>
        <v>794013.3300000001</v>
      </c>
      <c r="G42" s="254">
        <f t="shared" si="3"/>
        <v>1306141.386</v>
      </c>
    </row>
    <row r="43" spans="1:7" ht="13.5" customHeight="1">
      <c r="A43" s="25" t="s">
        <v>390</v>
      </c>
      <c r="B43" s="253">
        <v>69973130</v>
      </c>
      <c r="C43" s="253">
        <v>33141190</v>
      </c>
      <c r="D43" s="253">
        <f t="shared" si="0"/>
        <v>103114320</v>
      </c>
      <c r="E43" s="253">
        <f t="shared" si="1"/>
        <v>369458.1264</v>
      </c>
      <c r="F43" s="253">
        <f t="shared" si="2"/>
        <v>546829.635</v>
      </c>
      <c r="G43" s="253">
        <f t="shared" si="3"/>
        <v>916287.7614</v>
      </c>
    </row>
    <row r="44" spans="1:7" ht="13.5" customHeight="1">
      <c r="A44" s="27" t="s">
        <v>391</v>
      </c>
      <c r="B44" s="254">
        <v>39412930</v>
      </c>
      <c r="C44" s="254">
        <v>9518310</v>
      </c>
      <c r="D44" s="254">
        <f t="shared" si="0"/>
        <v>48931240</v>
      </c>
      <c r="E44" s="254">
        <f t="shared" si="1"/>
        <v>208100.2704</v>
      </c>
      <c r="F44" s="254">
        <f t="shared" si="2"/>
        <v>157052.11500000002</v>
      </c>
      <c r="G44" s="254">
        <f t="shared" si="3"/>
        <v>365152.3854</v>
      </c>
    </row>
    <row r="45" spans="1:7" ht="13.5" customHeight="1">
      <c r="A45" s="25" t="s">
        <v>392</v>
      </c>
      <c r="B45" s="253">
        <v>105124380</v>
      </c>
      <c r="C45" s="253">
        <v>41988980</v>
      </c>
      <c r="D45" s="253">
        <f t="shared" si="0"/>
        <v>147113360</v>
      </c>
      <c r="E45" s="253">
        <f t="shared" si="1"/>
        <v>555056.7264</v>
      </c>
      <c r="F45" s="253">
        <f t="shared" si="2"/>
        <v>692818.17</v>
      </c>
      <c r="G45" s="253">
        <f t="shared" si="3"/>
        <v>1247874.8964</v>
      </c>
    </row>
    <row r="46" spans="1:7" ht="13.5" customHeight="1">
      <c r="A46" s="27" t="s">
        <v>393</v>
      </c>
      <c r="B46" s="254">
        <v>1966033730</v>
      </c>
      <c r="C46" s="254">
        <v>1987870700</v>
      </c>
      <c r="D46" s="254">
        <f t="shared" si="0"/>
        <v>3953904430</v>
      </c>
      <c r="E46" s="254">
        <f t="shared" si="1"/>
        <v>10380658.0944</v>
      </c>
      <c r="F46" s="254">
        <f t="shared" si="2"/>
        <v>32799866.55</v>
      </c>
      <c r="G46" s="254">
        <f t="shared" si="3"/>
        <v>43180524.6444</v>
      </c>
    </row>
    <row r="47" spans="1:7" ht="13.5" customHeight="1">
      <c r="A47" s="25" t="s">
        <v>397</v>
      </c>
      <c r="B47" s="253"/>
      <c r="C47" s="253"/>
      <c r="D47" s="253"/>
      <c r="E47" s="253"/>
      <c r="F47" s="253"/>
      <c r="G47" s="253"/>
    </row>
    <row r="48" spans="1:7" ht="6" customHeight="1">
      <c r="A48" s="29"/>
      <c r="B48" s="255"/>
      <c r="C48" s="255"/>
      <c r="D48" s="255"/>
      <c r="E48" s="255"/>
      <c r="F48" s="255"/>
      <c r="G48" s="255"/>
    </row>
    <row r="49" spans="1:7" ht="13.5" customHeight="1">
      <c r="A49" s="31" t="s">
        <v>455</v>
      </c>
      <c r="B49" s="256">
        <f aca="true" t="shared" si="4" ref="B49:G49">SUM(B11:B47)</f>
        <v>13596687499.65</v>
      </c>
      <c r="C49" s="256">
        <f t="shared" si="4"/>
        <v>6729469958.65</v>
      </c>
      <c r="D49" s="256">
        <f t="shared" si="4"/>
        <v>20326157458.3</v>
      </c>
      <c r="E49" s="256">
        <f t="shared" si="4"/>
        <v>71790509.99815202</v>
      </c>
      <c r="F49" s="256">
        <f t="shared" si="4"/>
        <v>111036254.317725</v>
      </c>
      <c r="G49" s="256">
        <f t="shared" si="4"/>
        <v>182826764.31587702</v>
      </c>
    </row>
    <row r="50" spans="1:7" ht="6" customHeight="1">
      <c r="A50" s="29"/>
      <c r="B50" s="255"/>
      <c r="C50" s="255"/>
      <c r="D50" s="255"/>
      <c r="E50" s="255"/>
      <c r="F50" s="255"/>
      <c r="G50" s="255"/>
    </row>
    <row r="51" spans="1:7" ht="13.5" customHeight="1">
      <c r="A51" s="27" t="s">
        <v>456</v>
      </c>
      <c r="B51" s="254">
        <v>17748100</v>
      </c>
      <c r="C51" s="254">
        <v>1351260</v>
      </c>
      <c r="D51" s="254">
        <f>SUM(B51:C51)</f>
        <v>19099360</v>
      </c>
      <c r="E51" s="254">
        <v>0</v>
      </c>
      <c r="F51" s="254">
        <v>0</v>
      </c>
      <c r="G51" s="254">
        <f>SUM(E51:F51)</f>
        <v>0</v>
      </c>
    </row>
    <row r="52" spans="1:7" ht="13.5" customHeight="1">
      <c r="A52" s="25" t="s">
        <v>457</v>
      </c>
      <c r="B52" s="428">
        <v>6970900</v>
      </c>
      <c r="C52" s="428">
        <v>26511120</v>
      </c>
      <c r="D52" s="253">
        <f>SUM(B52:C52)</f>
        <v>33482020</v>
      </c>
      <c r="E52" s="253">
        <f>B52*E$10</f>
        <v>36806.352</v>
      </c>
      <c r="F52" s="253">
        <f>C52*F$10</f>
        <v>437433.48000000004</v>
      </c>
      <c r="G52" s="253">
        <f>SUM(E52:F52)</f>
        <v>474239.83200000005</v>
      </c>
    </row>
    <row r="53" spans="1:7" ht="6" customHeight="1">
      <c r="A53" s="208"/>
      <c r="B53" s="255"/>
      <c r="C53" s="255"/>
      <c r="D53" s="255"/>
      <c r="E53" s="255"/>
      <c r="F53" s="255"/>
      <c r="G53" s="255"/>
    </row>
    <row r="54" spans="1:7" ht="13.5" customHeight="1">
      <c r="A54" s="31" t="s">
        <v>394</v>
      </c>
      <c r="B54" s="256">
        <f aca="true" t="shared" si="5" ref="B54:G54">SUM(B49,B51:B52)</f>
        <v>13621406499.65</v>
      </c>
      <c r="C54" s="256">
        <f t="shared" si="5"/>
        <v>6757332338.65</v>
      </c>
      <c r="D54" s="256">
        <f t="shared" si="5"/>
        <v>20378738838.3</v>
      </c>
      <c r="E54" s="256">
        <f t="shared" si="5"/>
        <v>71827316.35015202</v>
      </c>
      <c r="F54" s="256">
        <f t="shared" si="5"/>
        <v>111473687.797725</v>
      </c>
      <c r="G54" s="256">
        <f t="shared" si="5"/>
        <v>183301004.147877</v>
      </c>
    </row>
    <row r="55" spans="1:7" ht="49.5" customHeight="1">
      <c r="A55" s="404"/>
      <c r="B55" s="404"/>
      <c r="C55" s="404"/>
      <c r="D55" s="404"/>
      <c r="E55" s="404"/>
      <c r="F55" s="404"/>
      <c r="G55" s="404"/>
    </row>
    <row r="56" spans="1:7" ht="15" customHeight="1">
      <c r="A56" s="435" t="s">
        <v>17</v>
      </c>
      <c r="B56" s="53"/>
      <c r="C56" s="53"/>
      <c r="D56" s="53"/>
      <c r="E56" s="53"/>
      <c r="F56" s="53"/>
      <c r="G56"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sheetPr codeName="Sheet62">
    <pageSetUpPr fitToPage="1"/>
  </sheetPr>
  <dimension ref="A1:H58"/>
  <sheetViews>
    <sheetView showGridLines="0" showZeros="0" workbookViewId="0" topLeftCell="A1">
      <selection activeCell="A1" sqref="A1"/>
    </sheetView>
  </sheetViews>
  <sheetFormatPr defaultColWidth="15.83203125" defaultRowHeight="12"/>
  <cols>
    <col min="1" max="1" width="31.83203125" style="1" customWidth="1"/>
    <col min="2" max="2" width="18.83203125" style="1" customWidth="1"/>
    <col min="3" max="3" width="15.83203125" style="1" customWidth="1"/>
    <col min="4" max="4" width="16.83203125" style="1" customWidth="1"/>
    <col min="5" max="5" width="17.83203125" style="1" customWidth="1"/>
    <col min="6" max="6" width="15.83203125" style="1" customWidth="1"/>
    <col min="7" max="7" width="16.83203125" style="1" customWidth="1"/>
    <col min="8" max="16384" width="15.83203125" style="1" customWidth="1"/>
  </cols>
  <sheetData>
    <row r="1" ht="6.75" customHeight="1">
      <c r="A1" s="5"/>
    </row>
    <row r="2" spans="1:7" ht="15.75" customHeight="1">
      <c r="A2" s="373" t="s">
        <v>192</v>
      </c>
      <c r="B2" s="405"/>
      <c r="C2" s="405"/>
      <c r="D2" s="405"/>
      <c r="E2" s="405"/>
      <c r="F2" s="405"/>
      <c r="G2" s="405"/>
    </row>
    <row r="3" spans="1:7" ht="15.75" customHeight="1">
      <c r="A3" s="432" t="str">
        <f>TAXYEAR</f>
        <v>FOR THE 2003 TAXATION YEAR</v>
      </c>
      <c r="B3" s="409"/>
      <c r="C3" s="409"/>
      <c r="D3" s="409"/>
      <c r="E3" s="436"/>
      <c r="F3" s="436"/>
      <c r="G3" s="409"/>
    </row>
    <row r="4" spans="2:7" ht="15.75" customHeight="1">
      <c r="B4" s="6"/>
      <c r="C4" s="6"/>
      <c r="D4" s="6"/>
      <c r="E4" s="58"/>
      <c r="F4" s="58"/>
      <c r="G4" s="58"/>
    </row>
    <row r="5" spans="2:7" ht="15.75" customHeight="1">
      <c r="B5" s="6"/>
      <c r="C5" s="6"/>
      <c r="D5" s="6"/>
      <c r="E5" s="6"/>
      <c r="F5" s="6"/>
      <c r="G5" s="6"/>
    </row>
    <row r="6" spans="2:8" ht="15.75" customHeight="1">
      <c r="B6" s="368" t="s">
        <v>201</v>
      </c>
      <c r="C6" s="287"/>
      <c r="D6" s="287"/>
      <c r="E6" s="284"/>
      <c r="F6" s="6"/>
      <c r="G6" s="6"/>
      <c r="H6" s="3" t="s">
        <v>243</v>
      </c>
    </row>
    <row r="7" spans="2:8" ht="15.75" customHeight="1">
      <c r="B7" s="422" t="s">
        <v>214</v>
      </c>
      <c r="C7" s="422" t="s">
        <v>215</v>
      </c>
      <c r="D7" s="423"/>
      <c r="E7" s="63"/>
      <c r="F7" s="412"/>
      <c r="G7" s="63" t="s">
        <v>216</v>
      </c>
      <c r="H7" s="3" t="s">
        <v>230</v>
      </c>
    </row>
    <row r="8" spans="1:8" ht="15.75" customHeight="1">
      <c r="A8" s="47"/>
      <c r="B8" s="437" t="s">
        <v>240</v>
      </c>
      <c r="C8" s="437" t="s">
        <v>241</v>
      </c>
      <c r="D8" s="438" t="s">
        <v>78</v>
      </c>
      <c r="E8" s="439"/>
      <c r="F8" s="371" t="s">
        <v>216</v>
      </c>
      <c r="G8" s="371" t="s">
        <v>242</v>
      </c>
      <c r="H8" s="3" t="s">
        <v>319</v>
      </c>
    </row>
    <row r="9" spans="1:8" ht="15.75" customHeight="1">
      <c r="A9" s="440" t="s">
        <v>175</v>
      </c>
      <c r="B9" s="427" t="s">
        <v>255</v>
      </c>
      <c r="C9" s="427" t="s">
        <v>252</v>
      </c>
      <c r="D9" s="427" t="s">
        <v>256</v>
      </c>
      <c r="E9" s="69" t="s">
        <v>144</v>
      </c>
      <c r="F9" s="69" t="s">
        <v>242</v>
      </c>
      <c r="G9" s="69" t="s">
        <v>18</v>
      </c>
      <c r="H9" s="3" t="s">
        <v>320</v>
      </c>
    </row>
    <row r="10" spans="1:7" ht="4.5" customHeight="1">
      <c r="A10" s="24"/>
      <c r="B10" s="372"/>
      <c r="C10" s="5"/>
      <c r="D10" s="372"/>
      <c r="E10" s="372"/>
      <c r="F10" s="5"/>
      <c r="G10" s="5"/>
    </row>
    <row r="11" spans="1:7" ht="13.5" customHeight="1">
      <c r="A11" s="441" t="s">
        <v>359</v>
      </c>
      <c r="B11" s="253">
        <v>91578680</v>
      </c>
      <c r="C11" s="253">
        <v>78273550</v>
      </c>
      <c r="D11" s="253">
        <v>74113000</v>
      </c>
      <c r="E11" s="253">
        <f aca="true" t="shared" si="0" ref="E11:E46">SUM(B11:D11)</f>
        <v>243965230</v>
      </c>
      <c r="F11" s="253">
        <f>'- 56 -'!C11</f>
        <v>4305272</v>
      </c>
      <c r="G11" s="442">
        <f>F11/E11*1000</f>
        <v>17.647072084821268</v>
      </c>
    </row>
    <row r="12" spans="1:7" ht="13.5" customHeight="1">
      <c r="A12" s="443" t="s">
        <v>360</v>
      </c>
      <c r="B12" s="254">
        <v>125384720</v>
      </c>
      <c r="C12" s="254">
        <v>110058040</v>
      </c>
      <c r="D12" s="254">
        <v>75709880</v>
      </c>
      <c r="E12" s="254">
        <f t="shared" si="0"/>
        <v>311152640</v>
      </c>
      <c r="F12" s="254">
        <f>'- 56 -'!C12</f>
        <v>6562776</v>
      </c>
      <c r="G12" s="444">
        <f>F12/E12*1000</f>
        <v>21.0918216859738</v>
      </c>
    </row>
    <row r="13" spans="1:7" ht="13.5" customHeight="1">
      <c r="A13" s="441" t="s">
        <v>361</v>
      </c>
      <c r="B13" s="253">
        <v>623267070</v>
      </c>
      <c r="C13" s="253">
        <v>27703820</v>
      </c>
      <c r="D13" s="253">
        <v>392423670</v>
      </c>
      <c r="E13" s="253">
        <f t="shared" si="0"/>
        <v>1043394560</v>
      </c>
      <c r="F13" s="253">
        <f>'- 56 -'!C13</f>
        <v>18339600</v>
      </c>
      <c r="G13" s="442">
        <f>F13/E13*1000</f>
        <v>17.57685989852199</v>
      </c>
    </row>
    <row r="14" spans="1:7" ht="13.5" customHeight="1">
      <c r="A14" s="443" t="s">
        <v>398</v>
      </c>
      <c r="B14" s="254"/>
      <c r="C14" s="254"/>
      <c r="D14" s="254"/>
      <c r="E14" s="254">
        <f t="shared" si="0"/>
        <v>0</v>
      </c>
      <c r="F14" s="254">
        <f>'- 56 -'!C14</f>
        <v>0</v>
      </c>
      <c r="G14" s="444"/>
    </row>
    <row r="15" spans="1:7" ht="13.5" customHeight="1">
      <c r="A15" s="441" t="s">
        <v>362</v>
      </c>
      <c r="B15" s="253">
        <v>237010630</v>
      </c>
      <c r="C15" s="253">
        <v>37500270</v>
      </c>
      <c r="D15" s="253">
        <v>64900990</v>
      </c>
      <c r="E15" s="253">
        <f t="shared" si="0"/>
        <v>339411890</v>
      </c>
      <c r="F15" s="253">
        <f>'- 56 -'!C15</f>
        <v>5803557</v>
      </c>
      <c r="G15" s="442">
        <f>F15/E15*1000</f>
        <v>17.098861798860376</v>
      </c>
    </row>
    <row r="16" spans="1:8" ht="13.5" customHeight="1">
      <c r="A16" s="443" t="s">
        <v>363</v>
      </c>
      <c r="B16" s="254">
        <v>50809760</v>
      </c>
      <c r="C16" s="254">
        <v>0</v>
      </c>
      <c r="D16" s="254">
        <v>19724600</v>
      </c>
      <c r="E16" s="254">
        <f t="shared" si="0"/>
        <v>70534360</v>
      </c>
      <c r="F16" s="254">
        <f>'- 56 -'!C16</f>
        <v>3080475</v>
      </c>
      <c r="G16" s="444">
        <f>(F16-H16)/E16*1000</f>
        <v>23.588007320120294</v>
      </c>
      <c r="H16" s="1">
        <v>1416710</v>
      </c>
    </row>
    <row r="17" spans="1:7" ht="13.5" customHeight="1">
      <c r="A17" s="441" t="s">
        <v>364</v>
      </c>
      <c r="B17" s="253">
        <v>70724310</v>
      </c>
      <c r="C17" s="253">
        <v>75241430</v>
      </c>
      <c r="D17" s="253">
        <v>106769710</v>
      </c>
      <c r="E17" s="253">
        <f t="shared" si="0"/>
        <v>252735450</v>
      </c>
      <c r="F17" s="253">
        <f>'- 56 -'!C17</f>
        <v>4859741</v>
      </c>
      <c r="G17" s="442">
        <f>F17/E17*1000</f>
        <v>19.22856884540732</v>
      </c>
    </row>
    <row r="18" spans="1:7" ht="13.5" customHeight="1">
      <c r="A18" s="443" t="s">
        <v>365</v>
      </c>
      <c r="B18" s="254">
        <v>66598230</v>
      </c>
      <c r="C18" s="254">
        <v>11736910</v>
      </c>
      <c r="D18" s="254">
        <v>45781790</v>
      </c>
      <c r="E18" s="254">
        <f t="shared" si="0"/>
        <v>124116930</v>
      </c>
      <c r="F18" s="254">
        <f>'- 56 -'!C18</f>
        <v>2952799</v>
      </c>
      <c r="G18" s="445" t="s">
        <v>458</v>
      </c>
    </row>
    <row r="19" spans="1:7" ht="13.5" customHeight="1">
      <c r="A19" s="441" t="s">
        <v>366</v>
      </c>
      <c r="B19" s="253">
        <v>163528810</v>
      </c>
      <c r="C19" s="253">
        <v>64744270</v>
      </c>
      <c r="D19" s="253">
        <v>79013650</v>
      </c>
      <c r="E19" s="253">
        <f t="shared" si="0"/>
        <v>307286730</v>
      </c>
      <c r="F19" s="253">
        <f>'- 56 -'!C19</f>
        <v>5666000</v>
      </c>
      <c r="G19" s="442">
        <f aca="true" t="shared" si="1" ref="G19:G25">F19/E19*1000</f>
        <v>18.438804695536316</v>
      </c>
    </row>
    <row r="20" spans="1:7" ht="13.5" customHeight="1">
      <c r="A20" s="443" t="s">
        <v>367</v>
      </c>
      <c r="B20" s="254">
        <v>338818440</v>
      </c>
      <c r="C20" s="254">
        <v>91389680</v>
      </c>
      <c r="D20" s="254">
        <v>140298670</v>
      </c>
      <c r="E20" s="254">
        <f t="shared" si="0"/>
        <v>570506790</v>
      </c>
      <c r="F20" s="254">
        <f>'- 56 -'!C20</f>
        <v>9917103</v>
      </c>
      <c r="G20" s="444">
        <f t="shared" si="1"/>
        <v>17.382971024762035</v>
      </c>
    </row>
    <row r="21" spans="1:7" ht="13.5" customHeight="1">
      <c r="A21" s="441" t="s">
        <v>368</v>
      </c>
      <c r="B21" s="253">
        <v>244097380</v>
      </c>
      <c r="C21" s="253">
        <v>83845470</v>
      </c>
      <c r="D21" s="253">
        <v>92315910</v>
      </c>
      <c r="E21" s="253">
        <f t="shared" si="0"/>
        <v>420258760</v>
      </c>
      <c r="F21" s="253">
        <f>'- 56 -'!C21</f>
        <v>8615000</v>
      </c>
      <c r="G21" s="442">
        <f t="shared" si="1"/>
        <v>20.499275256035116</v>
      </c>
    </row>
    <row r="22" spans="1:7" ht="13.5" customHeight="1">
      <c r="A22" s="443" t="s">
        <v>369</v>
      </c>
      <c r="B22" s="254">
        <v>76709310</v>
      </c>
      <c r="C22" s="254">
        <v>6519190</v>
      </c>
      <c r="D22" s="254">
        <v>58486180</v>
      </c>
      <c r="E22" s="254">
        <f t="shared" si="0"/>
        <v>141714680</v>
      </c>
      <c r="F22" s="254">
        <f>'- 56 -'!C22</f>
        <v>3257427</v>
      </c>
      <c r="G22" s="444">
        <f t="shared" si="1"/>
        <v>22.985812055603553</v>
      </c>
    </row>
    <row r="23" spans="1:8" ht="13.5" customHeight="1">
      <c r="A23" s="441" t="s">
        <v>370</v>
      </c>
      <c r="B23" s="253">
        <v>64353160</v>
      </c>
      <c r="C23" s="253">
        <v>46724820</v>
      </c>
      <c r="D23" s="253">
        <v>18872880</v>
      </c>
      <c r="E23" s="253">
        <f t="shared" si="0"/>
        <v>129950860</v>
      </c>
      <c r="F23" s="253">
        <f>'- 56 -'!C23</f>
        <v>2840917</v>
      </c>
      <c r="G23" s="442">
        <f t="shared" si="1"/>
        <v>21.861471328469854</v>
      </c>
      <c r="H23" s="446"/>
    </row>
    <row r="24" spans="1:7" ht="13.5" customHeight="1">
      <c r="A24" s="443" t="s">
        <v>371</v>
      </c>
      <c r="B24" s="254">
        <v>523353880</v>
      </c>
      <c r="C24" s="254">
        <v>31022270</v>
      </c>
      <c r="D24" s="254">
        <v>104154920</v>
      </c>
      <c r="E24" s="254">
        <f t="shared" si="0"/>
        <v>658531070</v>
      </c>
      <c r="F24" s="254">
        <f>'- 56 -'!C24</f>
        <v>13309051</v>
      </c>
      <c r="G24" s="444">
        <f t="shared" si="1"/>
        <v>20.210209671656038</v>
      </c>
    </row>
    <row r="25" spans="1:7" ht="13.5" customHeight="1">
      <c r="A25" s="441" t="s">
        <v>372</v>
      </c>
      <c r="B25" s="253">
        <v>1607373423.15</v>
      </c>
      <c r="C25" s="253">
        <v>6187526.8</v>
      </c>
      <c r="D25" s="253">
        <v>503043779</v>
      </c>
      <c r="E25" s="253">
        <f t="shared" si="0"/>
        <v>2116604728.95</v>
      </c>
      <c r="F25" s="253">
        <f>'- 56 -'!C25</f>
        <v>50508020</v>
      </c>
      <c r="G25" s="442">
        <f t="shared" si="1"/>
        <v>23.862754962782255</v>
      </c>
    </row>
    <row r="26" spans="1:7" ht="13.5" customHeight="1">
      <c r="A26" s="443" t="s">
        <v>373</v>
      </c>
      <c r="B26" s="254">
        <v>199967360</v>
      </c>
      <c r="C26" s="254">
        <v>114368210</v>
      </c>
      <c r="D26" s="254">
        <v>69765620</v>
      </c>
      <c r="E26" s="254">
        <f t="shared" si="0"/>
        <v>384101190</v>
      </c>
      <c r="F26" s="254">
        <f>'- 56 -'!C26</f>
        <v>8561909</v>
      </c>
      <c r="G26" s="445" t="s">
        <v>458</v>
      </c>
    </row>
    <row r="27" spans="1:7" ht="13.5" customHeight="1">
      <c r="A27" s="441" t="s">
        <v>374</v>
      </c>
      <c r="B27" s="253">
        <v>129772620</v>
      </c>
      <c r="C27" s="253">
        <v>0</v>
      </c>
      <c r="D27" s="253">
        <v>56025730</v>
      </c>
      <c r="E27" s="253">
        <f t="shared" si="0"/>
        <v>185798350</v>
      </c>
      <c r="F27" s="253">
        <f>'- 56 -'!C27</f>
        <v>6287110</v>
      </c>
      <c r="G27" s="442">
        <f>F27/E27*1000</f>
        <v>33.83835217051174</v>
      </c>
    </row>
    <row r="28" spans="1:7" ht="13.5" customHeight="1">
      <c r="A28" s="443" t="s">
        <v>375</v>
      </c>
      <c r="B28" s="254">
        <v>93113120</v>
      </c>
      <c r="C28" s="254">
        <v>129488120</v>
      </c>
      <c r="D28" s="254">
        <v>97803660</v>
      </c>
      <c r="E28" s="254">
        <f t="shared" si="0"/>
        <v>320404900</v>
      </c>
      <c r="F28" s="254">
        <f>'- 56 -'!C28</f>
        <v>6292034</v>
      </c>
      <c r="G28" s="444">
        <f>F28/E28*1000</f>
        <v>19.63775834888917</v>
      </c>
    </row>
    <row r="29" spans="1:7" ht="13.5" customHeight="1">
      <c r="A29" s="441" t="s">
        <v>376</v>
      </c>
      <c r="B29" s="253">
        <v>1668442544</v>
      </c>
      <c r="C29" s="253">
        <v>5555170.2</v>
      </c>
      <c r="D29" s="253">
        <v>540372892.5</v>
      </c>
      <c r="E29" s="253">
        <f t="shared" si="0"/>
        <v>2214370606.7</v>
      </c>
      <c r="F29" s="253">
        <f>'- 56 -'!C29</f>
        <v>53915276</v>
      </c>
      <c r="G29" s="442">
        <f>F29/E29*1000</f>
        <v>24.347900860347888</v>
      </c>
    </row>
    <row r="30" spans="1:7" ht="13.5" customHeight="1">
      <c r="A30" s="443" t="s">
        <v>377</v>
      </c>
      <c r="B30" s="254">
        <v>50168770</v>
      </c>
      <c r="C30" s="254">
        <v>69499430</v>
      </c>
      <c r="D30" s="254">
        <v>45763390</v>
      </c>
      <c r="E30" s="254">
        <f t="shared" si="0"/>
        <v>165431590</v>
      </c>
      <c r="F30" s="254">
        <f>'- 56 -'!C30</f>
        <v>3589867</v>
      </c>
      <c r="G30" s="444">
        <f>F30/E30*1000</f>
        <v>21.70000904905768</v>
      </c>
    </row>
    <row r="31" spans="1:7" ht="13.5" customHeight="1">
      <c r="A31" s="441" t="s">
        <v>378</v>
      </c>
      <c r="B31" s="253">
        <v>217763190</v>
      </c>
      <c r="C31" s="253">
        <v>99808370</v>
      </c>
      <c r="D31" s="253">
        <v>153176520</v>
      </c>
      <c r="E31" s="253">
        <f t="shared" si="0"/>
        <v>470748080</v>
      </c>
      <c r="F31" s="253">
        <f>'- 56 -'!C31</f>
        <v>8718259</v>
      </c>
      <c r="G31" s="442">
        <f>F31/E31*1000</f>
        <v>18.52000968331087</v>
      </c>
    </row>
    <row r="32" spans="1:7" ht="13.5" customHeight="1">
      <c r="A32" s="443" t="s">
        <v>379</v>
      </c>
      <c r="B32" s="254">
        <v>163234130</v>
      </c>
      <c r="C32" s="254">
        <v>174277970</v>
      </c>
      <c r="D32" s="254">
        <v>64193970</v>
      </c>
      <c r="E32" s="254">
        <f t="shared" si="0"/>
        <v>401706070</v>
      </c>
      <c r="F32" s="254">
        <f>'- 56 -'!C32</f>
        <v>7708215</v>
      </c>
      <c r="G32" s="445" t="s">
        <v>458</v>
      </c>
    </row>
    <row r="33" spans="1:7" ht="13.5" customHeight="1">
      <c r="A33" s="441" t="s">
        <v>380</v>
      </c>
      <c r="B33" s="253">
        <v>108299190</v>
      </c>
      <c r="C33" s="253">
        <v>203839110</v>
      </c>
      <c r="D33" s="253">
        <v>68299810</v>
      </c>
      <c r="E33" s="253">
        <f t="shared" si="0"/>
        <v>380438110</v>
      </c>
      <c r="F33" s="253">
        <f>'- 56 -'!C33</f>
        <v>8332877</v>
      </c>
      <c r="G33" s="442">
        <f>F33/E33*1000</f>
        <v>21.90337082686064</v>
      </c>
    </row>
    <row r="34" spans="1:7" ht="13.5" customHeight="1">
      <c r="A34" s="443" t="s">
        <v>381</v>
      </c>
      <c r="B34" s="254">
        <v>147841690</v>
      </c>
      <c r="C34" s="254">
        <v>145199220</v>
      </c>
      <c r="D34" s="254">
        <v>101462430</v>
      </c>
      <c r="E34" s="254">
        <f t="shared" si="0"/>
        <v>394503340</v>
      </c>
      <c r="F34" s="254">
        <f>'- 56 -'!C34</f>
        <v>8370287.047575012</v>
      </c>
      <c r="G34" s="445" t="s">
        <v>458</v>
      </c>
    </row>
    <row r="35" spans="1:7" ht="13.5" customHeight="1">
      <c r="A35" s="441" t="s">
        <v>382</v>
      </c>
      <c r="B35" s="253">
        <v>1558518022.5</v>
      </c>
      <c r="C35" s="253">
        <v>6161570.86</v>
      </c>
      <c r="D35" s="253">
        <v>450760247.15</v>
      </c>
      <c r="E35" s="253">
        <f t="shared" si="0"/>
        <v>2015439840.5099998</v>
      </c>
      <c r="F35" s="253">
        <f>'- 56 -'!C35</f>
        <v>48434908</v>
      </c>
      <c r="G35" s="442">
        <f aca="true" t="shared" si="2" ref="G35:G46">F35/E35*1000</f>
        <v>24.031929421293828</v>
      </c>
    </row>
    <row r="36" spans="1:7" ht="13.5" customHeight="1">
      <c r="A36" s="443" t="s">
        <v>383</v>
      </c>
      <c r="B36" s="254">
        <v>133487630</v>
      </c>
      <c r="C36" s="254">
        <v>78479610</v>
      </c>
      <c r="D36" s="254">
        <v>83955900</v>
      </c>
      <c r="E36" s="254">
        <f t="shared" si="0"/>
        <v>295923140</v>
      </c>
      <c r="F36" s="254">
        <f>'- 56 -'!C36</f>
        <v>6132705</v>
      </c>
      <c r="G36" s="444">
        <f t="shared" si="2"/>
        <v>20.723979206222264</v>
      </c>
    </row>
    <row r="37" spans="1:7" ht="13.5" customHeight="1">
      <c r="A37" s="441" t="s">
        <v>384</v>
      </c>
      <c r="B37" s="253">
        <v>336483330</v>
      </c>
      <c r="C37" s="253">
        <v>52151060</v>
      </c>
      <c r="D37" s="253">
        <v>77436310</v>
      </c>
      <c r="E37" s="253">
        <f t="shared" si="0"/>
        <v>466070700</v>
      </c>
      <c r="F37" s="253">
        <f>'- 56 -'!C37</f>
        <v>10984996</v>
      </c>
      <c r="G37" s="442">
        <f t="shared" si="2"/>
        <v>23.569376920711814</v>
      </c>
    </row>
    <row r="38" spans="1:7" ht="13.5" customHeight="1">
      <c r="A38" s="443" t="s">
        <v>385</v>
      </c>
      <c r="B38" s="254">
        <v>750748360</v>
      </c>
      <c r="C38" s="254">
        <v>5018730</v>
      </c>
      <c r="D38" s="254">
        <v>148757430</v>
      </c>
      <c r="E38" s="254">
        <f t="shared" si="0"/>
        <v>904524520</v>
      </c>
      <c r="F38" s="254">
        <f>'- 56 -'!C38</f>
        <v>25576531</v>
      </c>
      <c r="G38" s="444">
        <f t="shared" si="2"/>
        <v>28.27621632634127</v>
      </c>
    </row>
    <row r="39" spans="1:7" ht="13.5" customHeight="1">
      <c r="A39" s="441" t="s">
        <v>386</v>
      </c>
      <c r="B39" s="253">
        <v>88135790</v>
      </c>
      <c r="C39" s="253">
        <v>149754720</v>
      </c>
      <c r="D39" s="253">
        <v>76893330</v>
      </c>
      <c r="E39" s="253">
        <f t="shared" si="0"/>
        <v>314783840</v>
      </c>
      <c r="F39" s="253">
        <f>'- 56 -'!C39</f>
        <v>6413633</v>
      </c>
      <c r="G39" s="442">
        <f t="shared" si="2"/>
        <v>20.374721269046084</v>
      </c>
    </row>
    <row r="40" spans="1:7" ht="13.5" customHeight="1">
      <c r="A40" s="443" t="s">
        <v>387</v>
      </c>
      <c r="B40" s="254">
        <v>903257030</v>
      </c>
      <c r="C40" s="254">
        <v>5701420</v>
      </c>
      <c r="D40" s="254">
        <v>655097830</v>
      </c>
      <c r="E40" s="254">
        <f t="shared" si="0"/>
        <v>1564056280</v>
      </c>
      <c r="F40" s="254">
        <f>'- 56 -'!C40</f>
        <v>31019277</v>
      </c>
      <c r="G40" s="444">
        <f t="shared" si="2"/>
        <v>19.832583645903075</v>
      </c>
    </row>
    <row r="41" spans="1:7" ht="13.5" customHeight="1">
      <c r="A41" s="441" t="s">
        <v>388</v>
      </c>
      <c r="B41" s="253">
        <v>486308800</v>
      </c>
      <c r="C41" s="253">
        <v>90194210</v>
      </c>
      <c r="D41" s="253">
        <v>143454060</v>
      </c>
      <c r="E41" s="253">
        <f t="shared" si="0"/>
        <v>719957070</v>
      </c>
      <c r="F41" s="253">
        <f>'- 56 -'!C41</f>
        <v>16261452</v>
      </c>
      <c r="G41" s="442">
        <f t="shared" si="2"/>
        <v>22.58669673179263</v>
      </c>
    </row>
    <row r="42" spans="1:7" ht="13.5" customHeight="1">
      <c r="A42" s="443" t="s">
        <v>389</v>
      </c>
      <c r="B42" s="254">
        <v>96993950</v>
      </c>
      <c r="C42" s="254">
        <v>57662700</v>
      </c>
      <c r="D42" s="254">
        <v>48122020</v>
      </c>
      <c r="E42" s="254">
        <f t="shared" si="0"/>
        <v>202778670</v>
      </c>
      <c r="F42" s="254">
        <f>'- 56 -'!C42</f>
        <v>4765704</v>
      </c>
      <c r="G42" s="444">
        <f t="shared" si="2"/>
        <v>23.50199850901478</v>
      </c>
    </row>
    <row r="43" spans="1:7" ht="13.5" customHeight="1">
      <c r="A43" s="441" t="s">
        <v>390</v>
      </c>
      <c r="B43" s="253">
        <v>69973130</v>
      </c>
      <c r="C43" s="253">
        <v>75727970</v>
      </c>
      <c r="D43" s="253">
        <v>33141190</v>
      </c>
      <c r="E43" s="253">
        <f t="shared" si="0"/>
        <v>178842290</v>
      </c>
      <c r="F43" s="253">
        <f>'- 56 -'!C43</f>
        <v>3702314</v>
      </c>
      <c r="G43" s="442">
        <f t="shared" si="2"/>
        <v>20.70155778032142</v>
      </c>
    </row>
    <row r="44" spans="1:7" ht="13.5" customHeight="1">
      <c r="A44" s="443" t="s">
        <v>391</v>
      </c>
      <c r="B44" s="254">
        <v>39412930</v>
      </c>
      <c r="C44" s="254">
        <v>41888880</v>
      </c>
      <c r="D44" s="254">
        <v>9518310</v>
      </c>
      <c r="E44" s="254">
        <f t="shared" si="0"/>
        <v>90820120</v>
      </c>
      <c r="F44" s="254">
        <f>'- 56 -'!C44</f>
        <v>2095642</v>
      </c>
      <c r="G44" s="444">
        <f t="shared" si="2"/>
        <v>23.074644693268407</v>
      </c>
    </row>
    <row r="45" spans="1:7" ht="13.5" customHeight="1">
      <c r="A45" s="441" t="s">
        <v>392</v>
      </c>
      <c r="B45" s="253">
        <v>105124380</v>
      </c>
      <c r="C45" s="253">
        <v>23049020</v>
      </c>
      <c r="D45" s="253">
        <v>41988980</v>
      </c>
      <c r="E45" s="253">
        <f t="shared" si="0"/>
        <v>170162380</v>
      </c>
      <c r="F45" s="253">
        <f>'- 56 -'!C45</f>
        <v>3633747</v>
      </c>
      <c r="G45" s="442">
        <f t="shared" si="2"/>
        <v>21.354584955852168</v>
      </c>
    </row>
    <row r="46" spans="1:7" ht="13.5" customHeight="1">
      <c r="A46" s="443" t="s">
        <v>393</v>
      </c>
      <c r="B46" s="254">
        <v>1966033730</v>
      </c>
      <c r="C46" s="254">
        <v>978860</v>
      </c>
      <c r="D46" s="254">
        <v>1987870700</v>
      </c>
      <c r="E46" s="254">
        <f t="shared" si="0"/>
        <v>3954883290</v>
      </c>
      <c r="F46" s="254">
        <f>'- 56 -'!C46</f>
        <v>112948434</v>
      </c>
      <c r="G46" s="444">
        <f t="shared" si="2"/>
        <v>28.559233160076385</v>
      </c>
    </row>
    <row r="47" spans="1:7" ht="13.5" customHeight="1">
      <c r="A47" s="441" t="s">
        <v>397</v>
      </c>
      <c r="B47" s="253"/>
      <c r="C47" s="253"/>
      <c r="D47" s="253"/>
      <c r="E47" s="253"/>
      <c r="F47" s="253"/>
      <c r="G47" s="442"/>
    </row>
    <row r="48" spans="1:7" ht="4.5" customHeight="1">
      <c r="A48" s="208"/>
      <c r="B48" s="255"/>
      <c r="C48" s="255"/>
      <c r="D48" s="255"/>
      <c r="E48" s="255"/>
      <c r="F48" s="255"/>
      <c r="G48" s="447"/>
    </row>
    <row r="49" spans="1:7" ht="13.5" customHeight="1">
      <c r="A49" s="429" t="s">
        <v>455</v>
      </c>
      <c r="B49" s="256">
        <f>SUM(B11:B47)</f>
        <v>13596687499.65</v>
      </c>
      <c r="C49" s="256">
        <f>SUM(C11:C47)</f>
        <v>2199751597.8599997</v>
      </c>
      <c r="D49" s="256">
        <f>SUM(D11:D47)</f>
        <v>6729469958.65</v>
      </c>
      <c r="E49" s="256">
        <f>SUM(E11:E47)</f>
        <v>22525909056.16</v>
      </c>
      <c r="F49" s="256">
        <f>SUM(F11:F47)</f>
        <v>523762915.047575</v>
      </c>
      <c r="G49" s="448">
        <f>F49/E49*1000</f>
        <v>23.251577272276403</v>
      </c>
    </row>
    <row r="50" spans="1:7" ht="4.5" customHeight="1">
      <c r="A50" s="208"/>
      <c r="B50" s="255"/>
      <c r="C50" s="255"/>
      <c r="D50" s="255"/>
      <c r="E50" s="255"/>
      <c r="F50" s="255"/>
      <c r="G50" s="255"/>
    </row>
    <row r="51" spans="1:7" ht="13.5" customHeight="1">
      <c r="A51" s="443" t="s">
        <v>456</v>
      </c>
      <c r="B51" s="254">
        <v>17748100</v>
      </c>
      <c r="C51" s="254">
        <v>191910</v>
      </c>
      <c r="D51" s="254">
        <v>1351260</v>
      </c>
      <c r="E51" s="254">
        <f>SUM(B51:D51)</f>
        <v>19291270</v>
      </c>
      <c r="F51" s="255"/>
      <c r="G51" s="255"/>
    </row>
    <row r="52" spans="1:7" ht="13.5" customHeight="1">
      <c r="A52" s="441" t="s">
        <v>457</v>
      </c>
      <c r="B52" s="253">
        <v>6970900</v>
      </c>
      <c r="C52" s="253">
        <v>7695310</v>
      </c>
      <c r="D52" s="253">
        <v>26511120</v>
      </c>
      <c r="E52" s="253">
        <f>SUM(B52:D52)</f>
        <v>41177330</v>
      </c>
      <c r="F52" s="255"/>
      <c r="G52" s="449"/>
    </row>
    <row r="53" spans="1:7" ht="4.5" customHeight="1">
      <c r="A53" s="208"/>
      <c r="B53" s="255"/>
      <c r="C53" s="255"/>
      <c r="D53" s="255"/>
      <c r="E53" s="255"/>
      <c r="F53" s="255"/>
      <c r="G53" s="255"/>
    </row>
    <row r="54" spans="1:7" ht="13.5" customHeight="1">
      <c r="A54" s="429" t="s">
        <v>394</v>
      </c>
      <c r="B54" s="256">
        <f>SUM(B49,B51:B52)</f>
        <v>13621406499.65</v>
      </c>
      <c r="C54" s="256">
        <f>SUM(C49,C51:C52)</f>
        <v>2207638817.8599997</v>
      </c>
      <c r="D54" s="256">
        <f>SUM(D49,D51:D52)</f>
        <v>6757332338.65</v>
      </c>
      <c r="E54" s="256">
        <f>SUM(E49,E51:E52)</f>
        <v>22586377656.16</v>
      </c>
      <c r="F54" s="255"/>
      <c r="G54" s="449"/>
    </row>
    <row r="55" spans="1:7" ht="30" customHeight="1">
      <c r="A55" s="33"/>
      <c r="B55" s="33"/>
      <c r="C55" s="33"/>
      <c r="D55" s="33"/>
      <c r="E55" s="33"/>
      <c r="F55" s="33"/>
      <c r="G55" s="33"/>
    </row>
    <row r="56" spans="1:8" ht="15" customHeight="1">
      <c r="A56" s="2" t="s">
        <v>19</v>
      </c>
      <c r="B56" s="53"/>
      <c r="C56" s="53"/>
      <c r="D56" s="53"/>
      <c r="E56" s="53"/>
      <c r="F56" s="53"/>
      <c r="G56" s="53"/>
      <c r="H56" s="53"/>
    </row>
    <row r="57" spans="1:8" ht="12" customHeight="1">
      <c r="A57" s="165" t="s">
        <v>20</v>
      </c>
      <c r="B57" s="53"/>
      <c r="C57" s="53"/>
      <c r="D57" s="53"/>
      <c r="E57" s="53"/>
      <c r="F57" s="53"/>
      <c r="G57" s="53"/>
      <c r="H57" s="53"/>
    </row>
    <row r="58" spans="1:8" ht="12" customHeight="1">
      <c r="A58" s="35" t="s">
        <v>21</v>
      </c>
      <c r="B58" s="53"/>
      <c r="C58" s="53"/>
      <c r="D58" s="53"/>
      <c r="E58" s="53"/>
      <c r="F58" s="53"/>
      <c r="G58" s="53"/>
      <c r="H58"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sheetPr codeName="Sheet42">
    <pageSetUpPr fitToPage="1"/>
  </sheetPr>
  <dimension ref="A1:G43"/>
  <sheetViews>
    <sheetView showGridLines="0" showZeros="0" workbookViewId="0" topLeftCell="A1">
      <selection activeCell="A1" sqref="A1"/>
    </sheetView>
  </sheetViews>
  <sheetFormatPr defaultColWidth="15.83203125" defaultRowHeight="12"/>
  <cols>
    <col min="1" max="1" width="34.83203125" style="1" customWidth="1"/>
    <col min="2" max="2" width="17.83203125" style="1" customWidth="1"/>
    <col min="3" max="3" width="15.83203125" style="1" customWidth="1"/>
    <col min="4" max="5" width="16.83203125" style="1" customWidth="1"/>
    <col min="6" max="6" width="14.83203125" style="1" customWidth="1"/>
    <col min="7" max="7" width="15.83203125" style="1" customWidth="1"/>
    <col min="8" max="16384" width="15.83203125" style="1" customWidth="1"/>
  </cols>
  <sheetData>
    <row r="1" ht="6.75" customHeight="1">
      <c r="A1" s="5"/>
    </row>
    <row r="2" spans="1:7" ht="15.75" customHeight="1">
      <c r="A2" s="373" t="s">
        <v>459</v>
      </c>
      <c r="B2" s="405"/>
      <c r="C2" s="405"/>
      <c r="D2" s="405"/>
      <c r="E2" s="405"/>
      <c r="F2" s="405"/>
      <c r="G2" s="405"/>
    </row>
    <row r="3" spans="1:7" ht="15.75" customHeight="1">
      <c r="A3" s="432" t="str">
        <f>TAXYEAR</f>
        <v>FOR THE 2003 TAXATION YEAR</v>
      </c>
      <c r="B3" s="409"/>
      <c r="C3" s="409"/>
      <c r="D3" s="409"/>
      <c r="E3" s="436"/>
      <c r="F3" s="436"/>
      <c r="G3" s="409"/>
    </row>
    <row r="4" spans="2:7" ht="39.75" customHeight="1">
      <c r="B4" s="6"/>
      <c r="C4" s="6"/>
      <c r="D4" s="6"/>
      <c r="E4" s="58"/>
      <c r="F4" s="58"/>
      <c r="G4" s="58"/>
    </row>
    <row r="5" spans="2:7" ht="39.75" customHeight="1">
      <c r="B5" s="6"/>
      <c r="C5" s="6"/>
      <c r="D5" s="6"/>
      <c r="E5" s="6"/>
      <c r="F5" s="6"/>
      <c r="G5" s="6"/>
    </row>
    <row r="6" spans="2:7" ht="15.75" customHeight="1">
      <c r="B6" s="368" t="s">
        <v>201</v>
      </c>
      <c r="C6" s="287"/>
      <c r="D6" s="287"/>
      <c r="E6" s="284"/>
      <c r="F6" s="6"/>
      <c r="G6" s="6"/>
    </row>
    <row r="7" spans="2:7" ht="15.75" customHeight="1">
      <c r="B7" s="422" t="s">
        <v>214</v>
      </c>
      <c r="C7" s="422" t="s">
        <v>215</v>
      </c>
      <c r="D7" s="423"/>
      <c r="E7" s="63"/>
      <c r="F7" s="412"/>
      <c r="G7" s="63" t="s">
        <v>216</v>
      </c>
    </row>
    <row r="8" spans="1:7" ht="15.75" customHeight="1">
      <c r="A8" s="450" t="s">
        <v>460</v>
      </c>
      <c r="B8" s="437" t="s">
        <v>240</v>
      </c>
      <c r="C8" s="437" t="s">
        <v>241</v>
      </c>
      <c r="D8" s="438" t="s">
        <v>78</v>
      </c>
      <c r="E8" s="439"/>
      <c r="F8" s="371" t="s">
        <v>216</v>
      </c>
      <c r="G8" s="371" t="s">
        <v>242</v>
      </c>
    </row>
    <row r="9" spans="1:7" ht="15.75" customHeight="1">
      <c r="A9" s="451" t="s">
        <v>22</v>
      </c>
      <c r="B9" s="427" t="s">
        <v>255</v>
      </c>
      <c r="C9" s="427" t="s">
        <v>252</v>
      </c>
      <c r="D9" s="427" t="s">
        <v>256</v>
      </c>
      <c r="E9" s="69" t="s">
        <v>144</v>
      </c>
      <c r="F9" s="69" t="s">
        <v>242</v>
      </c>
      <c r="G9" s="69" t="s">
        <v>461</v>
      </c>
    </row>
    <row r="10" spans="1:7" ht="13.5" customHeight="1">
      <c r="A10" s="24"/>
      <c r="B10" s="372"/>
      <c r="C10" s="5"/>
      <c r="D10" s="372"/>
      <c r="E10" s="372"/>
      <c r="F10" s="5"/>
      <c r="G10" s="5"/>
    </row>
    <row r="11" spans="1:7" ht="13.5" customHeight="1">
      <c r="A11" s="452" t="s">
        <v>462</v>
      </c>
      <c r="B11" s="254"/>
      <c r="C11" s="254"/>
      <c r="D11" s="254"/>
      <c r="E11" s="254">
        <f aca="true" t="shared" si="0" ref="E11:E17">SUM(B11:D11)</f>
        <v>0</v>
      </c>
      <c r="F11" s="254"/>
      <c r="G11" s="444"/>
    </row>
    <row r="12" spans="1:7" ht="13.5" customHeight="1">
      <c r="A12" s="453" t="s">
        <v>463</v>
      </c>
      <c r="B12" s="254">
        <v>7038400</v>
      </c>
      <c r="C12" s="254">
        <v>2150</v>
      </c>
      <c r="D12" s="254">
        <v>13361280</v>
      </c>
      <c r="E12" s="254">
        <f t="shared" si="0"/>
        <v>20401830</v>
      </c>
      <c r="F12" s="254">
        <v>459041</v>
      </c>
      <c r="G12" s="444">
        <f aca="true" t="shared" si="1" ref="G12:G17">F12/E12*1000</f>
        <v>22.499991422338095</v>
      </c>
    </row>
    <row r="13" spans="1:7" ht="13.5" customHeight="1">
      <c r="A13" s="454" t="s">
        <v>464</v>
      </c>
      <c r="B13" s="253">
        <v>7994580</v>
      </c>
      <c r="C13" s="253">
        <v>5939440</v>
      </c>
      <c r="D13" s="253">
        <v>404920</v>
      </c>
      <c r="E13" s="253">
        <f t="shared" si="0"/>
        <v>14338940</v>
      </c>
      <c r="F13" s="253">
        <v>328362</v>
      </c>
      <c r="G13" s="442">
        <f t="shared" si="1"/>
        <v>22.90001910880442</v>
      </c>
    </row>
    <row r="14" spans="1:7" ht="13.5" customHeight="1">
      <c r="A14" s="453" t="s">
        <v>465</v>
      </c>
      <c r="B14" s="254">
        <v>34935890</v>
      </c>
      <c r="C14" s="254">
        <v>5791290</v>
      </c>
      <c r="D14" s="254">
        <v>22566130</v>
      </c>
      <c r="E14" s="254">
        <f t="shared" si="0"/>
        <v>63293310</v>
      </c>
      <c r="F14" s="254">
        <v>1373465</v>
      </c>
      <c r="G14" s="444">
        <f t="shared" si="1"/>
        <v>21.700002733306253</v>
      </c>
    </row>
    <row r="15" spans="1:7" ht="13.5" customHeight="1">
      <c r="A15" s="454" t="s">
        <v>466</v>
      </c>
      <c r="B15" s="253">
        <v>9135900</v>
      </c>
      <c r="C15" s="253">
        <v>1170</v>
      </c>
      <c r="D15" s="253">
        <v>2378170</v>
      </c>
      <c r="E15" s="253">
        <f t="shared" si="0"/>
        <v>11515240</v>
      </c>
      <c r="F15" s="253">
        <v>295942</v>
      </c>
      <c r="G15" s="442">
        <f t="shared" si="1"/>
        <v>25.700028831357404</v>
      </c>
    </row>
    <row r="16" spans="1:7" ht="13.5" customHeight="1">
      <c r="A16" s="453" t="s">
        <v>467</v>
      </c>
      <c r="B16" s="254">
        <v>1222590</v>
      </c>
      <c r="C16" s="254">
        <v>0</v>
      </c>
      <c r="D16" s="254">
        <v>1248280</v>
      </c>
      <c r="E16" s="254">
        <f t="shared" si="0"/>
        <v>2470870</v>
      </c>
      <c r="F16" s="254">
        <v>88457</v>
      </c>
      <c r="G16" s="444">
        <f t="shared" si="1"/>
        <v>35.799940911500805</v>
      </c>
    </row>
    <row r="17" spans="1:7" ht="13.5" customHeight="1">
      <c r="A17" s="454" t="s">
        <v>468</v>
      </c>
      <c r="B17" s="253">
        <v>6270870</v>
      </c>
      <c r="C17" s="253">
        <v>2860</v>
      </c>
      <c r="D17" s="253">
        <v>5823010</v>
      </c>
      <c r="E17" s="253">
        <f t="shared" si="0"/>
        <v>12096740</v>
      </c>
      <c r="F17" s="253">
        <v>407532</v>
      </c>
      <c r="G17" s="442">
        <f t="shared" si="1"/>
        <v>33.689407228724434</v>
      </c>
    </row>
    <row r="18" spans="1:7" ht="13.5" customHeight="1">
      <c r="A18" s="452" t="s">
        <v>469</v>
      </c>
      <c r="B18" s="455">
        <f>SUM(B12:B17)</f>
        <v>66598230</v>
      </c>
      <c r="C18" s="455">
        <f>SUM(C12:C17)</f>
        <v>11736910</v>
      </c>
      <c r="D18" s="455">
        <f>SUM(D12:D17)</f>
        <v>45781790</v>
      </c>
      <c r="E18" s="455">
        <f>SUM(E12:E17)</f>
        <v>124116930</v>
      </c>
      <c r="F18" s="455">
        <f>SUM(F12:F17)</f>
        <v>2952799</v>
      </c>
      <c r="G18" s="444"/>
    </row>
    <row r="19" ht="13.5" customHeight="1"/>
    <row r="20" spans="1:7" ht="13.5" customHeight="1">
      <c r="A20" s="452" t="s">
        <v>470</v>
      </c>
      <c r="B20" s="254"/>
      <c r="C20" s="254"/>
      <c r="D20" s="254"/>
      <c r="E20" s="254">
        <f>SUM(B20:D20)</f>
        <v>0</v>
      </c>
      <c r="F20" s="254"/>
      <c r="G20" s="444"/>
    </row>
    <row r="21" spans="1:7" ht="13.5" customHeight="1">
      <c r="A21" s="454" t="s">
        <v>471</v>
      </c>
      <c r="B21" s="253">
        <v>125527830</v>
      </c>
      <c r="C21" s="253">
        <v>34488050</v>
      </c>
      <c r="D21" s="253">
        <v>46597380</v>
      </c>
      <c r="E21" s="253">
        <f>SUM(B21:D21)</f>
        <v>206613260</v>
      </c>
      <c r="F21" s="253">
        <v>4655141</v>
      </c>
      <c r="G21" s="442">
        <f>F21/E21*1000</f>
        <v>22.530698174938045</v>
      </c>
    </row>
    <row r="22" spans="1:7" ht="13.5" customHeight="1">
      <c r="A22" s="453" t="s">
        <v>464</v>
      </c>
      <c r="B22" s="254">
        <v>13034770</v>
      </c>
      <c r="C22" s="254">
        <v>16780310</v>
      </c>
      <c r="D22" s="254">
        <v>2288800</v>
      </c>
      <c r="E22" s="254">
        <f>SUM(B22:D22)</f>
        <v>32103880</v>
      </c>
      <c r="F22" s="254">
        <v>753157</v>
      </c>
      <c r="G22" s="444">
        <f>F22/E22*1000</f>
        <v>23.4599992275077</v>
      </c>
    </row>
    <row r="23" spans="1:7" ht="13.5" customHeight="1">
      <c r="A23" s="454" t="s">
        <v>472</v>
      </c>
      <c r="B23" s="253">
        <v>61404760</v>
      </c>
      <c r="C23" s="253">
        <v>63099850</v>
      </c>
      <c r="D23" s="253">
        <v>20879440</v>
      </c>
      <c r="E23" s="253">
        <f>SUM(B23:D23)</f>
        <v>145384050</v>
      </c>
      <c r="F23" s="253">
        <v>3153611</v>
      </c>
      <c r="G23" s="442">
        <f>F23/E23*1000</f>
        <v>21.69158858898208</v>
      </c>
    </row>
    <row r="24" spans="1:7" ht="13.5" customHeight="1">
      <c r="A24" s="452" t="s">
        <v>473</v>
      </c>
      <c r="B24" s="455">
        <f>SUM(B21:B23)</f>
        <v>199967360</v>
      </c>
      <c r="C24" s="455">
        <f>SUM(C21:C23)</f>
        <v>114368210</v>
      </c>
      <c r="D24" s="455">
        <f>SUM(D21:D23)</f>
        <v>69765620</v>
      </c>
      <c r="E24" s="455">
        <f>SUM(E21:E23)</f>
        <v>384101190</v>
      </c>
      <c r="F24" s="455">
        <f>SUM(F21:F23)</f>
        <v>8561909</v>
      </c>
      <c r="G24" s="444"/>
    </row>
    <row r="25" ht="13.5" customHeight="1"/>
    <row r="26" spans="1:7" ht="13.5" customHeight="1">
      <c r="A26" s="456" t="s">
        <v>474</v>
      </c>
      <c r="B26" s="254"/>
      <c r="C26" s="254"/>
      <c r="D26" s="254"/>
      <c r="E26" s="254"/>
      <c r="F26" s="254"/>
      <c r="G26" s="444"/>
    </row>
    <row r="27" spans="1:7" ht="13.5" customHeight="1">
      <c r="A27" s="453" t="s">
        <v>475</v>
      </c>
      <c r="B27" s="254">
        <v>86580060</v>
      </c>
      <c r="C27" s="254">
        <v>120071650</v>
      </c>
      <c r="D27" s="254">
        <v>30529590</v>
      </c>
      <c r="E27" s="254">
        <f>SUM(B27:D27)</f>
        <v>237181300</v>
      </c>
      <c r="F27" s="254">
        <v>4132105</v>
      </c>
      <c r="G27" s="444">
        <f>F27/E27*1000</f>
        <v>17.421714949703034</v>
      </c>
    </row>
    <row r="28" spans="1:7" ht="13.5" customHeight="1">
      <c r="A28" s="454" t="s">
        <v>476</v>
      </c>
      <c r="B28" s="253">
        <v>76654070</v>
      </c>
      <c r="C28" s="253">
        <v>54206320</v>
      </c>
      <c r="D28" s="253">
        <v>33664380</v>
      </c>
      <c r="E28" s="253">
        <f>SUM(B28:D28)</f>
        <v>164524770</v>
      </c>
      <c r="F28" s="253">
        <v>3576110</v>
      </c>
      <c r="G28" s="442">
        <f>F28/E28*1000</f>
        <v>21.73599756437891</v>
      </c>
    </row>
    <row r="29" spans="1:7" ht="13.5" customHeight="1">
      <c r="A29" s="452" t="s">
        <v>477</v>
      </c>
      <c r="B29" s="455">
        <f>B27+B28</f>
        <v>163234130</v>
      </c>
      <c r="C29" s="455">
        <f>C27+C28</f>
        <v>174277970</v>
      </c>
      <c r="D29" s="455">
        <f>D27+D28</f>
        <v>64193970</v>
      </c>
      <c r="E29" s="455">
        <f>E27+E28</f>
        <v>401706070</v>
      </c>
      <c r="F29" s="455">
        <f>F27+F28</f>
        <v>7708215</v>
      </c>
      <c r="G29" s="444"/>
    </row>
    <row r="30" ht="13.5" customHeight="1"/>
    <row r="31" spans="1:7" ht="13.5" customHeight="1">
      <c r="A31" s="452" t="s">
        <v>478</v>
      </c>
      <c r="B31" s="254"/>
      <c r="C31" s="254"/>
      <c r="D31" s="254"/>
      <c r="E31" s="254"/>
      <c r="F31" s="254"/>
      <c r="G31" s="444"/>
    </row>
    <row r="32" spans="1:7" ht="13.5" customHeight="1">
      <c r="A32" s="453" t="s">
        <v>479</v>
      </c>
      <c r="B32" s="254">
        <v>98297280</v>
      </c>
      <c r="C32" s="254">
        <v>98025380</v>
      </c>
      <c r="D32" s="254">
        <v>73575660</v>
      </c>
      <c r="E32" s="254">
        <f>SUM(B32:D32)</f>
        <v>269898320</v>
      </c>
      <c r="F32" s="254">
        <v>5825405</v>
      </c>
      <c r="G32" s="444">
        <f>F32/E32*1000</f>
        <v>21.58370233649472</v>
      </c>
    </row>
    <row r="33" spans="1:7" ht="13.5" customHeight="1">
      <c r="A33" s="454" t="s">
        <v>480</v>
      </c>
      <c r="B33" s="253">
        <v>49544410</v>
      </c>
      <c r="C33" s="253">
        <v>47173840</v>
      </c>
      <c r="D33" s="253">
        <v>27886770</v>
      </c>
      <c r="E33" s="253">
        <f>SUM(B33:D33)</f>
        <v>124605020</v>
      </c>
      <c r="F33" s="253">
        <v>2544882</v>
      </c>
      <c r="G33" s="442">
        <f>F33/E33*1000</f>
        <v>20.42359128067232</v>
      </c>
    </row>
    <row r="34" spans="1:7" ht="13.5" customHeight="1">
      <c r="A34" s="452" t="s">
        <v>481</v>
      </c>
      <c r="B34" s="455">
        <f>B32+B33</f>
        <v>147841690</v>
      </c>
      <c r="C34" s="455">
        <f>C32+C33</f>
        <v>145199220</v>
      </c>
      <c r="D34" s="455">
        <f>D32+D33</f>
        <v>101462430</v>
      </c>
      <c r="E34" s="455">
        <f>E32+E33</f>
        <v>394503340</v>
      </c>
      <c r="F34" s="455">
        <f>F32+F33</f>
        <v>8370287</v>
      </c>
      <c r="G34" s="444"/>
    </row>
    <row r="35" ht="30" customHeight="1"/>
    <row r="36" ht="12" customHeight="1"/>
    <row r="37" spans="1:7" ht="12" customHeight="1">
      <c r="A37" s="217"/>
      <c r="B37" s="53"/>
      <c r="C37" s="53"/>
      <c r="D37" s="53"/>
      <c r="E37" s="53"/>
      <c r="F37" s="53"/>
      <c r="G37" s="53"/>
    </row>
    <row r="38" spans="1:7" ht="12" customHeight="1">
      <c r="A38" s="217"/>
      <c r="B38" s="53"/>
      <c r="C38" s="53"/>
      <c r="D38" s="53"/>
      <c r="E38" s="53"/>
      <c r="F38" s="53"/>
      <c r="G38" s="53"/>
    </row>
    <row r="41" spans="1:7" ht="12">
      <c r="A41" s="33"/>
      <c r="B41" s="33"/>
      <c r="C41" s="33"/>
      <c r="D41" s="33"/>
      <c r="E41" s="33"/>
      <c r="F41" s="33"/>
      <c r="G41" s="33"/>
    </row>
    <row r="42" ht="15" customHeight="1">
      <c r="A42" s="435" t="s">
        <v>23</v>
      </c>
    </row>
    <row r="43" ht="12" customHeight="1">
      <c r="A43" s="208" t="s">
        <v>24</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sheetPr codeName="Sheet64">
    <pageSetUpPr fitToPage="1"/>
  </sheetPr>
  <dimension ref="A1:F53"/>
  <sheetViews>
    <sheetView showGridLines="0" showZeros="0" workbookViewId="0" topLeftCell="A1">
      <selection activeCell="A1" sqref="A1"/>
    </sheetView>
  </sheetViews>
  <sheetFormatPr defaultColWidth="15.83203125" defaultRowHeight="12"/>
  <cols>
    <col min="1" max="1" width="35.83203125" style="1" customWidth="1"/>
    <col min="2" max="3" width="21.83203125" style="1" customWidth="1"/>
    <col min="4" max="4" width="23.83203125" style="1" customWidth="1"/>
    <col min="5" max="5" width="2.83203125" style="1" customWidth="1"/>
    <col min="6" max="6" width="27.83203125" style="1" customWidth="1"/>
    <col min="7" max="16384" width="15.83203125" style="1" customWidth="1"/>
  </cols>
  <sheetData>
    <row r="1" ht="6.75" customHeight="1">
      <c r="A1" s="5"/>
    </row>
    <row r="2" spans="1:6" ht="15.75" customHeight="1">
      <c r="A2" s="91"/>
      <c r="B2" s="373" t="s">
        <v>448</v>
      </c>
      <c r="C2" s="374"/>
      <c r="D2" s="374"/>
      <c r="E2" s="375"/>
      <c r="F2" s="375"/>
    </row>
    <row r="3" spans="1:6" ht="15.75" customHeight="1">
      <c r="A3" s="93"/>
      <c r="B3" s="432" t="str">
        <f>TAXYEAR</f>
        <v>FOR THE 2003 TAXATION YEAR</v>
      </c>
      <c r="C3" s="377"/>
      <c r="D3" s="377"/>
      <c r="E3" s="378"/>
      <c r="F3" s="378"/>
    </row>
    <row r="4" spans="2:6" ht="15.75" customHeight="1">
      <c r="B4" s="6"/>
      <c r="C4" s="6"/>
      <c r="D4" s="6"/>
      <c r="E4" s="6"/>
      <c r="F4" s="6"/>
    </row>
    <row r="5" spans="2:6" ht="15.75" customHeight="1">
      <c r="B5" s="6"/>
      <c r="C5" s="6"/>
      <c r="D5" s="6"/>
      <c r="E5" s="6"/>
      <c r="F5" s="6"/>
    </row>
    <row r="6" spans="2:6" ht="15.75" customHeight="1">
      <c r="B6" s="6"/>
      <c r="C6" s="6"/>
      <c r="D6" s="6"/>
      <c r="E6" s="6"/>
      <c r="F6" s="6"/>
    </row>
    <row r="7" spans="2:6" ht="15.75" customHeight="1">
      <c r="B7" s="63" t="s">
        <v>172</v>
      </c>
      <c r="C7" s="383"/>
      <c r="D7" s="383"/>
      <c r="E7" s="6"/>
      <c r="F7" s="383" t="s">
        <v>217</v>
      </c>
    </row>
    <row r="8" spans="1:6" ht="15.75" customHeight="1">
      <c r="A8" s="19"/>
      <c r="B8" s="384" t="s">
        <v>244</v>
      </c>
      <c r="C8" s="379"/>
      <c r="D8" s="379"/>
      <c r="E8" s="6"/>
      <c r="F8" s="371" t="s">
        <v>150</v>
      </c>
    </row>
    <row r="9" spans="1:6" ht="15.75" customHeight="1">
      <c r="A9" s="21" t="s">
        <v>175</v>
      </c>
      <c r="B9" s="70" t="s">
        <v>242</v>
      </c>
      <c r="C9" s="69" t="s">
        <v>257</v>
      </c>
      <c r="D9" s="69" t="s">
        <v>144</v>
      </c>
      <c r="E9" s="6"/>
      <c r="F9" s="69" t="s">
        <v>25</v>
      </c>
    </row>
    <row r="10" spans="1:6" ht="4.5" customHeight="1">
      <c r="A10" s="24"/>
      <c r="B10" s="372"/>
      <c r="C10" s="372"/>
      <c r="D10" s="372"/>
      <c r="E10" s="372"/>
      <c r="F10" s="372"/>
    </row>
    <row r="11" spans="1:6" ht="13.5" customHeight="1">
      <c r="A11" s="441" t="s">
        <v>359</v>
      </c>
      <c r="B11" s="253">
        <f>'- 51 -'!G11</f>
        <v>1706399.9304</v>
      </c>
      <c r="C11" s="253">
        <v>4305272</v>
      </c>
      <c r="D11" s="253">
        <f aca="true" t="shared" si="0" ref="D11:D46">SUM(B11,C11)</f>
        <v>6011671.9304</v>
      </c>
      <c r="F11" s="253">
        <v>154722</v>
      </c>
    </row>
    <row r="12" spans="1:6" ht="13.5" customHeight="1">
      <c r="A12" s="443" t="s">
        <v>360</v>
      </c>
      <c r="B12" s="254">
        <f>'- 51 -'!G12</f>
        <v>1911244.3416</v>
      </c>
      <c r="C12" s="254">
        <v>6562776</v>
      </c>
      <c r="D12" s="254">
        <f t="shared" si="0"/>
        <v>8474020.3416</v>
      </c>
      <c r="F12" s="254">
        <v>131521</v>
      </c>
    </row>
    <row r="13" spans="1:6" ht="13.5" customHeight="1">
      <c r="A13" s="441" t="s">
        <v>361</v>
      </c>
      <c r="B13" s="253">
        <f>'- 51 -'!G13</f>
        <v>9765840.684600001</v>
      </c>
      <c r="C13" s="253">
        <v>18339600</v>
      </c>
      <c r="D13" s="253">
        <f t="shared" si="0"/>
        <v>28105440.684600003</v>
      </c>
      <c r="F13" s="253">
        <v>145886</v>
      </c>
    </row>
    <row r="14" spans="1:6" ht="13.5" customHeight="1">
      <c r="A14" s="443" t="s">
        <v>398</v>
      </c>
      <c r="B14" s="254">
        <f>'- 51 -'!G14</f>
        <v>0</v>
      </c>
      <c r="C14" s="254">
        <v>0</v>
      </c>
      <c r="D14" s="254">
        <f t="shared" si="0"/>
        <v>0</v>
      </c>
      <c r="F14" s="254">
        <v>123860</v>
      </c>
    </row>
    <row r="15" spans="1:6" ht="13.5" customHeight="1">
      <c r="A15" s="441" t="s">
        <v>362</v>
      </c>
      <c r="B15" s="253">
        <f>'- 51 -'!G15</f>
        <v>2322282.4614</v>
      </c>
      <c r="C15" s="253">
        <v>5803557</v>
      </c>
      <c r="D15" s="253">
        <f t="shared" si="0"/>
        <v>8125839.4614</v>
      </c>
      <c r="F15" s="253">
        <v>203180</v>
      </c>
    </row>
    <row r="16" spans="1:6" ht="13.5" customHeight="1">
      <c r="A16" s="443" t="s">
        <v>363</v>
      </c>
      <c r="B16" s="254">
        <f>'- 51 -'!G16</f>
        <v>593731.4328000001</v>
      </c>
      <c r="C16" s="254">
        <v>3080475</v>
      </c>
      <c r="D16" s="254">
        <f t="shared" si="0"/>
        <v>3674206.4328</v>
      </c>
      <c r="F16" s="254">
        <v>85990</v>
      </c>
    </row>
    <row r="17" spans="1:6" ht="13.5" customHeight="1">
      <c r="A17" s="441" t="s">
        <v>364</v>
      </c>
      <c r="B17" s="253">
        <f>'- 51 -'!G17</f>
        <v>2135124.5718</v>
      </c>
      <c r="C17" s="253">
        <v>4859741</v>
      </c>
      <c r="D17" s="253">
        <f t="shared" si="0"/>
        <v>6994865.5718</v>
      </c>
      <c r="F17" s="253">
        <v>171544</v>
      </c>
    </row>
    <row r="18" spans="1:6" ht="13.5" customHeight="1">
      <c r="A18" s="443" t="s">
        <v>365</v>
      </c>
      <c r="B18" s="254">
        <f>'- 51 -'!G18</f>
        <v>1107038.1894</v>
      </c>
      <c r="C18" s="254">
        <v>2952799</v>
      </c>
      <c r="D18" s="254">
        <f t="shared" si="0"/>
        <v>4059837.1894</v>
      </c>
      <c r="F18" s="254">
        <v>35415</v>
      </c>
    </row>
    <row r="19" spans="1:6" ht="13.5" customHeight="1">
      <c r="A19" s="441" t="s">
        <v>366</v>
      </c>
      <c r="B19" s="253">
        <f>'- 51 -'!G19</f>
        <v>2167157.3418</v>
      </c>
      <c r="C19" s="253">
        <v>5666000</v>
      </c>
      <c r="D19" s="253">
        <f t="shared" si="0"/>
        <v>7833157.3418000005</v>
      </c>
      <c r="F19" s="253">
        <v>106578</v>
      </c>
    </row>
    <row r="20" spans="1:6" ht="13.5" customHeight="1">
      <c r="A20" s="443" t="s">
        <v>367</v>
      </c>
      <c r="B20" s="254">
        <f>'- 51 -'!G20</f>
        <v>4103889.4182</v>
      </c>
      <c r="C20" s="254">
        <v>9917103</v>
      </c>
      <c r="D20" s="254">
        <f t="shared" si="0"/>
        <v>14020992.418200001</v>
      </c>
      <c r="F20" s="254">
        <v>94796</v>
      </c>
    </row>
    <row r="21" spans="1:6" ht="13.5" customHeight="1">
      <c r="A21" s="441" t="s">
        <v>368</v>
      </c>
      <c r="B21" s="253">
        <f>'- 51 -'!G21</f>
        <v>2812046.6814</v>
      </c>
      <c r="C21" s="253">
        <v>8615000</v>
      </c>
      <c r="D21" s="253">
        <f t="shared" si="0"/>
        <v>11427046.681400001</v>
      </c>
      <c r="F21" s="253">
        <v>124230</v>
      </c>
    </row>
    <row r="22" spans="1:6" ht="13.5" customHeight="1">
      <c r="A22" s="443" t="s">
        <v>369</v>
      </c>
      <c r="B22" s="254">
        <f>'- 51 -'!G22</f>
        <v>1370047.1268000002</v>
      </c>
      <c r="C22" s="254">
        <v>3257427</v>
      </c>
      <c r="D22" s="254">
        <f t="shared" si="0"/>
        <v>4627474.126800001</v>
      </c>
      <c r="F22" s="254">
        <v>87565</v>
      </c>
    </row>
    <row r="23" spans="1:6" ht="13.5" customHeight="1">
      <c r="A23" s="441" t="s">
        <v>370</v>
      </c>
      <c r="B23" s="253">
        <f>'- 51 -'!G23</f>
        <v>651187.2048</v>
      </c>
      <c r="C23" s="253">
        <v>2840917</v>
      </c>
      <c r="D23" s="253">
        <f t="shared" si="0"/>
        <v>3492104.2048</v>
      </c>
      <c r="F23" s="253">
        <v>97987</v>
      </c>
    </row>
    <row r="24" spans="1:6" ht="13.5" customHeight="1">
      <c r="A24" s="443" t="s">
        <v>371</v>
      </c>
      <c r="B24" s="254">
        <f>'- 51 -'!G24</f>
        <v>4481864.6664</v>
      </c>
      <c r="C24" s="254">
        <v>13309051</v>
      </c>
      <c r="D24" s="254">
        <f t="shared" si="0"/>
        <v>17790915.6664</v>
      </c>
      <c r="F24" s="254">
        <v>144885</v>
      </c>
    </row>
    <row r="25" spans="1:6" ht="13.5" customHeight="1">
      <c r="A25" s="441" t="s">
        <v>372</v>
      </c>
      <c r="B25" s="253">
        <f>'- 51 -'!G25</f>
        <v>16787154.027732</v>
      </c>
      <c r="C25" s="253">
        <v>50508020</v>
      </c>
      <c r="D25" s="253">
        <f t="shared" si="0"/>
        <v>67295174.027732</v>
      </c>
      <c r="F25" s="253">
        <v>126905</v>
      </c>
    </row>
    <row r="26" spans="1:6" ht="13.5" customHeight="1">
      <c r="A26" s="443" t="s">
        <v>373</v>
      </c>
      <c r="B26" s="254">
        <f>'- 51 -'!G26</f>
        <v>2206960.3908</v>
      </c>
      <c r="C26" s="254">
        <v>8561909</v>
      </c>
      <c r="D26" s="254">
        <f t="shared" si="0"/>
        <v>10768869.3908</v>
      </c>
      <c r="F26" s="254">
        <v>123204</v>
      </c>
    </row>
    <row r="27" spans="1:6" ht="13.5" customHeight="1">
      <c r="A27" s="441" t="s">
        <v>374</v>
      </c>
      <c r="B27" s="253">
        <f>'- 51 -'!G27</f>
        <v>1609623.9786</v>
      </c>
      <c r="C27" s="253">
        <v>6287110</v>
      </c>
      <c r="D27" s="253">
        <f t="shared" si="0"/>
        <v>7896733.9786</v>
      </c>
      <c r="F27" s="253">
        <v>70736</v>
      </c>
    </row>
    <row r="28" spans="1:6" ht="13.5" customHeight="1">
      <c r="A28" s="443" t="s">
        <v>375</v>
      </c>
      <c r="B28" s="254">
        <f>'- 51 -'!G28</f>
        <v>2105397.6636</v>
      </c>
      <c r="C28" s="254">
        <v>6292034</v>
      </c>
      <c r="D28" s="254">
        <f t="shared" si="0"/>
        <v>8397431.6636</v>
      </c>
      <c r="F28" s="254">
        <v>150715</v>
      </c>
    </row>
    <row r="29" spans="1:6" ht="13.5" customHeight="1">
      <c r="A29" s="441" t="s">
        <v>376</v>
      </c>
      <c r="B29" s="253">
        <f>'- 51 -'!G29</f>
        <v>17725529.358570002</v>
      </c>
      <c r="C29" s="253">
        <v>53915276</v>
      </c>
      <c r="D29" s="253">
        <f t="shared" si="0"/>
        <v>71640805.35857001</v>
      </c>
      <c r="F29" s="253">
        <v>166899</v>
      </c>
    </row>
    <row r="30" spans="1:6" ht="13.5" customHeight="1">
      <c r="A30" s="443" t="s">
        <v>377</v>
      </c>
      <c r="B30" s="254">
        <f>'- 51 -'!G30</f>
        <v>1019987.0406000001</v>
      </c>
      <c r="C30" s="254">
        <v>3589867</v>
      </c>
      <c r="D30" s="254">
        <f t="shared" si="0"/>
        <v>4609854.0406</v>
      </c>
      <c r="F30" s="254">
        <v>129012</v>
      </c>
    </row>
    <row r="31" spans="1:6" ht="13.5" customHeight="1">
      <c r="A31" s="441" t="s">
        <v>378</v>
      </c>
      <c r="B31" s="253">
        <f>'- 51 -'!G31</f>
        <v>3677202.2232</v>
      </c>
      <c r="C31" s="253">
        <v>8718259</v>
      </c>
      <c r="D31" s="253">
        <f t="shared" si="0"/>
        <v>12395461.2232</v>
      </c>
      <c r="F31" s="253">
        <v>142336</v>
      </c>
    </row>
    <row r="32" spans="1:6" ht="13.5" customHeight="1">
      <c r="A32" s="443" t="s">
        <v>379</v>
      </c>
      <c r="B32" s="254">
        <f>'- 51 -'!G32</f>
        <v>1921076.7114000001</v>
      </c>
      <c r="C32" s="254">
        <v>7708215</v>
      </c>
      <c r="D32" s="254">
        <f t="shared" si="0"/>
        <v>9629291.7114</v>
      </c>
      <c r="F32" s="254">
        <v>159730</v>
      </c>
    </row>
    <row r="33" spans="1:6" ht="13.5" customHeight="1">
      <c r="A33" s="441" t="s">
        <v>380</v>
      </c>
      <c r="B33" s="253">
        <f>'- 51 -'!G33</f>
        <v>1698766.5882</v>
      </c>
      <c r="C33" s="253">
        <v>8332877</v>
      </c>
      <c r="D33" s="253">
        <f t="shared" si="0"/>
        <v>10031643.5882</v>
      </c>
      <c r="F33" s="253">
        <v>134616</v>
      </c>
    </row>
    <row r="34" spans="1:6" ht="13.5" customHeight="1">
      <c r="A34" s="443" t="s">
        <v>381</v>
      </c>
      <c r="B34" s="254">
        <f>'- 51 -'!G34</f>
        <v>2454734.2182</v>
      </c>
      <c r="C34" s="254">
        <v>8370287.047575012</v>
      </c>
      <c r="D34" s="254">
        <f t="shared" si="0"/>
        <v>10825021.265775012</v>
      </c>
      <c r="F34" s="254">
        <v>155273</v>
      </c>
    </row>
    <row r="35" spans="1:6" ht="13.5" customHeight="1">
      <c r="A35" s="441" t="s">
        <v>382</v>
      </c>
      <c r="B35" s="253">
        <f>'- 51 -'!G35</f>
        <v>15666519.236775</v>
      </c>
      <c r="C35" s="253">
        <v>48434908</v>
      </c>
      <c r="D35" s="253">
        <f t="shared" si="0"/>
        <v>64101427.236774996</v>
      </c>
      <c r="F35" s="253">
        <v>115958</v>
      </c>
    </row>
    <row r="36" spans="1:6" ht="13.5" customHeight="1">
      <c r="A36" s="443" t="s">
        <v>383</v>
      </c>
      <c r="B36" s="254">
        <f>'- 51 -'!G36</f>
        <v>2090087.0364</v>
      </c>
      <c r="C36" s="254">
        <v>6132705</v>
      </c>
      <c r="D36" s="254">
        <f t="shared" si="0"/>
        <v>8222792.0364</v>
      </c>
      <c r="F36" s="254">
        <v>145832</v>
      </c>
    </row>
    <row r="37" spans="1:6" ht="13.5" customHeight="1">
      <c r="A37" s="441" t="s">
        <v>384</v>
      </c>
      <c r="B37" s="253">
        <f>'- 51 -'!G37</f>
        <v>3054331.0974000003</v>
      </c>
      <c r="C37" s="253">
        <v>10984996</v>
      </c>
      <c r="D37" s="253">
        <f t="shared" si="0"/>
        <v>14039327.0974</v>
      </c>
      <c r="F37" s="253">
        <v>94836</v>
      </c>
    </row>
    <row r="38" spans="1:6" ht="13.5" customHeight="1">
      <c r="A38" s="443" t="s">
        <v>385</v>
      </c>
      <c r="B38" s="254">
        <f>'- 51 -'!G38</f>
        <v>6418448.9358</v>
      </c>
      <c r="C38" s="254">
        <v>25576531</v>
      </c>
      <c r="D38" s="254">
        <f t="shared" si="0"/>
        <v>31994979.9358</v>
      </c>
      <c r="F38" s="254">
        <v>107188</v>
      </c>
    </row>
    <row r="39" spans="1:6" ht="13.5" customHeight="1">
      <c r="A39" s="441" t="s">
        <v>386</v>
      </c>
      <c r="B39" s="253">
        <f>'- 51 -'!G39</f>
        <v>1734096.9162</v>
      </c>
      <c r="C39" s="253">
        <v>6413633</v>
      </c>
      <c r="D39" s="253">
        <f t="shared" si="0"/>
        <v>8147729.9162</v>
      </c>
      <c r="F39" s="253">
        <v>171816</v>
      </c>
    </row>
    <row r="40" spans="1:6" ht="13.5" customHeight="1">
      <c r="A40" s="443" t="s">
        <v>387</v>
      </c>
      <c r="B40" s="254">
        <f>'- 51 -'!G40</f>
        <v>15578311.3134</v>
      </c>
      <c r="C40" s="254">
        <v>31019277</v>
      </c>
      <c r="D40" s="254">
        <f t="shared" si="0"/>
        <v>46597588.3134</v>
      </c>
      <c r="F40" s="254">
        <v>176033</v>
      </c>
    </row>
    <row r="41" spans="1:6" ht="13.5" customHeight="1">
      <c r="A41" s="441" t="s">
        <v>388</v>
      </c>
      <c r="B41" s="253">
        <f>'- 51 -'!G41</f>
        <v>4934702.454</v>
      </c>
      <c r="C41" s="253">
        <v>16261452</v>
      </c>
      <c r="D41" s="253">
        <f t="shared" si="0"/>
        <v>21196154.454</v>
      </c>
      <c r="F41" s="253">
        <v>140597</v>
      </c>
    </row>
    <row r="42" spans="1:6" ht="13.5" customHeight="1">
      <c r="A42" s="443" t="s">
        <v>389</v>
      </c>
      <c r="B42" s="254">
        <f>'- 51 -'!G42</f>
        <v>1306141.386</v>
      </c>
      <c r="C42" s="254">
        <v>4765704</v>
      </c>
      <c r="D42" s="254">
        <f t="shared" si="0"/>
        <v>6071845.386</v>
      </c>
      <c r="F42" s="254">
        <v>115261</v>
      </c>
    </row>
    <row r="43" spans="1:6" ht="13.5" customHeight="1">
      <c r="A43" s="441" t="s">
        <v>390</v>
      </c>
      <c r="B43" s="253">
        <f>'- 51 -'!G43</f>
        <v>916287.7614</v>
      </c>
      <c r="C43" s="253">
        <v>3702314</v>
      </c>
      <c r="D43" s="253">
        <f t="shared" si="0"/>
        <v>4618601.7614</v>
      </c>
      <c r="F43" s="253">
        <v>147718</v>
      </c>
    </row>
    <row r="44" spans="1:6" ht="13.5" customHeight="1">
      <c r="A44" s="443" t="s">
        <v>391</v>
      </c>
      <c r="B44" s="254">
        <f>'- 51 -'!G44</f>
        <v>365152.3854</v>
      </c>
      <c r="C44" s="254">
        <v>2095642</v>
      </c>
      <c r="D44" s="254">
        <f t="shared" si="0"/>
        <v>2460794.3854</v>
      </c>
      <c r="F44" s="254">
        <v>103134</v>
      </c>
    </row>
    <row r="45" spans="1:6" ht="13.5" customHeight="1">
      <c r="A45" s="441" t="s">
        <v>392</v>
      </c>
      <c r="B45" s="253">
        <f>'- 51 -'!G45</f>
        <v>1247874.8964</v>
      </c>
      <c r="C45" s="253">
        <v>3633747</v>
      </c>
      <c r="D45" s="253">
        <f t="shared" si="0"/>
        <v>4881621.8964</v>
      </c>
      <c r="F45" s="253">
        <v>116390</v>
      </c>
    </row>
    <row r="46" spans="1:6" ht="13.5" customHeight="1">
      <c r="A46" s="443" t="s">
        <v>393</v>
      </c>
      <c r="B46" s="254">
        <f>'- 51 -'!G46</f>
        <v>43180524.6444</v>
      </c>
      <c r="C46" s="254">
        <v>112948434</v>
      </c>
      <c r="D46" s="254">
        <f t="shared" si="0"/>
        <v>156128958.6444</v>
      </c>
      <c r="F46" s="254">
        <v>132276</v>
      </c>
    </row>
    <row r="47" spans="1:6" ht="13.5" customHeight="1">
      <c r="A47" s="441" t="s">
        <v>397</v>
      </c>
      <c r="B47" s="253"/>
      <c r="C47" s="253"/>
      <c r="D47" s="253"/>
      <c r="F47" s="253"/>
    </row>
    <row r="48" spans="1:6" ht="4.5" customHeight="1">
      <c r="A48" s="208"/>
      <c r="B48" s="255"/>
      <c r="C48" s="255"/>
      <c r="D48" s="255"/>
      <c r="F48" s="255"/>
    </row>
    <row r="49" spans="1:6" ht="13.5" customHeight="1">
      <c r="A49" s="31" t="s">
        <v>394</v>
      </c>
      <c r="B49" s="256">
        <f>SUM(B11:B47)</f>
        <v>182826764.31587702</v>
      </c>
      <c r="C49" s="256">
        <f>SUM(C11:C47)</f>
        <v>523762915.047575</v>
      </c>
      <c r="D49" s="256">
        <f>SUM(D11:D47)</f>
        <v>706589679.3634521</v>
      </c>
      <c r="F49" s="256">
        <v>130305</v>
      </c>
    </row>
    <row r="50" spans="1:6" ht="69.75" customHeight="1">
      <c r="A50" s="459" t="s">
        <v>78</v>
      </c>
      <c r="B50" s="33"/>
      <c r="C50" s="33"/>
      <c r="D50" s="33"/>
      <c r="E50" s="33"/>
      <c r="F50" s="33"/>
    </row>
    <row r="51" ht="15" customHeight="1">
      <c r="A51" s="163" t="s">
        <v>568</v>
      </c>
    </row>
    <row r="52" ht="12" customHeight="1">
      <c r="A52" s="34" t="s">
        <v>569</v>
      </c>
    </row>
    <row r="53" ht="12" customHeight="1">
      <c r="A53" s="208" t="s">
        <v>570</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8.xml><?xml version="1.0" encoding="utf-8"?>
<worksheet xmlns="http://schemas.openxmlformats.org/spreadsheetml/2006/main" xmlns:r="http://schemas.openxmlformats.org/officeDocument/2006/relationships">
  <sheetPr codeName="Sheet45">
    <pageSetUpPr fitToPage="1"/>
  </sheetPr>
  <dimension ref="A1:F55"/>
  <sheetViews>
    <sheetView showGridLines="0" showZeros="0" workbookViewId="0" topLeftCell="A1">
      <selection activeCell="A1" sqref="A1"/>
    </sheetView>
  </sheetViews>
  <sheetFormatPr defaultColWidth="19.83203125" defaultRowHeight="12"/>
  <cols>
    <col min="1" max="1" width="32.83203125" style="1" customWidth="1"/>
    <col min="2" max="2" width="22.83203125" style="1" customWidth="1"/>
    <col min="3" max="3" width="18.83203125" style="1" customWidth="1"/>
    <col min="4" max="5" width="19.83203125" style="1" customWidth="1"/>
    <col min="6" max="16384" width="19.83203125" style="1" customWidth="1"/>
  </cols>
  <sheetData>
    <row r="1" spans="1:6" ht="6.75" customHeight="1">
      <c r="A1" s="5"/>
      <c r="B1" s="5"/>
      <c r="C1" s="5"/>
      <c r="D1" s="5"/>
      <c r="E1" s="5"/>
      <c r="F1" s="5"/>
    </row>
    <row r="2" spans="1:6" ht="15.75" customHeight="1">
      <c r="A2" s="506"/>
      <c r="B2" s="523" t="str">
        <f>REVYEAR</f>
        <v>ANALYSIS OF OPERATING FUND REVENUE: 2003/2004 ACTUAL</v>
      </c>
      <c r="C2" s="524"/>
      <c r="D2" s="520"/>
      <c r="E2" s="520"/>
      <c r="F2" s="382" t="s">
        <v>310</v>
      </c>
    </row>
    <row r="3" spans="1:6" ht="15.75" customHeight="1">
      <c r="A3" s="367"/>
      <c r="B3" s="5"/>
      <c r="C3" s="5"/>
      <c r="D3" s="5"/>
      <c r="E3" s="5"/>
      <c r="F3" s="5"/>
    </row>
    <row r="4" spans="2:6" ht="15.75" customHeight="1">
      <c r="B4" s="509" t="s">
        <v>445</v>
      </c>
      <c r="C4" s="511"/>
      <c r="D4" s="511"/>
      <c r="E4" s="511"/>
      <c r="F4" s="512"/>
    </row>
    <row r="5" spans="2:6" ht="15.75" customHeight="1">
      <c r="B5" s="513" t="s">
        <v>351</v>
      </c>
      <c r="C5" s="515"/>
      <c r="D5" s="526"/>
      <c r="E5" s="526"/>
      <c r="F5" s="528"/>
    </row>
    <row r="6" spans="2:6" ht="15.75" customHeight="1">
      <c r="B6" s="170" t="s">
        <v>194</v>
      </c>
      <c r="C6" s="56"/>
      <c r="D6" s="56"/>
      <c r="E6" s="377"/>
      <c r="F6" s="529"/>
    </row>
    <row r="7" spans="2:6" ht="15.75" customHeight="1">
      <c r="B7" s="393"/>
      <c r="C7" s="47"/>
      <c r="D7" s="47"/>
      <c r="E7" s="47"/>
      <c r="F7" s="47"/>
    </row>
    <row r="8" spans="1:6" ht="15.75" customHeight="1">
      <c r="A8" s="96"/>
      <c r="B8" s="519" t="s">
        <v>347</v>
      </c>
      <c r="C8" s="397" t="s">
        <v>357</v>
      </c>
      <c r="D8" s="397" t="s">
        <v>305</v>
      </c>
      <c r="E8" s="397" t="s">
        <v>306</v>
      </c>
      <c r="F8" s="397" t="s">
        <v>219</v>
      </c>
    </row>
    <row r="9" spans="1:6" ht="15.75" customHeight="1">
      <c r="A9" s="49" t="s">
        <v>175</v>
      </c>
      <c r="B9" s="68" t="s">
        <v>26</v>
      </c>
      <c r="C9" s="123" t="s">
        <v>27</v>
      </c>
      <c r="D9" s="123" t="s">
        <v>264</v>
      </c>
      <c r="E9" s="123" t="s">
        <v>104</v>
      </c>
      <c r="F9" s="123" t="s">
        <v>247</v>
      </c>
    </row>
    <row r="10" spans="1:6" ht="4.5" customHeight="1">
      <c r="A10" s="4"/>
      <c r="D10" s="5"/>
      <c r="E10" s="5"/>
      <c r="F10" s="5"/>
    </row>
    <row r="11" spans="1:6" ht="13.5" customHeight="1">
      <c r="A11" s="25" t="s">
        <v>359</v>
      </c>
      <c r="B11" s="253">
        <v>2889023</v>
      </c>
      <c r="C11" s="253">
        <v>183828</v>
      </c>
      <c r="D11" s="253">
        <v>72285</v>
      </c>
      <c r="E11" s="253">
        <v>64740</v>
      </c>
      <c r="F11" s="253">
        <v>145665</v>
      </c>
    </row>
    <row r="12" spans="1:6" ht="13.5" customHeight="1">
      <c r="A12" s="27" t="s">
        <v>360</v>
      </c>
      <c r="B12" s="254">
        <v>4136685</v>
      </c>
      <c r="C12" s="254">
        <v>454452</v>
      </c>
      <c r="D12" s="254">
        <v>115750</v>
      </c>
      <c r="E12" s="254">
        <v>92600</v>
      </c>
      <c r="F12" s="254">
        <v>208350</v>
      </c>
    </row>
    <row r="13" spans="1:6" ht="13.5" customHeight="1">
      <c r="A13" s="25" t="s">
        <v>361</v>
      </c>
      <c r="B13" s="253">
        <v>12812195</v>
      </c>
      <c r="C13" s="253">
        <v>100073</v>
      </c>
      <c r="D13" s="253">
        <v>358885</v>
      </c>
      <c r="E13" s="253">
        <v>287108</v>
      </c>
      <c r="F13" s="253">
        <v>645993</v>
      </c>
    </row>
    <row r="14" spans="1:6" ht="13.5" customHeight="1">
      <c r="A14" s="27" t="s">
        <v>398</v>
      </c>
      <c r="B14" s="254">
        <v>7625877</v>
      </c>
      <c r="C14" s="254">
        <v>761165</v>
      </c>
      <c r="D14" s="254">
        <v>213610</v>
      </c>
      <c r="E14" s="254">
        <v>170888</v>
      </c>
      <c r="F14" s="254">
        <v>384498</v>
      </c>
    </row>
    <row r="15" spans="1:6" ht="13.5" customHeight="1">
      <c r="A15" s="25" t="s">
        <v>362</v>
      </c>
      <c r="B15" s="253">
        <v>2942394</v>
      </c>
      <c r="C15" s="253">
        <v>233085</v>
      </c>
      <c r="D15" s="253">
        <v>82420</v>
      </c>
      <c r="E15" s="253">
        <v>65936</v>
      </c>
      <c r="F15" s="253">
        <v>148356</v>
      </c>
    </row>
    <row r="16" spans="1:6" ht="13.5" customHeight="1">
      <c r="A16" s="27" t="s">
        <v>363</v>
      </c>
      <c r="B16" s="254">
        <v>2231429</v>
      </c>
      <c r="C16" s="254">
        <v>0</v>
      </c>
      <c r="D16" s="254">
        <v>62505</v>
      </c>
      <c r="E16" s="254">
        <v>50004</v>
      </c>
      <c r="F16" s="254">
        <v>112509</v>
      </c>
    </row>
    <row r="17" spans="1:6" ht="13.5" customHeight="1">
      <c r="A17" s="25" t="s">
        <v>364</v>
      </c>
      <c r="B17" s="253">
        <v>2651439</v>
      </c>
      <c r="C17" s="253">
        <v>317008</v>
      </c>
      <c r="D17" s="253">
        <v>74270</v>
      </c>
      <c r="E17" s="253">
        <v>59416</v>
      </c>
      <c r="F17" s="253">
        <v>133686</v>
      </c>
    </row>
    <row r="18" spans="1:6" ht="13.5" customHeight="1">
      <c r="A18" s="27" t="s">
        <v>365</v>
      </c>
      <c r="B18" s="254">
        <v>5819100</v>
      </c>
      <c r="C18" s="254">
        <v>1329007</v>
      </c>
      <c r="D18" s="254">
        <v>163000</v>
      </c>
      <c r="E18" s="254">
        <v>130400</v>
      </c>
      <c r="F18" s="254">
        <v>293400</v>
      </c>
    </row>
    <row r="19" spans="1:6" ht="13.5" customHeight="1">
      <c r="A19" s="25" t="s">
        <v>366</v>
      </c>
      <c r="B19" s="253">
        <v>5225052</v>
      </c>
      <c r="C19" s="253">
        <v>267951</v>
      </c>
      <c r="D19" s="253">
        <v>146360</v>
      </c>
      <c r="E19" s="253">
        <v>117088</v>
      </c>
      <c r="F19" s="253">
        <v>263448</v>
      </c>
    </row>
    <row r="20" spans="1:6" ht="13.5" customHeight="1">
      <c r="A20" s="27" t="s">
        <v>367</v>
      </c>
      <c r="B20" s="254">
        <v>10922818</v>
      </c>
      <c r="C20" s="254">
        <v>234958</v>
      </c>
      <c r="D20" s="254">
        <v>305730</v>
      </c>
      <c r="E20" s="254">
        <v>244584</v>
      </c>
      <c r="F20" s="254">
        <v>496015</v>
      </c>
    </row>
    <row r="21" spans="1:6" ht="13.5" customHeight="1">
      <c r="A21" s="25" t="s">
        <v>368</v>
      </c>
      <c r="B21" s="253">
        <v>5906744</v>
      </c>
      <c r="C21" s="253">
        <v>471919</v>
      </c>
      <c r="D21" s="253">
        <v>165455</v>
      </c>
      <c r="E21" s="253">
        <v>132364</v>
      </c>
      <c r="F21" s="253">
        <v>297819</v>
      </c>
    </row>
    <row r="22" spans="1:6" ht="13.5" customHeight="1">
      <c r="A22" s="27" t="s">
        <v>369</v>
      </c>
      <c r="B22" s="254">
        <v>2951855</v>
      </c>
      <c r="C22" s="254">
        <v>0</v>
      </c>
      <c r="D22" s="254">
        <v>82685</v>
      </c>
      <c r="E22" s="254">
        <v>66148</v>
      </c>
      <c r="F22" s="254">
        <v>148833</v>
      </c>
    </row>
    <row r="23" spans="1:6" ht="13.5" customHeight="1">
      <c r="A23" s="25" t="s">
        <v>370</v>
      </c>
      <c r="B23" s="253">
        <v>2447414</v>
      </c>
      <c r="C23" s="253">
        <v>443609</v>
      </c>
      <c r="D23" s="253">
        <v>68555</v>
      </c>
      <c r="E23" s="253">
        <v>54844</v>
      </c>
      <c r="F23" s="253">
        <v>123399</v>
      </c>
    </row>
    <row r="24" spans="1:6" ht="13.5" customHeight="1">
      <c r="A24" s="27" t="s">
        <v>371</v>
      </c>
      <c r="B24" s="254">
        <v>8160842</v>
      </c>
      <c r="C24" s="254">
        <v>383521</v>
      </c>
      <c r="D24" s="254">
        <v>228595</v>
      </c>
      <c r="E24" s="254">
        <v>182876</v>
      </c>
      <c r="F24" s="254">
        <v>411471</v>
      </c>
    </row>
    <row r="25" spans="1:6" ht="13.5" customHeight="1">
      <c r="A25" s="25" t="s">
        <v>372</v>
      </c>
      <c r="B25" s="253">
        <v>26655405</v>
      </c>
      <c r="C25" s="253">
        <v>0</v>
      </c>
      <c r="D25" s="253">
        <v>697875</v>
      </c>
      <c r="E25" s="253">
        <v>597320</v>
      </c>
      <c r="F25" s="253">
        <v>1343970</v>
      </c>
    </row>
    <row r="26" spans="1:6" ht="13.5" customHeight="1">
      <c r="A26" s="27" t="s">
        <v>373</v>
      </c>
      <c r="B26" s="254">
        <v>5717534</v>
      </c>
      <c r="C26" s="254">
        <v>582093</v>
      </c>
      <c r="D26" s="254">
        <v>160155</v>
      </c>
      <c r="E26" s="254">
        <v>128124</v>
      </c>
      <c r="F26" s="254">
        <v>288279</v>
      </c>
    </row>
    <row r="27" spans="1:6" ht="13.5" customHeight="1">
      <c r="A27" s="25" t="s">
        <v>374</v>
      </c>
      <c r="B27" s="253">
        <v>5830703</v>
      </c>
      <c r="C27" s="253">
        <v>0</v>
      </c>
      <c r="D27" s="253">
        <v>163325</v>
      </c>
      <c r="E27" s="253">
        <v>130660</v>
      </c>
      <c r="F27" s="253">
        <v>293985</v>
      </c>
    </row>
    <row r="28" spans="1:6" ht="13.5" customHeight="1">
      <c r="A28" s="27" t="s">
        <v>375</v>
      </c>
      <c r="B28" s="254">
        <v>3552507</v>
      </c>
      <c r="C28" s="254">
        <v>582746</v>
      </c>
      <c r="D28" s="254">
        <v>99510</v>
      </c>
      <c r="E28" s="254">
        <v>79608</v>
      </c>
      <c r="F28" s="254">
        <v>179118</v>
      </c>
    </row>
    <row r="29" spans="1:6" ht="13.5" customHeight="1">
      <c r="A29" s="25" t="s">
        <v>376</v>
      </c>
      <c r="B29" s="253">
        <v>24331514</v>
      </c>
      <c r="C29" s="253">
        <v>0</v>
      </c>
      <c r="D29" s="253">
        <v>681555</v>
      </c>
      <c r="E29" s="253">
        <v>545244</v>
      </c>
      <c r="F29" s="253">
        <v>1226799</v>
      </c>
    </row>
    <row r="30" spans="1:6" ht="13.5" customHeight="1">
      <c r="A30" s="27" t="s">
        <v>377</v>
      </c>
      <c r="B30" s="254">
        <v>2289263</v>
      </c>
      <c r="C30" s="254">
        <v>332025</v>
      </c>
      <c r="D30" s="254">
        <v>59883</v>
      </c>
      <c r="E30" s="254">
        <v>51300</v>
      </c>
      <c r="F30" s="254">
        <v>115425</v>
      </c>
    </row>
    <row r="31" spans="1:6" ht="13.5" customHeight="1">
      <c r="A31" s="25" t="s">
        <v>378</v>
      </c>
      <c r="B31" s="253">
        <v>5888537</v>
      </c>
      <c r="C31" s="253">
        <v>221323</v>
      </c>
      <c r="D31" s="253">
        <v>156560</v>
      </c>
      <c r="E31" s="253">
        <v>131956</v>
      </c>
      <c r="F31" s="253">
        <v>296901</v>
      </c>
    </row>
    <row r="32" spans="1:6" ht="13.5" customHeight="1">
      <c r="A32" s="27" t="s">
        <v>379</v>
      </c>
      <c r="B32" s="254">
        <v>4187967</v>
      </c>
      <c r="C32" s="254">
        <v>678458</v>
      </c>
      <c r="D32" s="254">
        <v>117310</v>
      </c>
      <c r="E32" s="254">
        <v>93848</v>
      </c>
      <c r="F32" s="254">
        <v>211158</v>
      </c>
    </row>
    <row r="33" spans="1:6" ht="13.5" customHeight="1">
      <c r="A33" s="25" t="s">
        <v>380</v>
      </c>
      <c r="B33" s="253">
        <v>4450362</v>
      </c>
      <c r="C33" s="253">
        <v>909348</v>
      </c>
      <c r="D33" s="253">
        <v>124660</v>
      </c>
      <c r="E33" s="253">
        <v>99728</v>
      </c>
      <c r="F33" s="253">
        <v>224388</v>
      </c>
    </row>
    <row r="34" spans="1:6" ht="13.5" customHeight="1">
      <c r="A34" s="27" t="s">
        <v>381</v>
      </c>
      <c r="B34" s="254">
        <v>3925394</v>
      </c>
      <c r="C34" s="254">
        <v>584036</v>
      </c>
      <c r="D34" s="254">
        <v>109955</v>
      </c>
      <c r="E34" s="254">
        <v>87964</v>
      </c>
      <c r="F34" s="254">
        <v>197919</v>
      </c>
    </row>
    <row r="35" spans="1:6" ht="13.5" customHeight="1">
      <c r="A35" s="25" t="s">
        <v>382</v>
      </c>
      <c r="B35" s="253">
        <v>31613421</v>
      </c>
      <c r="C35" s="253">
        <v>0</v>
      </c>
      <c r="D35" s="253">
        <v>870198</v>
      </c>
      <c r="E35" s="253">
        <v>708424</v>
      </c>
      <c r="F35" s="253">
        <v>1593954</v>
      </c>
    </row>
    <row r="36" spans="1:6" ht="13.5" customHeight="1">
      <c r="A36" s="27" t="s">
        <v>383</v>
      </c>
      <c r="B36" s="254">
        <v>3611948</v>
      </c>
      <c r="C36" s="254">
        <v>412605</v>
      </c>
      <c r="D36" s="254">
        <v>101175</v>
      </c>
      <c r="E36" s="254">
        <v>80940</v>
      </c>
      <c r="F36" s="254">
        <v>182115</v>
      </c>
    </row>
    <row r="37" spans="1:6" ht="13.5" customHeight="1">
      <c r="A37" s="25" t="s">
        <v>384</v>
      </c>
      <c r="B37" s="253">
        <v>6034014</v>
      </c>
      <c r="C37" s="253">
        <v>531788</v>
      </c>
      <c r="D37" s="253">
        <v>168981</v>
      </c>
      <c r="E37" s="253">
        <v>135216</v>
      </c>
      <c r="F37" s="253">
        <v>304236</v>
      </c>
    </row>
    <row r="38" spans="1:6" ht="13.5" customHeight="1">
      <c r="A38" s="27" t="s">
        <v>385</v>
      </c>
      <c r="B38" s="254">
        <v>15177320</v>
      </c>
      <c r="C38" s="254">
        <v>0</v>
      </c>
      <c r="D38" s="254">
        <v>425135</v>
      </c>
      <c r="E38" s="254">
        <v>340108</v>
      </c>
      <c r="F38" s="254">
        <v>765243</v>
      </c>
    </row>
    <row r="39" spans="1:6" ht="13.5" customHeight="1">
      <c r="A39" s="25" t="s">
        <v>386</v>
      </c>
      <c r="B39" s="253">
        <v>3235670</v>
      </c>
      <c r="C39" s="253">
        <v>549611</v>
      </c>
      <c r="D39" s="253">
        <v>90635</v>
      </c>
      <c r="E39" s="253">
        <v>72508</v>
      </c>
      <c r="F39" s="253">
        <v>163143</v>
      </c>
    </row>
    <row r="40" spans="1:6" ht="13.5" customHeight="1">
      <c r="A40" s="27" t="s">
        <v>387</v>
      </c>
      <c r="B40" s="254">
        <v>16252604</v>
      </c>
      <c r="C40" s="254">
        <v>0</v>
      </c>
      <c r="D40" s="254">
        <v>455255</v>
      </c>
      <c r="E40" s="254">
        <v>364204</v>
      </c>
      <c r="F40" s="254">
        <v>819459</v>
      </c>
    </row>
    <row r="41" spans="1:6" ht="13.5" customHeight="1">
      <c r="A41" s="25" t="s">
        <v>388</v>
      </c>
      <c r="B41" s="253">
        <v>8681526</v>
      </c>
      <c r="C41" s="253">
        <v>476891</v>
      </c>
      <c r="D41" s="253">
        <v>243180</v>
      </c>
      <c r="E41" s="253">
        <v>194544</v>
      </c>
      <c r="F41" s="253">
        <v>437724</v>
      </c>
    </row>
    <row r="42" spans="1:6" ht="13.5" customHeight="1">
      <c r="A42" s="27" t="s">
        <v>389</v>
      </c>
      <c r="B42" s="254">
        <v>3220140</v>
      </c>
      <c r="C42" s="254">
        <v>341241</v>
      </c>
      <c r="D42" s="254">
        <v>90200</v>
      </c>
      <c r="E42" s="254">
        <v>72160</v>
      </c>
      <c r="F42" s="254">
        <v>162360</v>
      </c>
    </row>
    <row r="43" spans="1:6" ht="13.5" customHeight="1">
      <c r="A43" s="25" t="s">
        <v>390</v>
      </c>
      <c r="B43" s="253">
        <v>2172345</v>
      </c>
      <c r="C43" s="253">
        <v>171134</v>
      </c>
      <c r="D43" s="253">
        <v>60850</v>
      </c>
      <c r="E43" s="253">
        <v>48680</v>
      </c>
      <c r="F43" s="253">
        <v>109530</v>
      </c>
    </row>
    <row r="44" spans="1:6" ht="13.5" customHeight="1">
      <c r="A44" s="27" t="s">
        <v>391</v>
      </c>
      <c r="B44" s="254">
        <v>1449063</v>
      </c>
      <c r="C44" s="254">
        <v>324668</v>
      </c>
      <c r="D44" s="254">
        <v>40590</v>
      </c>
      <c r="E44" s="254">
        <v>32472</v>
      </c>
      <c r="F44" s="254">
        <v>73062</v>
      </c>
    </row>
    <row r="45" spans="1:6" ht="13.5" customHeight="1">
      <c r="A45" s="25" t="s">
        <v>392</v>
      </c>
      <c r="B45" s="253">
        <v>2584680</v>
      </c>
      <c r="C45" s="253">
        <v>28540</v>
      </c>
      <c r="D45" s="253">
        <v>72400</v>
      </c>
      <c r="E45" s="253">
        <v>57920</v>
      </c>
      <c r="F45" s="253">
        <v>130320</v>
      </c>
    </row>
    <row r="46" spans="1:6" ht="13.5" customHeight="1">
      <c r="A46" s="27" t="s">
        <v>393</v>
      </c>
      <c r="B46" s="254">
        <v>54314159</v>
      </c>
      <c r="C46" s="254">
        <v>0</v>
      </c>
      <c r="D46" s="254">
        <v>1495874</v>
      </c>
      <c r="E46" s="254">
        <v>1217124</v>
      </c>
      <c r="F46" s="254">
        <v>2738529</v>
      </c>
    </row>
    <row r="47" spans="1:6" ht="13.5" customHeight="1">
      <c r="A47" s="25" t="s">
        <v>397</v>
      </c>
      <c r="B47" s="253">
        <v>0</v>
      </c>
      <c r="C47" s="253">
        <v>0</v>
      </c>
      <c r="D47" s="253">
        <v>0</v>
      </c>
      <c r="E47" s="253">
        <v>0</v>
      </c>
      <c r="F47" s="253">
        <v>0</v>
      </c>
    </row>
    <row r="48" spans="1:6" ht="4.5" customHeight="1">
      <c r="A48" s="29"/>
      <c r="B48" s="255"/>
      <c r="C48" s="255"/>
      <c r="D48" s="255"/>
      <c r="E48" s="255"/>
      <c r="F48" s="255"/>
    </row>
    <row r="49" spans="1:6" ht="13.5" customHeight="1">
      <c r="A49" s="31" t="s">
        <v>394</v>
      </c>
      <c r="B49" s="256">
        <f>SUM(B11:B47)</f>
        <v>311898943</v>
      </c>
      <c r="C49" s="256">
        <f>SUM(C11:C47)</f>
        <v>11907083</v>
      </c>
      <c r="D49" s="256">
        <f>SUM(D11:D47)</f>
        <v>8625366</v>
      </c>
      <c r="E49" s="256">
        <f>SUM(E11:E47)</f>
        <v>6989048</v>
      </c>
      <c r="F49" s="256">
        <f>SUM(F11:F47)</f>
        <v>15671059</v>
      </c>
    </row>
    <row r="50" spans="1:6" ht="4.5" customHeight="1">
      <c r="A50" s="29" t="s">
        <v>78</v>
      </c>
      <c r="B50" s="255"/>
      <c r="C50" s="255"/>
      <c r="D50" s="255"/>
      <c r="E50" s="255"/>
      <c r="F50" s="255"/>
    </row>
    <row r="51" spans="1:6" ht="13.5" customHeight="1">
      <c r="A51" s="27" t="s">
        <v>395</v>
      </c>
      <c r="B51" s="254">
        <v>63350</v>
      </c>
      <c r="C51" s="254">
        <v>0</v>
      </c>
      <c r="D51" s="254">
        <v>3750</v>
      </c>
      <c r="E51" s="254">
        <v>3000</v>
      </c>
      <c r="F51" s="254">
        <v>6750</v>
      </c>
    </row>
    <row r="52" spans="1:6" ht="13.5" customHeight="1">
      <c r="A52" s="25" t="s">
        <v>396</v>
      </c>
      <c r="B52" s="253">
        <v>169400</v>
      </c>
      <c r="C52" s="253">
        <v>0</v>
      </c>
      <c r="D52" s="253">
        <v>12075</v>
      </c>
      <c r="E52" s="253">
        <v>9660</v>
      </c>
      <c r="F52" s="253">
        <v>21735</v>
      </c>
    </row>
    <row r="53" spans="1:6" ht="49.5" customHeight="1">
      <c r="A53" s="33"/>
      <c r="B53" s="33"/>
      <c r="C53" s="33"/>
      <c r="D53" s="33"/>
      <c r="E53" s="33"/>
      <c r="F53" s="33"/>
    </row>
    <row r="54" spans="1:6" ht="15" customHeight="1">
      <c r="A54" s="166" t="s">
        <v>28</v>
      </c>
      <c r="C54" s="53"/>
      <c r="D54" s="53"/>
      <c r="E54" s="53"/>
      <c r="F54" s="53"/>
    </row>
    <row r="55" spans="1:6" ht="12" customHeight="1">
      <c r="A55" s="166" t="s">
        <v>29</v>
      </c>
      <c r="C55" s="53"/>
      <c r="D55" s="53"/>
      <c r="E55" s="53"/>
      <c r="F55"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9.xml><?xml version="1.0" encoding="utf-8"?>
<worksheet xmlns="http://schemas.openxmlformats.org/spreadsheetml/2006/main" xmlns:r="http://schemas.openxmlformats.org/officeDocument/2006/relationships">
  <sheetPr codeName="Sheet451">
    <pageSetUpPr fitToPage="1"/>
  </sheetPr>
  <dimension ref="A1:F54"/>
  <sheetViews>
    <sheetView showGridLines="0" showZeros="0" workbookViewId="0" topLeftCell="A1">
      <selection activeCell="A1" sqref="A1"/>
    </sheetView>
  </sheetViews>
  <sheetFormatPr defaultColWidth="19.83203125" defaultRowHeight="12"/>
  <cols>
    <col min="1" max="1" width="32.83203125" style="1" customWidth="1"/>
    <col min="2" max="2" width="17.83203125" style="1" customWidth="1"/>
    <col min="3" max="3" width="21.83203125" style="1" customWidth="1"/>
    <col min="4" max="4" width="22.83203125" style="1" customWidth="1"/>
    <col min="5" max="6" width="18.83203125" style="1" customWidth="1"/>
    <col min="7" max="16384" width="19.83203125" style="1" customWidth="1"/>
  </cols>
  <sheetData>
    <row r="1" spans="1:6" ht="6.75" customHeight="1">
      <c r="A1" s="5"/>
      <c r="B1" s="5"/>
      <c r="C1" s="5"/>
      <c r="D1" s="5"/>
      <c r="E1" s="5"/>
      <c r="F1" s="5"/>
    </row>
    <row r="2" spans="1:6" ht="15.75" customHeight="1">
      <c r="A2" s="506"/>
      <c r="B2" s="523" t="str">
        <f>REVYEAR</f>
        <v>ANALYSIS OF OPERATING FUND REVENUE: 2003/2004 ACTUAL</v>
      </c>
      <c r="C2" s="524"/>
      <c r="D2" s="520"/>
      <c r="E2" s="525"/>
      <c r="F2" s="382" t="s">
        <v>311</v>
      </c>
    </row>
    <row r="3" spans="1:6" ht="15.75" customHeight="1">
      <c r="A3" s="367"/>
      <c r="B3" s="367"/>
      <c r="C3" s="5"/>
      <c r="D3" s="5"/>
      <c r="E3" s="5"/>
      <c r="F3" s="5"/>
    </row>
    <row r="4" spans="2:6" ht="15.75" customHeight="1">
      <c r="B4" s="509" t="str">
        <f>'- 57-'!B4</f>
        <v>EDUCATION, CITIZENSHIP AND YOUTH</v>
      </c>
      <c r="C4" s="511"/>
      <c r="D4" s="511"/>
      <c r="E4" s="511"/>
      <c r="F4" s="512"/>
    </row>
    <row r="5" spans="2:6" ht="15.75" customHeight="1">
      <c r="B5" s="513" t="s">
        <v>350</v>
      </c>
      <c r="C5" s="515"/>
      <c r="D5" s="515"/>
      <c r="E5" s="526"/>
      <c r="F5" s="516"/>
    </row>
    <row r="6" spans="2:6" ht="15.75" customHeight="1">
      <c r="B6" s="518" t="s">
        <v>194</v>
      </c>
      <c r="C6" s="56"/>
      <c r="D6" s="56"/>
      <c r="E6" s="56"/>
      <c r="F6" s="171"/>
    </row>
    <row r="7" spans="2:6" ht="15.75" customHeight="1">
      <c r="B7" s="393" t="s">
        <v>202</v>
      </c>
      <c r="C7" s="47"/>
      <c r="D7" s="47"/>
      <c r="E7" s="47"/>
      <c r="F7" s="393" t="s">
        <v>144</v>
      </c>
    </row>
    <row r="8" spans="1:6" ht="15.75" customHeight="1">
      <c r="A8" s="96"/>
      <c r="B8" s="519" t="s">
        <v>216</v>
      </c>
      <c r="C8" s="397" t="s">
        <v>218</v>
      </c>
      <c r="D8" s="397" t="s">
        <v>220</v>
      </c>
      <c r="E8" s="527"/>
      <c r="F8" s="397" t="s">
        <v>221</v>
      </c>
    </row>
    <row r="9" spans="1:6" ht="15.75" customHeight="1">
      <c r="A9" s="49" t="s">
        <v>175</v>
      </c>
      <c r="B9" s="68" t="s">
        <v>31</v>
      </c>
      <c r="C9" s="123" t="s">
        <v>246</v>
      </c>
      <c r="D9" s="123" t="s">
        <v>248</v>
      </c>
      <c r="E9" s="123" t="s">
        <v>245</v>
      </c>
      <c r="F9" s="123" t="s">
        <v>244</v>
      </c>
    </row>
    <row r="10" spans="1:6" ht="4.5" customHeight="1">
      <c r="A10" s="4"/>
      <c r="B10" s="5"/>
      <c r="E10" s="5"/>
      <c r="F10" s="5"/>
    </row>
    <row r="11" spans="1:6" ht="13.5" customHeight="1">
      <c r="A11" s="25" t="s">
        <v>359</v>
      </c>
      <c r="B11" s="253">
        <v>428903</v>
      </c>
      <c r="C11" s="253">
        <v>88724</v>
      </c>
      <c r="D11" s="253">
        <v>55029</v>
      </c>
      <c r="E11" s="253">
        <v>840675</v>
      </c>
      <c r="F11" s="253">
        <f>SUM('- 57-'!B11:F11,B11:E11)</f>
        <v>4768872</v>
      </c>
    </row>
    <row r="12" spans="1:6" ht="13.5" customHeight="1">
      <c r="A12" s="27" t="s">
        <v>360</v>
      </c>
      <c r="B12" s="254">
        <v>613475</v>
      </c>
      <c r="C12" s="254">
        <v>121606</v>
      </c>
      <c r="D12" s="254">
        <v>74300</v>
      </c>
      <c r="E12" s="254">
        <v>1171500</v>
      </c>
      <c r="F12" s="254">
        <f>SUM('- 57-'!B12:F12,B12:E12)</f>
        <v>6988718</v>
      </c>
    </row>
    <row r="13" spans="1:6" ht="13.5" customHeight="1">
      <c r="A13" s="25" t="s">
        <v>361</v>
      </c>
      <c r="B13" s="253">
        <v>1902091</v>
      </c>
      <c r="C13" s="253">
        <v>386195</v>
      </c>
      <c r="D13" s="253">
        <v>244042</v>
      </c>
      <c r="E13" s="253">
        <v>2814900</v>
      </c>
      <c r="F13" s="253">
        <f>SUM('- 57-'!B13:F13,B13:E13)</f>
        <v>19551482</v>
      </c>
    </row>
    <row r="14" spans="1:6" ht="13.5" customHeight="1">
      <c r="A14" s="27" t="s">
        <v>398</v>
      </c>
      <c r="B14" s="254">
        <v>1132133</v>
      </c>
      <c r="C14" s="254">
        <v>220465</v>
      </c>
      <c r="D14" s="254">
        <v>145255</v>
      </c>
      <c r="E14" s="254">
        <v>2260500</v>
      </c>
      <c r="F14" s="254">
        <f>SUM('- 57-'!B14:F14,B14:E14)</f>
        <v>12914391</v>
      </c>
    </row>
    <row r="15" spans="1:6" ht="13.5" customHeight="1">
      <c r="A15" s="25" t="s">
        <v>362</v>
      </c>
      <c r="B15" s="253">
        <v>436826</v>
      </c>
      <c r="C15" s="253">
        <v>92693</v>
      </c>
      <c r="D15" s="253">
        <v>56046</v>
      </c>
      <c r="E15" s="253">
        <v>863775</v>
      </c>
      <c r="F15" s="253">
        <f>SUM('- 57-'!B15:F15,B15:E15)</f>
        <v>4921531</v>
      </c>
    </row>
    <row r="16" spans="1:6" ht="13.5" customHeight="1">
      <c r="A16" s="27" t="s">
        <v>363</v>
      </c>
      <c r="B16" s="254">
        <v>331277</v>
      </c>
      <c r="C16" s="254">
        <v>69093</v>
      </c>
      <c r="D16" s="254">
        <v>42503</v>
      </c>
      <c r="E16" s="254">
        <v>660000</v>
      </c>
      <c r="F16" s="254">
        <f>SUM('- 57-'!B16:F16,B16:E16)</f>
        <v>3559320</v>
      </c>
    </row>
    <row r="17" spans="1:6" ht="13.5" customHeight="1">
      <c r="A17" s="25" t="s">
        <v>364</v>
      </c>
      <c r="B17" s="253">
        <v>393631</v>
      </c>
      <c r="C17" s="253">
        <v>80311</v>
      </c>
      <c r="D17" s="253">
        <v>50504</v>
      </c>
      <c r="E17" s="253">
        <v>911625</v>
      </c>
      <c r="F17" s="253">
        <f>SUM('- 57-'!B17:F17,B17:E17)</f>
        <v>4671890</v>
      </c>
    </row>
    <row r="18" spans="1:6" ht="13.5" customHeight="1">
      <c r="A18" s="27" t="s">
        <v>365</v>
      </c>
      <c r="B18" s="254">
        <v>863900</v>
      </c>
      <c r="C18" s="254">
        <v>153069</v>
      </c>
      <c r="D18" s="254">
        <v>110840</v>
      </c>
      <c r="E18" s="254">
        <v>3696618</v>
      </c>
      <c r="F18" s="254">
        <f>SUM('- 57-'!B18:F18,B18:E18)</f>
        <v>12559334</v>
      </c>
    </row>
    <row r="19" spans="1:6" ht="13.5" customHeight="1">
      <c r="A19" s="25" t="s">
        <v>366</v>
      </c>
      <c r="B19" s="253">
        <v>775708</v>
      </c>
      <c r="C19" s="253">
        <v>151880</v>
      </c>
      <c r="D19" s="253">
        <v>99525</v>
      </c>
      <c r="E19" s="253">
        <v>990000</v>
      </c>
      <c r="F19" s="253">
        <f>SUM('- 57-'!B19:F19,B19:E19)</f>
        <v>8037012</v>
      </c>
    </row>
    <row r="20" spans="1:6" ht="13.5" customHeight="1">
      <c r="A20" s="27" t="s">
        <v>367</v>
      </c>
      <c r="B20" s="254">
        <v>1620323</v>
      </c>
      <c r="C20" s="254">
        <v>311403</v>
      </c>
      <c r="D20" s="254">
        <v>166281</v>
      </c>
      <c r="E20" s="254">
        <v>2062500</v>
      </c>
      <c r="F20" s="254">
        <f>SUM('- 57-'!B20:F20,B20:E20)</f>
        <v>16364612</v>
      </c>
    </row>
    <row r="21" spans="1:6" ht="13.5" customHeight="1">
      <c r="A21" s="25" t="s">
        <v>368</v>
      </c>
      <c r="B21" s="253">
        <v>876912</v>
      </c>
      <c r="C21" s="253">
        <v>179916</v>
      </c>
      <c r="D21" s="253">
        <v>112509</v>
      </c>
      <c r="E21" s="253">
        <v>1673925</v>
      </c>
      <c r="F21" s="253">
        <f>SUM('- 57-'!B21:F21,B21:E21)</f>
        <v>9817563</v>
      </c>
    </row>
    <row r="22" spans="1:6" ht="13.5" customHeight="1">
      <c r="A22" s="27" t="s">
        <v>369</v>
      </c>
      <c r="B22" s="254">
        <v>438231</v>
      </c>
      <c r="C22" s="254">
        <v>85542</v>
      </c>
      <c r="D22" s="254">
        <v>56226</v>
      </c>
      <c r="E22" s="254">
        <v>825000</v>
      </c>
      <c r="F22" s="254">
        <f>SUM('- 57-'!B22:F22,B22:E22)</f>
        <v>4654520</v>
      </c>
    </row>
    <row r="23" spans="1:6" ht="13.5" customHeight="1">
      <c r="A23" s="25" t="s">
        <v>370</v>
      </c>
      <c r="B23" s="253">
        <v>363342</v>
      </c>
      <c r="C23" s="253">
        <v>75325</v>
      </c>
      <c r="D23" s="253">
        <v>46617</v>
      </c>
      <c r="E23" s="253">
        <v>666802</v>
      </c>
      <c r="F23" s="253">
        <f>SUM('- 57-'!B23:F23,B23:E23)</f>
        <v>4289907</v>
      </c>
    </row>
    <row r="24" spans="1:6" ht="13.5" customHeight="1">
      <c r="A24" s="27" t="s">
        <v>371</v>
      </c>
      <c r="B24" s="254">
        <v>1211554</v>
      </c>
      <c r="C24" s="254">
        <v>247099</v>
      </c>
      <c r="D24" s="254">
        <v>155445</v>
      </c>
      <c r="E24" s="254">
        <v>1732500</v>
      </c>
      <c r="F24" s="254">
        <f>SUM('- 57-'!B24:F24,B24:E24)</f>
        <v>12713903</v>
      </c>
    </row>
    <row r="25" spans="1:6" ht="13.5" customHeight="1">
      <c r="A25" s="25" t="s">
        <v>372</v>
      </c>
      <c r="B25" s="253">
        <v>3957245</v>
      </c>
      <c r="C25" s="253">
        <v>805798</v>
      </c>
      <c r="D25" s="253">
        <v>507722</v>
      </c>
      <c r="E25" s="253">
        <v>6105000</v>
      </c>
      <c r="F25" s="253">
        <f>SUM('- 57-'!B25:F25,B25:E25)</f>
        <v>40670335</v>
      </c>
    </row>
    <row r="26" spans="1:6" ht="13.5" customHeight="1">
      <c r="A26" s="27" t="s">
        <v>373</v>
      </c>
      <c r="B26" s="254">
        <v>848822</v>
      </c>
      <c r="C26" s="254">
        <v>178145</v>
      </c>
      <c r="D26" s="254">
        <v>108905</v>
      </c>
      <c r="E26" s="254">
        <v>2092729</v>
      </c>
      <c r="F26" s="254">
        <f>SUM('- 57-'!B26:F26,B26:E26)</f>
        <v>10104786</v>
      </c>
    </row>
    <row r="27" spans="1:6" ht="13.5" customHeight="1">
      <c r="A27" s="25" t="s">
        <v>374</v>
      </c>
      <c r="B27" s="253">
        <v>865623</v>
      </c>
      <c r="C27" s="253">
        <v>172733</v>
      </c>
      <c r="D27" s="253">
        <v>111061</v>
      </c>
      <c r="E27" s="253">
        <v>1072500</v>
      </c>
      <c r="F27" s="253">
        <f>SUM('- 57-'!B27:F27,B27:E27)</f>
        <v>8640590</v>
      </c>
    </row>
    <row r="28" spans="1:6" ht="13.5" customHeight="1">
      <c r="A28" s="27" t="s">
        <v>375</v>
      </c>
      <c r="B28" s="254">
        <v>527403</v>
      </c>
      <c r="C28" s="254">
        <v>110962</v>
      </c>
      <c r="D28" s="254">
        <v>67667</v>
      </c>
      <c r="E28" s="254">
        <v>1191392</v>
      </c>
      <c r="F28" s="254">
        <f>SUM('- 57-'!B28:F28,B28:E28)</f>
        <v>6390913</v>
      </c>
    </row>
    <row r="29" spans="1:6" ht="13.5" customHeight="1">
      <c r="A29" s="25" t="s">
        <v>376</v>
      </c>
      <c r="B29" s="253">
        <v>3612242</v>
      </c>
      <c r="C29" s="253">
        <v>759615</v>
      </c>
      <c r="D29" s="253">
        <v>463457</v>
      </c>
      <c r="E29" s="253">
        <v>4741275</v>
      </c>
      <c r="F29" s="253">
        <f>SUM('- 57-'!B29:F29,B29:E29)</f>
        <v>36361701</v>
      </c>
    </row>
    <row r="30" spans="1:6" ht="13.5" customHeight="1">
      <c r="A30" s="27" t="s">
        <v>377</v>
      </c>
      <c r="B30" s="254">
        <v>339863</v>
      </c>
      <c r="C30" s="254">
        <v>67609</v>
      </c>
      <c r="D30" s="254">
        <v>43605</v>
      </c>
      <c r="E30" s="254">
        <v>642206</v>
      </c>
      <c r="F30" s="254">
        <f>SUM('- 57-'!B30:F30,B30:E30)</f>
        <v>3941179</v>
      </c>
    </row>
    <row r="31" spans="1:6" ht="13.5" customHeight="1">
      <c r="A31" s="25" t="s">
        <v>378</v>
      </c>
      <c r="B31" s="253">
        <v>874209</v>
      </c>
      <c r="C31" s="253">
        <v>177317</v>
      </c>
      <c r="D31" s="253">
        <v>112163</v>
      </c>
      <c r="E31" s="253">
        <v>1897500</v>
      </c>
      <c r="F31" s="253">
        <f>SUM('- 57-'!B31:F31,B31:E31)</f>
        <v>9756466</v>
      </c>
    </row>
    <row r="32" spans="1:6" ht="13.5" customHeight="1">
      <c r="A32" s="27" t="s">
        <v>379</v>
      </c>
      <c r="B32" s="254">
        <v>621743</v>
      </c>
      <c r="C32" s="254">
        <v>124041</v>
      </c>
      <c r="D32" s="254">
        <v>79771</v>
      </c>
      <c r="E32" s="254">
        <v>1217936</v>
      </c>
      <c r="F32" s="254">
        <f>SUM('- 57-'!B32:F32,B32:E32)</f>
        <v>7332232</v>
      </c>
    </row>
    <row r="33" spans="1:6" ht="13.5" customHeight="1">
      <c r="A33" s="25" t="s">
        <v>380</v>
      </c>
      <c r="B33" s="253">
        <v>660698</v>
      </c>
      <c r="C33" s="253">
        <v>138145</v>
      </c>
      <c r="D33" s="253">
        <v>84769</v>
      </c>
      <c r="E33" s="253">
        <v>1555511</v>
      </c>
      <c r="F33" s="253">
        <f>SUM('- 57-'!B33:F33,B33:E33)</f>
        <v>8247609</v>
      </c>
    </row>
    <row r="34" spans="1:6" ht="13.5" customHeight="1">
      <c r="A34" s="27" t="s">
        <v>381</v>
      </c>
      <c r="B34" s="254">
        <v>582762</v>
      </c>
      <c r="C34" s="254">
        <v>121655</v>
      </c>
      <c r="D34" s="254">
        <v>74769</v>
      </c>
      <c r="E34" s="254">
        <v>1099998</v>
      </c>
      <c r="F34" s="254">
        <f>SUM('- 57-'!B34:F34,B34:E34)</f>
        <v>6784452</v>
      </c>
    </row>
    <row r="35" spans="1:6" ht="13.5" customHeight="1">
      <c r="A35" s="25" t="s">
        <v>382</v>
      </c>
      <c r="B35" s="253">
        <v>4693309</v>
      </c>
      <c r="C35" s="253">
        <v>980810</v>
      </c>
      <c r="D35" s="253">
        <v>602160</v>
      </c>
      <c r="E35" s="253">
        <v>6765000</v>
      </c>
      <c r="F35" s="253">
        <f>SUM('- 57-'!B35:F35,B35:E35)</f>
        <v>47827276</v>
      </c>
    </row>
    <row r="36" spans="1:6" ht="13.5" customHeight="1">
      <c r="A36" s="27" t="s">
        <v>383</v>
      </c>
      <c r="B36" s="254">
        <v>536228</v>
      </c>
      <c r="C36" s="254">
        <v>112996</v>
      </c>
      <c r="D36" s="254">
        <v>68799</v>
      </c>
      <c r="E36" s="254">
        <v>1154350</v>
      </c>
      <c r="F36" s="254">
        <f>SUM('- 57-'!B36:F36,B36:E36)</f>
        <v>6261156</v>
      </c>
    </row>
    <row r="37" spans="1:6" ht="13.5" customHeight="1">
      <c r="A37" s="25" t="s">
        <v>384</v>
      </c>
      <c r="B37" s="253">
        <v>895806</v>
      </c>
      <c r="C37" s="253">
        <v>180597</v>
      </c>
      <c r="D37" s="253">
        <v>114934</v>
      </c>
      <c r="E37" s="253">
        <v>1510575</v>
      </c>
      <c r="F37" s="253">
        <f>SUM('- 57-'!B37:F37,B37:E37)</f>
        <v>9876147</v>
      </c>
    </row>
    <row r="38" spans="1:6" ht="13.5" customHeight="1">
      <c r="A38" s="27" t="s">
        <v>385</v>
      </c>
      <c r="B38" s="254">
        <v>2253216</v>
      </c>
      <c r="C38" s="254">
        <v>459544</v>
      </c>
      <c r="D38" s="254">
        <v>289092</v>
      </c>
      <c r="E38" s="254">
        <v>3052500</v>
      </c>
      <c r="F38" s="254">
        <f>SUM('- 57-'!B38:F38,B38:E38)</f>
        <v>22762158</v>
      </c>
    </row>
    <row r="39" spans="1:6" ht="13.5" customHeight="1">
      <c r="A39" s="25" t="s">
        <v>386</v>
      </c>
      <c r="B39" s="253">
        <v>480366</v>
      </c>
      <c r="C39" s="253">
        <v>101163</v>
      </c>
      <c r="D39" s="253">
        <v>61632</v>
      </c>
      <c r="E39" s="253">
        <v>1010174</v>
      </c>
      <c r="F39" s="253">
        <f>SUM('- 57-'!B39:F39,B39:E39)</f>
        <v>5764902</v>
      </c>
    </row>
    <row r="40" spans="1:6" ht="13.5" customHeight="1">
      <c r="A40" s="27" t="s">
        <v>387</v>
      </c>
      <c r="B40" s="254">
        <v>2412852</v>
      </c>
      <c r="C40" s="254">
        <v>487047</v>
      </c>
      <c r="D40" s="254">
        <v>309573</v>
      </c>
      <c r="E40" s="254">
        <v>3795000</v>
      </c>
      <c r="F40" s="254">
        <f>SUM('- 57-'!B40:F40,B40:E40)</f>
        <v>24895994</v>
      </c>
    </row>
    <row r="41" spans="1:6" ht="13.5" customHeight="1">
      <c r="A41" s="25" t="s">
        <v>388</v>
      </c>
      <c r="B41" s="253">
        <v>1288854</v>
      </c>
      <c r="C41" s="253">
        <v>259784</v>
      </c>
      <c r="D41" s="253">
        <v>165362</v>
      </c>
      <c r="E41" s="253">
        <v>1980000</v>
      </c>
      <c r="F41" s="253">
        <f>SUM('- 57-'!B41:F41,B41:E41)</f>
        <v>13727865</v>
      </c>
    </row>
    <row r="42" spans="1:6" ht="13.5" customHeight="1">
      <c r="A42" s="27" t="s">
        <v>389</v>
      </c>
      <c r="B42" s="254">
        <v>478060</v>
      </c>
      <c r="C42" s="254">
        <v>100491</v>
      </c>
      <c r="D42" s="254">
        <v>61336</v>
      </c>
      <c r="E42" s="254">
        <v>990000</v>
      </c>
      <c r="F42" s="254">
        <f>SUM('- 57-'!B42:F42,B42:E42)</f>
        <v>5515988</v>
      </c>
    </row>
    <row r="43" spans="1:6" ht="13.5" customHeight="1">
      <c r="A43" s="25" t="s">
        <v>390</v>
      </c>
      <c r="B43" s="253">
        <v>322505</v>
      </c>
      <c r="C43" s="253">
        <v>68306</v>
      </c>
      <c r="D43" s="253">
        <v>41378</v>
      </c>
      <c r="E43" s="253">
        <v>577500</v>
      </c>
      <c r="F43" s="253">
        <f>SUM('- 57-'!B43:F43,B43:E43)</f>
        <v>3572228</v>
      </c>
    </row>
    <row r="44" spans="1:6" ht="13.5" customHeight="1">
      <c r="A44" s="27" t="s">
        <v>391</v>
      </c>
      <c r="B44" s="254">
        <v>215127</v>
      </c>
      <c r="C44" s="254">
        <v>41025</v>
      </c>
      <c r="D44" s="254">
        <v>27601</v>
      </c>
      <c r="E44" s="254">
        <v>482482</v>
      </c>
      <c r="F44" s="254">
        <f>SUM('- 57-'!B44:F44,B44:E44)</f>
        <v>2686090</v>
      </c>
    </row>
    <row r="45" spans="1:6" ht="13.5" customHeight="1">
      <c r="A45" s="25" t="s">
        <v>392</v>
      </c>
      <c r="B45" s="253">
        <v>383720</v>
      </c>
      <c r="C45" s="253">
        <v>78064</v>
      </c>
      <c r="D45" s="253">
        <v>49232</v>
      </c>
      <c r="E45" s="253">
        <v>577500</v>
      </c>
      <c r="F45" s="253">
        <f>SUM('- 57-'!B45:F45,B45:E45)</f>
        <v>3962376</v>
      </c>
    </row>
    <row r="46" spans="1:6" ht="13.5" customHeight="1">
      <c r="A46" s="27" t="s">
        <v>393</v>
      </c>
      <c r="B46" s="254">
        <v>8063447</v>
      </c>
      <c r="C46" s="254">
        <v>1585478</v>
      </c>
      <c r="D46" s="254">
        <v>1034555</v>
      </c>
      <c r="E46" s="254">
        <v>14025000</v>
      </c>
      <c r="F46" s="254">
        <f>SUM('- 57-'!B46:F46,B46:E46)</f>
        <v>84474166</v>
      </c>
    </row>
    <row r="47" spans="1:6" ht="13.5" customHeight="1">
      <c r="A47" s="25" t="s">
        <v>397</v>
      </c>
      <c r="B47" s="253">
        <v>0</v>
      </c>
      <c r="C47" s="253">
        <v>0</v>
      </c>
      <c r="D47" s="253">
        <v>0</v>
      </c>
      <c r="E47" s="253">
        <v>0</v>
      </c>
      <c r="F47" s="253">
        <f>SUM('- 57-'!B47:F47,B47:E47)</f>
        <v>0</v>
      </c>
    </row>
    <row r="48" spans="1:6" ht="4.5" customHeight="1">
      <c r="A48" s="29"/>
      <c r="B48" s="255"/>
      <c r="C48" s="255"/>
      <c r="D48" s="255"/>
      <c r="E48" s="255"/>
      <c r="F48" s="255"/>
    </row>
    <row r="49" spans="1:6" ht="13.5" customHeight="1">
      <c r="A49" s="31" t="s">
        <v>394</v>
      </c>
      <c r="B49" s="256">
        <f>SUM(B11:B47)</f>
        <v>46302406</v>
      </c>
      <c r="C49" s="256">
        <f>SUM(C11:C47)</f>
        <v>9374646</v>
      </c>
      <c r="D49" s="256">
        <f>SUM(D11:D47)</f>
        <v>5894665</v>
      </c>
      <c r="E49" s="256">
        <f>SUM(E11:E47)</f>
        <v>78706448</v>
      </c>
      <c r="F49" s="256">
        <f>SUM(F11:F47)</f>
        <v>495369664</v>
      </c>
    </row>
    <row r="50" spans="1:6" ht="4.5" customHeight="1">
      <c r="A50" s="29" t="s">
        <v>78</v>
      </c>
      <c r="B50" s="255"/>
      <c r="C50" s="255"/>
      <c r="D50" s="255"/>
      <c r="E50" s="255"/>
      <c r="F50" s="255"/>
    </row>
    <row r="51" spans="1:6" ht="13.5" customHeight="1">
      <c r="A51" s="27" t="s">
        <v>395</v>
      </c>
      <c r="B51" s="254">
        <v>19875</v>
      </c>
      <c r="C51" s="254">
        <v>4264</v>
      </c>
      <c r="D51" s="254">
        <v>2550</v>
      </c>
      <c r="E51" s="254">
        <v>0</v>
      </c>
      <c r="F51" s="254">
        <f>SUM('- 57-'!B51:F51,B51:E51)</f>
        <v>103539</v>
      </c>
    </row>
    <row r="52" spans="1:6" ht="13.5" customHeight="1">
      <c r="A52" s="25" t="s">
        <v>396</v>
      </c>
      <c r="B52" s="253">
        <v>63998</v>
      </c>
      <c r="C52" s="253">
        <v>14104</v>
      </c>
      <c r="D52" s="253">
        <v>8211</v>
      </c>
      <c r="E52" s="253">
        <v>0</v>
      </c>
      <c r="F52" s="253">
        <f>SUM('- 57-'!B52:F52,B52:E52)</f>
        <v>299183</v>
      </c>
    </row>
    <row r="53" spans="1:6" ht="49.5" customHeight="1">
      <c r="A53" s="33"/>
      <c r="B53" s="33"/>
      <c r="C53" s="33"/>
      <c r="D53" s="33"/>
      <c r="E53" s="33"/>
      <c r="F53" s="33"/>
    </row>
    <row r="54" spans="1:6" ht="15" customHeight="1">
      <c r="A54" s="166" t="s">
        <v>30</v>
      </c>
      <c r="B54" s="53"/>
      <c r="D54" s="53"/>
      <c r="E54" s="53"/>
      <c r="F54"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3"/>
  <sheetViews>
    <sheetView showGridLines="0" showZeros="0" workbookViewId="0" topLeftCell="A1">
      <selection activeCell="A1" sqref="A1"/>
    </sheetView>
  </sheetViews>
  <sheetFormatPr defaultColWidth="15.83203125" defaultRowHeight="12"/>
  <cols>
    <col min="1" max="1" width="34.83203125" style="1" customWidth="1"/>
    <col min="2" max="3" width="18.83203125" style="1" customWidth="1"/>
    <col min="4" max="4" width="20.83203125" style="1" customWidth="1"/>
    <col min="5" max="5" width="1.83203125" style="1" customWidth="1"/>
    <col min="6" max="6" width="18.83203125" style="1" customWidth="1"/>
    <col min="7" max="7" width="19.83203125" style="1" customWidth="1"/>
    <col min="8" max="16384" width="15.83203125" style="1" customWidth="1"/>
  </cols>
  <sheetData>
    <row r="1" spans="1:6" ht="6.75" customHeight="1">
      <c r="A1" s="5"/>
      <c r="B1" s="5"/>
      <c r="C1" s="5"/>
      <c r="D1" s="5"/>
      <c r="E1" s="6"/>
      <c r="F1" s="6"/>
    </row>
    <row r="2" spans="1:7" ht="15.75" customHeight="1">
      <c r="A2" s="91"/>
      <c r="B2" s="7" t="s">
        <v>81</v>
      </c>
      <c r="C2" s="8"/>
      <c r="D2" s="8"/>
      <c r="E2" s="8"/>
      <c r="F2" s="105"/>
      <c r="G2" s="118" t="s">
        <v>83</v>
      </c>
    </row>
    <row r="3" spans="1:7" ht="15.75" customHeight="1">
      <c r="A3" s="93"/>
      <c r="B3" s="9" t="str">
        <f>STATDATE</f>
        <v>ACTUAL SEPTEMBER 30, 2003</v>
      </c>
      <c r="C3" s="10"/>
      <c r="D3" s="10"/>
      <c r="E3" s="10"/>
      <c r="F3" s="107"/>
      <c r="G3" s="107"/>
    </row>
    <row r="4" spans="5:6" ht="15.75" customHeight="1">
      <c r="E4" s="6"/>
      <c r="F4" s="6"/>
    </row>
    <row r="5" ht="15.75" customHeight="1"/>
    <row r="6" ht="15.75" customHeight="1"/>
    <row r="7" spans="2:6" ht="15.75" customHeight="1">
      <c r="B7" s="119" t="s">
        <v>137</v>
      </c>
      <c r="C7" s="120"/>
      <c r="D7" s="121" t="s">
        <v>138</v>
      </c>
      <c r="F7" s="121" t="s">
        <v>144</v>
      </c>
    </row>
    <row r="8" spans="1:6" ht="15.75" customHeight="1">
      <c r="A8" s="47"/>
      <c r="B8" s="13" t="s">
        <v>300</v>
      </c>
      <c r="C8" s="111"/>
      <c r="D8" s="13" t="s">
        <v>92</v>
      </c>
      <c r="E8" s="16"/>
      <c r="F8" s="111" t="s">
        <v>162</v>
      </c>
    </row>
    <row r="9" spans="1:6" ht="15.75" customHeight="1">
      <c r="A9" s="122" t="s">
        <v>175</v>
      </c>
      <c r="B9" s="114" t="s">
        <v>104</v>
      </c>
      <c r="C9" s="114" t="s">
        <v>144</v>
      </c>
      <c r="D9" s="123" t="s">
        <v>119</v>
      </c>
      <c r="E9" s="124"/>
      <c r="F9" s="114" t="s">
        <v>281</v>
      </c>
    </row>
    <row r="10" spans="1:5" ht="4.5" customHeight="1">
      <c r="A10" s="4"/>
      <c r="B10" s="125"/>
      <c r="C10" s="4"/>
      <c r="E10" s="126"/>
    </row>
    <row r="11" spans="1:6" ht="13.5" customHeight="1">
      <c r="A11" s="25" t="s">
        <v>359</v>
      </c>
      <c r="B11" s="100">
        <v>0</v>
      </c>
      <c r="C11" s="100">
        <f>SUM('- 6 -'!B11:H11,B11)</f>
        <v>1523</v>
      </c>
      <c r="D11" s="100">
        <v>39</v>
      </c>
      <c r="E11" s="127"/>
      <c r="F11" s="100">
        <f>C11+D11</f>
        <v>1562</v>
      </c>
    </row>
    <row r="12" spans="1:6" ht="13.5" customHeight="1">
      <c r="A12" s="27" t="s">
        <v>360</v>
      </c>
      <c r="B12" s="101">
        <v>118.4</v>
      </c>
      <c r="C12" s="101">
        <f>SUM('- 6 -'!B12:H12,B12)</f>
        <v>2375.2</v>
      </c>
      <c r="D12" s="101">
        <v>0</v>
      </c>
      <c r="E12" s="127"/>
      <c r="F12" s="101">
        <f aca="true" t="shared" si="0" ref="F12:F47">C12+D12</f>
        <v>2375.2</v>
      </c>
    </row>
    <row r="13" spans="1:6" ht="13.5" customHeight="1">
      <c r="A13" s="25" t="s">
        <v>361</v>
      </c>
      <c r="B13" s="100">
        <v>325.7</v>
      </c>
      <c r="C13" s="100">
        <f>SUM('- 6 -'!B13:H13,B13)</f>
        <v>6887</v>
      </c>
      <c r="D13" s="100">
        <v>222</v>
      </c>
      <c r="E13" s="127"/>
      <c r="F13" s="100">
        <f t="shared" si="0"/>
        <v>7109</v>
      </c>
    </row>
    <row r="14" spans="1:6" ht="13.5" customHeight="1">
      <c r="A14" s="27" t="s">
        <v>398</v>
      </c>
      <c r="B14" s="101">
        <v>0</v>
      </c>
      <c r="C14" s="101">
        <f>SUM('- 6 -'!B14:H14,B14)</f>
        <v>4200.2</v>
      </c>
      <c r="D14" s="101">
        <v>72</v>
      </c>
      <c r="E14" s="127"/>
      <c r="F14" s="101">
        <f t="shared" si="0"/>
        <v>4272.2</v>
      </c>
    </row>
    <row r="15" spans="1:6" ht="13.5" customHeight="1">
      <c r="A15" s="25" t="s">
        <v>362</v>
      </c>
      <c r="B15" s="100">
        <v>0</v>
      </c>
      <c r="C15" s="100">
        <f>SUM('- 6 -'!B15:H15,B15)</f>
        <v>1661.5</v>
      </c>
      <c r="D15" s="100">
        <v>0</v>
      </c>
      <c r="E15" s="127"/>
      <c r="F15" s="100">
        <f t="shared" si="0"/>
        <v>1661.5</v>
      </c>
    </row>
    <row r="16" spans="1:6" ht="13.5" customHeight="1">
      <c r="A16" s="27" t="s">
        <v>363</v>
      </c>
      <c r="B16" s="101">
        <v>12</v>
      </c>
      <c r="C16" s="101">
        <f>SUM('- 6 -'!B16:H16,B16)</f>
        <v>1383.9</v>
      </c>
      <c r="D16" s="101">
        <v>8</v>
      </c>
      <c r="E16" s="127"/>
      <c r="F16" s="101">
        <f t="shared" si="0"/>
        <v>1391.9</v>
      </c>
    </row>
    <row r="17" spans="1:6" ht="13.5" customHeight="1">
      <c r="A17" s="25" t="s">
        <v>364</v>
      </c>
      <c r="B17" s="100">
        <v>30</v>
      </c>
      <c r="C17" s="100">
        <f>SUM('- 6 -'!B17:H17,B17)</f>
        <v>1579</v>
      </c>
      <c r="D17" s="100">
        <v>0</v>
      </c>
      <c r="E17" s="127"/>
      <c r="F17" s="100">
        <f t="shared" si="0"/>
        <v>1579</v>
      </c>
    </row>
    <row r="18" spans="1:6" ht="13.5" customHeight="1">
      <c r="A18" s="27" t="s">
        <v>365</v>
      </c>
      <c r="B18" s="101">
        <v>20</v>
      </c>
      <c r="C18" s="101">
        <f>SUM('- 6 -'!B18:H18,B18)</f>
        <v>5855.1</v>
      </c>
      <c r="D18" s="101">
        <v>4</v>
      </c>
      <c r="E18" s="127"/>
      <c r="F18" s="101">
        <f t="shared" si="0"/>
        <v>5859.1</v>
      </c>
    </row>
    <row r="19" spans="1:6" ht="13.5" customHeight="1">
      <c r="A19" s="25" t="s">
        <v>366</v>
      </c>
      <c r="B19" s="100">
        <v>91.28</v>
      </c>
      <c r="C19" s="100">
        <f>SUM('- 6 -'!B19:H19,B19)</f>
        <v>2941.5</v>
      </c>
      <c r="D19" s="100">
        <v>68.4</v>
      </c>
      <c r="E19" s="127"/>
      <c r="F19" s="100">
        <f t="shared" si="0"/>
        <v>3009.9</v>
      </c>
    </row>
    <row r="20" spans="1:6" ht="13.5" customHeight="1">
      <c r="A20" s="27" t="s">
        <v>367</v>
      </c>
      <c r="B20" s="101">
        <v>306.6</v>
      </c>
      <c r="C20" s="101">
        <f>SUM('- 6 -'!B20:H20,B20)</f>
        <v>6321.5</v>
      </c>
      <c r="D20" s="101">
        <v>6</v>
      </c>
      <c r="E20" s="127"/>
      <c r="F20" s="101">
        <f t="shared" si="0"/>
        <v>6327.5</v>
      </c>
    </row>
    <row r="21" spans="1:6" ht="13.5" customHeight="1">
      <c r="A21" s="25" t="s">
        <v>368</v>
      </c>
      <c r="B21" s="100">
        <v>0</v>
      </c>
      <c r="C21" s="100">
        <f>SUM('- 6 -'!B21:H21,B21)</f>
        <v>3298.5</v>
      </c>
      <c r="D21" s="100">
        <v>25</v>
      </c>
      <c r="E21" s="127"/>
      <c r="F21" s="100">
        <f t="shared" si="0"/>
        <v>3323.5</v>
      </c>
    </row>
    <row r="22" spans="1:6" ht="13.5" customHeight="1">
      <c r="A22" s="27" t="s">
        <v>369</v>
      </c>
      <c r="B22" s="101">
        <v>0</v>
      </c>
      <c r="C22" s="101">
        <f>SUM('- 6 -'!B22:H22,B22)</f>
        <v>1640</v>
      </c>
      <c r="D22" s="101">
        <v>52</v>
      </c>
      <c r="E22" s="127"/>
      <c r="F22" s="101">
        <f t="shared" si="0"/>
        <v>1692</v>
      </c>
    </row>
    <row r="23" spans="1:6" ht="13.5" customHeight="1">
      <c r="A23" s="25" t="s">
        <v>370</v>
      </c>
      <c r="B23" s="100">
        <v>40</v>
      </c>
      <c r="C23" s="100">
        <f>SUM('- 6 -'!B23:H23,B23)</f>
        <v>1327.5</v>
      </c>
      <c r="D23" s="100">
        <v>0</v>
      </c>
      <c r="E23" s="127"/>
      <c r="F23" s="100">
        <f t="shared" si="0"/>
        <v>1327.5</v>
      </c>
    </row>
    <row r="24" spans="1:6" ht="13.5" customHeight="1">
      <c r="A24" s="27" t="s">
        <v>371</v>
      </c>
      <c r="B24" s="101">
        <v>278</v>
      </c>
      <c r="C24" s="101">
        <f>SUM('- 6 -'!B24:H24,B24)</f>
        <v>4618.5</v>
      </c>
      <c r="D24" s="101">
        <v>42</v>
      </c>
      <c r="E24" s="127"/>
      <c r="F24" s="101">
        <f t="shared" si="0"/>
        <v>4660.5</v>
      </c>
    </row>
    <row r="25" spans="1:6" ht="13.5" customHeight="1">
      <c r="A25" s="25" t="s">
        <v>372</v>
      </c>
      <c r="B25" s="100">
        <v>230</v>
      </c>
      <c r="C25" s="100">
        <f>SUM('- 6 -'!B25:H25,B25)</f>
        <v>14846.5</v>
      </c>
      <c r="D25" s="100">
        <v>169</v>
      </c>
      <c r="E25" s="127"/>
      <c r="F25" s="100">
        <f t="shared" si="0"/>
        <v>15015.5</v>
      </c>
    </row>
    <row r="26" spans="1:6" ht="13.5" customHeight="1">
      <c r="A26" s="27" t="s">
        <v>373</v>
      </c>
      <c r="B26" s="101">
        <v>176.7</v>
      </c>
      <c r="C26" s="101">
        <f>SUM('- 6 -'!B26:H26,B26)</f>
        <v>3279.2</v>
      </c>
      <c r="D26" s="101">
        <v>21</v>
      </c>
      <c r="E26" s="127"/>
      <c r="F26" s="101">
        <f t="shared" si="0"/>
        <v>3300.2</v>
      </c>
    </row>
    <row r="27" spans="1:6" ht="13.5" customHeight="1">
      <c r="A27" s="25" t="s">
        <v>374</v>
      </c>
      <c r="B27" s="100">
        <v>172.9</v>
      </c>
      <c r="C27" s="100">
        <f>SUM('- 6 -'!B27:H27,B27)</f>
        <v>3150</v>
      </c>
      <c r="D27" s="100">
        <v>98</v>
      </c>
      <c r="E27" s="127"/>
      <c r="F27" s="100">
        <f t="shared" si="0"/>
        <v>3248</v>
      </c>
    </row>
    <row r="28" spans="1:6" ht="13.5" customHeight="1">
      <c r="A28" s="27" t="s">
        <v>375</v>
      </c>
      <c r="B28" s="101">
        <v>0</v>
      </c>
      <c r="C28" s="101">
        <f>SUM('- 6 -'!B28:H28,B28)</f>
        <v>2083</v>
      </c>
      <c r="D28" s="101">
        <v>0</v>
      </c>
      <c r="E28" s="127"/>
      <c r="F28" s="101">
        <f t="shared" si="0"/>
        <v>2083</v>
      </c>
    </row>
    <row r="29" spans="1:6" ht="13.5" customHeight="1">
      <c r="A29" s="25" t="s">
        <v>376</v>
      </c>
      <c r="B29" s="100">
        <v>0</v>
      </c>
      <c r="C29" s="100">
        <f>SUM('- 6 -'!B29:H29,B29)</f>
        <v>13111</v>
      </c>
      <c r="D29" s="100">
        <v>48</v>
      </c>
      <c r="E29" s="127"/>
      <c r="F29" s="100">
        <f t="shared" si="0"/>
        <v>13159</v>
      </c>
    </row>
    <row r="30" spans="1:6" ht="13.5" customHeight="1">
      <c r="A30" s="27" t="s">
        <v>377</v>
      </c>
      <c r="B30" s="101">
        <v>0</v>
      </c>
      <c r="C30" s="101">
        <f>SUM('- 6 -'!B30:H30,B30)</f>
        <v>1274.5</v>
      </c>
      <c r="D30" s="101">
        <v>0</v>
      </c>
      <c r="E30" s="127"/>
      <c r="F30" s="101">
        <f t="shared" si="0"/>
        <v>1274.5</v>
      </c>
    </row>
    <row r="31" spans="1:6" ht="13.5" customHeight="1">
      <c r="A31" s="25" t="s">
        <v>378</v>
      </c>
      <c r="B31" s="100">
        <v>60.4</v>
      </c>
      <c r="C31" s="100">
        <f>SUM('- 6 -'!B31:H31,B31)</f>
        <v>3296.8</v>
      </c>
      <c r="D31" s="100">
        <v>106</v>
      </c>
      <c r="E31" s="127"/>
      <c r="F31" s="100">
        <f t="shared" si="0"/>
        <v>3402.8</v>
      </c>
    </row>
    <row r="32" spans="1:6" ht="13.5" customHeight="1">
      <c r="A32" s="27" t="s">
        <v>379</v>
      </c>
      <c r="B32" s="101">
        <v>0</v>
      </c>
      <c r="C32" s="101">
        <f>SUM('- 6 -'!B32:H32,B32)</f>
        <v>2322</v>
      </c>
      <c r="D32" s="101">
        <v>0</v>
      </c>
      <c r="E32" s="127"/>
      <c r="F32" s="101">
        <f t="shared" si="0"/>
        <v>2322</v>
      </c>
    </row>
    <row r="33" spans="1:6" ht="13.5" customHeight="1">
      <c r="A33" s="25" t="s">
        <v>380</v>
      </c>
      <c r="B33" s="100">
        <v>0</v>
      </c>
      <c r="C33" s="100">
        <f>SUM('- 6 -'!B33:H33,B33)</f>
        <v>2524.2999999999997</v>
      </c>
      <c r="D33" s="100">
        <v>0</v>
      </c>
      <c r="E33" s="127"/>
      <c r="F33" s="100">
        <f t="shared" si="0"/>
        <v>2524.2999999999997</v>
      </c>
    </row>
    <row r="34" spans="1:6" ht="13.5" customHeight="1">
      <c r="A34" s="27" t="s">
        <v>381</v>
      </c>
      <c r="B34" s="101">
        <v>22.8</v>
      </c>
      <c r="C34" s="101">
        <f>SUM('- 6 -'!B34:H34,B34)</f>
        <v>2180.0000000000005</v>
      </c>
      <c r="D34" s="101">
        <v>9</v>
      </c>
      <c r="E34" s="127"/>
      <c r="F34" s="101">
        <f t="shared" si="0"/>
        <v>2189.0000000000005</v>
      </c>
    </row>
    <row r="35" spans="1:6" ht="13.5" customHeight="1">
      <c r="A35" s="25" t="s">
        <v>382</v>
      </c>
      <c r="B35" s="100">
        <v>388</v>
      </c>
      <c r="C35" s="100">
        <f>SUM('- 6 -'!B35:H35,B35)</f>
        <v>17605.5</v>
      </c>
      <c r="D35" s="100">
        <v>236</v>
      </c>
      <c r="E35" s="127"/>
      <c r="F35" s="100">
        <f t="shared" si="0"/>
        <v>17841.5</v>
      </c>
    </row>
    <row r="36" spans="1:6" ht="13.5" customHeight="1">
      <c r="A36" s="27" t="s">
        <v>383</v>
      </c>
      <c r="B36" s="101">
        <v>16.4</v>
      </c>
      <c r="C36" s="101">
        <f>SUM('- 6 -'!B36:H36,B36)</f>
        <v>2090.3</v>
      </c>
      <c r="D36" s="101">
        <v>3.2</v>
      </c>
      <c r="E36" s="127"/>
      <c r="F36" s="101">
        <f t="shared" si="0"/>
        <v>2093.5</v>
      </c>
    </row>
    <row r="37" spans="1:6" ht="13.5" customHeight="1">
      <c r="A37" s="25" t="s">
        <v>384</v>
      </c>
      <c r="B37" s="100">
        <v>0</v>
      </c>
      <c r="C37" s="100">
        <f>SUM('- 6 -'!B37:H37,B37)</f>
        <v>3369.3</v>
      </c>
      <c r="D37" s="100">
        <v>0</v>
      </c>
      <c r="E37" s="127"/>
      <c r="F37" s="100">
        <f t="shared" si="0"/>
        <v>3369.3</v>
      </c>
    </row>
    <row r="38" spans="1:6" ht="13.5" customHeight="1">
      <c r="A38" s="27" t="s">
        <v>385</v>
      </c>
      <c r="B38" s="101">
        <v>136.5</v>
      </c>
      <c r="C38" s="101">
        <f>SUM('- 6 -'!B38:H38,B38)</f>
        <v>8461</v>
      </c>
      <c r="D38" s="101">
        <v>44</v>
      </c>
      <c r="E38" s="127"/>
      <c r="F38" s="101">
        <f t="shared" si="0"/>
        <v>8505</v>
      </c>
    </row>
    <row r="39" spans="1:6" ht="13.5" customHeight="1">
      <c r="A39" s="25" t="s">
        <v>386</v>
      </c>
      <c r="B39" s="100">
        <v>0</v>
      </c>
      <c r="C39" s="100">
        <f>SUM('- 6 -'!B39:H39,B39)</f>
        <v>1820</v>
      </c>
      <c r="D39" s="100">
        <v>0</v>
      </c>
      <c r="E39" s="127"/>
      <c r="F39" s="100">
        <f t="shared" si="0"/>
        <v>1820</v>
      </c>
    </row>
    <row r="40" spans="1:6" ht="13.5" customHeight="1">
      <c r="A40" s="27" t="s">
        <v>387</v>
      </c>
      <c r="B40" s="101">
        <v>616.35</v>
      </c>
      <c r="C40" s="101">
        <f>SUM('- 6 -'!B40:H40,B40)</f>
        <v>8830.38</v>
      </c>
      <c r="D40" s="101">
        <v>134</v>
      </c>
      <c r="E40" s="127"/>
      <c r="F40" s="101">
        <f t="shared" si="0"/>
        <v>8964.38</v>
      </c>
    </row>
    <row r="41" spans="1:6" ht="13.5" customHeight="1">
      <c r="A41" s="25" t="s">
        <v>388</v>
      </c>
      <c r="B41" s="100">
        <v>0</v>
      </c>
      <c r="C41" s="100">
        <f>SUM('- 6 -'!B41:H41,B41)</f>
        <v>4760.6</v>
      </c>
      <c r="D41" s="100">
        <v>21.4</v>
      </c>
      <c r="E41" s="127"/>
      <c r="F41" s="100">
        <f t="shared" si="0"/>
        <v>4782</v>
      </c>
    </row>
    <row r="42" spans="1:6" ht="13.5" customHeight="1">
      <c r="A42" s="27" t="s">
        <v>389</v>
      </c>
      <c r="B42" s="101">
        <v>139.7</v>
      </c>
      <c r="C42" s="101">
        <f>SUM('- 6 -'!B42:H42,B42)</f>
        <v>1870.6000000000001</v>
      </c>
      <c r="D42" s="101">
        <v>0</v>
      </c>
      <c r="E42" s="127"/>
      <c r="F42" s="101">
        <f t="shared" si="0"/>
        <v>1870.6000000000001</v>
      </c>
    </row>
    <row r="43" spans="1:6" ht="13.5" customHeight="1">
      <c r="A43" s="25" t="s">
        <v>390</v>
      </c>
      <c r="B43" s="100">
        <v>0</v>
      </c>
      <c r="C43" s="100">
        <f>SUM('- 6 -'!B43:H43,B43)</f>
        <v>1209</v>
      </c>
      <c r="D43" s="100">
        <v>0</v>
      </c>
      <c r="E43" s="127"/>
      <c r="F43" s="100">
        <f t="shared" si="0"/>
        <v>1209</v>
      </c>
    </row>
    <row r="44" spans="1:6" ht="13.5" customHeight="1">
      <c r="A44" s="27" t="s">
        <v>391</v>
      </c>
      <c r="B44" s="101">
        <v>0</v>
      </c>
      <c r="C44" s="101">
        <f>SUM('- 6 -'!B44:H44,B44)</f>
        <v>790.5</v>
      </c>
      <c r="D44" s="101">
        <v>0</v>
      </c>
      <c r="E44" s="127"/>
      <c r="F44" s="101">
        <f t="shared" si="0"/>
        <v>790.5</v>
      </c>
    </row>
    <row r="45" spans="1:6" ht="13.5" customHeight="1">
      <c r="A45" s="25" t="s">
        <v>392</v>
      </c>
      <c r="B45" s="100">
        <v>18</v>
      </c>
      <c r="C45" s="100">
        <f>SUM('- 6 -'!B45:H45,B45)</f>
        <v>1455.2</v>
      </c>
      <c r="D45" s="100">
        <v>7</v>
      </c>
      <c r="E45" s="127"/>
      <c r="F45" s="100">
        <f t="shared" si="0"/>
        <v>1462.2</v>
      </c>
    </row>
    <row r="46" spans="1:6" ht="13.5" customHeight="1">
      <c r="A46" s="27" t="s">
        <v>393</v>
      </c>
      <c r="B46" s="101">
        <v>586</v>
      </c>
      <c r="C46" s="101">
        <f>SUM('- 6 -'!B46:H46,B46)</f>
        <v>30006.6</v>
      </c>
      <c r="D46" s="101">
        <v>1012</v>
      </c>
      <c r="E46" s="127"/>
      <c r="F46" s="101">
        <f t="shared" si="0"/>
        <v>31018.6</v>
      </c>
    </row>
    <row r="47" spans="1:6" ht="13.5" customHeight="1">
      <c r="A47" s="25" t="s">
        <v>397</v>
      </c>
      <c r="B47" s="100">
        <v>594.4</v>
      </c>
      <c r="C47" s="100">
        <f>SUM('- 6 -'!B47:H47,B47)</f>
        <v>622</v>
      </c>
      <c r="D47" s="100">
        <v>0</v>
      </c>
      <c r="E47" s="127"/>
      <c r="F47" s="100">
        <f t="shared" si="0"/>
        <v>622</v>
      </c>
    </row>
    <row r="48" spans="1:6" ht="4.5" customHeight="1">
      <c r="A48" s="29"/>
      <c r="B48" s="102"/>
      <c r="C48" s="102"/>
      <c r="D48" s="102"/>
      <c r="E48" s="128"/>
      <c r="F48" s="102"/>
    </row>
    <row r="49" spans="1:6" ht="13.5" customHeight="1">
      <c r="A49" s="31" t="s">
        <v>394</v>
      </c>
      <c r="B49" s="103">
        <f>SUM(B11:B47)</f>
        <v>4380.13</v>
      </c>
      <c r="C49" s="103">
        <f>SUM(C11:C47)</f>
        <v>176570.68000000005</v>
      </c>
      <c r="D49" s="103">
        <f>SUM(D11:D47)</f>
        <v>2447</v>
      </c>
      <c r="E49" s="129"/>
      <c r="F49" s="103">
        <f>SUM(F11:F47)</f>
        <v>179017.68000000002</v>
      </c>
    </row>
    <row r="50" spans="1:6" ht="4.5" customHeight="1">
      <c r="A50" s="29" t="s">
        <v>78</v>
      </c>
      <c r="B50" s="102"/>
      <c r="C50" s="102"/>
      <c r="D50" s="102"/>
      <c r="E50" s="126"/>
      <c r="F50" s="102"/>
    </row>
    <row r="51" spans="1:6" ht="13.5" customHeight="1">
      <c r="A51" s="27" t="s">
        <v>395</v>
      </c>
      <c r="B51" s="101">
        <v>0</v>
      </c>
      <c r="C51" s="101">
        <f>SUM('- 6 -'!B51:H51,B51)</f>
        <v>145</v>
      </c>
      <c r="D51" s="101">
        <v>0</v>
      </c>
      <c r="E51" s="127"/>
      <c r="F51" s="101">
        <f>C51+D51</f>
        <v>145</v>
      </c>
    </row>
    <row r="52" spans="1:6" ht="13.5" customHeight="1">
      <c r="A52" s="25" t="s">
        <v>396</v>
      </c>
      <c r="B52" s="100">
        <v>0</v>
      </c>
      <c r="C52" s="100">
        <f>SUM('- 6 -'!B52:H52,B52)</f>
        <v>276.5</v>
      </c>
      <c r="D52" s="100">
        <v>0</v>
      </c>
      <c r="E52" s="127"/>
      <c r="F52" s="100">
        <f>C52+D52</f>
        <v>276.5</v>
      </c>
    </row>
    <row r="53" ht="49.5" customHeight="1">
      <c r="E53" s="126"/>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sheetPr codeName="Sheet47">
    <pageSetUpPr fitToPage="1"/>
  </sheetPr>
  <dimension ref="A1:F58"/>
  <sheetViews>
    <sheetView showGridLines="0" showZeros="0" workbookViewId="0" topLeftCell="A1">
      <selection activeCell="A1" sqref="A1"/>
    </sheetView>
  </sheetViews>
  <sheetFormatPr defaultColWidth="19.83203125" defaultRowHeight="12"/>
  <cols>
    <col min="1" max="1" width="32.83203125" style="1" customWidth="1"/>
    <col min="2" max="2" width="23.83203125" style="1" customWidth="1"/>
    <col min="3" max="4" width="17.83203125" style="1" customWidth="1"/>
    <col min="5" max="6" width="20.83203125" style="1" customWidth="1"/>
    <col min="7" max="16384" width="19.83203125" style="1" customWidth="1"/>
  </cols>
  <sheetData>
    <row r="1" spans="1:6" ht="6.75" customHeight="1">
      <c r="A1" s="5"/>
      <c r="B1" s="5"/>
      <c r="C1" s="5"/>
      <c r="D1" s="5"/>
      <c r="E1" s="5"/>
      <c r="F1" s="5"/>
    </row>
    <row r="2" spans="1:6" ht="15.75" customHeight="1">
      <c r="A2" s="506"/>
      <c r="B2" s="366" t="str">
        <f>REVYEAR</f>
        <v>ANALYSIS OF OPERATING FUND REVENUE: 2003/2004 ACTUAL</v>
      </c>
      <c r="C2" s="507"/>
      <c r="D2" s="520"/>
      <c r="E2" s="520"/>
      <c r="F2" s="382" t="s">
        <v>312</v>
      </c>
    </row>
    <row r="3" spans="1:6" ht="15.75" customHeight="1">
      <c r="A3" s="367"/>
      <c r="B3" s="367"/>
      <c r="C3" s="5"/>
      <c r="D3" s="5"/>
      <c r="E3" s="5"/>
      <c r="F3" s="5"/>
    </row>
    <row r="4" spans="2:6" ht="15.75" customHeight="1">
      <c r="B4" s="509" t="str">
        <f>'- 57-'!B4</f>
        <v>EDUCATION, CITIZENSHIP AND YOUTH</v>
      </c>
      <c r="C4" s="511"/>
      <c r="D4" s="512"/>
      <c r="E4" s="512"/>
      <c r="F4" s="512"/>
    </row>
    <row r="5" spans="2:6" ht="15.75" customHeight="1">
      <c r="B5" s="513" t="s">
        <v>350</v>
      </c>
      <c r="C5" s="515"/>
      <c r="D5" s="516"/>
      <c r="E5" s="516"/>
      <c r="F5" s="516"/>
    </row>
    <row r="6" spans="2:6" ht="15.75" customHeight="1">
      <c r="B6" s="518" t="s">
        <v>195</v>
      </c>
      <c r="C6" s="56"/>
      <c r="D6" s="56"/>
      <c r="E6" s="55"/>
      <c r="F6" s="282"/>
    </row>
    <row r="7" spans="2:6" ht="15.75" customHeight="1">
      <c r="B7" s="393"/>
      <c r="C7" s="393"/>
      <c r="D7" s="47"/>
      <c r="E7" s="393" t="s">
        <v>104</v>
      </c>
      <c r="F7" s="393" t="s">
        <v>315</v>
      </c>
    </row>
    <row r="8" spans="1:6" ht="15.75" customHeight="1">
      <c r="A8" s="96"/>
      <c r="B8" s="519" t="s">
        <v>106</v>
      </c>
      <c r="C8" s="397" t="s">
        <v>216</v>
      </c>
      <c r="D8" s="397" t="s">
        <v>155</v>
      </c>
      <c r="E8" s="397" t="s">
        <v>139</v>
      </c>
      <c r="F8" s="397" t="s">
        <v>316</v>
      </c>
    </row>
    <row r="9" spans="1:6" ht="15.75" customHeight="1">
      <c r="A9" s="49" t="s">
        <v>175</v>
      </c>
      <c r="B9" s="530" t="s">
        <v>302</v>
      </c>
      <c r="C9" s="123" t="s">
        <v>32</v>
      </c>
      <c r="D9" s="123" t="s">
        <v>33</v>
      </c>
      <c r="E9" s="123" t="s">
        <v>172</v>
      </c>
      <c r="F9" s="123" t="s">
        <v>342</v>
      </c>
    </row>
    <row r="10" spans="1:5" ht="4.5" customHeight="1">
      <c r="A10" s="4"/>
      <c r="B10" s="5"/>
      <c r="C10" s="5"/>
      <c r="D10" s="5"/>
      <c r="E10" s="5"/>
    </row>
    <row r="11" spans="1:6" ht="13.5" customHeight="1">
      <c r="A11" s="25" t="s">
        <v>359</v>
      </c>
      <c r="B11" s="253">
        <v>701381</v>
      </c>
      <c r="C11" s="253">
        <v>571947</v>
      </c>
      <c r="D11" s="253">
        <v>32370</v>
      </c>
      <c r="E11" s="253">
        <v>36576</v>
      </c>
      <c r="F11" s="253">
        <v>12210</v>
      </c>
    </row>
    <row r="12" spans="1:6" ht="13.5" customHeight="1">
      <c r="A12" s="27" t="s">
        <v>360</v>
      </c>
      <c r="B12" s="254">
        <v>1249802</v>
      </c>
      <c r="C12" s="254">
        <v>1012248</v>
      </c>
      <c r="D12" s="254">
        <v>68195</v>
      </c>
      <c r="E12" s="254">
        <v>148968</v>
      </c>
      <c r="F12" s="254">
        <v>20707</v>
      </c>
    </row>
    <row r="13" spans="1:6" ht="13.5" customHeight="1">
      <c r="A13" s="25" t="s">
        <v>361</v>
      </c>
      <c r="B13" s="253">
        <v>749512</v>
      </c>
      <c r="C13" s="253">
        <v>2776637</v>
      </c>
      <c r="D13" s="253">
        <v>437737</v>
      </c>
      <c r="E13" s="253">
        <v>443850</v>
      </c>
      <c r="F13" s="253">
        <v>274467</v>
      </c>
    </row>
    <row r="14" spans="1:6" ht="13.5" customHeight="1">
      <c r="A14" s="27" t="s">
        <v>398</v>
      </c>
      <c r="B14" s="254">
        <v>2106969</v>
      </c>
      <c r="C14" s="254">
        <v>1123825</v>
      </c>
      <c r="D14" s="254">
        <v>152277</v>
      </c>
      <c r="E14" s="254">
        <v>22193</v>
      </c>
      <c r="F14" s="254">
        <v>99840</v>
      </c>
    </row>
    <row r="15" spans="1:6" ht="13.5" customHeight="1">
      <c r="A15" s="25" t="s">
        <v>362</v>
      </c>
      <c r="B15" s="253">
        <v>805938</v>
      </c>
      <c r="C15" s="253">
        <v>676288</v>
      </c>
      <c r="D15" s="253">
        <v>37095</v>
      </c>
      <c r="E15" s="253">
        <v>54670</v>
      </c>
      <c r="F15" s="253">
        <v>48078</v>
      </c>
    </row>
    <row r="16" spans="1:6" ht="13.5" customHeight="1">
      <c r="A16" s="27" t="s">
        <v>363</v>
      </c>
      <c r="B16" s="254">
        <v>33053</v>
      </c>
      <c r="C16" s="254">
        <v>447990</v>
      </c>
      <c r="D16" s="254">
        <v>31626</v>
      </c>
      <c r="E16" s="254">
        <v>48840</v>
      </c>
      <c r="F16" s="254">
        <v>45599</v>
      </c>
    </row>
    <row r="17" spans="1:6" ht="13.5" customHeight="1">
      <c r="A17" s="25" t="s">
        <v>364</v>
      </c>
      <c r="B17" s="253">
        <v>892994</v>
      </c>
      <c r="C17" s="253">
        <v>450867</v>
      </c>
      <c r="D17" s="253">
        <v>30658</v>
      </c>
      <c r="E17" s="253">
        <v>90200</v>
      </c>
      <c r="F17" s="253">
        <v>8980</v>
      </c>
    </row>
    <row r="18" spans="1:6" ht="13.5" customHeight="1">
      <c r="A18" s="27" t="s">
        <v>365</v>
      </c>
      <c r="B18" s="254">
        <v>1407251</v>
      </c>
      <c r="C18" s="254">
        <v>1420493</v>
      </c>
      <c r="D18" s="254">
        <v>588429</v>
      </c>
      <c r="E18" s="254">
        <v>95425</v>
      </c>
      <c r="F18" s="254">
        <v>466737</v>
      </c>
    </row>
    <row r="19" spans="1:6" ht="13.5" customHeight="1">
      <c r="A19" s="25" t="s">
        <v>366</v>
      </c>
      <c r="B19" s="253">
        <v>757020</v>
      </c>
      <c r="C19" s="253">
        <v>1100122</v>
      </c>
      <c r="D19" s="253">
        <v>85289</v>
      </c>
      <c r="E19" s="253">
        <v>186780</v>
      </c>
      <c r="F19" s="253">
        <v>0</v>
      </c>
    </row>
    <row r="20" spans="1:6" ht="13.5" customHeight="1">
      <c r="A20" s="27" t="s">
        <v>367</v>
      </c>
      <c r="B20" s="254">
        <v>1926965</v>
      </c>
      <c r="C20" s="254">
        <v>1679322</v>
      </c>
      <c r="D20" s="254">
        <v>128972</v>
      </c>
      <c r="E20" s="254">
        <v>416983</v>
      </c>
      <c r="F20" s="254">
        <v>57963</v>
      </c>
    </row>
    <row r="21" spans="1:6" ht="13.5" customHeight="1">
      <c r="A21" s="25" t="s">
        <v>368</v>
      </c>
      <c r="B21" s="253">
        <v>1291267</v>
      </c>
      <c r="C21" s="253">
        <v>1257308</v>
      </c>
      <c r="D21" s="253">
        <v>66182</v>
      </c>
      <c r="E21" s="253">
        <v>126720</v>
      </c>
      <c r="F21" s="253">
        <v>46074</v>
      </c>
    </row>
    <row r="22" spans="1:6" ht="13.5" customHeight="1">
      <c r="A22" s="27" t="s">
        <v>369</v>
      </c>
      <c r="B22" s="254">
        <v>299153</v>
      </c>
      <c r="C22" s="254">
        <v>993705</v>
      </c>
      <c r="D22" s="254">
        <v>117425</v>
      </c>
      <c r="E22" s="254">
        <v>53570</v>
      </c>
      <c r="F22" s="254">
        <v>128300</v>
      </c>
    </row>
    <row r="23" spans="1:6" ht="13.5" customHeight="1">
      <c r="A23" s="25" t="s">
        <v>370</v>
      </c>
      <c r="B23" s="253">
        <v>986136</v>
      </c>
      <c r="C23" s="253">
        <v>697948</v>
      </c>
      <c r="D23" s="253">
        <v>84495</v>
      </c>
      <c r="E23" s="253">
        <v>67266</v>
      </c>
      <c r="F23" s="253">
        <v>99720</v>
      </c>
    </row>
    <row r="24" spans="1:6" ht="13.5" customHeight="1">
      <c r="A24" s="27" t="s">
        <v>371</v>
      </c>
      <c r="B24" s="254">
        <v>1648152</v>
      </c>
      <c r="C24" s="254">
        <v>2271429</v>
      </c>
      <c r="D24" s="254">
        <v>112571</v>
      </c>
      <c r="E24" s="254">
        <v>357638</v>
      </c>
      <c r="F24" s="254">
        <v>251784</v>
      </c>
    </row>
    <row r="25" spans="1:6" ht="13.5" customHeight="1">
      <c r="A25" s="25" t="s">
        <v>372</v>
      </c>
      <c r="B25" s="253">
        <v>866272</v>
      </c>
      <c r="C25" s="253">
        <v>5751270</v>
      </c>
      <c r="D25" s="253">
        <v>614078</v>
      </c>
      <c r="E25" s="253">
        <v>602003</v>
      </c>
      <c r="F25" s="253">
        <v>309962</v>
      </c>
    </row>
    <row r="26" spans="1:6" ht="13.5" customHeight="1">
      <c r="A26" s="27" t="s">
        <v>373</v>
      </c>
      <c r="B26" s="254">
        <v>1517973</v>
      </c>
      <c r="C26" s="254">
        <v>1149375</v>
      </c>
      <c r="D26" s="254">
        <v>122862</v>
      </c>
      <c r="E26" s="254">
        <v>278438</v>
      </c>
      <c r="F26" s="254">
        <v>132779</v>
      </c>
    </row>
    <row r="27" spans="1:6" ht="13.5" customHeight="1">
      <c r="A27" s="25" t="s">
        <v>374</v>
      </c>
      <c r="B27" s="253">
        <v>52368</v>
      </c>
      <c r="C27" s="253">
        <v>1063663</v>
      </c>
      <c r="D27" s="253">
        <v>141540</v>
      </c>
      <c r="E27" s="253">
        <v>221650</v>
      </c>
      <c r="F27" s="253">
        <v>275957</v>
      </c>
    </row>
    <row r="28" spans="1:6" ht="13.5" customHeight="1">
      <c r="A28" s="27" t="s">
        <v>375</v>
      </c>
      <c r="B28" s="254">
        <v>1419044</v>
      </c>
      <c r="C28" s="254">
        <v>543182</v>
      </c>
      <c r="D28" s="254">
        <v>39804</v>
      </c>
      <c r="E28" s="254">
        <v>63415</v>
      </c>
      <c r="F28" s="254">
        <v>92426</v>
      </c>
    </row>
    <row r="29" spans="1:6" ht="13.5" customHeight="1">
      <c r="A29" s="25" t="s">
        <v>376</v>
      </c>
      <c r="B29" s="253">
        <v>600800</v>
      </c>
      <c r="C29" s="253">
        <v>4943412</v>
      </c>
      <c r="D29" s="253">
        <v>315496</v>
      </c>
      <c r="E29" s="253">
        <v>193490</v>
      </c>
      <c r="F29" s="253">
        <v>108418</v>
      </c>
    </row>
    <row r="30" spans="1:6" ht="13.5" customHeight="1">
      <c r="A30" s="27" t="s">
        <v>377</v>
      </c>
      <c r="B30" s="254">
        <v>784536</v>
      </c>
      <c r="C30" s="254">
        <v>570305</v>
      </c>
      <c r="D30" s="254">
        <v>27300</v>
      </c>
      <c r="E30" s="254">
        <v>34155</v>
      </c>
      <c r="F30" s="254">
        <v>43560</v>
      </c>
    </row>
    <row r="31" spans="1:6" ht="13.5" customHeight="1">
      <c r="A31" s="25" t="s">
        <v>378</v>
      </c>
      <c r="B31" s="253">
        <v>707434</v>
      </c>
      <c r="C31" s="253">
        <v>1275522</v>
      </c>
      <c r="D31" s="253">
        <v>284879</v>
      </c>
      <c r="E31" s="253">
        <v>146355</v>
      </c>
      <c r="F31" s="253">
        <v>208122</v>
      </c>
    </row>
    <row r="32" spans="1:6" ht="13.5" customHeight="1">
      <c r="A32" s="27" t="s">
        <v>379</v>
      </c>
      <c r="B32" s="254">
        <v>1121367</v>
      </c>
      <c r="C32" s="254">
        <v>791020</v>
      </c>
      <c r="D32" s="254">
        <v>56344</v>
      </c>
      <c r="E32" s="254">
        <v>128095</v>
      </c>
      <c r="F32" s="254">
        <v>83874</v>
      </c>
    </row>
    <row r="33" spans="1:6" ht="13.5" customHeight="1">
      <c r="A33" s="25" t="s">
        <v>380</v>
      </c>
      <c r="B33" s="253">
        <v>1544606</v>
      </c>
      <c r="C33" s="253">
        <v>987665</v>
      </c>
      <c r="D33" s="253">
        <v>55820</v>
      </c>
      <c r="E33" s="253">
        <v>64158</v>
      </c>
      <c r="F33" s="253">
        <v>14988</v>
      </c>
    </row>
    <row r="34" spans="1:6" ht="13.5" customHeight="1">
      <c r="A34" s="27" t="s">
        <v>381</v>
      </c>
      <c r="B34" s="254">
        <v>1249291</v>
      </c>
      <c r="C34" s="254">
        <v>788747</v>
      </c>
      <c r="D34" s="254">
        <v>43982</v>
      </c>
      <c r="E34" s="254">
        <v>92813</v>
      </c>
      <c r="F34" s="254">
        <v>61029</v>
      </c>
    </row>
    <row r="35" spans="1:6" ht="13.5" customHeight="1">
      <c r="A35" s="25" t="s">
        <v>382</v>
      </c>
      <c r="B35" s="253">
        <v>1514927</v>
      </c>
      <c r="C35" s="253">
        <v>6161221</v>
      </c>
      <c r="D35" s="253">
        <v>670937</v>
      </c>
      <c r="E35" s="253">
        <v>851483</v>
      </c>
      <c r="F35" s="253">
        <v>264736</v>
      </c>
    </row>
    <row r="36" spans="1:6" ht="13.5" customHeight="1">
      <c r="A36" s="27" t="s">
        <v>383</v>
      </c>
      <c r="B36" s="254">
        <v>1023190</v>
      </c>
      <c r="C36" s="254">
        <v>577728</v>
      </c>
      <c r="D36" s="254">
        <v>62123</v>
      </c>
      <c r="E36" s="254">
        <v>38115</v>
      </c>
      <c r="F36" s="254">
        <v>33567</v>
      </c>
    </row>
    <row r="37" spans="1:6" ht="13.5" customHeight="1">
      <c r="A37" s="25" t="s">
        <v>384</v>
      </c>
      <c r="B37" s="253">
        <v>1237874</v>
      </c>
      <c r="C37" s="253">
        <v>1981000</v>
      </c>
      <c r="D37" s="253">
        <v>67608</v>
      </c>
      <c r="E37" s="253">
        <v>117975</v>
      </c>
      <c r="F37" s="253">
        <v>159059</v>
      </c>
    </row>
    <row r="38" spans="1:6" ht="13.5" customHeight="1">
      <c r="A38" s="27" t="s">
        <v>385</v>
      </c>
      <c r="B38" s="254">
        <v>761835</v>
      </c>
      <c r="C38" s="254">
        <v>3305337</v>
      </c>
      <c r="D38" s="254">
        <v>361454</v>
      </c>
      <c r="E38" s="254">
        <v>293096</v>
      </c>
      <c r="F38" s="254">
        <v>206976</v>
      </c>
    </row>
    <row r="39" spans="1:6" ht="13.5" customHeight="1">
      <c r="A39" s="25" t="s">
        <v>386</v>
      </c>
      <c r="B39" s="253">
        <v>1084953</v>
      </c>
      <c r="C39" s="253">
        <v>523007</v>
      </c>
      <c r="D39" s="253">
        <v>37584</v>
      </c>
      <c r="E39" s="253">
        <v>32230</v>
      </c>
      <c r="F39" s="253">
        <v>8914</v>
      </c>
    </row>
    <row r="40" spans="1:6" ht="13.5" customHeight="1">
      <c r="A40" s="27" t="s">
        <v>387</v>
      </c>
      <c r="B40" s="254">
        <v>545893</v>
      </c>
      <c r="C40" s="254">
        <v>3789269</v>
      </c>
      <c r="D40" s="254">
        <v>301390</v>
      </c>
      <c r="E40" s="254">
        <v>494863</v>
      </c>
      <c r="F40" s="254">
        <v>167272</v>
      </c>
    </row>
    <row r="41" spans="1:6" ht="13.5" customHeight="1">
      <c r="A41" s="25" t="s">
        <v>388</v>
      </c>
      <c r="B41" s="253">
        <v>2672023</v>
      </c>
      <c r="C41" s="253">
        <v>2069639</v>
      </c>
      <c r="D41" s="253">
        <v>97272</v>
      </c>
      <c r="E41" s="253">
        <v>128755</v>
      </c>
      <c r="F41" s="253">
        <v>88385</v>
      </c>
    </row>
    <row r="42" spans="1:6" ht="13.5" customHeight="1">
      <c r="A42" s="27" t="s">
        <v>389</v>
      </c>
      <c r="B42" s="254">
        <v>1025655</v>
      </c>
      <c r="C42" s="254">
        <v>801780</v>
      </c>
      <c r="D42" s="254">
        <v>62578</v>
      </c>
      <c r="E42" s="254">
        <v>190630</v>
      </c>
      <c r="F42" s="254">
        <v>118872</v>
      </c>
    </row>
    <row r="43" spans="1:6" ht="13.5" customHeight="1">
      <c r="A43" s="25" t="s">
        <v>390</v>
      </c>
      <c r="B43" s="253">
        <v>612565</v>
      </c>
      <c r="C43" s="253">
        <v>376740</v>
      </c>
      <c r="D43" s="253">
        <v>24340</v>
      </c>
      <c r="E43" s="253">
        <v>41800</v>
      </c>
      <c r="F43" s="253">
        <v>10036</v>
      </c>
    </row>
    <row r="44" spans="1:6" ht="13.5" customHeight="1">
      <c r="A44" s="27" t="s">
        <v>391</v>
      </c>
      <c r="B44" s="254">
        <v>718706</v>
      </c>
      <c r="C44" s="254">
        <v>362605</v>
      </c>
      <c r="D44" s="254">
        <v>58581</v>
      </c>
      <c r="E44" s="254">
        <v>29783</v>
      </c>
      <c r="F44" s="254">
        <v>65941</v>
      </c>
    </row>
    <row r="45" spans="1:6" ht="13.5" customHeight="1">
      <c r="A45" s="25" t="s">
        <v>392</v>
      </c>
      <c r="B45" s="253">
        <v>363359</v>
      </c>
      <c r="C45" s="253">
        <v>476898</v>
      </c>
      <c r="D45" s="253">
        <v>51278</v>
      </c>
      <c r="E45" s="253">
        <v>97900</v>
      </c>
      <c r="F45" s="253">
        <v>14190</v>
      </c>
    </row>
    <row r="46" spans="1:6" ht="13.5" customHeight="1">
      <c r="A46" s="27" t="s">
        <v>393</v>
      </c>
      <c r="B46" s="254">
        <v>1165425</v>
      </c>
      <c r="C46" s="254">
        <v>11983925</v>
      </c>
      <c r="D46" s="254">
        <v>6565350</v>
      </c>
      <c r="E46" s="254">
        <v>1390098</v>
      </c>
      <c r="F46" s="254">
        <v>1805215</v>
      </c>
    </row>
    <row r="47" spans="1:6" ht="13.5" customHeight="1">
      <c r="A47" s="25" t="s">
        <v>397</v>
      </c>
      <c r="B47" s="253">
        <v>0</v>
      </c>
      <c r="C47" s="253">
        <v>0</v>
      </c>
      <c r="D47" s="253">
        <v>0</v>
      </c>
      <c r="E47" s="253">
        <v>640311</v>
      </c>
      <c r="F47" s="253">
        <v>0</v>
      </c>
    </row>
    <row r="48" spans="1:6" ht="4.5" customHeight="1">
      <c r="A48" s="29"/>
      <c r="B48" s="255"/>
      <c r="C48" s="255"/>
      <c r="D48" s="255"/>
      <c r="E48" s="255"/>
      <c r="F48" s="255"/>
    </row>
    <row r="49" spans="1:6" ht="13.5" customHeight="1">
      <c r="A49" s="31" t="s">
        <v>394</v>
      </c>
      <c r="B49" s="256">
        <f>SUM(B11:B47)</f>
        <v>37445689</v>
      </c>
      <c r="C49" s="256">
        <f>SUM(C11:C47)</f>
        <v>66753439</v>
      </c>
      <c r="D49" s="256">
        <f>SUM(D11:D47)</f>
        <v>12035921</v>
      </c>
      <c r="E49" s="256">
        <f>SUM(E11:E47)</f>
        <v>8321290</v>
      </c>
      <c r="F49" s="256">
        <f>SUM(F11:F47)</f>
        <v>5834737</v>
      </c>
    </row>
    <row r="50" spans="1:6" ht="4.5" customHeight="1">
      <c r="A50" s="29" t="s">
        <v>78</v>
      </c>
      <c r="B50" s="255"/>
      <c r="C50" s="255"/>
      <c r="D50" s="255"/>
      <c r="E50" s="255"/>
      <c r="F50" s="255"/>
    </row>
    <row r="51" spans="1:6" ht="13.5" customHeight="1">
      <c r="A51" s="27" t="s">
        <v>395</v>
      </c>
      <c r="B51" s="254">
        <v>24802</v>
      </c>
      <c r="C51" s="254">
        <v>24839</v>
      </c>
      <c r="D51" s="254">
        <v>15000</v>
      </c>
      <c r="E51" s="254">
        <v>0</v>
      </c>
      <c r="F51" s="254">
        <v>4402</v>
      </c>
    </row>
    <row r="52" spans="1:6" ht="13.5" customHeight="1">
      <c r="A52" s="25" t="s">
        <v>396</v>
      </c>
      <c r="B52" s="253">
        <v>1208</v>
      </c>
      <c r="C52" s="253">
        <v>144428</v>
      </c>
      <c r="D52" s="253">
        <v>15000</v>
      </c>
      <c r="E52" s="253">
        <v>4373</v>
      </c>
      <c r="F52" s="253">
        <v>4160</v>
      </c>
    </row>
    <row r="53" spans="1:6" ht="49.5" customHeight="1">
      <c r="A53" s="33"/>
      <c r="B53" s="33"/>
      <c r="C53" s="33"/>
      <c r="D53" s="33"/>
      <c r="E53" s="33"/>
      <c r="F53" s="33"/>
    </row>
    <row r="54" spans="1:6" ht="15" customHeight="1">
      <c r="A54" s="166" t="s">
        <v>34</v>
      </c>
      <c r="B54" s="458"/>
      <c r="C54" s="53"/>
      <c r="D54" s="53"/>
      <c r="E54" s="53"/>
      <c r="F54" s="53"/>
    </row>
    <row r="55" spans="1:6" ht="12" customHeight="1">
      <c r="A55" s="531" t="s">
        <v>573</v>
      </c>
      <c r="B55" s="53"/>
      <c r="C55" s="53"/>
      <c r="D55" s="53"/>
      <c r="E55" s="53"/>
      <c r="F55" s="521"/>
    </row>
    <row r="56" spans="1:6" ht="12" customHeight="1">
      <c r="A56" s="166" t="s">
        <v>35</v>
      </c>
      <c r="C56" s="53"/>
      <c r="D56" s="53"/>
      <c r="E56" s="53"/>
      <c r="F56" s="53"/>
    </row>
    <row r="57" spans="1:6" ht="13.5" customHeight="1">
      <c r="A57" s="53"/>
      <c r="B57" s="53"/>
      <c r="C57" s="53"/>
      <c r="D57" s="53"/>
      <c r="E57" s="53"/>
      <c r="F57" s="53"/>
    </row>
    <row r="58" spans="1:6" ht="13.5" customHeight="1">
      <c r="A58" s="53"/>
      <c r="B58" s="53"/>
      <c r="C58" s="522"/>
      <c r="D58" s="53"/>
      <c r="E58" s="53"/>
      <c r="F58"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sheetPr codeName="Sheet46">
    <pageSetUpPr fitToPage="1"/>
  </sheetPr>
  <dimension ref="A1:F54"/>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5" width="20.83203125" style="1" customWidth="1"/>
    <col min="6" max="6" width="19.83203125" style="1" customWidth="1"/>
    <col min="7" max="16384" width="19.83203125" style="1" customWidth="1"/>
  </cols>
  <sheetData>
    <row r="1" spans="1:6" ht="6.75" customHeight="1">
      <c r="A1" s="5"/>
      <c r="B1" s="5"/>
      <c r="C1" s="5"/>
      <c r="D1" s="5"/>
      <c r="E1" s="5"/>
      <c r="F1" s="5"/>
    </row>
    <row r="2" spans="1:6" ht="15.75" customHeight="1">
      <c r="A2" s="506"/>
      <c r="B2" s="366" t="str">
        <f>REVYEAR</f>
        <v>ANALYSIS OF OPERATING FUND REVENUE: 2003/2004 ACTUAL</v>
      </c>
      <c r="C2" s="507"/>
      <c r="D2" s="507"/>
      <c r="E2" s="507"/>
      <c r="F2" s="382" t="s">
        <v>313</v>
      </c>
    </row>
    <row r="3" spans="1:6" ht="15.75" customHeight="1">
      <c r="A3" s="367"/>
      <c r="B3" s="5"/>
      <c r="C3" s="5"/>
      <c r="D3" s="5"/>
      <c r="E3" s="5"/>
      <c r="F3" s="5"/>
    </row>
    <row r="4" spans="2:6" ht="15.75" customHeight="1">
      <c r="B4" s="509" t="str">
        <f>'- 57-'!B4</f>
        <v>EDUCATION, CITIZENSHIP AND YOUTH</v>
      </c>
      <c r="C4" s="175"/>
      <c r="D4" s="175"/>
      <c r="E4" s="511"/>
      <c r="F4" s="512"/>
    </row>
    <row r="5" spans="2:6" ht="15.75" customHeight="1">
      <c r="B5" s="513" t="s">
        <v>350</v>
      </c>
      <c r="C5" s="517"/>
      <c r="D5" s="517"/>
      <c r="E5" s="515"/>
      <c r="F5" s="516"/>
    </row>
    <row r="6" spans="2:6" ht="15.75" customHeight="1">
      <c r="B6" s="518" t="s">
        <v>195</v>
      </c>
      <c r="C6" s="55"/>
      <c r="D6" s="55"/>
      <c r="E6" s="282"/>
      <c r="F6" s="282"/>
    </row>
    <row r="7" spans="2:6" ht="15.75" customHeight="1">
      <c r="B7" s="393" t="s">
        <v>161</v>
      </c>
      <c r="C7" s="393" t="s">
        <v>307</v>
      </c>
      <c r="D7" s="393" t="s">
        <v>307</v>
      </c>
      <c r="E7" s="47"/>
      <c r="F7" s="393" t="s">
        <v>144</v>
      </c>
    </row>
    <row r="8" spans="1:6" ht="15.75" customHeight="1">
      <c r="A8" s="96"/>
      <c r="B8" s="519" t="s">
        <v>179</v>
      </c>
      <c r="C8" s="397" t="s">
        <v>308</v>
      </c>
      <c r="D8" s="397" t="s">
        <v>318</v>
      </c>
      <c r="E8" s="397" t="s">
        <v>132</v>
      </c>
      <c r="F8" s="397" t="s">
        <v>222</v>
      </c>
    </row>
    <row r="9" spans="1:6" ht="15.75" customHeight="1">
      <c r="A9" s="49" t="s">
        <v>175</v>
      </c>
      <c r="B9" s="68" t="s">
        <v>317</v>
      </c>
      <c r="C9" s="123" t="s">
        <v>309</v>
      </c>
      <c r="D9" s="123" t="s">
        <v>309</v>
      </c>
      <c r="E9" s="123" t="s">
        <v>36</v>
      </c>
      <c r="F9" s="123" t="s">
        <v>244</v>
      </c>
    </row>
    <row r="10" spans="1:6" ht="4.5" customHeight="1">
      <c r="A10" s="4"/>
      <c r="B10" s="5"/>
      <c r="C10" s="5"/>
      <c r="D10" s="5"/>
      <c r="E10" s="5"/>
      <c r="F10" s="5"/>
    </row>
    <row r="11" spans="1:6" ht="13.5" customHeight="1">
      <c r="A11" s="25" t="s">
        <v>359</v>
      </c>
      <c r="B11" s="253">
        <v>3415</v>
      </c>
      <c r="C11" s="253">
        <v>16907</v>
      </c>
      <c r="D11" s="253">
        <v>42525</v>
      </c>
      <c r="E11" s="253">
        <v>131644</v>
      </c>
      <c r="F11" s="253">
        <f>SUM('- 59 -'!B11:F11,B11:E11)</f>
        <v>1548975</v>
      </c>
    </row>
    <row r="12" spans="1:6" ht="13.5" customHeight="1">
      <c r="A12" s="27" t="s">
        <v>360</v>
      </c>
      <c r="B12" s="254">
        <v>13381</v>
      </c>
      <c r="C12" s="254">
        <v>27170</v>
      </c>
      <c r="D12" s="254">
        <v>72900</v>
      </c>
      <c r="E12" s="254">
        <v>199933</v>
      </c>
      <c r="F12" s="254">
        <f>SUM('- 59 -'!B12:F12,B12:E12)</f>
        <v>2813304</v>
      </c>
    </row>
    <row r="13" spans="1:6" ht="13.5" customHeight="1">
      <c r="A13" s="25" t="s">
        <v>361</v>
      </c>
      <c r="B13" s="253">
        <v>128424</v>
      </c>
      <c r="C13" s="253">
        <v>78265</v>
      </c>
      <c r="D13" s="253">
        <v>266160</v>
      </c>
      <c r="E13" s="253">
        <v>339005</v>
      </c>
      <c r="F13" s="253">
        <f>SUM('- 59 -'!B13:F13,B13:E13)</f>
        <v>5494057</v>
      </c>
    </row>
    <row r="14" spans="1:6" ht="13.5" customHeight="1">
      <c r="A14" s="27" t="s">
        <v>398</v>
      </c>
      <c r="B14" s="254">
        <v>1209935</v>
      </c>
      <c r="C14" s="254">
        <v>8417</v>
      </c>
      <c r="D14" s="254">
        <v>140130</v>
      </c>
      <c r="E14" s="254">
        <v>632509</v>
      </c>
      <c r="F14" s="254">
        <f>SUM('- 59 -'!B14:F14,B14:E14)</f>
        <v>5496095</v>
      </c>
    </row>
    <row r="15" spans="1:6" ht="13.5" customHeight="1">
      <c r="A15" s="25" t="s">
        <v>362</v>
      </c>
      <c r="B15" s="253">
        <v>6656</v>
      </c>
      <c r="C15" s="253">
        <v>17556</v>
      </c>
      <c r="D15" s="253">
        <v>46980</v>
      </c>
      <c r="E15" s="253">
        <v>49917</v>
      </c>
      <c r="F15" s="253">
        <f>SUM('- 59 -'!B15:F15,B15:E15)</f>
        <v>1743178</v>
      </c>
    </row>
    <row r="16" spans="1:6" ht="13.5" customHeight="1">
      <c r="A16" s="27" t="s">
        <v>363</v>
      </c>
      <c r="B16" s="254">
        <v>24991</v>
      </c>
      <c r="C16" s="254">
        <v>13079</v>
      </c>
      <c r="D16" s="254">
        <v>31995</v>
      </c>
      <c r="E16" s="254">
        <v>777276</v>
      </c>
      <c r="F16" s="254">
        <f>SUM('- 59 -'!B16:F16,B16:E16)</f>
        <v>1454449</v>
      </c>
    </row>
    <row r="17" spans="1:6" ht="13.5" customHeight="1">
      <c r="A17" s="25" t="s">
        <v>364</v>
      </c>
      <c r="B17" s="253">
        <v>1851</v>
      </c>
      <c r="C17" s="253">
        <v>15906</v>
      </c>
      <c r="D17" s="253">
        <v>40905</v>
      </c>
      <c r="E17" s="253">
        <v>200094</v>
      </c>
      <c r="F17" s="253">
        <f>SUM('- 59 -'!B17:F17,B17:E17)</f>
        <v>1732455</v>
      </c>
    </row>
    <row r="18" spans="1:6" ht="13.5" customHeight="1">
      <c r="A18" s="27" t="s">
        <v>365</v>
      </c>
      <c r="B18" s="254">
        <v>2583</v>
      </c>
      <c r="C18" s="254">
        <v>43325</v>
      </c>
      <c r="D18" s="254">
        <v>247858</v>
      </c>
      <c r="E18" s="254">
        <v>3072238</v>
      </c>
      <c r="F18" s="254">
        <f>SUM('- 59 -'!B18:F18,B18:E18)</f>
        <v>7344339</v>
      </c>
    </row>
    <row r="19" spans="1:6" ht="13.5" customHeight="1">
      <c r="A19" s="25" t="s">
        <v>366</v>
      </c>
      <c r="B19" s="253">
        <v>3513</v>
      </c>
      <c r="C19" s="253">
        <v>33858</v>
      </c>
      <c r="D19" s="253">
        <v>94770</v>
      </c>
      <c r="E19" s="253">
        <v>456573</v>
      </c>
      <c r="F19" s="253">
        <f>SUM('- 59 -'!B19:F19,B19:E19)</f>
        <v>2717925</v>
      </c>
    </row>
    <row r="20" spans="1:6" ht="13.5" customHeight="1">
      <c r="A20" s="27" t="s">
        <v>367</v>
      </c>
      <c r="B20" s="254">
        <v>29111</v>
      </c>
      <c r="C20" s="254">
        <v>73854</v>
      </c>
      <c r="D20" s="254">
        <v>193590</v>
      </c>
      <c r="E20" s="254">
        <v>962566</v>
      </c>
      <c r="F20" s="254">
        <f>SUM('- 59 -'!B20:F20,B20:E20)</f>
        <v>5469326</v>
      </c>
    </row>
    <row r="21" spans="1:6" ht="13.5" customHeight="1">
      <c r="A21" s="25" t="s">
        <v>368</v>
      </c>
      <c r="B21" s="253">
        <v>18392</v>
      </c>
      <c r="C21" s="253">
        <v>36322</v>
      </c>
      <c r="D21" s="253">
        <v>84240</v>
      </c>
      <c r="E21" s="253">
        <v>336198</v>
      </c>
      <c r="F21" s="253">
        <f>SUM('- 59 -'!B21:F21,B21:E21)</f>
        <v>3262703</v>
      </c>
    </row>
    <row r="22" spans="1:6" ht="13.5" customHeight="1">
      <c r="A22" s="27" t="s">
        <v>369</v>
      </c>
      <c r="B22" s="254">
        <v>40355</v>
      </c>
      <c r="C22" s="254">
        <v>19701</v>
      </c>
      <c r="D22" s="254">
        <v>61435</v>
      </c>
      <c r="E22" s="254">
        <v>1014527</v>
      </c>
      <c r="F22" s="254">
        <f>SUM('- 59 -'!B22:F22,B22:E22)</f>
        <v>2728171</v>
      </c>
    </row>
    <row r="23" spans="1:6" ht="13.5" customHeight="1">
      <c r="A23" s="25" t="s">
        <v>370</v>
      </c>
      <c r="B23" s="253">
        <v>5118</v>
      </c>
      <c r="C23" s="253">
        <v>14531</v>
      </c>
      <c r="D23" s="253">
        <v>29565</v>
      </c>
      <c r="E23" s="253">
        <v>101991</v>
      </c>
      <c r="F23" s="253">
        <f>SUM('- 59 -'!B23:F23,B23:E23)</f>
        <v>2086770</v>
      </c>
    </row>
    <row r="24" spans="1:6" ht="13.5" customHeight="1">
      <c r="A24" s="27" t="s">
        <v>371</v>
      </c>
      <c r="B24" s="254">
        <v>94453</v>
      </c>
      <c r="C24" s="254">
        <v>51018</v>
      </c>
      <c r="D24" s="254">
        <v>190550</v>
      </c>
      <c r="E24" s="254">
        <v>248430</v>
      </c>
      <c r="F24" s="254">
        <f>SUM('- 59 -'!B24:F24,B24:E24)</f>
        <v>5226025</v>
      </c>
    </row>
    <row r="25" spans="1:6" ht="13.5" customHeight="1">
      <c r="A25" s="25" t="s">
        <v>372</v>
      </c>
      <c r="B25" s="253">
        <v>983899</v>
      </c>
      <c r="C25" s="253">
        <v>165796</v>
      </c>
      <c r="D25" s="253">
        <v>457850</v>
      </c>
      <c r="E25" s="253">
        <v>595665</v>
      </c>
      <c r="F25" s="253">
        <f>SUM('- 59 -'!B25:F25,B25:E25)</f>
        <v>10346795</v>
      </c>
    </row>
    <row r="26" spans="1:6" ht="13.5" customHeight="1">
      <c r="A26" s="27" t="s">
        <v>373</v>
      </c>
      <c r="B26" s="254">
        <v>41542</v>
      </c>
      <c r="C26" s="254">
        <v>32993</v>
      </c>
      <c r="D26" s="254">
        <v>96075</v>
      </c>
      <c r="E26" s="254">
        <v>294299</v>
      </c>
      <c r="F26" s="254">
        <f>SUM('- 59 -'!B26:F26,B26:E26)</f>
        <v>3666336</v>
      </c>
    </row>
    <row r="27" spans="1:6" ht="13.5" customHeight="1">
      <c r="A27" s="25" t="s">
        <v>374</v>
      </c>
      <c r="B27" s="253">
        <v>61017</v>
      </c>
      <c r="C27" s="253">
        <v>37268</v>
      </c>
      <c r="D27" s="253">
        <v>173900</v>
      </c>
      <c r="E27" s="253">
        <v>1844630</v>
      </c>
      <c r="F27" s="253">
        <f>SUM('- 59 -'!B27:F27,B27:E27)</f>
        <v>3871993</v>
      </c>
    </row>
    <row r="28" spans="1:6" ht="13.5" customHeight="1">
      <c r="A28" s="27" t="s">
        <v>375</v>
      </c>
      <c r="B28" s="254">
        <v>6936</v>
      </c>
      <c r="C28" s="254">
        <v>21142</v>
      </c>
      <c r="D28" s="254">
        <v>49005</v>
      </c>
      <c r="E28" s="254">
        <v>143646</v>
      </c>
      <c r="F28" s="254">
        <f>SUM('- 59 -'!B28:F28,B28:E28)</f>
        <v>2378600</v>
      </c>
    </row>
    <row r="29" spans="1:6" ht="13.5" customHeight="1">
      <c r="A29" s="25" t="s">
        <v>376</v>
      </c>
      <c r="B29" s="253">
        <v>499607</v>
      </c>
      <c r="C29" s="253">
        <v>141691</v>
      </c>
      <c r="D29" s="253">
        <v>353565</v>
      </c>
      <c r="E29" s="253">
        <v>415436</v>
      </c>
      <c r="F29" s="253">
        <f>SUM('- 59 -'!B29:F29,B29:E29)</f>
        <v>7571915</v>
      </c>
    </row>
    <row r="30" spans="1:6" ht="13.5" customHeight="1">
      <c r="A30" s="27" t="s">
        <v>377</v>
      </c>
      <c r="B30" s="254">
        <v>3815</v>
      </c>
      <c r="C30" s="254">
        <v>14762</v>
      </c>
      <c r="D30" s="254">
        <v>36450</v>
      </c>
      <c r="E30" s="254">
        <v>127235</v>
      </c>
      <c r="F30" s="254">
        <f>SUM('- 59 -'!B30:F30,B30:E30)</f>
        <v>1642118</v>
      </c>
    </row>
    <row r="31" spans="1:6" ht="13.5" customHeight="1">
      <c r="A31" s="25" t="s">
        <v>378</v>
      </c>
      <c r="B31" s="253">
        <v>54097</v>
      </c>
      <c r="C31" s="253">
        <v>37301</v>
      </c>
      <c r="D31" s="253">
        <v>100035</v>
      </c>
      <c r="E31" s="253">
        <v>330339</v>
      </c>
      <c r="F31" s="253">
        <f>SUM('- 59 -'!B31:F31,B31:E31)</f>
        <v>3144084</v>
      </c>
    </row>
    <row r="32" spans="1:6" ht="13.5" customHeight="1">
      <c r="A32" s="27" t="s">
        <v>379</v>
      </c>
      <c r="B32" s="254">
        <v>42622</v>
      </c>
      <c r="C32" s="254">
        <v>26851</v>
      </c>
      <c r="D32" s="254">
        <v>73305</v>
      </c>
      <c r="E32" s="254">
        <v>340746</v>
      </c>
      <c r="F32" s="254">
        <f>SUM('- 59 -'!B32:F32,B32:E32)</f>
        <v>2664224</v>
      </c>
    </row>
    <row r="33" spans="1:6" ht="13.5" customHeight="1">
      <c r="A33" s="25" t="s">
        <v>380</v>
      </c>
      <c r="B33" s="253">
        <v>43393</v>
      </c>
      <c r="C33" s="253">
        <v>26895</v>
      </c>
      <c r="D33" s="253">
        <v>70065</v>
      </c>
      <c r="E33" s="253">
        <v>461695</v>
      </c>
      <c r="F33" s="253">
        <f>SUM('- 59 -'!B33:F33,B33:E33)</f>
        <v>3269285</v>
      </c>
    </row>
    <row r="34" spans="1:6" ht="13.5" customHeight="1">
      <c r="A34" s="27" t="s">
        <v>381</v>
      </c>
      <c r="B34" s="254">
        <v>80823</v>
      </c>
      <c r="C34" s="254">
        <v>24277</v>
      </c>
      <c r="D34" s="254">
        <v>194570</v>
      </c>
      <c r="E34" s="254">
        <v>186367</v>
      </c>
      <c r="F34" s="254">
        <f>SUM('- 59 -'!B34:F34,B34:E34)</f>
        <v>2721899</v>
      </c>
    </row>
    <row r="35" spans="1:6" ht="13.5" customHeight="1">
      <c r="A35" s="25" t="s">
        <v>382</v>
      </c>
      <c r="B35" s="253">
        <v>578894</v>
      </c>
      <c r="C35" s="253">
        <v>188397</v>
      </c>
      <c r="D35" s="253">
        <v>593320</v>
      </c>
      <c r="E35" s="253">
        <v>676181</v>
      </c>
      <c r="F35" s="253">
        <f>SUM('- 59 -'!B35:F35,B35:E35)</f>
        <v>11500096</v>
      </c>
    </row>
    <row r="36" spans="1:6" ht="13.5" customHeight="1">
      <c r="A36" s="27" t="s">
        <v>383</v>
      </c>
      <c r="B36" s="254">
        <v>8356</v>
      </c>
      <c r="C36" s="254">
        <v>21571</v>
      </c>
      <c r="D36" s="254">
        <v>54675</v>
      </c>
      <c r="E36" s="254">
        <v>153973</v>
      </c>
      <c r="F36" s="254">
        <f>SUM('- 59 -'!B36:F36,B36:E36)</f>
        <v>1973298</v>
      </c>
    </row>
    <row r="37" spans="1:6" ht="13.5" customHeight="1">
      <c r="A37" s="25" t="s">
        <v>384</v>
      </c>
      <c r="B37" s="253">
        <v>266855</v>
      </c>
      <c r="C37" s="253">
        <v>38896</v>
      </c>
      <c r="D37" s="253">
        <v>98010</v>
      </c>
      <c r="E37" s="253">
        <v>292630</v>
      </c>
      <c r="F37" s="253">
        <f>SUM('- 59 -'!B37:F37,B37:E37)</f>
        <v>4259907</v>
      </c>
    </row>
    <row r="38" spans="1:6" ht="13.5" customHeight="1">
      <c r="A38" s="27" t="s">
        <v>385</v>
      </c>
      <c r="B38" s="254">
        <v>254520</v>
      </c>
      <c r="C38" s="254">
        <v>92983</v>
      </c>
      <c r="D38" s="254">
        <v>226395</v>
      </c>
      <c r="E38" s="254">
        <v>263475</v>
      </c>
      <c r="F38" s="254">
        <f>SUM('- 59 -'!B38:F38,B38:E38)</f>
        <v>5766071</v>
      </c>
    </row>
    <row r="39" spans="1:6" ht="13.5" customHeight="1">
      <c r="A39" s="25" t="s">
        <v>386</v>
      </c>
      <c r="B39" s="253">
        <v>6619</v>
      </c>
      <c r="C39" s="253">
        <v>19624</v>
      </c>
      <c r="D39" s="253">
        <v>44550</v>
      </c>
      <c r="E39" s="253">
        <v>170062</v>
      </c>
      <c r="F39" s="253">
        <f>SUM('- 59 -'!B39:F39,B39:E39)</f>
        <v>1927543</v>
      </c>
    </row>
    <row r="40" spans="1:6" ht="13.5" customHeight="1">
      <c r="A40" s="27" t="s">
        <v>387</v>
      </c>
      <c r="B40" s="254">
        <v>315174</v>
      </c>
      <c r="C40" s="254">
        <v>100969</v>
      </c>
      <c r="D40" s="254">
        <v>376645</v>
      </c>
      <c r="E40" s="254">
        <v>170164</v>
      </c>
      <c r="F40" s="254">
        <f>SUM('- 59 -'!B40:F40,B40:E40)</f>
        <v>6261639</v>
      </c>
    </row>
    <row r="41" spans="1:6" ht="13.5" customHeight="1">
      <c r="A41" s="25" t="s">
        <v>388</v>
      </c>
      <c r="B41" s="253">
        <v>121672</v>
      </c>
      <c r="C41" s="253">
        <v>55825</v>
      </c>
      <c r="D41" s="253">
        <v>122310</v>
      </c>
      <c r="E41" s="253">
        <v>287437</v>
      </c>
      <c r="F41" s="253">
        <f>SUM('- 59 -'!B41:F41,B41:E41)</f>
        <v>5643318</v>
      </c>
    </row>
    <row r="42" spans="1:6" ht="13.5" customHeight="1">
      <c r="A42" s="27" t="s">
        <v>389</v>
      </c>
      <c r="B42" s="254">
        <v>31551</v>
      </c>
      <c r="C42" s="254">
        <v>19261</v>
      </c>
      <c r="D42" s="254">
        <v>51715</v>
      </c>
      <c r="E42" s="254">
        <v>123428</v>
      </c>
      <c r="F42" s="254">
        <f>SUM('- 59 -'!B42:F42,B42:E42)</f>
        <v>2425470</v>
      </c>
    </row>
    <row r="43" spans="1:6" ht="13.5" customHeight="1">
      <c r="A43" s="25" t="s">
        <v>390</v>
      </c>
      <c r="B43" s="253">
        <v>2996</v>
      </c>
      <c r="C43" s="253">
        <v>12562</v>
      </c>
      <c r="D43" s="253">
        <v>32400</v>
      </c>
      <c r="E43" s="253">
        <v>112409</v>
      </c>
      <c r="F43" s="253">
        <f>SUM('- 59 -'!B43:F43,B43:E43)</f>
        <v>1225848</v>
      </c>
    </row>
    <row r="44" spans="1:6" ht="13.5" customHeight="1">
      <c r="A44" s="27" t="s">
        <v>391</v>
      </c>
      <c r="B44" s="254">
        <v>16110</v>
      </c>
      <c r="C44" s="254">
        <v>9691</v>
      </c>
      <c r="D44" s="254">
        <v>26325</v>
      </c>
      <c r="E44" s="254">
        <v>99406</v>
      </c>
      <c r="F44" s="254">
        <f>SUM('- 59 -'!B44:F44,B44:E44)</f>
        <v>1387148</v>
      </c>
    </row>
    <row r="45" spans="1:6" ht="13.5" customHeight="1">
      <c r="A45" s="25" t="s">
        <v>392</v>
      </c>
      <c r="B45" s="253">
        <v>33813</v>
      </c>
      <c r="C45" s="253">
        <v>16588</v>
      </c>
      <c r="D45" s="253">
        <v>39690</v>
      </c>
      <c r="E45" s="253">
        <v>60874</v>
      </c>
      <c r="F45" s="253">
        <f>SUM('- 59 -'!B45:F45,B45:E45)</f>
        <v>1154590</v>
      </c>
    </row>
    <row r="46" spans="1:6" ht="13.5" customHeight="1">
      <c r="A46" s="27" t="s">
        <v>393</v>
      </c>
      <c r="B46" s="254">
        <v>677427</v>
      </c>
      <c r="C46" s="254">
        <v>346148</v>
      </c>
      <c r="D46" s="254">
        <v>830650</v>
      </c>
      <c r="E46" s="254">
        <v>1987949</v>
      </c>
      <c r="F46" s="254">
        <f>SUM('- 59 -'!B46:F46,B46:E46)</f>
        <v>26752187</v>
      </c>
    </row>
    <row r="47" spans="1:6" ht="13.5" customHeight="1">
      <c r="A47" s="25" t="s">
        <v>397</v>
      </c>
      <c r="B47" s="253">
        <v>0</v>
      </c>
      <c r="C47" s="253">
        <v>0</v>
      </c>
      <c r="D47" s="253">
        <v>0</v>
      </c>
      <c r="E47" s="253">
        <v>0</v>
      </c>
      <c r="F47" s="253">
        <f>SUM('- 59 -'!B47:F47,B47:E47)</f>
        <v>640311</v>
      </c>
    </row>
    <row r="48" spans="1:6" ht="4.5" customHeight="1">
      <c r="A48" s="29"/>
      <c r="B48" s="255"/>
      <c r="C48" s="255"/>
      <c r="D48" s="255"/>
      <c r="E48" s="255"/>
      <c r="F48" s="255"/>
    </row>
    <row r="49" spans="1:6" ht="13.5" customHeight="1">
      <c r="A49" s="31" t="s">
        <v>394</v>
      </c>
      <c r="B49" s="256">
        <f>SUM(B11:B47)</f>
        <v>5713916</v>
      </c>
      <c r="C49" s="256">
        <f>SUM(C11:C47)</f>
        <v>1901400</v>
      </c>
      <c r="D49" s="256">
        <f>SUM(D11:D47)</f>
        <v>5645108</v>
      </c>
      <c r="E49" s="256">
        <f>SUM(E11:E47)</f>
        <v>17660947</v>
      </c>
      <c r="F49" s="256">
        <f>SUM(F11:F47)</f>
        <v>161312447</v>
      </c>
    </row>
    <row r="50" spans="1:6" ht="4.5" customHeight="1">
      <c r="A50" s="29" t="s">
        <v>78</v>
      </c>
      <c r="B50" s="255"/>
      <c r="C50" s="255"/>
      <c r="D50" s="255"/>
      <c r="E50" s="255"/>
      <c r="F50" s="255"/>
    </row>
    <row r="51" spans="1:6" ht="13.5" customHeight="1">
      <c r="A51" s="27" t="s">
        <v>395</v>
      </c>
      <c r="B51" s="254">
        <v>259</v>
      </c>
      <c r="C51" s="254">
        <v>660</v>
      </c>
      <c r="D51" s="254">
        <v>1620</v>
      </c>
      <c r="E51" s="254">
        <v>14955</v>
      </c>
      <c r="F51" s="254">
        <f>SUM('- 59 -'!B51:F51,B51:E51)</f>
        <v>86537</v>
      </c>
    </row>
    <row r="52" spans="1:6" ht="13.5" customHeight="1">
      <c r="A52" s="25" t="s">
        <v>396</v>
      </c>
      <c r="B52" s="253">
        <v>1005</v>
      </c>
      <c r="C52" s="253">
        <v>2167</v>
      </c>
      <c r="D52" s="253">
        <v>2835</v>
      </c>
      <c r="E52" s="253">
        <v>24376</v>
      </c>
      <c r="F52" s="253">
        <f>SUM('- 59 -'!B52:F52,B52:E52)</f>
        <v>199552</v>
      </c>
    </row>
    <row r="53" spans="1:6" ht="49.5" customHeight="1">
      <c r="A53" s="33"/>
      <c r="B53" s="33"/>
      <c r="C53" s="33"/>
      <c r="D53" s="33"/>
      <c r="E53" s="33"/>
      <c r="F53" s="33"/>
    </row>
    <row r="54" spans="1:6" ht="15" customHeight="1">
      <c r="A54" s="166" t="s">
        <v>37</v>
      </c>
      <c r="E54" s="53"/>
      <c r="F54"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sheetPr codeName="Sheet48">
    <pageSetUpPr fitToPage="1"/>
  </sheetPr>
  <dimension ref="A1:F58"/>
  <sheetViews>
    <sheetView showGridLines="0" showZeros="0" workbookViewId="0" topLeftCell="A1">
      <selection activeCell="A1" sqref="A1"/>
    </sheetView>
  </sheetViews>
  <sheetFormatPr defaultColWidth="23.83203125" defaultRowHeight="12"/>
  <cols>
    <col min="1" max="1" width="32.83203125" style="1" customWidth="1"/>
    <col min="2" max="4" width="21.83203125" style="1" customWidth="1"/>
    <col min="5" max="5" width="22.83203125" style="1" customWidth="1"/>
    <col min="6" max="6" width="12.83203125" style="1" customWidth="1"/>
    <col min="7" max="16384" width="23.83203125" style="1" customWidth="1"/>
  </cols>
  <sheetData>
    <row r="1" spans="1:6" ht="6.75" customHeight="1">
      <c r="A1" s="5"/>
      <c r="B1" s="5"/>
      <c r="C1" s="5"/>
      <c r="D1" s="5"/>
      <c r="E1" s="5"/>
      <c r="F1" s="5"/>
    </row>
    <row r="2" spans="1:6" ht="15.75" customHeight="1">
      <c r="A2" s="506"/>
      <c r="B2" s="366" t="str">
        <f>REVYEAR</f>
        <v>ANALYSIS OF OPERATING FUND REVENUE: 2003/2004 ACTUAL</v>
      </c>
      <c r="C2" s="366"/>
      <c r="D2" s="507"/>
      <c r="E2" s="507"/>
      <c r="F2" s="382" t="s">
        <v>314</v>
      </c>
    </row>
    <row r="3" spans="1:6" ht="15.75" customHeight="1">
      <c r="A3" s="367"/>
      <c r="B3" s="508"/>
      <c r="C3" s="508"/>
      <c r="D3" s="508"/>
      <c r="E3" s="508"/>
      <c r="F3" s="5"/>
    </row>
    <row r="4" ht="15.75" customHeight="1"/>
    <row r="5" spans="2:5" ht="15.75" customHeight="1">
      <c r="B5" s="509" t="str">
        <f>'- 57-'!B4</f>
        <v>EDUCATION, CITIZENSHIP AND YOUTH</v>
      </c>
      <c r="C5" s="510"/>
      <c r="D5" s="511"/>
      <c r="E5" s="512"/>
    </row>
    <row r="6" spans="2:5" ht="15.75" customHeight="1">
      <c r="B6" s="513" t="s">
        <v>350</v>
      </c>
      <c r="C6" s="514"/>
      <c r="D6" s="515"/>
      <c r="E6" s="516"/>
    </row>
    <row r="7" spans="2:5" ht="15.75" customHeight="1">
      <c r="B7" s="393"/>
      <c r="C7" s="393" t="s">
        <v>485</v>
      </c>
      <c r="D7" s="393" t="s">
        <v>132</v>
      </c>
      <c r="E7" s="392" t="s">
        <v>352</v>
      </c>
    </row>
    <row r="8" spans="1:5" ht="15.75" customHeight="1">
      <c r="A8" s="47"/>
      <c r="B8" s="397" t="s">
        <v>358</v>
      </c>
      <c r="C8" s="397" t="s">
        <v>486</v>
      </c>
      <c r="D8" s="397" t="s">
        <v>223</v>
      </c>
      <c r="E8" s="396" t="s">
        <v>353</v>
      </c>
    </row>
    <row r="9" spans="1:5" ht="15.75" customHeight="1">
      <c r="A9" s="122" t="s">
        <v>175</v>
      </c>
      <c r="B9" s="123" t="s">
        <v>26</v>
      </c>
      <c r="C9" s="123" t="s">
        <v>584</v>
      </c>
      <c r="D9" s="123" t="s">
        <v>583</v>
      </c>
      <c r="E9" s="114" t="s">
        <v>223</v>
      </c>
    </row>
    <row r="10" spans="1:5" ht="4.5" customHeight="1">
      <c r="A10" s="4"/>
      <c r="B10" s="5"/>
      <c r="C10" s="5"/>
      <c r="D10" s="5"/>
      <c r="E10" s="5"/>
    </row>
    <row r="11" spans="1:5" ht="13.5" customHeight="1">
      <c r="A11" s="25" t="s">
        <v>359</v>
      </c>
      <c r="B11" s="253">
        <v>441000</v>
      </c>
      <c r="C11" s="253">
        <v>0</v>
      </c>
      <c r="D11" s="253">
        <v>87887</v>
      </c>
      <c r="E11" s="253">
        <f>SUM('- 58 -'!F11,'- 60-'!F11,B11:D11)</f>
        <v>6846734</v>
      </c>
    </row>
    <row r="12" spans="1:5" ht="13.5" customHeight="1">
      <c r="A12" s="27" t="s">
        <v>360</v>
      </c>
      <c r="B12" s="254">
        <v>1152077</v>
      </c>
      <c r="C12" s="254">
        <v>133581</v>
      </c>
      <c r="D12" s="254">
        <v>111604</v>
      </c>
      <c r="E12" s="254">
        <f>SUM('- 58 -'!F12,'- 60-'!F12,B12:D12)</f>
        <v>11199284</v>
      </c>
    </row>
    <row r="13" spans="1:5" ht="13.5" customHeight="1">
      <c r="A13" s="25" t="s">
        <v>361</v>
      </c>
      <c r="B13" s="253">
        <v>2340772</v>
      </c>
      <c r="C13" s="253">
        <v>0</v>
      </c>
      <c r="D13" s="253">
        <v>204081</v>
      </c>
      <c r="E13" s="253">
        <f>SUM('- 58 -'!F13,'- 60-'!F13,B13:D13)</f>
        <v>27590392</v>
      </c>
    </row>
    <row r="14" spans="1:5" ht="13.5" customHeight="1">
      <c r="A14" s="27" t="s">
        <v>398</v>
      </c>
      <c r="B14" s="254">
        <v>2959976</v>
      </c>
      <c r="C14" s="254">
        <v>42356</v>
      </c>
      <c r="D14" s="254">
        <v>28380</v>
      </c>
      <c r="E14" s="254">
        <f>SUM('- 58 -'!F14,'- 60-'!F14,B14:D14)</f>
        <v>21441198</v>
      </c>
    </row>
    <row r="15" spans="1:5" ht="13.5" customHeight="1">
      <c r="A15" s="25" t="s">
        <v>362</v>
      </c>
      <c r="B15" s="253">
        <v>0</v>
      </c>
      <c r="C15" s="253">
        <v>0</v>
      </c>
      <c r="D15" s="253">
        <v>74569</v>
      </c>
      <c r="E15" s="253">
        <f>SUM('- 58 -'!F15,'- 60-'!F15,B15:D15)</f>
        <v>6739278</v>
      </c>
    </row>
    <row r="16" spans="1:5" ht="13.5" customHeight="1">
      <c r="A16" s="27" t="s">
        <v>363</v>
      </c>
      <c r="B16" s="254">
        <v>1068016</v>
      </c>
      <c r="C16" s="254">
        <v>0</v>
      </c>
      <c r="D16" s="254">
        <v>58061</v>
      </c>
      <c r="E16" s="254">
        <f>SUM('- 58 -'!F16,'- 60-'!F16,B16:D16)</f>
        <v>6139846</v>
      </c>
    </row>
    <row r="17" spans="1:5" ht="13.5" customHeight="1">
      <c r="A17" s="25" t="s">
        <v>364</v>
      </c>
      <c r="B17" s="253">
        <v>244728</v>
      </c>
      <c r="C17" s="253">
        <v>0</v>
      </c>
      <c r="D17" s="253">
        <v>80628</v>
      </c>
      <c r="E17" s="253">
        <f>SUM('- 58 -'!F17,'- 60-'!F17,B17:D17)</f>
        <v>6729701</v>
      </c>
    </row>
    <row r="18" spans="1:5" ht="13.5" customHeight="1">
      <c r="A18" s="27" t="s">
        <v>365</v>
      </c>
      <c r="B18" s="254">
        <v>6130276</v>
      </c>
      <c r="C18" s="254">
        <v>125367</v>
      </c>
      <c r="D18" s="254">
        <v>272823</v>
      </c>
      <c r="E18" s="254">
        <f>SUM('- 58 -'!F18,'- 60-'!F18,B18:D18)</f>
        <v>26432139</v>
      </c>
    </row>
    <row r="19" spans="1:5" ht="13.5" customHeight="1">
      <c r="A19" s="25" t="s">
        <v>366</v>
      </c>
      <c r="B19" s="253">
        <v>1576070</v>
      </c>
      <c r="C19" s="253">
        <v>0</v>
      </c>
      <c r="D19" s="253">
        <v>77451</v>
      </c>
      <c r="E19" s="253">
        <f>SUM('- 58 -'!F19,'- 60-'!F19,B19:D19)</f>
        <v>12408458</v>
      </c>
    </row>
    <row r="20" spans="1:5" ht="13.5" customHeight="1">
      <c r="A20" s="27" t="s">
        <v>367</v>
      </c>
      <c r="B20" s="254">
        <v>2922155</v>
      </c>
      <c r="C20" s="254">
        <v>0</v>
      </c>
      <c r="D20" s="254">
        <v>195576</v>
      </c>
      <c r="E20" s="254">
        <f>SUM('- 58 -'!F20,'- 60-'!F20,B20:D20)</f>
        <v>24951669</v>
      </c>
    </row>
    <row r="21" spans="1:5" ht="13.5" customHeight="1">
      <c r="A21" s="25" t="s">
        <v>368</v>
      </c>
      <c r="B21" s="253">
        <v>1762072</v>
      </c>
      <c r="C21" s="253">
        <v>0</v>
      </c>
      <c r="D21" s="253">
        <v>152655</v>
      </c>
      <c r="E21" s="253">
        <f>SUM('- 58 -'!F21,'- 60-'!F21,B21:D21)</f>
        <v>14994993</v>
      </c>
    </row>
    <row r="22" spans="1:5" ht="13.5" customHeight="1">
      <c r="A22" s="27" t="s">
        <v>369</v>
      </c>
      <c r="B22" s="254">
        <v>1164714</v>
      </c>
      <c r="C22" s="254">
        <v>0</v>
      </c>
      <c r="D22" s="254">
        <v>96076</v>
      </c>
      <c r="E22" s="254">
        <f>SUM('- 58 -'!F22,'- 60-'!F22,B22:D22)</f>
        <v>8643481</v>
      </c>
    </row>
    <row r="23" spans="1:5" ht="13.5" customHeight="1">
      <c r="A23" s="25" t="s">
        <v>370</v>
      </c>
      <c r="B23" s="253">
        <v>839146</v>
      </c>
      <c r="C23" s="253">
        <v>0</v>
      </c>
      <c r="D23" s="253">
        <v>105762</v>
      </c>
      <c r="E23" s="253">
        <f>SUM('- 58 -'!F23,'- 60-'!F23,B23:D23)</f>
        <v>7321585</v>
      </c>
    </row>
    <row r="24" spans="1:5" ht="13.5" customHeight="1">
      <c r="A24" s="27" t="s">
        <v>371</v>
      </c>
      <c r="B24" s="254">
        <v>1678245</v>
      </c>
      <c r="C24" s="254">
        <v>0</v>
      </c>
      <c r="D24" s="254">
        <v>176101</v>
      </c>
      <c r="E24" s="254">
        <f>SUM('- 58 -'!F24,'- 60-'!F24,B24:D24)</f>
        <v>19794274</v>
      </c>
    </row>
    <row r="25" spans="1:5" ht="13.5" customHeight="1">
      <c r="A25" s="25" t="s">
        <v>372</v>
      </c>
      <c r="B25" s="253">
        <v>8729401</v>
      </c>
      <c r="C25" s="253">
        <v>719809</v>
      </c>
      <c r="D25" s="253">
        <v>471949</v>
      </c>
      <c r="E25" s="253">
        <f>SUM('- 58 -'!F25,'- 60-'!F25,B25:D25)</f>
        <v>60938289</v>
      </c>
    </row>
    <row r="26" spans="1:5" ht="13.5" customHeight="1">
      <c r="A26" s="27" t="s">
        <v>373</v>
      </c>
      <c r="B26" s="254">
        <v>1915688</v>
      </c>
      <c r="C26" s="254">
        <v>320744</v>
      </c>
      <c r="D26" s="254">
        <v>188637</v>
      </c>
      <c r="E26" s="254">
        <f>SUM('- 58 -'!F26,'- 60-'!F26,B26:D26)</f>
        <v>16196191</v>
      </c>
    </row>
    <row r="27" spans="1:5" ht="13.5" customHeight="1">
      <c r="A27" s="25" t="s">
        <v>374</v>
      </c>
      <c r="B27" s="253">
        <v>5552391</v>
      </c>
      <c r="C27" s="253">
        <v>0</v>
      </c>
      <c r="D27" s="253">
        <v>85256</v>
      </c>
      <c r="E27" s="253">
        <f>SUM('- 58 -'!F27,'- 60-'!F27,B27:D27)</f>
        <v>18150230</v>
      </c>
    </row>
    <row r="28" spans="1:5" ht="13.5" customHeight="1">
      <c r="A28" s="27" t="s">
        <v>375</v>
      </c>
      <c r="B28" s="254">
        <v>642344</v>
      </c>
      <c r="C28" s="254">
        <v>21985</v>
      </c>
      <c r="D28" s="254">
        <v>103172</v>
      </c>
      <c r="E28" s="254">
        <f>SUM('- 58 -'!F28,'- 60-'!F28,B28:D28)</f>
        <v>9537014</v>
      </c>
    </row>
    <row r="29" spans="1:5" ht="13.5" customHeight="1">
      <c r="A29" s="25" t="s">
        <v>376</v>
      </c>
      <c r="B29" s="253">
        <v>3323019</v>
      </c>
      <c r="C29" s="253">
        <v>0</v>
      </c>
      <c r="D29" s="253">
        <v>357471</v>
      </c>
      <c r="E29" s="253">
        <f>SUM('- 58 -'!F29,'- 60-'!F29,B29:D29)</f>
        <v>47614106</v>
      </c>
    </row>
    <row r="30" spans="1:5" ht="13.5" customHeight="1">
      <c r="A30" s="27" t="s">
        <v>377</v>
      </c>
      <c r="B30" s="254">
        <v>638581</v>
      </c>
      <c r="C30" s="254">
        <v>0</v>
      </c>
      <c r="D30" s="254">
        <v>70764</v>
      </c>
      <c r="E30" s="254">
        <f>SUM('- 58 -'!F30,'- 60-'!F30,B30:D30)</f>
        <v>6292642</v>
      </c>
    </row>
    <row r="31" spans="1:5" ht="13.5" customHeight="1">
      <c r="A31" s="25" t="s">
        <v>378</v>
      </c>
      <c r="B31" s="253">
        <v>1328069</v>
      </c>
      <c r="C31" s="253">
        <v>0</v>
      </c>
      <c r="D31" s="253">
        <v>265787</v>
      </c>
      <c r="E31" s="253">
        <f>SUM('- 58 -'!F31,'- 60-'!F31,B31:D31)</f>
        <v>14494406</v>
      </c>
    </row>
    <row r="32" spans="1:5" ht="13.5" customHeight="1">
      <c r="A32" s="27" t="s">
        <v>379</v>
      </c>
      <c r="B32" s="254">
        <v>628034</v>
      </c>
      <c r="C32" s="254">
        <v>12631</v>
      </c>
      <c r="D32" s="254">
        <v>131508</v>
      </c>
      <c r="E32" s="254">
        <f>SUM('- 58 -'!F32,'- 60-'!F32,B32:D32)</f>
        <v>10768629</v>
      </c>
    </row>
    <row r="33" spans="1:5" ht="13.5" customHeight="1">
      <c r="A33" s="25" t="s">
        <v>380</v>
      </c>
      <c r="B33" s="253">
        <v>1404793</v>
      </c>
      <c r="C33" s="253">
        <v>147210</v>
      </c>
      <c r="D33" s="253">
        <v>151589</v>
      </c>
      <c r="E33" s="253">
        <f>SUM('- 58 -'!F33,'- 60-'!F33,B33:D33)</f>
        <v>13220486</v>
      </c>
    </row>
    <row r="34" spans="1:5" ht="13.5" customHeight="1">
      <c r="A34" s="27" t="s">
        <v>381</v>
      </c>
      <c r="B34" s="254">
        <v>560363</v>
      </c>
      <c r="C34" s="254">
        <v>96085</v>
      </c>
      <c r="D34" s="254">
        <v>177003</v>
      </c>
      <c r="E34" s="254">
        <f>SUM('- 58 -'!F34,'- 60-'!F34,B34:D34)</f>
        <v>10339802</v>
      </c>
    </row>
    <row r="35" spans="1:5" ht="13.5" customHeight="1">
      <c r="A35" s="25" t="s">
        <v>382</v>
      </c>
      <c r="B35" s="253">
        <v>13629061</v>
      </c>
      <c r="C35" s="253">
        <v>84123</v>
      </c>
      <c r="D35" s="253">
        <v>721234</v>
      </c>
      <c r="E35" s="253">
        <f>SUM('- 58 -'!F35,'- 60-'!F35,B35:D35)</f>
        <v>73761790</v>
      </c>
    </row>
    <row r="36" spans="1:5" ht="13.5" customHeight="1">
      <c r="A36" s="27" t="s">
        <v>383</v>
      </c>
      <c r="B36" s="254">
        <v>772328</v>
      </c>
      <c r="C36" s="254">
        <v>0</v>
      </c>
      <c r="D36" s="254">
        <v>79635</v>
      </c>
      <c r="E36" s="254">
        <f>SUM('- 58 -'!F36,'- 60-'!F36,B36:D36)</f>
        <v>9086417</v>
      </c>
    </row>
    <row r="37" spans="1:5" ht="13.5" customHeight="1">
      <c r="A37" s="25" t="s">
        <v>384</v>
      </c>
      <c r="B37" s="253">
        <v>2436016</v>
      </c>
      <c r="C37" s="253">
        <v>0</v>
      </c>
      <c r="D37" s="253">
        <v>109366</v>
      </c>
      <c r="E37" s="253">
        <f>SUM('- 58 -'!F37,'- 60-'!F37,B37:D37)</f>
        <v>16681436</v>
      </c>
    </row>
    <row r="38" spans="1:5" ht="13.5" customHeight="1">
      <c r="A38" s="27" t="s">
        <v>385</v>
      </c>
      <c r="B38" s="254">
        <v>8473468</v>
      </c>
      <c r="C38" s="254">
        <v>0</v>
      </c>
      <c r="D38" s="254">
        <v>-21963</v>
      </c>
      <c r="E38" s="254">
        <f>SUM('- 58 -'!F38,'- 60-'!F38,B38:D38)</f>
        <v>36979734</v>
      </c>
    </row>
    <row r="39" spans="1:5" ht="13.5" customHeight="1">
      <c r="A39" s="25" t="s">
        <v>386</v>
      </c>
      <c r="B39" s="253">
        <v>323351</v>
      </c>
      <c r="C39" s="253">
        <v>80427</v>
      </c>
      <c r="D39" s="253">
        <v>107735</v>
      </c>
      <c r="E39" s="253">
        <f>SUM('- 58 -'!F39,'- 60-'!F39,B39:D39)</f>
        <v>8203958</v>
      </c>
    </row>
    <row r="40" spans="1:5" ht="13.5" customHeight="1">
      <c r="A40" s="27" t="s">
        <v>387</v>
      </c>
      <c r="B40" s="254">
        <v>1099906</v>
      </c>
      <c r="C40" s="254">
        <v>0</v>
      </c>
      <c r="D40" s="254">
        <v>375177</v>
      </c>
      <c r="E40" s="254">
        <f>SUM('- 58 -'!F40,'- 60-'!F40,B40:D40)</f>
        <v>32632716</v>
      </c>
    </row>
    <row r="41" spans="1:5" ht="13.5" customHeight="1">
      <c r="A41" s="25" t="s">
        <v>388</v>
      </c>
      <c r="B41" s="253">
        <v>2226661</v>
      </c>
      <c r="C41" s="253">
        <v>77514</v>
      </c>
      <c r="D41" s="253">
        <v>30149</v>
      </c>
      <c r="E41" s="253">
        <f>SUM('- 58 -'!F41,'- 60-'!F41,B41:D41)</f>
        <v>21705507</v>
      </c>
    </row>
    <row r="42" spans="1:5" ht="13.5" customHeight="1">
      <c r="A42" s="27" t="s">
        <v>389</v>
      </c>
      <c r="B42" s="254">
        <v>1389325</v>
      </c>
      <c r="C42" s="254">
        <v>0</v>
      </c>
      <c r="D42" s="254">
        <v>115642</v>
      </c>
      <c r="E42" s="254">
        <f>SUM('- 58 -'!F42,'- 60-'!F42,B42:D42)</f>
        <v>9446425</v>
      </c>
    </row>
    <row r="43" spans="1:5" ht="13.5" customHeight="1">
      <c r="A43" s="25" t="s">
        <v>390</v>
      </c>
      <c r="B43" s="253">
        <v>466775</v>
      </c>
      <c r="C43" s="253">
        <v>0</v>
      </c>
      <c r="D43" s="253">
        <v>49817</v>
      </c>
      <c r="E43" s="253">
        <f>SUM('- 58 -'!F43,'- 60-'!F43,B43:D43)</f>
        <v>5314668</v>
      </c>
    </row>
    <row r="44" spans="1:5" ht="13.5" customHeight="1">
      <c r="A44" s="27" t="s">
        <v>391</v>
      </c>
      <c r="B44" s="254">
        <v>717710</v>
      </c>
      <c r="C44" s="254">
        <v>0</v>
      </c>
      <c r="D44" s="254">
        <v>60579</v>
      </c>
      <c r="E44" s="254">
        <f>SUM('- 58 -'!F44,'- 60-'!F44,B44:D44)</f>
        <v>4851527</v>
      </c>
    </row>
    <row r="45" spans="1:5" ht="13.5" customHeight="1">
      <c r="A45" s="25" t="s">
        <v>392</v>
      </c>
      <c r="B45" s="253">
        <v>829493</v>
      </c>
      <c r="C45" s="253">
        <v>0</v>
      </c>
      <c r="D45" s="253">
        <v>43368</v>
      </c>
      <c r="E45" s="253">
        <f>SUM('- 58 -'!F45,'- 60-'!F45,B45:D45)</f>
        <v>5989827</v>
      </c>
    </row>
    <row r="46" spans="1:5" ht="13.5" customHeight="1">
      <c r="A46" s="27" t="s">
        <v>393</v>
      </c>
      <c r="B46" s="254">
        <v>19057411</v>
      </c>
      <c r="C46" s="254">
        <v>0</v>
      </c>
      <c r="D46" s="254">
        <v>443478</v>
      </c>
      <c r="E46" s="254">
        <f>SUM('- 58 -'!F46,'- 60-'!F46,B46:D46)</f>
        <v>130727242</v>
      </c>
    </row>
    <row r="47" spans="1:5" ht="13.5" customHeight="1">
      <c r="A47" s="25" t="s">
        <v>397</v>
      </c>
      <c r="B47" s="253">
        <v>0</v>
      </c>
      <c r="C47" s="253">
        <v>0</v>
      </c>
      <c r="D47" s="253">
        <v>121235</v>
      </c>
      <c r="E47" s="253">
        <f>SUM('- 58 -'!F47,'- 60-'!F47,B47:D47)</f>
        <v>761546</v>
      </c>
    </row>
    <row r="48" spans="1:5" ht="4.5" customHeight="1">
      <c r="A48" s="29"/>
      <c r="B48" s="255"/>
      <c r="C48" s="255"/>
      <c r="D48" s="255"/>
      <c r="E48" s="255"/>
    </row>
    <row r="49" spans="1:5" ht="13.5" customHeight="1">
      <c r="A49" s="31" t="s">
        <v>394</v>
      </c>
      <c r="B49" s="256">
        <f>SUM(B11:B47)</f>
        <v>100423435</v>
      </c>
      <c r="C49" s="256">
        <f>SUM(C11:C47)</f>
        <v>1861832</v>
      </c>
      <c r="D49" s="256">
        <f>SUM(D11:D47)</f>
        <v>5960242</v>
      </c>
      <c r="E49" s="256">
        <f>SUM(E11:E47)</f>
        <v>764927620</v>
      </c>
    </row>
    <row r="50" spans="1:5" ht="4.5" customHeight="1">
      <c r="A50" s="29" t="s">
        <v>78</v>
      </c>
      <c r="B50" s="255"/>
      <c r="C50" s="255"/>
      <c r="D50" s="255"/>
      <c r="E50" s="255"/>
    </row>
    <row r="51" spans="1:5" ht="13.5" customHeight="1">
      <c r="A51" s="27" t="s">
        <v>395</v>
      </c>
      <c r="B51" s="254">
        <v>0</v>
      </c>
      <c r="C51" s="254">
        <v>0</v>
      </c>
      <c r="D51" s="254">
        <v>-272</v>
      </c>
      <c r="E51" s="254">
        <f>SUM('- 58 -'!F51,'- 60-'!F51,B51:D51)</f>
        <v>189804</v>
      </c>
    </row>
    <row r="52" spans="1:5" ht="13.5" customHeight="1">
      <c r="A52" s="25" t="s">
        <v>396</v>
      </c>
      <c r="B52" s="253">
        <v>0</v>
      </c>
      <c r="C52" s="253">
        <v>0</v>
      </c>
      <c r="D52" s="253">
        <v>1562</v>
      </c>
      <c r="E52" s="253">
        <f>SUM('- 58 -'!F52,'- 60-'!F52,B52:D52)</f>
        <v>500297</v>
      </c>
    </row>
    <row r="53" spans="1:6" ht="49.5" customHeight="1">
      <c r="A53" s="33"/>
      <c r="B53" s="33"/>
      <c r="C53" s="33"/>
      <c r="D53" s="33"/>
      <c r="E53" s="33"/>
      <c r="F53" s="33"/>
    </row>
    <row r="54" spans="1:5" ht="15" customHeight="1">
      <c r="A54" s="435" t="s">
        <v>38</v>
      </c>
      <c r="B54" s="53"/>
      <c r="C54" s="53"/>
      <c r="D54" s="53"/>
      <c r="E54" s="53"/>
    </row>
    <row r="55" spans="1:5" ht="12" customHeight="1">
      <c r="A55" s="208" t="s">
        <v>39</v>
      </c>
      <c r="B55" s="53"/>
      <c r="C55" s="53"/>
      <c r="D55" s="53"/>
      <c r="E55" s="53"/>
    </row>
    <row r="56" ht="12">
      <c r="A56" s="2" t="s">
        <v>585</v>
      </c>
    </row>
    <row r="57" ht="12">
      <c r="A57" s="2" t="s">
        <v>588</v>
      </c>
    </row>
    <row r="58" ht="12">
      <c r="A58" s="1" t="s">
        <v>589</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sheetPr codeName="Sheet611">
    <pageSetUpPr fitToPage="1"/>
  </sheetPr>
  <dimension ref="A1:G66"/>
  <sheetViews>
    <sheetView showGridLines="0" showZeros="0" workbookViewId="0" topLeftCell="A1">
      <selection activeCell="A1" sqref="A1"/>
    </sheetView>
  </sheetViews>
  <sheetFormatPr defaultColWidth="14.83203125" defaultRowHeight="12"/>
  <cols>
    <col min="1" max="1" width="27.83203125" style="1" customWidth="1"/>
    <col min="2" max="2" width="15.83203125" style="1" customWidth="1"/>
    <col min="3" max="3" width="17.83203125" style="1" customWidth="1"/>
    <col min="4" max="4" width="20.83203125" style="1" customWidth="1"/>
    <col min="5" max="7" width="17.83203125" style="1" customWidth="1"/>
    <col min="8" max="16384" width="14.83203125" style="1" customWidth="1"/>
  </cols>
  <sheetData>
    <row r="1" spans="1:4" ht="6.75" customHeight="1">
      <c r="A1" s="5"/>
      <c r="B1" s="6"/>
      <c r="C1" s="6"/>
      <c r="D1" s="6"/>
    </row>
    <row r="2" spans="1:7" ht="18" customHeight="1">
      <c r="A2" s="483"/>
      <c r="B2" s="287" t="s">
        <v>42</v>
      </c>
      <c r="C2" s="288"/>
      <c r="D2" s="288"/>
      <c r="E2" s="288"/>
      <c r="F2" s="288"/>
      <c r="G2" s="497" t="s">
        <v>489</v>
      </c>
    </row>
    <row r="3" spans="1:7" ht="3.75" customHeight="1">
      <c r="A3" s="485"/>
      <c r="B3" s="486"/>
      <c r="C3" s="486"/>
      <c r="D3" s="486"/>
      <c r="E3" s="486"/>
      <c r="F3" s="486"/>
      <c r="G3" s="498"/>
    </row>
    <row r="4" spans="1:7" ht="13.5" customHeight="1">
      <c r="A4" s="499"/>
      <c r="B4" s="500" t="s">
        <v>490</v>
      </c>
      <c r="C4" s="501"/>
      <c r="D4" s="501"/>
      <c r="E4" s="501"/>
      <c r="F4" s="501"/>
      <c r="G4" s="502"/>
    </row>
    <row r="5" spans="1:7" ht="12.75" customHeight="1">
      <c r="A5" s="503"/>
      <c r="B5" s="490"/>
      <c r="C5" s="490"/>
      <c r="D5" s="490"/>
      <c r="E5" s="490"/>
      <c r="F5" s="490" t="s">
        <v>491</v>
      </c>
      <c r="G5" s="490"/>
    </row>
    <row r="6" spans="1:7" ht="12.75" customHeight="1">
      <c r="A6" s="488"/>
      <c r="B6" s="490"/>
      <c r="C6" s="490"/>
      <c r="D6" s="490"/>
      <c r="E6" s="490"/>
      <c r="F6" s="490" t="s">
        <v>492</v>
      </c>
      <c r="G6" s="490"/>
    </row>
    <row r="7" spans="1:7" ht="12.75" customHeight="1">
      <c r="A7" s="488"/>
      <c r="B7" s="490"/>
      <c r="C7" s="490" t="s">
        <v>493</v>
      </c>
      <c r="D7" s="490"/>
      <c r="E7" s="490" t="s">
        <v>495</v>
      </c>
      <c r="F7" s="490" t="s">
        <v>287</v>
      </c>
      <c r="G7" s="490"/>
    </row>
    <row r="8" spans="1:7" ht="12.75" customHeight="1">
      <c r="A8" s="488"/>
      <c r="B8" s="490"/>
      <c r="C8" s="490" t="s">
        <v>494</v>
      </c>
      <c r="D8" s="490"/>
      <c r="E8" s="490" t="s">
        <v>142</v>
      </c>
      <c r="F8" s="490" t="s">
        <v>496</v>
      </c>
      <c r="G8" s="490"/>
    </row>
    <row r="9" spans="1:7" ht="12.75" customHeight="1">
      <c r="A9" s="488"/>
      <c r="B9" s="490" t="s">
        <v>293</v>
      </c>
      <c r="C9" s="490" t="s">
        <v>248</v>
      </c>
      <c r="D9" s="490" t="s">
        <v>106</v>
      </c>
      <c r="E9" s="490" t="s">
        <v>501</v>
      </c>
      <c r="F9" s="490" t="s">
        <v>497</v>
      </c>
      <c r="G9" s="490" t="s">
        <v>144</v>
      </c>
    </row>
    <row r="10" spans="1:7" ht="12.75" customHeight="1">
      <c r="A10" s="19"/>
      <c r="B10" s="490" t="s">
        <v>498</v>
      </c>
      <c r="C10" s="490" t="s">
        <v>499</v>
      </c>
      <c r="D10" s="490" t="s">
        <v>500</v>
      </c>
      <c r="E10" s="490" t="s">
        <v>46</v>
      </c>
      <c r="F10" s="490" t="s">
        <v>502</v>
      </c>
      <c r="G10" s="490" t="s">
        <v>503</v>
      </c>
    </row>
    <row r="11" spans="1:7" ht="12.75" customHeight="1">
      <c r="A11" s="21" t="s">
        <v>175</v>
      </c>
      <c r="B11" s="532" t="s">
        <v>447</v>
      </c>
      <c r="C11" s="532" t="s">
        <v>504</v>
      </c>
      <c r="D11" s="532" t="s">
        <v>505</v>
      </c>
      <c r="E11" s="532" t="s">
        <v>45</v>
      </c>
      <c r="F11" s="504" t="s">
        <v>149</v>
      </c>
      <c r="G11" s="504" t="s">
        <v>149</v>
      </c>
    </row>
    <row r="12" spans="1:5" ht="4.5" customHeight="1">
      <c r="A12" s="24"/>
      <c r="C12" s="479"/>
      <c r="D12" s="372"/>
      <c r="E12" s="5"/>
    </row>
    <row r="13" spans="1:7" ht="13.5" customHeight="1">
      <c r="A13" s="441" t="s">
        <v>359</v>
      </c>
      <c r="B13" s="253">
        <v>430327</v>
      </c>
      <c r="C13" s="253">
        <v>0</v>
      </c>
      <c r="D13" s="253">
        <v>43738</v>
      </c>
      <c r="E13" s="253">
        <f>'- 32 -'!B11</f>
        <v>48771</v>
      </c>
      <c r="F13" s="253">
        <v>-21456</v>
      </c>
      <c r="G13" s="253">
        <f>SUM(B13:F13)</f>
        <v>501380</v>
      </c>
    </row>
    <row r="14" spans="1:7" ht="13.5" customHeight="1">
      <c r="A14" s="443" t="s">
        <v>360</v>
      </c>
      <c r="B14" s="254">
        <v>662402</v>
      </c>
      <c r="C14" s="254">
        <v>0</v>
      </c>
      <c r="D14" s="254">
        <v>57045</v>
      </c>
      <c r="E14" s="254">
        <f>'- 32 -'!B12</f>
        <v>42058</v>
      </c>
      <c r="F14" s="254">
        <v>-25864</v>
      </c>
      <c r="G14" s="254">
        <f>SUM(B14:F14)</f>
        <v>735641</v>
      </c>
    </row>
    <row r="15" spans="1:7" ht="13.5" customHeight="1">
      <c r="A15" s="441" t="s">
        <v>361</v>
      </c>
      <c r="B15" s="253">
        <v>1864841</v>
      </c>
      <c r="C15" s="253">
        <v>0</v>
      </c>
      <c r="D15" s="253">
        <v>109724</v>
      </c>
      <c r="E15" s="253">
        <f>'- 32 -'!B13</f>
        <v>161900</v>
      </c>
      <c r="F15" s="253">
        <v>-30894</v>
      </c>
      <c r="G15" s="253">
        <f>SUM(B15:F15)</f>
        <v>2105571</v>
      </c>
    </row>
    <row r="16" spans="1:7" ht="13.5" customHeight="1">
      <c r="A16" s="443" t="s">
        <v>398</v>
      </c>
      <c r="B16" s="254"/>
      <c r="C16" s="254"/>
      <c r="D16" s="254"/>
      <c r="E16" s="254"/>
      <c r="F16" s="254"/>
      <c r="G16" s="254"/>
    </row>
    <row r="17" spans="1:7" ht="13.5" customHeight="1">
      <c r="A17" s="441" t="s">
        <v>362</v>
      </c>
      <c r="B17" s="253">
        <v>517396</v>
      </c>
      <c r="C17" s="253">
        <v>0</v>
      </c>
      <c r="D17" s="253">
        <v>51587</v>
      </c>
      <c r="E17" s="253">
        <f>'- 32 -'!B15</f>
        <v>52326</v>
      </c>
      <c r="F17" s="253">
        <v>-22612</v>
      </c>
      <c r="G17" s="253">
        <f>SUM(B17:F17)</f>
        <v>598697</v>
      </c>
    </row>
    <row r="18" spans="1:7" ht="13.5" customHeight="1">
      <c r="A18" s="443" t="s">
        <v>363</v>
      </c>
      <c r="B18" s="254">
        <v>497154</v>
      </c>
      <c r="C18" s="254">
        <v>0</v>
      </c>
      <c r="D18" s="254">
        <v>0</v>
      </c>
      <c r="E18" s="254">
        <f>'- 32 -'!B16</f>
        <v>49159.5</v>
      </c>
      <c r="F18" s="254">
        <v>-14619</v>
      </c>
      <c r="G18" s="254">
        <f>SUM(B18:F18)</f>
        <v>531694.5</v>
      </c>
    </row>
    <row r="19" spans="1:7" ht="13.5" customHeight="1">
      <c r="A19" s="441" t="s">
        <v>364</v>
      </c>
      <c r="B19" s="253">
        <v>492961</v>
      </c>
      <c r="C19" s="253">
        <v>32602</v>
      </c>
      <c r="D19" s="253">
        <v>28864</v>
      </c>
      <c r="E19" s="253">
        <f>'- 32 -'!B17</f>
        <v>68149</v>
      </c>
      <c r="F19" s="253">
        <v>-23005</v>
      </c>
      <c r="G19" s="253">
        <f>SUM(B19:F19)</f>
        <v>599571</v>
      </c>
    </row>
    <row r="20" spans="1:7" ht="13.5" customHeight="1">
      <c r="A20" s="443" t="s">
        <v>365</v>
      </c>
      <c r="B20" s="254"/>
      <c r="C20" s="254"/>
      <c r="D20" s="254"/>
      <c r="E20" s="254"/>
      <c r="F20" s="254"/>
      <c r="G20" s="254"/>
    </row>
    <row r="21" spans="1:7" ht="13.5" customHeight="1">
      <c r="A21" s="441" t="s">
        <v>366</v>
      </c>
      <c r="B21" s="253">
        <v>585002</v>
      </c>
      <c r="C21" s="253">
        <v>0</v>
      </c>
      <c r="D21" s="253">
        <v>40702</v>
      </c>
      <c r="E21" s="253">
        <f>'- 32 -'!B19</f>
        <v>50355</v>
      </c>
      <c r="F21" s="253">
        <v>-25801</v>
      </c>
      <c r="G21" s="253">
        <f aca="true" t="shared" si="0" ref="G21:G48">SUM(B21:F21)</f>
        <v>650258</v>
      </c>
    </row>
    <row r="22" spans="1:7" ht="13.5" customHeight="1">
      <c r="A22" s="443" t="s">
        <v>367</v>
      </c>
      <c r="B22" s="254">
        <v>1004545</v>
      </c>
      <c r="C22" s="254">
        <v>11838</v>
      </c>
      <c r="D22" s="254">
        <v>110691</v>
      </c>
      <c r="E22" s="254">
        <f>'- 32 -'!B20</f>
        <v>87661</v>
      </c>
      <c r="F22" s="254">
        <v>-62374</v>
      </c>
      <c r="G22" s="254">
        <f t="shared" si="0"/>
        <v>1152361</v>
      </c>
    </row>
    <row r="23" spans="1:7" ht="13.5" customHeight="1">
      <c r="A23" s="441" t="s">
        <v>368</v>
      </c>
      <c r="B23" s="253">
        <v>828406</v>
      </c>
      <c r="C23" s="253">
        <v>0</v>
      </c>
      <c r="D23" s="253">
        <v>129891</v>
      </c>
      <c r="E23" s="253">
        <f>'- 32 -'!B21</f>
        <v>124633</v>
      </c>
      <c r="F23" s="253">
        <v>-35680</v>
      </c>
      <c r="G23" s="253">
        <f t="shared" si="0"/>
        <v>1047250</v>
      </c>
    </row>
    <row r="24" spans="1:7" ht="13.5" customHeight="1">
      <c r="A24" s="443" t="s">
        <v>369</v>
      </c>
      <c r="B24" s="254">
        <v>476359</v>
      </c>
      <c r="C24" s="254">
        <v>53017</v>
      </c>
      <c r="D24" s="254">
        <v>52790</v>
      </c>
      <c r="E24" s="254">
        <f>'- 32 -'!B22</f>
        <v>52548</v>
      </c>
      <c r="F24" s="254">
        <v>0</v>
      </c>
      <c r="G24" s="254">
        <f t="shared" si="0"/>
        <v>634714</v>
      </c>
    </row>
    <row r="25" spans="1:7" ht="13.5" customHeight="1">
      <c r="A25" s="441" t="s">
        <v>370</v>
      </c>
      <c r="B25" s="253">
        <v>379506</v>
      </c>
      <c r="C25" s="253">
        <v>0</v>
      </c>
      <c r="D25" s="253">
        <v>43539</v>
      </c>
      <c r="E25" s="253">
        <f>'- 32 -'!B23</f>
        <v>39631</v>
      </c>
      <c r="F25" s="253">
        <v>-19793</v>
      </c>
      <c r="G25" s="253">
        <f t="shared" si="0"/>
        <v>442883</v>
      </c>
    </row>
    <row r="26" spans="1:7" ht="13.5" customHeight="1">
      <c r="A26" s="443" t="s">
        <v>371</v>
      </c>
      <c r="B26" s="254">
        <v>1012050</v>
      </c>
      <c r="C26" s="254">
        <v>0</v>
      </c>
      <c r="D26" s="254">
        <v>116433</v>
      </c>
      <c r="E26" s="254">
        <f>'- 32 -'!B24</f>
        <v>75759</v>
      </c>
      <c r="F26" s="254">
        <v>-46994</v>
      </c>
      <c r="G26" s="254">
        <f t="shared" si="0"/>
        <v>1157248</v>
      </c>
    </row>
    <row r="27" spans="1:7" ht="13.5" customHeight="1">
      <c r="A27" s="441" t="s">
        <v>372</v>
      </c>
      <c r="B27" s="253">
        <v>3255358.59</v>
      </c>
      <c r="C27" s="253">
        <v>103567</v>
      </c>
      <c r="D27" s="253">
        <v>188835</v>
      </c>
      <c r="E27" s="253">
        <f>'- 32 -'!B25</f>
        <v>529605</v>
      </c>
      <c r="F27" s="253">
        <v>-26060</v>
      </c>
      <c r="G27" s="253">
        <f t="shared" si="0"/>
        <v>4051305.59</v>
      </c>
    </row>
    <row r="28" spans="1:7" ht="13.5" customHeight="1">
      <c r="A28" s="443" t="s">
        <v>373</v>
      </c>
      <c r="B28" s="254">
        <v>1005535</v>
      </c>
      <c r="C28" s="254">
        <v>10475</v>
      </c>
      <c r="D28" s="254">
        <v>108509</v>
      </c>
      <c r="E28" s="254">
        <f>'- 32 -'!B26</f>
        <v>105188</v>
      </c>
      <c r="F28" s="254">
        <v>-51788</v>
      </c>
      <c r="G28" s="254">
        <f t="shared" si="0"/>
        <v>1177919</v>
      </c>
    </row>
    <row r="29" spans="1:7" ht="13.5" customHeight="1">
      <c r="A29" s="441" t="s">
        <v>374</v>
      </c>
      <c r="B29" s="253">
        <v>994088</v>
      </c>
      <c r="C29" s="253">
        <v>19996</v>
      </c>
      <c r="D29" s="253">
        <v>0</v>
      </c>
      <c r="E29" s="253">
        <f>'- 32 -'!B27</f>
        <v>176468</v>
      </c>
      <c r="F29" s="253">
        <v>-73743</v>
      </c>
      <c r="G29" s="253">
        <f t="shared" si="0"/>
        <v>1116809</v>
      </c>
    </row>
    <row r="30" spans="1:7" ht="13.5" customHeight="1">
      <c r="A30" s="443" t="s">
        <v>375</v>
      </c>
      <c r="B30" s="254">
        <v>683989</v>
      </c>
      <c r="C30" s="254">
        <v>0</v>
      </c>
      <c r="D30" s="254">
        <v>36909</v>
      </c>
      <c r="E30" s="254">
        <f>'- 32 -'!B28</f>
        <v>40550</v>
      </c>
      <c r="F30" s="254">
        <v>-27250</v>
      </c>
      <c r="G30" s="254">
        <f t="shared" si="0"/>
        <v>734198</v>
      </c>
    </row>
    <row r="31" spans="1:7" ht="13.5" customHeight="1">
      <c r="A31" s="441" t="s">
        <v>376</v>
      </c>
      <c r="B31" s="253">
        <v>3369865</v>
      </c>
      <c r="C31" s="253">
        <v>266947</v>
      </c>
      <c r="D31" s="253">
        <v>146284</v>
      </c>
      <c r="E31" s="253">
        <f>'- 32 -'!B29</f>
        <v>635691</v>
      </c>
      <c r="F31" s="253">
        <v>-500480</v>
      </c>
      <c r="G31" s="253">
        <f t="shared" si="0"/>
        <v>3918307</v>
      </c>
    </row>
    <row r="32" spans="1:7" ht="13.5" customHeight="1">
      <c r="A32" s="443" t="s">
        <v>377</v>
      </c>
      <c r="B32" s="254">
        <v>426541</v>
      </c>
      <c r="C32" s="254">
        <v>0</v>
      </c>
      <c r="D32" s="254">
        <v>34371</v>
      </c>
      <c r="E32" s="254">
        <f>'- 32 -'!B30</f>
        <v>34399</v>
      </c>
      <c r="F32" s="254">
        <v>-19184</v>
      </c>
      <c r="G32" s="254">
        <f t="shared" si="0"/>
        <v>476127</v>
      </c>
    </row>
    <row r="33" spans="1:7" ht="13.5" customHeight="1">
      <c r="A33" s="441" t="s">
        <v>378</v>
      </c>
      <c r="B33" s="253">
        <v>813908</v>
      </c>
      <c r="C33" s="253">
        <v>0</v>
      </c>
      <c r="D33" s="253">
        <v>59007</v>
      </c>
      <c r="E33" s="253">
        <f>'- 32 -'!B31</f>
        <v>155844</v>
      </c>
      <c r="F33" s="253">
        <v>-54875</v>
      </c>
      <c r="G33" s="253">
        <f t="shared" si="0"/>
        <v>973884</v>
      </c>
    </row>
    <row r="34" spans="1:7" ht="13.5" customHeight="1">
      <c r="A34" s="443" t="s">
        <v>379</v>
      </c>
      <c r="B34" s="254">
        <v>672710</v>
      </c>
      <c r="C34" s="254">
        <v>38238</v>
      </c>
      <c r="D34" s="254">
        <v>44207</v>
      </c>
      <c r="E34" s="254">
        <f>'- 32 -'!B32</f>
        <v>49440</v>
      </c>
      <c r="F34" s="254">
        <v>-28246</v>
      </c>
      <c r="G34" s="254">
        <f t="shared" si="0"/>
        <v>776349</v>
      </c>
    </row>
    <row r="35" spans="1:7" ht="13.5" customHeight="1">
      <c r="A35" s="441" t="s">
        <v>380</v>
      </c>
      <c r="B35" s="253">
        <v>665494</v>
      </c>
      <c r="C35" s="253">
        <v>18610</v>
      </c>
      <c r="D35" s="253">
        <v>65652</v>
      </c>
      <c r="E35" s="253">
        <f>'- 32 -'!B33</f>
        <v>95100</v>
      </c>
      <c r="F35" s="253">
        <v>-15362</v>
      </c>
      <c r="G35" s="253">
        <f t="shared" si="0"/>
        <v>829494</v>
      </c>
    </row>
    <row r="36" spans="1:7" ht="13.5" customHeight="1">
      <c r="A36" s="443" t="s">
        <v>381</v>
      </c>
      <c r="B36" s="254">
        <v>602924</v>
      </c>
      <c r="C36" s="254">
        <v>13870</v>
      </c>
      <c r="D36" s="254">
        <v>46355</v>
      </c>
      <c r="E36" s="254">
        <f>'- 32 -'!B34</f>
        <v>47961</v>
      </c>
      <c r="F36" s="254">
        <v>-30226</v>
      </c>
      <c r="G36" s="254">
        <f t="shared" si="0"/>
        <v>680884</v>
      </c>
    </row>
    <row r="37" spans="1:7" ht="13.5" customHeight="1">
      <c r="A37" s="441" t="s">
        <v>382</v>
      </c>
      <c r="B37" s="253">
        <v>3913491.99</v>
      </c>
      <c r="C37" s="253">
        <v>206631</v>
      </c>
      <c r="D37" s="253">
        <v>250577</v>
      </c>
      <c r="E37" s="253">
        <f>'- 32 -'!B35</f>
        <v>452198</v>
      </c>
      <c r="F37" s="253">
        <v>-411203</v>
      </c>
      <c r="G37" s="253">
        <f t="shared" si="0"/>
        <v>4411694.99</v>
      </c>
    </row>
    <row r="38" spans="1:7" ht="13.5" customHeight="1">
      <c r="A38" s="443" t="s">
        <v>383</v>
      </c>
      <c r="B38" s="254">
        <v>602003</v>
      </c>
      <c r="C38" s="254">
        <v>31387</v>
      </c>
      <c r="D38" s="254">
        <v>39562</v>
      </c>
      <c r="E38" s="254">
        <f>'- 32 -'!B36</f>
        <v>39865</v>
      </c>
      <c r="F38" s="254">
        <v>-26367</v>
      </c>
      <c r="G38" s="254">
        <f t="shared" si="0"/>
        <v>686450</v>
      </c>
    </row>
    <row r="39" spans="1:7" ht="13.5" customHeight="1">
      <c r="A39" s="441" t="s">
        <v>384</v>
      </c>
      <c r="B39" s="253">
        <v>1008684</v>
      </c>
      <c r="C39" s="253">
        <v>0</v>
      </c>
      <c r="D39" s="253">
        <v>101082</v>
      </c>
      <c r="E39" s="253">
        <f>'- 32 -'!B37</f>
        <v>102941</v>
      </c>
      <c r="F39" s="253">
        <v>-33565</v>
      </c>
      <c r="G39" s="253">
        <f t="shared" si="0"/>
        <v>1179142</v>
      </c>
    </row>
    <row r="40" spans="1:7" ht="13.5" customHeight="1">
      <c r="A40" s="443" t="s">
        <v>385</v>
      </c>
      <c r="B40" s="254">
        <v>2041450</v>
      </c>
      <c r="C40" s="254">
        <v>51583</v>
      </c>
      <c r="D40" s="254">
        <v>190184</v>
      </c>
      <c r="E40" s="254">
        <f>'- 32 -'!B38</f>
        <v>309560</v>
      </c>
      <c r="F40" s="254">
        <v>-66550</v>
      </c>
      <c r="G40" s="254">
        <f t="shared" si="0"/>
        <v>2526227</v>
      </c>
    </row>
    <row r="41" spans="1:7" ht="13.5" customHeight="1">
      <c r="A41" s="441" t="s">
        <v>386</v>
      </c>
      <c r="B41" s="253">
        <v>641786</v>
      </c>
      <c r="C41" s="253">
        <v>0</v>
      </c>
      <c r="D41" s="253">
        <v>44639</v>
      </c>
      <c r="E41" s="253">
        <f>'- 32 -'!B39</f>
        <v>39420</v>
      </c>
      <c r="F41" s="253">
        <v>-5363</v>
      </c>
      <c r="G41" s="253">
        <f t="shared" si="0"/>
        <v>720482</v>
      </c>
    </row>
    <row r="42" spans="1:7" ht="13.5" customHeight="1">
      <c r="A42" s="443" t="s">
        <v>387</v>
      </c>
      <c r="B42" s="254">
        <v>2352888</v>
      </c>
      <c r="C42" s="254">
        <v>35706</v>
      </c>
      <c r="D42" s="254">
        <v>77030</v>
      </c>
      <c r="E42" s="254">
        <f>'- 32 -'!B40</f>
        <v>243704</v>
      </c>
      <c r="F42" s="254">
        <v>-101199</v>
      </c>
      <c r="G42" s="254">
        <f t="shared" si="0"/>
        <v>2608129</v>
      </c>
    </row>
    <row r="43" spans="1:7" ht="13.5" customHeight="1">
      <c r="A43" s="441" t="s">
        <v>388</v>
      </c>
      <c r="B43" s="253">
        <v>1331373</v>
      </c>
      <c r="C43" s="253">
        <v>26643</v>
      </c>
      <c r="D43" s="253">
        <v>260333</v>
      </c>
      <c r="E43" s="253">
        <f>'- 32 -'!B41</f>
        <v>159138</v>
      </c>
      <c r="F43" s="253">
        <v>-51926</v>
      </c>
      <c r="G43" s="253">
        <f t="shared" si="0"/>
        <v>1725561</v>
      </c>
    </row>
    <row r="44" spans="1:7" ht="13.5" customHeight="1">
      <c r="A44" s="443" t="s">
        <v>389</v>
      </c>
      <c r="B44" s="254">
        <v>568164</v>
      </c>
      <c r="C44" s="254">
        <v>17281</v>
      </c>
      <c r="D44" s="254">
        <v>56205</v>
      </c>
      <c r="E44" s="254">
        <f>'- 32 -'!B42</f>
        <v>46338</v>
      </c>
      <c r="F44" s="254">
        <v>-28834</v>
      </c>
      <c r="G44" s="254">
        <f t="shared" si="0"/>
        <v>659154</v>
      </c>
    </row>
    <row r="45" spans="1:7" ht="13.5" customHeight="1">
      <c r="A45" s="441" t="s">
        <v>390</v>
      </c>
      <c r="B45" s="253">
        <v>445423</v>
      </c>
      <c r="C45" s="253">
        <v>0</v>
      </c>
      <c r="D45" s="253">
        <v>11070</v>
      </c>
      <c r="E45" s="253">
        <f>'- 32 -'!B43</f>
        <v>33412</v>
      </c>
      <c r="F45" s="253">
        <v>-19136</v>
      </c>
      <c r="G45" s="253">
        <f t="shared" si="0"/>
        <v>470769</v>
      </c>
    </row>
    <row r="46" spans="1:7" ht="13.5" customHeight="1">
      <c r="A46" s="443" t="s">
        <v>391</v>
      </c>
      <c r="B46" s="254">
        <v>264098</v>
      </c>
      <c r="C46" s="254">
        <v>0</v>
      </c>
      <c r="D46" s="254">
        <v>21043</v>
      </c>
      <c r="E46" s="254">
        <f>'- 32 -'!B44</f>
        <v>20955</v>
      </c>
      <c r="F46" s="254">
        <v>-12047</v>
      </c>
      <c r="G46" s="254">
        <f t="shared" si="0"/>
        <v>294049</v>
      </c>
    </row>
    <row r="47" spans="1:7" ht="13.5" customHeight="1">
      <c r="A47" s="441" t="s">
        <v>392</v>
      </c>
      <c r="B47" s="253">
        <v>361196</v>
      </c>
      <c r="C47" s="253">
        <v>0</v>
      </c>
      <c r="D47" s="253">
        <v>18612</v>
      </c>
      <c r="E47" s="253">
        <f>'- 32 -'!B45</f>
        <v>55133</v>
      </c>
      <c r="F47" s="253">
        <v>0</v>
      </c>
      <c r="G47" s="253">
        <f t="shared" si="0"/>
        <v>434941</v>
      </c>
    </row>
    <row r="48" spans="1:7" ht="13.5" customHeight="1">
      <c r="A48" s="443" t="s">
        <v>393</v>
      </c>
      <c r="B48" s="254">
        <v>7235584</v>
      </c>
      <c r="C48" s="254">
        <v>74308</v>
      </c>
      <c r="D48" s="254">
        <v>188284</v>
      </c>
      <c r="E48" s="254">
        <f>'- 32 -'!B46</f>
        <v>761520</v>
      </c>
      <c r="F48" s="254">
        <v>-141787</v>
      </c>
      <c r="G48" s="254">
        <f t="shared" si="0"/>
        <v>8117909</v>
      </c>
    </row>
    <row r="49" spans="1:7" ht="13.5" customHeight="1">
      <c r="A49" s="441" t="s">
        <v>506</v>
      </c>
      <c r="B49" s="253"/>
      <c r="C49" s="253"/>
      <c r="D49" s="253"/>
      <c r="E49" s="253">
        <f>'- 32 -'!B47</f>
        <v>0</v>
      </c>
      <c r="F49" s="253"/>
      <c r="G49" s="253"/>
    </row>
    <row r="50" ht="4.5" customHeight="1">
      <c r="A50" s="208"/>
    </row>
    <row r="51" spans="1:7" ht="13.5" customHeight="1">
      <c r="A51" s="31" t="s">
        <v>394</v>
      </c>
      <c r="B51" s="256">
        <f aca="true" t="shared" si="1" ref="B51:G51">SUM(B13:B49)</f>
        <v>42007502.58</v>
      </c>
      <c r="C51" s="256">
        <f t="shared" si="1"/>
        <v>1012699</v>
      </c>
      <c r="D51" s="256">
        <f t="shared" si="1"/>
        <v>2773754</v>
      </c>
      <c r="E51" s="256">
        <f t="shared" si="1"/>
        <v>4987380.5</v>
      </c>
      <c r="F51" s="256">
        <f t="shared" si="1"/>
        <v>-2054283</v>
      </c>
      <c r="G51" s="256">
        <f t="shared" si="1"/>
        <v>48727053.08</v>
      </c>
    </row>
    <row r="52" spans="1:7" ht="4.5" customHeight="1">
      <c r="A52" s="29" t="s">
        <v>78</v>
      </c>
      <c r="B52" s="255"/>
      <c r="C52" s="255"/>
      <c r="D52" s="255"/>
      <c r="E52" s="255"/>
      <c r="F52" s="255"/>
      <c r="G52" s="255"/>
    </row>
    <row r="53" spans="1:7" ht="13.5" customHeight="1">
      <c r="A53" s="481" t="s">
        <v>395</v>
      </c>
      <c r="B53" s="254">
        <v>56913</v>
      </c>
      <c r="C53" s="254">
        <v>0</v>
      </c>
      <c r="D53" s="254">
        <v>1251</v>
      </c>
      <c r="E53" s="254">
        <f>'- 32 -'!B51</f>
        <v>0</v>
      </c>
      <c r="F53" s="254">
        <v>0</v>
      </c>
      <c r="G53" s="254">
        <f>SUM(B53:F53)</f>
        <v>58164</v>
      </c>
    </row>
    <row r="54" spans="1:7" ht="13.5" customHeight="1">
      <c r="A54" s="482" t="s">
        <v>396</v>
      </c>
      <c r="B54" s="253">
        <v>127928</v>
      </c>
      <c r="C54" s="253">
        <v>0</v>
      </c>
      <c r="D54" s="253">
        <v>0</v>
      </c>
      <c r="E54" s="253">
        <f>'- 32 -'!B52</f>
        <v>17801</v>
      </c>
      <c r="F54" s="253">
        <v>-6092</v>
      </c>
      <c r="G54" s="253">
        <f>SUM(B54:F54)</f>
        <v>139637</v>
      </c>
    </row>
    <row r="55" spans="1:7" ht="14.25" customHeight="1">
      <c r="A55" s="33"/>
      <c r="B55" s="33"/>
      <c r="C55" s="33"/>
      <c r="D55" s="33"/>
      <c r="E55" s="33"/>
      <c r="F55" s="33"/>
      <c r="G55" s="33"/>
    </row>
    <row r="56" spans="1:7" ht="14.25" customHeight="1">
      <c r="A56" s="533" t="s">
        <v>47</v>
      </c>
      <c r="B56" s="505"/>
      <c r="C56" s="505"/>
      <c r="D56" s="505"/>
      <c r="E56" s="505"/>
      <c r="F56" s="505"/>
      <c r="G56" s="505"/>
    </row>
    <row r="57" spans="1:7" ht="12" customHeight="1">
      <c r="A57" s="495" t="s">
        <v>48</v>
      </c>
      <c r="B57" s="505"/>
      <c r="C57" s="505"/>
      <c r="D57" s="505"/>
      <c r="E57" s="505"/>
      <c r="F57" s="505"/>
      <c r="G57" s="505"/>
    </row>
    <row r="58" spans="1:4" ht="12" customHeight="1">
      <c r="A58" s="35" t="s">
        <v>49</v>
      </c>
      <c r="B58" s="53"/>
      <c r="C58" s="53"/>
      <c r="D58" s="53"/>
    </row>
    <row r="59" spans="1:4" ht="12" customHeight="1">
      <c r="A59" s="35" t="s">
        <v>50</v>
      </c>
      <c r="B59" s="53"/>
      <c r="C59" s="53"/>
      <c r="D59" s="53"/>
    </row>
    <row r="60" spans="1:4" ht="12" customHeight="1">
      <c r="A60" s="35" t="s">
        <v>51</v>
      </c>
      <c r="B60" s="53"/>
      <c r="C60" s="53"/>
      <c r="D60" s="53"/>
    </row>
    <row r="61" spans="1:4" ht="12" customHeight="1">
      <c r="A61" s="1" t="s">
        <v>52</v>
      </c>
      <c r="B61" s="53"/>
      <c r="C61" s="53"/>
      <c r="D61" s="53"/>
    </row>
    <row r="62" spans="1:4" ht="12" customHeight="1">
      <c r="A62" s="1" t="s">
        <v>53</v>
      </c>
      <c r="B62" s="53"/>
      <c r="C62" s="53"/>
      <c r="D62" s="53"/>
    </row>
    <row r="63" ht="12" customHeight="1">
      <c r="A63" s="533" t="s">
        <v>40</v>
      </c>
    </row>
    <row r="64" ht="12" customHeight="1">
      <c r="A64" s="533" t="s">
        <v>41</v>
      </c>
    </row>
    <row r="65" ht="12" customHeight="1">
      <c r="A65" s="533" t="s">
        <v>43</v>
      </c>
    </row>
    <row r="66" ht="12" customHeight="1">
      <c r="A66" s="533" t="s">
        <v>44</v>
      </c>
    </row>
  </sheetData>
  <printOptions horizontalCentered="1"/>
  <pageMargins left="0.4724409448818898" right="0.4724409448818898" top="0.5905511811023623" bottom="0" header="0.31496062992125984" footer="0"/>
  <pageSetup fitToHeight="1" fitToWidth="1" horizontalDpi="600" verticalDpi="600" orientation="portrait" scale="87"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sheetPr codeName="Sheet6111">
    <pageSetUpPr fitToPage="1"/>
  </sheetPr>
  <dimension ref="A1:G61"/>
  <sheetViews>
    <sheetView showGridLines="0" showZeros="0" workbookViewId="0" topLeftCell="A1">
      <selection activeCell="A1" sqref="A1"/>
    </sheetView>
  </sheetViews>
  <sheetFormatPr defaultColWidth="14.83203125" defaultRowHeight="12"/>
  <cols>
    <col min="1" max="1" width="27.83203125" style="1" customWidth="1"/>
    <col min="2" max="3" width="16.83203125" style="1" customWidth="1"/>
    <col min="4" max="4" width="18.83203125" style="1" customWidth="1"/>
    <col min="5" max="5" width="17.83203125" style="1" customWidth="1"/>
    <col min="6" max="6" width="18.83203125" style="1" customWidth="1"/>
    <col min="7" max="7" width="17.83203125" style="1" customWidth="1"/>
    <col min="8" max="16384" width="14.83203125" style="1" customWidth="1"/>
  </cols>
  <sheetData>
    <row r="1" spans="1:4" ht="6.75" customHeight="1">
      <c r="A1" s="5"/>
      <c r="B1" s="6"/>
      <c r="C1" s="6"/>
      <c r="D1" s="6"/>
    </row>
    <row r="2" spans="1:7" ht="19.5" customHeight="1">
      <c r="A2" s="483"/>
      <c r="B2" s="287" t="s">
        <v>516</v>
      </c>
      <c r="C2" s="288"/>
      <c r="D2" s="288"/>
      <c r="E2" s="288"/>
      <c r="F2" s="288"/>
      <c r="G2" s="484" t="s">
        <v>507</v>
      </c>
    </row>
    <row r="3" spans="1:7" ht="19.5" customHeight="1">
      <c r="A3" s="7"/>
      <c r="B3" s="485"/>
      <c r="C3" s="486"/>
      <c r="D3" s="486"/>
      <c r="E3" s="486"/>
      <c r="F3" s="486"/>
      <c r="G3" s="487"/>
    </row>
    <row r="4" spans="1:7" ht="13.5" customHeight="1">
      <c r="A4" s="431"/>
      <c r="B4" s="544" t="s">
        <v>508</v>
      </c>
      <c r="C4" s="542"/>
      <c r="D4" s="542"/>
      <c r="E4" s="542"/>
      <c r="F4" s="542"/>
      <c r="G4" s="543"/>
    </row>
    <row r="5" spans="1:7" ht="12.75" customHeight="1">
      <c r="A5" s="488"/>
      <c r="B5" s="489"/>
      <c r="C5" s="489"/>
      <c r="D5" s="489"/>
      <c r="E5" s="489"/>
      <c r="F5" s="489"/>
      <c r="G5" s="489"/>
    </row>
    <row r="6" spans="1:7" ht="12.75" customHeight="1">
      <c r="A6" s="488"/>
      <c r="B6" s="457"/>
      <c r="C6" s="457"/>
      <c r="D6" s="457"/>
      <c r="E6" s="457"/>
      <c r="F6" s="457"/>
      <c r="G6" s="457" t="s">
        <v>144</v>
      </c>
    </row>
    <row r="7" spans="1:7" ht="12.75" customHeight="1">
      <c r="A7" s="488"/>
      <c r="B7" s="490"/>
      <c r="C7" s="490" t="s">
        <v>509</v>
      </c>
      <c r="D7" s="490"/>
      <c r="E7" s="490"/>
      <c r="F7" s="490"/>
      <c r="G7" s="490" t="s">
        <v>503</v>
      </c>
    </row>
    <row r="8" spans="1:7" ht="12.75" customHeight="1">
      <c r="A8" s="488"/>
      <c r="B8" s="490" t="s">
        <v>144</v>
      </c>
      <c r="C8" s="490" t="s">
        <v>188</v>
      </c>
      <c r="D8" s="490" t="s">
        <v>510</v>
      </c>
      <c r="E8" s="490"/>
      <c r="F8" s="490" t="s">
        <v>144</v>
      </c>
      <c r="G8" s="491" t="s">
        <v>149</v>
      </c>
    </row>
    <row r="9" spans="1:7" ht="12.75" customHeight="1">
      <c r="A9" s="488"/>
      <c r="B9" s="490" t="s">
        <v>209</v>
      </c>
      <c r="C9" s="490" t="s">
        <v>511</v>
      </c>
      <c r="D9" s="490" t="s">
        <v>512</v>
      </c>
      <c r="E9" s="490" t="s">
        <v>513</v>
      </c>
      <c r="F9" s="490" t="s">
        <v>503</v>
      </c>
      <c r="G9" s="490" t="s">
        <v>514</v>
      </c>
    </row>
    <row r="10" spans="1:7" ht="12.75" customHeight="1">
      <c r="A10" s="19"/>
      <c r="B10" s="491" t="s">
        <v>402</v>
      </c>
      <c r="C10" s="491" t="s">
        <v>239</v>
      </c>
      <c r="D10" s="491" t="s">
        <v>403</v>
      </c>
      <c r="E10" s="491" t="s">
        <v>301</v>
      </c>
      <c r="F10" s="491" t="s">
        <v>149</v>
      </c>
      <c r="G10" s="491" t="s">
        <v>301</v>
      </c>
    </row>
    <row r="11" spans="1:7" ht="15.75" customHeight="1">
      <c r="A11" s="21" t="s">
        <v>175</v>
      </c>
      <c r="B11" s="492" t="s">
        <v>515</v>
      </c>
      <c r="C11" s="492" t="s">
        <v>518</v>
      </c>
      <c r="D11" s="492" t="s">
        <v>54</v>
      </c>
      <c r="E11" s="492" t="s">
        <v>221</v>
      </c>
      <c r="F11" s="492" t="s">
        <v>517</v>
      </c>
      <c r="G11" s="492" t="s">
        <v>221</v>
      </c>
    </row>
    <row r="12" spans="1:5" ht="4.5" customHeight="1">
      <c r="A12" s="24"/>
      <c r="C12" s="479"/>
      <c r="D12" s="372"/>
      <c r="E12" s="5"/>
    </row>
    <row r="13" spans="1:7" ht="13.5" customHeight="1">
      <c r="A13" s="441" t="s">
        <v>359</v>
      </c>
      <c r="B13" s="253">
        <f>'- 3 -'!B11</f>
        <v>11453618</v>
      </c>
      <c r="C13" s="253">
        <f>'- 48 -'!C11</f>
        <v>381263</v>
      </c>
      <c r="D13" s="253">
        <v>0</v>
      </c>
      <c r="E13" s="253">
        <f>SUM(B13:D13)</f>
        <v>11834881</v>
      </c>
      <c r="F13" s="253">
        <f>'- 62 -'!G13</f>
        <v>501380</v>
      </c>
      <c r="G13" s="226">
        <f>F13/E13</f>
        <v>0.04236460003273375</v>
      </c>
    </row>
    <row r="14" spans="1:7" ht="13.5" customHeight="1">
      <c r="A14" s="443" t="s">
        <v>360</v>
      </c>
      <c r="B14" s="254">
        <f>'- 3 -'!B12</f>
        <v>19319222</v>
      </c>
      <c r="C14" s="254">
        <f>'- 48 -'!C12</f>
        <v>644883</v>
      </c>
      <c r="D14" s="254">
        <v>-496711</v>
      </c>
      <c r="E14" s="254">
        <f>SUM(B14:D14)</f>
        <v>19467394</v>
      </c>
      <c r="F14" s="254">
        <f>'- 62 -'!G14</f>
        <v>735641</v>
      </c>
      <c r="G14" s="227">
        <f>F14/E14</f>
        <v>0.037788365510042075</v>
      </c>
    </row>
    <row r="15" spans="1:7" ht="13.5" customHeight="1">
      <c r="A15" s="441" t="s">
        <v>361</v>
      </c>
      <c r="B15" s="253">
        <f>'- 3 -'!B13</f>
        <v>49046410.84</v>
      </c>
      <c r="C15" s="253">
        <f>'- 48 -'!C13</f>
        <v>311181</v>
      </c>
      <c r="D15" s="253">
        <v>0</v>
      </c>
      <c r="E15" s="253">
        <f>SUM(B15:D15)</f>
        <v>49357591.84</v>
      </c>
      <c r="F15" s="253">
        <f>'- 62 -'!G15</f>
        <v>2105571</v>
      </c>
      <c r="G15" s="226">
        <f>F15/E15</f>
        <v>0.042659516429114336</v>
      </c>
    </row>
    <row r="16" spans="1:7" ht="13.5" customHeight="1">
      <c r="A16" s="443" t="s">
        <v>398</v>
      </c>
      <c r="B16" s="254"/>
      <c r="C16" s="254"/>
      <c r="D16" s="254"/>
      <c r="E16" s="254"/>
      <c r="F16" s="254"/>
      <c r="G16" s="493" t="s">
        <v>299</v>
      </c>
    </row>
    <row r="17" spans="1:7" ht="13.5" customHeight="1">
      <c r="A17" s="441" t="s">
        <v>362</v>
      </c>
      <c r="B17" s="253">
        <f>'- 3 -'!B15</f>
        <v>13143780</v>
      </c>
      <c r="C17" s="253">
        <f>'- 48 -'!C15</f>
        <v>234984</v>
      </c>
      <c r="D17" s="253">
        <v>-105628</v>
      </c>
      <c r="E17" s="253">
        <f>SUM(B17:D17)</f>
        <v>13273136</v>
      </c>
      <c r="F17" s="253">
        <f>'- 62 -'!G17</f>
        <v>598697</v>
      </c>
      <c r="G17" s="226">
        <f>F17/E17</f>
        <v>0.04510591920402232</v>
      </c>
    </row>
    <row r="18" spans="1:7" ht="13.5" customHeight="1">
      <c r="A18" s="443" t="s">
        <v>363</v>
      </c>
      <c r="B18" s="254">
        <f>'- 3 -'!B16</f>
        <v>10713418.5</v>
      </c>
      <c r="C18" s="254">
        <f>'- 48 -'!C16</f>
        <v>41712</v>
      </c>
      <c r="D18" s="254">
        <v>0</v>
      </c>
      <c r="E18" s="254">
        <f>SUM(B18:D18)</f>
        <v>10755130.5</v>
      </c>
      <c r="F18" s="254">
        <f>'- 62 -'!G18</f>
        <v>531694.5</v>
      </c>
      <c r="G18" s="227">
        <f>F18/E18</f>
        <v>0.04943635969828539</v>
      </c>
    </row>
    <row r="19" spans="1:7" ht="13.5" customHeight="1">
      <c r="A19" s="441" t="s">
        <v>364</v>
      </c>
      <c r="B19" s="253">
        <f>'- 3 -'!B17</f>
        <v>12375302</v>
      </c>
      <c r="C19" s="253">
        <f>'- 48 -'!C17</f>
        <v>173461</v>
      </c>
      <c r="D19" s="253">
        <v>-813</v>
      </c>
      <c r="E19" s="253">
        <f>SUM(B19:D19)</f>
        <v>12547950</v>
      </c>
      <c r="F19" s="253">
        <f>'- 62 -'!G19</f>
        <v>599571</v>
      </c>
      <c r="G19" s="226">
        <f>F19/E19</f>
        <v>0.04778238676437187</v>
      </c>
    </row>
    <row r="20" spans="1:7" ht="13.5" customHeight="1">
      <c r="A20" s="443" t="s">
        <v>365</v>
      </c>
      <c r="B20" s="254"/>
      <c r="C20" s="254">
        <f>'- 48 -'!C18</f>
        <v>0</v>
      </c>
      <c r="D20" s="254"/>
      <c r="E20" s="254"/>
      <c r="F20" s="254"/>
      <c r="G20" s="493" t="s">
        <v>299</v>
      </c>
    </row>
    <row r="21" spans="1:7" ht="13.5" customHeight="1">
      <c r="A21" s="441" t="s">
        <v>366</v>
      </c>
      <c r="B21" s="253">
        <f>'- 3 -'!B19</f>
        <v>18520796</v>
      </c>
      <c r="C21" s="253">
        <f>'- 48 -'!C19</f>
        <v>159434</v>
      </c>
      <c r="D21" s="253">
        <v>0</v>
      </c>
      <c r="E21" s="253">
        <f aca="true" t="shared" si="0" ref="E21:E48">SUM(B21:D21)</f>
        <v>18680230</v>
      </c>
      <c r="F21" s="253">
        <f>'- 62 -'!G21</f>
        <v>650258</v>
      </c>
      <c r="G21" s="226">
        <f aca="true" t="shared" si="1" ref="G21:G48">F21/E21</f>
        <v>0.03480995683671989</v>
      </c>
    </row>
    <row r="22" spans="1:7" ht="13.5" customHeight="1">
      <c r="A22" s="443" t="s">
        <v>367</v>
      </c>
      <c r="B22" s="254">
        <f>'- 3 -'!B20</f>
        <v>36891623</v>
      </c>
      <c r="C22" s="254">
        <f>'- 48 -'!C20</f>
        <v>548969</v>
      </c>
      <c r="D22" s="254">
        <v>0</v>
      </c>
      <c r="E22" s="254">
        <f t="shared" si="0"/>
        <v>37440592</v>
      </c>
      <c r="F22" s="254">
        <f>'- 62 -'!G22</f>
        <v>1152361</v>
      </c>
      <c r="G22" s="227">
        <f t="shared" si="1"/>
        <v>0.030778386196457577</v>
      </c>
    </row>
    <row r="23" spans="1:7" ht="13.5" customHeight="1">
      <c r="A23" s="441" t="s">
        <v>368</v>
      </c>
      <c r="B23" s="253">
        <f>'- 3 -'!B21</f>
        <v>24293023</v>
      </c>
      <c r="C23" s="253">
        <f>'- 48 -'!C21</f>
        <v>381823</v>
      </c>
      <c r="D23" s="253">
        <v>0</v>
      </c>
      <c r="E23" s="253">
        <f t="shared" si="0"/>
        <v>24674846</v>
      </c>
      <c r="F23" s="253">
        <f>'- 62 -'!G23</f>
        <v>1047250</v>
      </c>
      <c r="G23" s="226">
        <f t="shared" si="1"/>
        <v>0.04244200754079681</v>
      </c>
    </row>
    <row r="24" spans="1:7" ht="13.5" customHeight="1">
      <c r="A24" s="443" t="s">
        <v>369</v>
      </c>
      <c r="B24" s="254">
        <f>'- 3 -'!B22</f>
        <v>13494422</v>
      </c>
      <c r="C24" s="254">
        <f>'- 48 -'!C22</f>
        <v>93410</v>
      </c>
      <c r="D24" s="254">
        <v>-437569</v>
      </c>
      <c r="E24" s="254">
        <f t="shared" si="0"/>
        <v>13150263</v>
      </c>
      <c r="F24" s="254">
        <f>'- 62 -'!G24</f>
        <v>634714</v>
      </c>
      <c r="G24" s="227">
        <f t="shared" si="1"/>
        <v>0.048266259009420574</v>
      </c>
    </row>
    <row r="25" spans="1:7" ht="13.5" customHeight="1">
      <c r="A25" s="441" t="s">
        <v>370</v>
      </c>
      <c r="B25" s="253">
        <f>'- 3 -'!B23</f>
        <v>11341357</v>
      </c>
      <c r="C25" s="253">
        <f>'- 48 -'!C23</f>
        <v>222297</v>
      </c>
      <c r="D25" s="253">
        <v>-147683</v>
      </c>
      <c r="E25" s="253">
        <f t="shared" si="0"/>
        <v>11415971</v>
      </c>
      <c r="F25" s="253">
        <f>'- 62 -'!G25</f>
        <v>442883</v>
      </c>
      <c r="G25" s="226">
        <f t="shared" si="1"/>
        <v>0.03879503548143211</v>
      </c>
    </row>
    <row r="26" spans="1:7" ht="13.5" customHeight="1">
      <c r="A26" s="443" t="s">
        <v>371</v>
      </c>
      <c r="B26" s="254">
        <f>'- 3 -'!B24</f>
        <v>35009287.94</v>
      </c>
      <c r="C26" s="254">
        <f>'- 48 -'!C24</f>
        <v>514902</v>
      </c>
      <c r="D26" s="254">
        <v>-305980</v>
      </c>
      <c r="E26" s="254">
        <f t="shared" si="0"/>
        <v>35218209.94</v>
      </c>
      <c r="F26" s="254">
        <f>'- 62 -'!G26</f>
        <v>1157248</v>
      </c>
      <c r="G26" s="227">
        <f t="shared" si="1"/>
        <v>0.03285936457223584</v>
      </c>
    </row>
    <row r="27" spans="1:7" ht="13.5" customHeight="1">
      <c r="A27" s="441" t="s">
        <v>372</v>
      </c>
      <c r="B27" s="253">
        <f>'- 3 -'!B25</f>
        <v>111820212.49000001</v>
      </c>
      <c r="C27" s="253">
        <f>'- 48 -'!C25</f>
        <v>1563744</v>
      </c>
      <c r="D27" s="253">
        <v>0</v>
      </c>
      <c r="E27" s="253">
        <f t="shared" si="0"/>
        <v>113383956.49000001</v>
      </c>
      <c r="F27" s="253">
        <f>'- 62 -'!G27</f>
        <v>4051305.59</v>
      </c>
      <c r="G27" s="226">
        <f t="shared" si="1"/>
        <v>0.03573085395337486</v>
      </c>
    </row>
    <row r="28" spans="1:7" ht="13.5" customHeight="1">
      <c r="A28" s="443" t="s">
        <v>373</v>
      </c>
      <c r="B28" s="254">
        <f>'- 3 -'!B26</f>
        <v>27084330</v>
      </c>
      <c r="C28" s="254">
        <f>'- 48 -'!C26</f>
        <v>376297.11</v>
      </c>
      <c r="D28" s="254">
        <v>-70000</v>
      </c>
      <c r="E28" s="254">
        <f t="shared" si="0"/>
        <v>27390627.11</v>
      </c>
      <c r="F28" s="254">
        <f>'- 62 -'!G28</f>
        <v>1177919</v>
      </c>
      <c r="G28" s="227">
        <f t="shared" si="1"/>
        <v>0.043004455329537</v>
      </c>
    </row>
    <row r="29" spans="1:7" ht="13.5" customHeight="1">
      <c r="A29" s="441" t="s">
        <v>374</v>
      </c>
      <c r="B29" s="253">
        <f>'- 3 -'!B27</f>
        <v>27111577.36</v>
      </c>
      <c r="C29" s="253">
        <f>'- 48 -'!C27</f>
        <v>74789</v>
      </c>
      <c r="D29" s="253">
        <v>0</v>
      </c>
      <c r="E29" s="253">
        <f t="shared" si="0"/>
        <v>27186366.36</v>
      </c>
      <c r="F29" s="253">
        <f>'- 62 -'!G29</f>
        <v>1116809</v>
      </c>
      <c r="G29" s="226">
        <f t="shared" si="1"/>
        <v>0.04107974509028871</v>
      </c>
    </row>
    <row r="30" spans="1:7" ht="13.5" customHeight="1">
      <c r="A30" s="443" t="s">
        <v>375</v>
      </c>
      <c r="B30" s="254">
        <f>'- 3 -'!B28</f>
        <v>16732215.82</v>
      </c>
      <c r="C30" s="254">
        <f>'- 48 -'!C28</f>
        <v>172241</v>
      </c>
      <c r="D30" s="254">
        <v>0</v>
      </c>
      <c r="E30" s="254">
        <f t="shared" si="0"/>
        <v>16904456.82</v>
      </c>
      <c r="F30" s="254">
        <f>'- 62 -'!G30</f>
        <v>734198</v>
      </c>
      <c r="G30" s="227">
        <f t="shared" si="1"/>
        <v>0.043432214818719034</v>
      </c>
    </row>
    <row r="31" spans="1:7" ht="13.5" customHeight="1">
      <c r="A31" s="441" t="s">
        <v>376</v>
      </c>
      <c r="B31" s="253">
        <f>'- 3 -'!B29</f>
        <v>105599752</v>
      </c>
      <c r="C31" s="253">
        <f>'- 48 -'!C29</f>
        <v>579290</v>
      </c>
      <c r="D31" s="253">
        <v>0</v>
      </c>
      <c r="E31" s="253">
        <f t="shared" si="0"/>
        <v>106179042</v>
      </c>
      <c r="F31" s="253">
        <f>'- 62 -'!G31</f>
        <v>3918307</v>
      </c>
      <c r="G31" s="226">
        <f t="shared" si="1"/>
        <v>0.03690282871454048</v>
      </c>
    </row>
    <row r="32" spans="1:7" ht="13.5" customHeight="1">
      <c r="A32" s="443" t="s">
        <v>377</v>
      </c>
      <c r="B32" s="254">
        <f>'- 3 -'!B30</f>
        <v>9846076</v>
      </c>
      <c r="C32" s="254">
        <f>'- 48 -'!C30</f>
        <v>185594</v>
      </c>
      <c r="D32" s="254">
        <v>0</v>
      </c>
      <c r="E32" s="254">
        <f t="shared" si="0"/>
        <v>10031670</v>
      </c>
      <c r="F32" s="254">
        <f>'- 62 -'!G32</f>
        <v>476127</v>
      </c>
      <c r="G32" s="227">
        <f t="shared" si="1"/>
        <v>0.04746238662156949</v>
      </c>
    </row>
    <row r="33" spans="1:7" ht="13.5" customHeight="1">
      <c r="A33" s="441" t="s">
        <v>378</v>
      </c>
      <c r="B33" s="253">
        <f>'- 3 -'!B31</f>
        <v>25225758</v>
      </c>
      <c r="C33" s="253">
        <f>'- 48 -'!C31</f>
        <v>167003</v>
      </c>
      <c r="D33" s="253">
        <v>-368969</v>
      </c>
      <c r="E33" s="253">
        <f t="shared" si="0"/>
        <v>25023792</v>
      </c>
      <c r="F33" s="253">
        <f>'- 62 -'!G33</f>
        <v>973884</v>
      </c>
      <c r="G33" s="226">
        <f t="shared" si="1"/>
        <v>0.03891832221111812</v>
      </c>
    </row>
    <row r="34" spans="1:7" ht="13.5" customHeight="1">
      <c r="A34" s="443" t="s">
        <v>379</v>
      </c>
      <c r="B34" s="254">
        <f>'- 3 -'!B32</f>
        <v>18698432</v>
      </c>
      <c r="C34" s="254">
        <f>'- 48 -'!C32</f>
        <v>597674</v>
      </c>
      <c r="D34" s="254">
        <v>-221592</v>
      </c>
      <c r="E34" s="254">
        <f t="shared" si="0"/>
        <v>19074514</v>
      </c>
      <c r="F34" s="254">
        <f>'- 62 -'!G34</f>
        <v>776349</v>
      </c>
      <c r="G34" s="227">
        <f t="shared" si="1"/>
        <v>0.04070085350536323</v>
      </c>
    </row>
    <row r="35" spans="1:7" ht="13.5" customHeight="1">
      <c r="A35" s="441" t="s">
        <v>380</v>
      </c>
      <c r="B35" s="253">
        <f>'- 3 -'!B33</f>
        <v>22107290</v>
      </c>
      <c r="C35" s="253">
        <f>'- 48 -'!C33</f>
        <v>378317</v>
      </c>
      <c r="D35" s="253">
        <v>0</v>
      </c>
      <c r="E35" s="253">
        <f t="shared" si="0"/>
        <v>22485607</v>
      </c>
      <c r="F35" s="253">
        <f>'- 62 -'!G35</f>
        <v>829494</v>
      </c>
      <c r="G35" s="226">
        <f t="shared" si="1"/>
        <v>0.03688999812190972</v>
      </c>
    </row>
    <row r="36" spans="1:7" ht="13.5" customHeight="1">
      <c r="A36" s="443" t="s">
        <v>381</v>
      </c>
      <c r="B36" s="254">
        <f>'- 3 -'!B34</f>
        <v>17305867</v>
      </c>
      <c r="C36" s="254">
        <f>'- 48 -'!C34</f>
        <v>382029</v>
      </c>
      <c r="D36" s="254">
        <v>-96691</v>
      </c>
      <c r="E36" s="254">
        <f t="shared" si="0"/>
        <v>17591205</v>
      </c>
      <c r="F36" s="254">
        <f>'- 62 -'!G36</f>
        <v>680884</v>
      </c>
      <c r="G36" s="227">
        <f t="shared" si="1"/>
        <v>0.03870593287952701</v>
      </c>
    </row>
    <row r="37" spans="1:7" ht="13.5" customHeight="1">
      <c r="A37" s="441" t="s">
        <v>382</v>
      </c>
      <c r="B37" s="253">
        <f>'- 3 -'!B35</f>
        <v>126995128.74</v>
      </c>
      <c r="C37" s="253">
        <f>'- 48 -'!C35</f>
        <v>1684926</v>
      </c>
      <c r="D37" s="253">
        <v>-769141</v>
      </c>
      <c r="E37" s="253">
        <f t="shared" si="0"/>
        <v>127910913.74</v>
      </c>
      <c r="F37" s="253">
        <f>'- 62 -'!G37</f>
        <v>4411694.99</v>
      </c>
      <c r="G37" s="226">
        <f t="shared" si="1"/>
        <v>0.03449037193939133</v>
      </c>
    </row>
    <row r="38" spans="1:7" ht="13.5" customHeight="1">
      <c r="A38" s="443" t="s">
        <v>383</v>
      </c>
      <c r="B38" s="254">
        <f>'- 3 -'!B36</f>
        <v>16819269</v>
      </c>
      <c r="C38" s="254">
        <f>'- 48 -'!C36</f>
        <v>120692</v>
      </c>
      <c r="D38" s="254">
        <v>-132476</v>
      </c>
      <c r="E38" s="254">
        <f t="shared" si="0"/>
        <v>16807485</v>
      </c>
      <c r="F38" s="254">
        <f>'- 62 -'!G38</f>
        <v>686450</v>
      </c>
      <c r="G38" s="227">
        <f t="shared" si="1"/>
        <v>0.04084192251249964</v>
      </c>
    </row>
    <row r="39" spans="1:7" ht="13.5" customHeight="1">
      <c r="A39" s="441" t="s">
        <v>384</v>
      </c>
      <c r="B39" s="253">
        <f>'- 3 -'!B37</f>
        <v>25851996.65</v>
      </c>
      <c r="C39" s="253">
        <f>'- 48 -'!C37</f>
        <v>567227</v>
      </c>
      <c r="D39" s="253">
        <v>-287590</v>
      </c>
      <c r="E39" s="253">
        <f t="shared" si="0"/>
        <v>26131633.65</v>
      </c>
      <c r="F39" s="253">
        <f>'- 62 -'!G39</f>
        <v>1179142</v>
      </c>
      <c r="G39" s="226">
        <f t="shared" si="1"/>
        <v>0.04512316435294891</v>
      </c>
    </row>
    <row r="40" spans="1:7" ht="13.5" customHeight="1">
      <c r="A40" s="443" t="s">
        <v>385</v>
      </c>
      <c r="B40" s="254">
        <f>'- 3 -'!B38</f>
        <v>66427956.33</v>
      </c>
      <c r="C40" s="254">
        <f>'- 48 -'!C38</f>
        <v>799170</v>
      </c>
      <c r="D40" s="254">
        <v>-78117</v>
      </c>
      <c r="E40" s="254">
        <f t="shared" si="0"/>
        <v>67149009.33</v>
      </c>
      <c r="F40" s="254">
        <f>'- 62 -'!G40</f>
        <v>2526227</v>
      </c>
      <c r="G40" s="227">
        <f t="shared" si="1"/>
        <v>0.03762121027854634</v>
      </c>
    </row>
    <row r="41" spans="1:7" ht="13.5" customHeight="1">
      <c r="A41" s="441" t="s">
        <v>386</v>
      </c>
      <c r="B41" s="253">
        <f>'- 3 -'!B39</f>
        <v>15429603</v>
      </c>
      <c r="C41" s="253">
        <f>'- 48 -'!C39</f>
        <v>256375</v>
      </c>
      <c r="D41" s="253">
        <v>-15425</v>
      </c>
      <c r="E41" s="253">
        <f t="shared" si="0"/>
        <v>15670553</v>
      </c>
      <c r="F41" s="253">
        <f>'- 62 -'!G41</f>
        <v>720482</v>
      </c>
      <c r="G41" s="226">
        <f t="shared" si="1"/>
        <v>0.04597680758298702</v>
      </c>
    </row>
    <row r="42" spans="1:7" ht="13.5" customHeight="1">
      <c r="A42" s="443" t="s">
        <v>387</v>
      </c>
      <c r="B42" s="254">
        <f>'- 3 -'!B40</f>
        <v>66351553.11</v>
      </c>
      <c r="C42" s="254">
        <f>'- 48 -'!C40</f>
        <v>0</v>
      </c>
      <c r="D42" s="254">
        <v>-341000</v>
      </c>
      <c r="E42" s="254">
        <f t="shared" si="0"/>
        <v>66010553.11</v>
      </c>
      <c r="F42" s="254">
        <f>'- 62 -'!G42</f>
        <v>2608129</v>
      </c>
      <c r="G42" s="227">
        <f t="shared" si="1"/>
        <v>0.039510788459139454</v>
      </c>
    </row>
    <row r="43" spans="1:7" ht="13.5" customHeight="1">
      <c r="A43" s="441" t="s">
        <v>388</v>
      </c>
      <c r="B43" s="253">
        <f>'- 3 -'!B41</f>
        <v>39824283</v>
      </c>
      <c r="C43" s="253">
        <f>'- 48 -'!C41</f>
        <v>1424954</v>
      </c>
      <c r="D43" s="253">
        <v>-1037251</v>
      </c>
      <c r="E43" s="253">
        <f t="shared" si="0"/>
        <v>40211986</v>
      </c>
      <c r="F43" s="253">
        <f>'- 62 -'!G43</f>
        <v>1725561</v>
      </c>
      <c r="G43" s="226">
        <f t="shared" si="1"/>
        <v>0.04291160849404454</v>
      </c>
    </row>
    <row r="44" spans="1:7" ht="13.5" customHeight="1">
      <c r="A44" s="443" t="s">
        <v>389</v>
      </c>
      <c r="B44" s="254">
        <f>'- 3 -'!B42</f>
        <v>15124888</v>
      </c>
      <c r="C44" s="254">
        <f>'- 48 -'!C42</f>
        <v>640375</v>
      </c>
      <c r="D44" s="254">
        <v>-11340</v>
      </c>
      <c r="E44" s="254">
        <f t="shared" si="0"/>
        <v>15753923</v>
      </c>
      <c r="F44" s="254">
        <f>'- 62 -'!G44</f>
        <v>659154</v>
      </c>
      <c r="G44" s="227">
        <f t="shared" si="1"/>
        <v>0.04184062598249338</v>
      </c>
    </row>
    <row r="45" spans="1:7" ht="13.5" customHeight="1">
      <c r="A45" s="441" t="s">
        <v>390</v>
      </c>
      <c r="B45" s="253">
        <f>'- 3 -'!B43</f>
        <v>9268889</v>
      </c>
      <c r="C45" s="253">
        <f>'- 48 -'!C43</f>
        <v>167875</v>
      </c>
      <c r="D45" s="253">
        <v>-165296</v>
      </c>
      <c r="E45" s="253">
        <f t="shared" si="0"/>
        <v>9271468</v>
      </c>
      <c r="F45" s="253">
        <f>'- 62 -'!G45</f>
        <v>470769</v>
      </c>
      <c r="G45" s="226">
        <f t="shared" si="1"/>
        <v>0.05077610147605536</v>
      </c>
    </row>
    <row r="46" spans="1:7" ht="13.5" customHeight="1">
      <c r="A46" s="443" t="s">
        <v>391</v>
      </c>
      <c r="B46" s="254">
        <f>'- 3 -'!B44</f>
        <v>7012272</v>
      </c>
      <c r="C46" s="254">
        <f>'- 48 -'!C44</f>
        <v>177402</v>
      </c>
      <c r="D46" s="254">
        <v>0</v>
      </c>
      <c r="E46" s="254">
        <f t="shared" si="0"/>
        <v>7189674</v>
      </c>
      <c r="F46" s="254">
        <f>'- 62 -'!G46</f>
        <v>294049</v>
      </c>
      <c r="G46" s="227">
        <f t="shared" si="1"/>
        <v>0.04089879457677775</v>
      </c>
    </row>
    <row r="47" spans="1:7" ht="13.5" customHeight="1">
      <c r="A47" s="441" t="s">
        <v>392</v>
      </c>
      <c r="B47" s="253">
        <f>'- 3 -'!B45</f>
        <v>10491088.3</v>
      </c>
      <c r="C47" s="253">
        <f>'- 48 -'!C45</f>
        <v>160735</v>
      </c>
      <c r="D47" s="253">
        <v>-318599.3</v>
      </c>
      <c r="E47" s="253">
        <f t="shared" si="0"/>
        <v>10333224</v>
      </c>
      <c r="F47" s="253">
        <f>'- 62 -'!G47</f>
        <v>434941</v>
      </c>
      <c r="G47" s="226">
        <f t="shared" si="1"/>
        <v>0.042091509871459286</v>
      </c>
    </row>
    <row r="48" spans="1:7" ht="13.5" customHeight="1">
      <c r="A48" s="443" t="s">
        <v>393</v>
      </c>
      <c r="B48" s="254">
        <f>'- 3 -'!B46</f>
        <v>262307479</v>
      </c>
      <c r="C48" s="254">
        <f>'- 48 -'!C46</f>
        <v>2378517</v>
      </c>
      <c r="D48" s="254">
        <v>-422934</v>
      </c>
      <c r="E48" s="254">
        <f t="shared" si="0"/>
        <v>264263062</v>
      </c>
      <c r="F48" s="254">
        <f>'- 62 -'!G48</f>
        <v>8117909</v>
      </c>
      <c r="G48" s="227">
        <f t="shared" si="1"/>
        <v>0.030719045403326175</v>
      </c>
    </row>
    <row r="49" spans="1:7" ht="13.5" customHeight="1">
      <c r="A49" s="441" t="s">
        <v>506</v>
      </c>
      <c r="B49" s="253"/>
      <c r="C49" s="253"/>
      <c r="D49" s="253"/>
      <c r="E49" s="253"/>
      <c r="F49" s="253"/>
      <c r="G49" s="272" t="s">
        <v>299</v>
      </c>
    </row>
    <row r="50" spans="1:7" ht="4.5" customHeight="1">
      <c r="A50" s="208"/>
      <c r="G50" s="215"/>
    </row>
    <row r="51" spans="1:7" ht="14.25" customHeight="1">
      <c r="A51" s="31" t="s">
        <v>394</v>
      </c>
      <c r="B51" s="256">
        <f>SUM(B13:B48)</f>
        <v>1299038177.08</v>
      </c>
      <c r="C51" s="256">
        <f>SUM(C13:C48)</f>
        <v>16563545.11</v>
      </c>
      <c r="D51" s="256">
        <f>SUM(D13:D49)</f>
        <v>-5830805.3</v>
      </c>
      <c r="E51" s="256">
        <f>SUM(E13:E48)</f>
        <v>1309770916.8899999</v>
      </c>
      <c r="F51" s="256">
        <f>SUM(F13:F48)</f>
        <v>48727053.08</v>
      </c>
      <c r="G51" s="494">
        <f>F51/E51</f>
        <v>0.037202729463332786</v>
      </c>
    </row>
    <row r="52" spans="1:7" ht="4.5" customHeight="1">
      <c r="A52" s="29" t="s">
        <v>78</v>
      </c>
      <c r="B52" s="255"/>
      <c r="C52" s="255"/>
      <c r="D52" s="255"/>
      <c r="E52" s="255"/>
      <c r="F52" s="255"/>
      <c r="G52" s="215"/>
    </row>
    <row r="53" spans="1:7" ht="14.25" customHeight="1">
      <c r="A53" s="481" t="s">
        <v>395</v>
      </c>
      <c r="B53" s="254">
        <f>'- 3 -'!B51</f>
        <v>1333610</v>
      </c>
      <c r="C53" s="254">
        <f>'- 48 -'!C51</f>
        <v>0</v>
      </c>
      <c r="D53" s="254">
        <v>0</v>
      </c>
      <c r="E53" s="254">
        <f>SUM(B53:D53)</f>
        <v>1333610</v>
      </c>
      <c r="F53" s="254">
        <f>'- 62 -'!G53</f>
        <v>58164</v>
      </c>
      <c r="G53" s="227">
        <f>F53/E53</f>
        <v>0.04361395010535314</v>
      </c>
    </row>
    <row r="54" spans="1:7" ht="14.25" customHeight="1">
      <c r="A54" s="482" t="s">
        <v>396</v>
      </c>
      <c r="B54" s="253">
        <f>'- 3 -'!B52</f>
        <v>2431255</v>
      </c>
      <c r="C54" s="253">
        <f>'- 48 -'!C52</f>
        <v>316861</v>
      </c>
      <c r="D54" s="253">
        <v>0</v>
      </c>
      <c r="E54" s="253">
        <f>SUM(B54:D54)</f>
        <v>2748116</v>
      </c>
      <c r="F54" s="253">
        <f>'- 62 -'!G54</f>
        <v>139637</v>
      </c>
      <c r="G54" s="226">
        <f>F54/E54</f>
        <v>0.05081190168100619</v>
      </c>
    </row>
    <row r="55" spans="1:7" ht="14.25" customHeight="1">
      <c r="A55" s="33"/>
      <c r="B55" s="33"/>
      <c r="C55" s="33"/>
      <c r="D55" s="33"/>
      <c r="E55" s="33"/>
      <c r="F55" s="33"/>
      <c r="G55" s="33"/>
    </row>
    <row r="56" spans="1:7" ht="14.25" customHeight="1">
      <c r="A56" s="533" t="s">
        <v>55</v>
      </c>
      <c r="B56" s="496"/>
      <c r="C56" s="496"/>
      <c r="D56" s="496"/>
      <c r="E56" s="316"/>
      <c r="F56" s="316"/>
      <c r="G56" s="316"/>
    </row>
    <row r="57" spans="1:4" ht="12" customHeight="1">
      <c r="A57" s="53" t="s">
        <v>56</v>
      </c>
      <c r="B57" s="53"/>
      <c r="C57" s="53"/>
      <c r="D57" s="53"/>
    </row>
    <row r="58" spans="1:4" ht="14.25" customHeight="1">
      <c r="A58" s="53"/>
      <c r="B58" s="53"/>
      <c r="C58" s="53"/>
      <c r="D58" s="53"/>
    </row>
    <row r="59" spans="1:4" ht="14.25" customHeight="1">
      <c r="A59" s="53"/>
      <c r="B59" s="53"/>
      <c r="C59" s="53"/>
      <c r="D59" s="53"/>
    </row>
    <row r="60" spans="1:4" ht="14.25" customHeight="1">
      <c r="A60" s="53"/>
      <c r="B60" s="53"/>
      <c r="C60" s="53"/>
      <c r="D60" s="53"/>
    </row>
    <row r="61" ht="12">
      <c r="A61" s="53"/>
    </row>
  </sheetData>
  <printOptions horizontalCentered="1"/>
  <pageMargins left="0.5" right="0.5" top="0.6" bottom="0" header="0.3" footer="0"/>
  <pageSetup fitToHeight="1" fitToWidth="1" horizontalDpi="600" verticalDpi="600" orientation="portrait" scale="87"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sheetPr codeName="Sheet61">
    <pageSetUpPr fitToPage="1"/>
  </sheetPr>
  <dimension ref="A1:G58"/>
  <sheetViews>
    <sheetView showGridLines="0" showZeros="0" workbookViewId="0" topLeftCell="A1">
      <selection activeCell="A1" sqref="A1"/>
    </sheetView>
  </sheetViews>
  <sheetFormatPr defaultColWidth="12.83203125" defaultRowHeight="12"/>
  <cols>
    <col min="1" max="1" width="36.83203125" style="1" customWidth="1"/>
    <col min="2" max="3" width="13.83203125" style="1" customWidth="1"/>
    <col min="4" max="5" width="12.83203125" style="1" customWidth="1"/>
    <col min="6" max="6" width="21.83203125" style="1" customWidth="1"/>
    <col min="7" max="7" width="20.83203125" style="1" customWidth="1"/>
    <col min="8" max="16384" width="12.83203125" style="1" customWidth="1"/>
  </cols>
  <sheetData>
    <row r="1" spans="1:3" ht="6.75" customHeight="1">
      <c r="A1" s="5"/>
      <c r="B1" s="6"/>
      <c r="C1" s="6"/>
    </row>
    <row r="2" spans="1:7" ht="15.75" customHeight="1">
      <c r="A2" s="460" t="s">
        <v>483</v>
      </c>
      <c r="B2" s="461"/>
      <c r="C2" s="461"/>
      <c r="D2" s="461"/>
      <c r="E2" s="461"/>
      <c r="F2" s="232"/>
      <c r="G2" s="232"/>
    </row>
    <row r="3" spans="1:7" ht="15.75" customHeight="1">
      <c r="A3" s="462" t="s">
        <v>57</v>
      </c>
      <c r="B3" s="463"/>
      <c r="C3" s="464"/>
      <c r="D3" s="464"/>
      <c r="E3" s="464"/>
      <c r="F3" s="465"/>
      <c r="G3" s="465"/>
    </row>
    <row r="4" spans="2:3" ht="15.75" customHeight="1">
      <c r="B4" s="42"/>
      <c r="C4" s="6"/>
    </row>
    <row r="5" spans="2:3" ht="15.75" customHeight="1">
      <c r="B5" s="411"/>
      <c r="C5" s="6"/>
    </row>
    <row r="6" spans="2:7" ht="15.75" customHeight="1">
      <c r="B6" s="466" t="s">
        <v>209</v>
      </c>
      <c r="C6" s="467"/>
      <c r="D6" s="468"/>
      <c r="E6" s="469"/>
      <c r="F6" s="466" t="s">
        <v>217</v>
      </c>
      <c r="G6" s="470"/>
    </row>
    <row r="7" spans="2:7" ht="15.75" customHeight="1">
      <c r="B7" s="471" t="s">
        <v>301</v>
      </c>
      <c r="C7" s="472"/>
      <c r="D7" s="471" t="s">
        <v>67</v>
      </c>
      <c r="E7" s="472"/>
      <c r="F7" s="471" t="s">
        <v>482</v>
      </c>
      <c r="G7" s="473" t="s">
        <v>257</v>
      </c>
    </row>
    <row r="8" spans="1:7" ht="15.75" customHeight="1">
      <c r="A8" s="96"/>
      <c r="B8" s="474" t="s">
        <v>58</v>
      </c>
      <c r="C8" s="475"/>
      <c r="D8" s="474" t="s">
        <v>68</v>
      </c>
      <c r="E8" s="475"/>
      <c r="F8" s="474" t="s">
        <v>178</v>
      </c>
      <c r="G8" s="476" t="s">
        <v>461</v>
      </c>
    </row>
    <row r="9" spans="1:7" ht="15.75" customHeight="1">
      <c r="A9" s="49" t="s">
        <v>175</v>
      </c>
      <c r="B9" s="477" t="s">
        <v>69</v>
      </c>
      <c r="C9" s="477" t="s">
        <v>70</v>
      </c>
      <c r="D9" s="477" t="s">
        <v>69</v>
      </c>
      <c r="E9" s="477" t="s">
        <v>59</v>
      </c>
      <c r="F9" s="477" t="s">
        <v>60</v>
      </c>
      <c r="G9" s="478" t="s">
        <v>61</v>
      </c>
    </row>
    <row r="10" spans="1:3" ht="4.5" customHeight="1">
      <c r="A10" s="4"/>
      <c r="C10" s="479"/>
    </row>
    <row r="11" spans="1:7" ht="13.5" customHeight="1">
      <c r="A11" s="25" t="s">
        <v>359</v>
      </c>
      <c r="B11" s="253">
        <f>'- 4 -'!C11</f>
        <v>6882</v>
      </c>
      <c r="C11" s="253">
        <f>'- 4 -'!E11</f>
        <v>7305</v>
      </c>
      <c r="D11" s="442">
        <v>15.24619432437512</v>
      </c>
      <c r="E11" s="442">
        <f>'- 9 -'!C10</f>
        <v>14.88185975609756</v>
      </c>
      <c r="F11" s="253">
        <f>'- 56 -'!F11</f>
        <v>154722</v>
      </c>
      <c r="G11" s="442">
        <f>'- 53 -'!G11</f>
        <v>17.647072084821268</v>
      </c>
    </row>
    <row r="12" spans="1:7" ht="13.5" customHeight="1">
      <c r="A12" s="27" t="s">
        <v>360</v>
      </c>
      <c r="B12" s="254">
        <f>'- 4 -'!C12</f>
        <v>7610</v>
      </c>
      <c r="C12" s="254">
        <f>'- 4 -'!E12</f>
        <v>7856</v>
      </c>
      <c r="D12" s="444">
        <v>13.49199058391227</v>
      </c>
      <c r="E12" s="444">
        <f>'- 9 -'!C11</f>
        <v>14.081935139621745</v>
      </c>
      <c r="F12" s="254">
        <f>'- 56 -'!F12</f>
        <v>131521</v>
      </c>
      <c r="G12" s="444">
        <f>'- 53 -'!G12</f>
        <v>21.0918216859738</v>
      </c>
    </row>
    <row r="13" spans="1:7" ht="13.5" customHeight="1">
      <c r="A13" s="25" t="s">
        <v>361</v>
      </c>
      <c r="B13" s="253">
        <f>'- 4 -'!C13</f>
        <v>6372</v>
      </c>
      <c r="C13" s="253">
        <f>'- 4 -'!E13</f>
        <v>6874</v>
      </c>
      <c r="D13" s="442">
        <v>15.189952511872033</v>
      </c>
      <c r="E13" s="442">
        <f>'- 9 -'!C12</f>
        <v>14.540508478042993</v>
      </c>
      <c r="F13" s="253">
        <f>'- 56 -'!F13</f>
        <v>145886</v>
      </c>
      <c r="G13" s="442">
        <f>'- 53 -'!G13</f>
        <v>17.57685989852199</v>
      </c>
    </row>
    <row r="14" spans="1:7" ht="13.5" customHeight="1">
      <c r="A14" s="27" t="s">
        <v>398</v>
      </c>
      <c r="B14" s="254">
        <f>'- 4 -'!C14</f>
        <v>9191</v>
      </c>
      <c r="C14" s="254">
        <f>'- 4 -'!E14</f>
        <v>9882</v>
      </c>
      <c r="D14" s="444">
        <v>12.383736072927219</v>
      </c>
      <c r="E14" s="444">
        <f>'- 9 -'!C13</f>
        <v>11.922862246037061</v>
      </c>
      <c r="F14" s="254">
        <f>'- 56 -'!F14</f>
        <v>123860</v>
      </c>
      <c r="G14" s="444"/>
    </row>
    <row r="15" spans="1:7" ht="13.5" customHeight="1">
      <c r="A15" s="25" t="s">
        <v>362</v>
      </c>
      <c r="B15" s="253">
        <f>'- 4 -'!C15</f>
        <v>7289</v>
      </c>
      <c r="C15" s="253">
        <f>'- 4 -'!E15</f>
        <v>7700</v>
      </c>
      <c r="D15" s="442">
        <v>16.10469003725284</v>
      </c>
      <c r="E15" s="442">
        <f>'- 9 -'!C14</f>
        <v>15.69525788777631</v>
      </c>
      <c r="F15" s="253">
        <f>'- 56 -'!F15</f>
        <v>203180</v>
      </c>
      <c r="G15" s="442">
        <f>'- 53 -'!G15</f>
        <v>17.098861798860376</v>
      </c>
    </row>
    <row r="16" spans="1:7" ht="13.5" customHeight="1">
      <c r="A16" s="27" t="s">
        <v>363</v>
      </c>
      <c r="B16" s="254">
        <f>'- 4 -'!C16</f>
        <v>7649</v>
      </c>
      <c r="C16" s="254">
        <f>'- 4 -'!E16</f>
        <v>7693</v>
      </c>
      <c r="D16" s="444">
        <v>14.640207792207791</v>
      </c>
      <c r="E16" s="444">
        <f>'- 9 -'!C15</f>
        <v>15.060592945249947</v>
      </c>
      <c r="F16" s="254">
        <f>'- 56 -'!F16</f>
        <v>85990</v>
      </c>
      <c r="G16" s="444">
        <f>'- 53 -'!G16</f>
        <v>23.588007320120294</v>
      </c>
    </row>
    <row r="17" spans="1:7" ht="13.5" customHeight="1">
      <c r="A17" s="25" t="s">
        <v>364</v>
      </c>
      <c r="B17" s="253">
        <f>'- 4 -'!C17</f>
        <v>7803</v>
      </c>
      <c r="C17" s="253">
        <f>'- 4 -'!E17</f>
        <v>7804</v>
      </c>
      <c r="D17" s="442">
        <v>13.548520659018374</v>
      </c>
      <c r="E17" s="442">
        <f>'- 9 -'!C16</f>
        <v>13.949995582648643</v>
      </c>
      <c r="F17" s="253">
        <f>'- 56 -'!F17</f>
        <v>171544</v>
      </c>
      <c r="G17" s="442">
        <f>'- 53 -'!G17</f>
        <v>19.22856884540732</v>
      </c>
    </row>
    <row r="18" spans="1:7" ht="13.5" customHeight="1">
      <c r="A18" s="27" t="s">
        <v>365</v>
      </c>
      <c r="B18" s="254">
        <f>'- 4 -'!C18</f>
        <v>11878</v>
      </c>
      <c r="C18" s="254">
        <f>'- 4 -'!E18</f>
        <v>12166</v>
      </c>
      <c r="D18" s="444">
        <v>12.75492642629722</v>
      </c>
      <c r="E18" s="444">
        <f>'- 9 -'!C17</f>
        <v>12.234751195472866</v>
      </c>
      <c r="F18" s="254">
        <f>'- 56 -'!F18</f>
        <v>35415</v>
      </c>
      <c r="G18" s="444"/>
    </row>
    <row r="19" spans="1:7" ht="13.5" customHeight="1">
      <c r="A19" s="25" t="s">
        <v>366</v>
      </c>
      <c r="B19" s="253">
        <f>'- 4 -'!C19</f>
        <v>6040</v>
      </c>
      <c r="C19" s="253">
        <f>'- 4 -'!E19</f>
        <v>6092</v>
      </c>
      <c r="D19" s="442">
        <v>15.824954049086386</v>
      </c>
      <c r="E19" s="442">
        <f>'- 9 -'!C18</f>
        <v>16.41883046039712</v>
      </c>
      <c r="F19" s="253">
        <f>'- 56 -'!F19</f>
        <v>106578</v>
      </c>
      <c r="G19" s="442">
        <f>'- 53 -'!G19</f>
        <v>18.438804695536316</v>
      </c>
    </row>
    <row r="20" spans="1:7" ht="13.5" customHeight="1">
      <c r="A20" s="27" t="s">
        <v>367</v>
      </c>
      <c r="B20" s="254">
        <f>'- 4 -'!C20</f>
        <v>5444</v>
      </c>
      <c r="C20" s="254">
        <f>'- 4 -'!E20</f>
        <v>5779</v>
      </c>
      <c r="D20" s="444">
        <v>17.891383140418565</v>
      </c>
      <c r="E20" s="444">
        <f>'- 9 -'!C19</f>
        <v>17.840276309297245</v>
      </c>
      <c r="F20" s="254">
        <f>'- 56 -'!F20</f>
        <v>94796</v>
      </c>
      <c r="G20" s="444">
        <f>'- 53 -'!G20</f>
        <v>17.382971024762035</v>
      </c>
    </row>
    <row r="21" spans="1:7" ht="13.5" customHeight="1">
      <c r="A21" s="25" t="s">
        <v>368</v>
      </c>
      <c r="B21" s="253">
        <f>'- 4 -'!C21</f>
        <v>7004</v>
      </c>
      <c r="C21" s="253">
        <f>'- 4 -'!E21</f>
        <v>7220</v>
      </c>
      <c r="D21" s="442">
        <v>14.980083288068078</v>
      </c>
      <c r="E21" s="442">
        <f>'- 9 -'!C20</f>
        <v>14.97072072072072</v>
      </c>
      <c r="F21" s="253">
        <f>'- 56 -'!F21</f>
        <v>124230</v>
      </c>
      <c r="G21" s="442">
        <f>'- 53 -'!G21</f>
        <v>20.499275256035116</v>
      </c>
    </row>
    <row r="22" spans="1:7" ht="13.5" customHeight="1">
      <c r="A22" s="27" t="s">
        <v>369</v>
      </c>
      <c r="B22" s="254">
        <f>'- 4 -'!C22</f>
        <v>7309</v>
      </c>
      <c r="C22" s="254">
        <f>'- 4 -'!E22</f>
        <v>7677</v>
      </c>
      <c r="D22" s="444">
        <v>14.820661229501008</v>
      </c>
      <c r="E22" s="444">
        <f>'- 9 -'!C21</f>
        <v>14.295370057451843</v>
      </c>
      <c r="F22" s="254">
        <f>'- 56 -'!F22</f>
        <v>87565</v>
      </c>
      <c r="G22" s="444">
        <f>'- 53 -'!G22</f>
        <v>22.985812055603553</v>
      </c>
    </row>
    <row r="23" spans="1:7" ht="13.5" customHeight="1">
      <c r="A23" s="25" t="s">
        <v>370</v>
      </c>
      <c r="B23" s="253">
        <f>'- 4 -'!C23</f>
        <v>7665</v>
      </c>
      <c r="C23" s="253">
        <f>'- 4 -'!E23</f>
        <v>8324</v>
      </c>
      <c r="D23" s="442">
        <v>14.482940741523185</v>
      </c>
      <c r="E23" s="442">
        <f>'- 9 -'!C22</f>
        <v>14.144912093766647</v>
      </c>
      <c r="F23" s="253">
        <f>'- 56 -'!F23</f>
        <v>97987</v>
      </c>
      <c r="G23" s="442">
        <f>'- 53 -'!G23</f>
        <v>21.861471328469854</v>
      </c>
    </row>
    <row r="24" spans="1:7" ht="13.5" customHeight="1">
      <c r="A24" s="27" t="s">
        <v>371</v>
      </c>
      <c r="B24" s="254">
        <f>'- 4 -'!C24</f>
        <v>7106</v>
      </c>
      <c r="C24" s="254">
        <f>'- 4 -'!E24</f>
        <v>7344</v>
      </c>
      <c r="D24" s="444">
        <v>14.876451612903224</v>
      </c>
      <c r="E24" s="444">
        <f>'- 9 -'!C23</f>
        <v>15.317995069843878</v>
      </c>
      <c r="F24" s="254">
        <f>'- 56 -'!F24</f>
        <v>144885</v>
      </c>
      <c r="G24" s="444">
        <f>'- 53 -'!G24</f>
        <v>20.210209671656038</v>
      </c>
    </row>
    <row r="25" spans="1:7" ht="13.5" customHeight="1">
      <c r="A25" s="25" t="s">
        <v>372</v>
      </c>
      <c r="B25" s="253">
        <f>'- 4 -'!C25</f>
        <v>6917</v>
      </c>
      <c r="C25" s="253">
        <f>'- 4 -'!E25</f>
        <v>7328</v>
      </c>
      <c r="D25" s="442">
        <v>15.228179270562727</v>
      </c>
      <c r="E25" s="442">
        <f>'- 9 -'!C24</f>
        <v>15.245400641676481</v>
      </c>
      <c r="F25" s="253">
        <f>'- 56 -'!F25</f>
        <v>126905</v>
      </c>
      <c r="G25" s="442">
        <f>'- 53 -'!G25</f>
        <v>23.862754962782255</v>
      </c>
    </row>
    <row r="26" spans="1:7" ht="13.5" customHeight="1">
      <c r="A26" s="27" t="s">
        <v>373</v>
      </c>
      <c r="B26" s="254">
        <f>'- 4 -'!C26</f>
        <v>7671</v>
      </c>
      <c r="C26" s="254">
        <f>'- 4 -'!E26</f>
        <v>8176</v>
      </c>
      <c r="D26" s="444">
        <v>14.052308144046645</v>
      </c>
      <c r="E26" s="444">
        <f>'- 9 -'!C25</f>
        <v>14.140886108492587</v>
      </c>
      <c r="F26" s="254">
        <f>'- 56 -'!F26</f>
        <v>123204</v>
      </c>
      <c r="G26" s="444"/>
    </row>
    <row r="27" spans="1:7" ht="13.5" customHeight="1">
      <c r="A27" s="25" t="s">
        <v>374</v>
      </c>
      <c r="B27" s="253">
        <f>'- 4 -'!C27</f>
        <v>7740</v>
      </c>
      <c r="C27" s="253">
        <f>'- 4 -'!E27</f>
        <v>8338</v>
      </c>
      <c r="D27" s="442">
        <v>14.151136509019572</v>
      </c>
      <c r="E27" s="442">
        <f>'- 9 -'!C26</f>
        <v>13.337165852256396</v>
      </c>
      <c r="F27" s="253">
        <f>'- 56 -'!F27</f>
        <v>70736</v>
      </c>
      <c r="G27" s="442">
        <f>'- 53 -'!G27</f>
        <v>33.83835217051174</v>
      </c>
    </row>
    <row r="28" spans="1:7" ht="13.5" customHeight="1">
      <c r="A28" s="27" t="s">
        <v>375</v>
      </c>
      <c r="B28" s="254">
        <f>'- 4 -'!C28</f>
        <v>7505</v>
      </c>
      <c r="C28" s="254">
        <f>'- 4 -'!E28</f>
        <v>8000</v>
      </c>
      <c r="D28" s="444">
        <v>14.387851095282892</v>
      </c>
      <c r="E28" s="444">
        <f>'- 9 -'!C27</f>
        <v>13.726523887973642</v>
      </c>
      <c r="F28" s="254">
        <f>'- 56 -'!F28</f>
        <v>150715</v>
      </c>
      <c r="G28" s="444">
        <f>'- 53 -'!G28</f>
        <v>19.63775834888917</v>
      </c>
    </row>
    <row r="29" spans="1:7" ht="13.5" customHeight="1">
      <c r="A29" s="25" t="s">
        <v>376</v>
      </c>
      <c r="B29" s="253">
        <f>'- 4 -'!C29</f>
        <v>7453</v>
      </c>
      <c r="C29" s="253">
        <f>'- 4 -'!E29</f>
        <v>7726</v>
      </c>
      <c r="D29" s="442">
        <v>14.774116291417663</v>
      </c>
      <c r="E29" s="442">
        <f>'- 9 -'!C28</f>
        <v>14.450911486931693</v>
      </c>
      <c r="F29" s="253">
        <f>'- 56 -'!F29</f>
        <v>166899</v>
      </c>
      <c r="G29" s="442">
        <f>'- 53 -'!G29</f>
        <v>24.347900860347888</v>
      </c>
    </row>
    <row r="30" spans="1:7" ht="13.5" customHeight="1">
      <c r="A30" s="27" t="s">
        <v>377</v>
      </c>
      <c r="B30" s="254">
        <f>'- 4 -'!C30</f>
        <v>7508</v>
      </c>
      <c r="C30" s="254">
        <f>'- 4 -'!E30</f>
        <v>7705</v>
      </c>
      <c r="D30" s="444">
        <v>14.225820763087844</v>
      </c>
      <c r="E30" s="444">
        <f>'- 9 -'!C29</f>
        <v>14.410900045228404</v>
      </c>
      <c r="F30" s="254">
        <f>'- 56 -'!F30</f>
        <v>129012</v>
      </c>
      <c r="G30" s="444">
        <f>'- 53 -'!G30</f>
        <v>21.70000904905768</v>
      </c>
    </row>
    <row r="31" spans="1:7" ht="13.5" customHeight="1">
      <c r="A31" s="25" t="s">
        <v>378</v>
      </c>
      <c r="B31" s="253">
        <f>'- 4 -'!C31</f>
        <v>7185</v>
      </c>
      <c r="C31" s="253">
        <f>'- 4 -'!E31</f>
        <v>7289</v>
      </c>
      <c r="D31" s="442">
        <v>14.55642545092781</v>
      </c>
      <c r="E31" s="442">
        <f>'- 9 -'!C30</f>
        <v>14.691939035447522</v>
      </c>
      <c r="F31" s="253">
        <f>'- 56 -'!F31</f>
        <v>142336</v>
      </c>
      <c r="G31" s="442">
        <f>'- 53 -'!G31</f>
        <v>18.52000968331087</v>
      </c>
    </row>
    <row r="32" spans="1:7" ht="13.5" customHeight="1">
      <c r="A32" s="27" t="s">
        <v>379</v>
      </c>
      <c r="B32" s="254">
        <f>'- 4 -'!C32</f>
        <v>7616</v>
      </c>
      <c r="C32" s="254">
        <f>'- 4 -'!E32</f>
        <v>7875</v>
      </c>
      <c r="D32" s="444">
        <v>14.414524934061218</v>
      </c>
      <c r="E32" s="444">
        <f>'- 9 -'!C31</f>
        <v>14.10606889010388</v>
      </c>
      <c r="F32" s="254">
        <f>'- 56 -'!F32</f>
        <v>159730</v>
      </c>
      <c r="G32" s="444"/>
    </row>
    <row r="33" spans="1:7" ht="13.5" customHeight="1">
      <c r="A33" s="25" t="s">
        <v>380</v>
      </c>
      <c r="B33" s="253">
        <f>'- 4 -'!C33</f>
        <v>8690</v>
      </c>
      <c r="C33" s="253">
        <f>'- 4 -'!E33</f>
        <v>8702</v>
      </c>
      <c r="D33" s="442">
        <v>13.200084714353789</v>
      </c>
      <c r="E33" s="442">
        <f>'- 9 -'!C32</f>
        <v>13.472274110049632</v>
      </c>
      <c r="F33" s="253">
        <f>'- 56 -'!F33</f>
        <v>134616</v>
      </c>
      <c r="G33" s="442">
        <f>'- 53 -'!G33</f>
        <v>21.90337082686064</v>
      </c>
    </row>
    <row r="34" spans="1:7" ht="13.5" customHeight="1">
      <c r="A34" s="27" t="s">
        <v>381</v>
      </c>
      <c r="B34" s="254">
        <f>'- 4 -'!C34</f>
        <v>7339</v>
      </c>
      <c r="C34" s="254">
        <f>'- 4 -'!E34</f>
        <v>7704</v>
      </c>
      <c r="D34" s="444">
        <v>15.948089401586158</v>
      </c>
      <c r="E34" s="444">
        <f>'- 9 -'!C33</f>
        <v>15.3581702097804</v>
      </c>
      <c r="F34" s="254">
        <f>'- 56 -'!F34</f>
        <v>155273</v>
      </c>
      <c r="G34" s="444"/>
    </row>
    <row r="35" spans="1:7" ht="13.5" customHeight="1">
      <c r="A35" s="25" t="s">
        <v>382</v>
      </c>
      <c r="B35" s="253">
        <f>'- 4 -'!C35</f>
        <v>6795</v>
      </c>
      <c r="C35" s="253">
        <f>'- 4 -'!E35</f>
        <v>6988</v>
      </c>
      <c r="D35" s="442">
        <v>15.074578881020669</v>
      </c>
      <c r="E35" s="442">
        <f>'- 9 -'!C34</f>
        <v>14.975364909895163</v>
      </c>
      <c r="F35" s="253">
        <f>'- 56 -'!F35</f>
        <v>115958</v>
      </c>
      <c r="G35" s="442">
        <f>'- 53 -'!G35</f>
        <v>24.031929421293828</v>
      </c>
    </row>
    <row r="36" spans="1:7" ht="13.5" customHeight="1">
      <c r="A36" s="27" t="s">
        <v>383</v>
      </c>
      <c r="B36" s="254">
        <f>'- 4 -'!C36</f>
        <v>7432</v>
      </c>
      <c r="C36" s="254">
        <f>'- 4 -'!E36</f>
        <v>7906</v>
      </c>
      <c r="D36" s="444">
        <v>14.25790427602873</v>
      </c>
      <c r="E36" s="444">
        <f>'- 9 -'!C35</f>
        <v>13.83217707300958</v>
      </c>
      <c r="F36" s="254">
        <f>'- 56 -'!F36</f>
        <v>145832</v>
      </c>
      <c r="G36" s="444">
        <f>'- 53 -'!G36</f>
        <v>20.723979206222264</v>
      </c>
    </row>
    <row r="37" spans="1:7" ht="13.5" customHeight="1">
      <c r="A37" s="25" t="s">
        <v>384</v>
      </c>
      <c r="B37" s="253">
        <f>'- 4 -'!C37</f>
        <v>6837</v>
      </c>
      <c r="C37" s="253">
        <f>'- 4 -'!E37</f>
        <v>7397</v>
      </c>
      <c r="D37" s="442">
        <v>15.945372204924992</v>
      </c>
      <c r="E37" s="442">
        <f>'- 9 -'!C36</f>
        <v>15.521006080707574</v>
      </c>
      <c r="F37" s="253">
        <f>'- 56 -'!F37</f>
        <v>94836</v>
      </c>
      <c r="G37" s="442">
        <f>'- 53 -'!G37</f>
        <v>23.569376920711814</v>
      </c>
    </row>
    <row r="38" spans="1:7" ht="13.5" customHeight="1">
      <c r="A38" s="27" t="s">
        <v>385</v>
      </c>
      <c r="B38" s="254">
        <f>'- 4 -'!C38</f>
        <v>7146</v>
      </c>
      <c r="C38" s="254">
        <f>'- 4 -'!E38</f>
        <v>7619</v>
      </c>
      <c r="D38" s="444">
        <v>15.392325056433409</v>
      </c>
      <c r="E38" s="444">
        <f>'- 9 -'!C37</f>
        <v>15.12</v>
      </c>
      <c r="F38" s="254">
        <f>'- 56 -'!F38</f>
        <v>107188</v>
      </c>
      <c r="G38" s="444">
        <f>'- 53 -'!G38</f>
        <v>28.27621632634127</v>
      </c>
    </row>
    <row r="39" spans="1:7" ht="13.5" customHeight="1">
      <c r="A39" s="25" t="s">
        <v>386</v>
      </c>
      <c r="B39" s="253">
        <f>'- 4 -'!C39</f>
        <v>8088</v>
      </c>
      <c r="C39" s="253">
        <f>'- 4 -'!E39</f>
        <v>8385</v>
      </c>
      <c r="D39" s="442">
        <v>14.491708723864457</v>
      </c>
      <c r="E39" s="442">
        <f>'- 9 -'!C38</f>
        <v>14.20099875156055</v>
      </c>
      <c r="F39" s="253">
        <f>'- 56 -'!F39</f>
        <v>171816</v>
      </c>
      <c r="G39" s="442">
        <f>'- 53 -'!G39</f>
        <v>20.374721269046084</v>
      </c>
    </row>
    <row r="40" spans="1:7" ht="13.5" customHeight="1">
      <c r="A40" s="27" t="s">
        <v>387</v>
      </c>
      <c r="B40" s="254">
        <f>'- 4 -'!C40</f>
        <v>6753</v>
      </c>
      <c r="C40" s="254">
        <f>'- 4 -'!E40</f>
        <v>7237</v>
      </c>
      <c r="D40" s="444">
        <v>14.970123282499136</v>
      </c>
      <c r="E40" s="444">
        <f>'- 9 -'!C39</f>
        <v>14.98091701919796</v>
      </c>
      <c r="F40" s="254">
        <f>'- 56 -'!F40</f>
        <v>176033</v>
      </c>
      <c r="G40" s="444">
        <f>'- 53 -'!G40</f>
        <v>19.832583645903075</v>
      </c>
    </row>
    <row r="41" spans="1:7" ht="13.5" customHeight="1">
      <c r="A41" s="25" t="s">
        <v>388</v>
      </c>
      <c r="B41" s="253">
        <f>'- 4 -'!C41</f>
        <v>7392</v>
      </c>
      <c r="C41" s="253">
        <f>'- 4 -'!E41</f>
        <v>7936</v>
      </c>
      <c r="D41" s="442">
        <v>14.328436516264428</v>
      </c>
      <c r="E41" s="442">
        <f>'- 9 -'!C40</f>
        <v>14.065946995323115</v>
      </c>
      <c r="F41" s="253">
        <f>'- 56 -'!F41</f>
        <v>140597</v>
      </c>
      <c r="G41" s="442">
        <f>'- 53 -'!G41</f>
        <v>22.58669673179263</v>
      </c>
    </row>
    <row r="42" spans="1:7" ht="13.5" customHeight="1">
      <c r="A42" s="27" t="s">
        <v>389</v>
      </c>
      <c r="B42" s="254">
        <f>'- 4 -'!C42</f>
        <v>7691</v>
      </c>
      <c r="C42" s="254">
        <f>'- 4 -'!E42</f>
        <v>8054</v>
      </c>
      <c r="D42" s="444">
        <v>15.294452578493575</v>
      </c>
      <c r="E42" s="444">
        <f>'- 9 -'!C41</f>
        <v>15.083051120786973</v>
      </c>
      <c r="F42" s="254">
        <f>'- 56 -'!F42</f>
        <v>115261</v>
      </c>
      <c r="G42" s="444">
        <f>'- 53 -'!G42</f>
        <v>23.50199850901478</v>
      </c>
    </row>
    <row r="43" spans="1:7" ht="13.5" customHeight="1">
      <c r="A43" s="25" t="s">
        <v>390</v>
      </c>
      <c r="B43" s="253">
        <f>'- 4 -'!C43</f>
        <v>7310</v>
      </c>
      <c r="C43" s="253">
        <f>'- 4 -'!E43</f>
        <v>7498</v>
      </c>
      <c r="D43" s="442">
        <v>13.69047619047619</v>
      </c>
      <c r="E43" s="442">
        <f>'- 9 -'!C42</f>
        <v>13.68111350005658</v>
      </c>
      <c r="F43" s="253">
        <f>'- 56 -'!F43</f>
        <v>147718</v>
      </c>
      <c r="G43" s="442">
        <f>'- 53 -'!G43</f>
        <v>20.70155778032142</v>
      </c>
    </row>
    <row r="44" spans="1:7" ht="13.5" customHeight="1">
      <c r="A44" s="27" t="s">
        <v>391</v>
      </c>
      <c r="B44" s="254">
        <f>'- 4 -'!C44</f>
        <v>7988</v>
      </c>
      <c r="C44" s="254">
        <f>'- 4 -'!E44</f>
        <v>8723</v>
      </c>
      <c r="D44" s="444">
        <v>13.356723237597912</v>
      </c>
      <c r="E44" s="444">
        <f>'- 9 -'!C43</f>
        <v>13.832020997375329</v>
      </c>
      <c r="F44" s="254">
        <f>'- 56 -'!F44</f>
        <v>103134</v>
      </c>
      <c r="G44" s="444">
        <f>'- 53 -'!G44</f>
        <v>23.074644693268407</v>
      </c>
    </row>
    <row r="45" spans="1:7" ht="13.5" customHeight="1">
      <c r="A45" s="25" t="s">
        <v>392</v>
      </c>
      <c r="B45" s="253">
        <f>'- 4 -'!C45</f>
        <v>6599</v>
      </c>
      <c r="C45" s="253">
        <f>'- 4 -'!E45</f>
        <v>6840</v>
      </c>
      <c r="D45" s="442">
        <v>16.69338218456606</v>
      </c>
      <c r="E45" s="442">
        <f>'- 9 -'!C44</f>
        <v>16.261120996441285</v>
      </c>
      <c r="F45" s="253">
        <f>'- 56 -'!F45</f>
        <v>116390</v>
      </c>
      <c r="G45" s="442">
        <f>'- 53 -'!G45</f>
        <v>21.354584955852168</v>
      </c>
    </row>
    <row r="46" spans="1:7" ht="13.5" customHeight="1">
      <c r="A46" s="27" t="s">
        <v>393</v>
      </c>
      <c r="B46" s="254">
        <f>'- 4 -'!C46</f>
        <v>7961</v>
      </c>
      <c r="C46" s="254">
        <f>'- 4 -'!E46</f>
        <v>8213</v>
      </c>
      <c r="D46" s="444">
        <v>14.606049405531941</v>
      </c>
      <c r="E46" s="444">
        <f>'- 9 -'!C45</f>
        <v>15.083199610989544</v>
      </c>
      <c r="F46" s="254">
        <f>'- 56 -'!F46</f>
        <v>132276</v>
      </c>
      <c r="G46" s="444">
        <f>'- 53 -'!G46</f>
        <v>28.559233160076385</v>
      </c>
    </row>
    <row r="47" spans="2:7" ht="4.5" customHeight="1">
      <c r="B47" s="255"/>
      <c r="C47" s="255"/>
      <c r="D47" s="447"/>
      <c r="E47" s="447"/>
      <c r="F47" s="255"/>
      <c r="G47" s="447"/>
    </row>
    <row r="48" spans="1:7" ht="13.5" customHeight="1">
      <c r="A48" s="31" t="s">
        <v>394</v>
      </c>
      <c r="B48" s="256">
        <f>'- 4 -'!C49</f>
        <v>7432</v>
      </c>
      <c r="C48" s="256">
        <f>'- 4 -'!E49</f>
        <v>7764</v>
      </c>
      <c r="D48" s="480">
        <v>14.770265318043217</v>
      </c>
      <c r="E48" s="480">
        <f>'- 9 -'!C48</f>
        <v>14.711478543627916</v>
      </c>
      <c r="F48" s="256">
        <f>'- 56 -'!F49</f>
        <v>130305</v>
      </c>
      <c r="G48" s="480">
        <f>'- 53 -'!G49</f>
        <v>23.251577272276403</v>
      </c>
    </row>
    <row r="49" spans="2:7" ht="4.5" customHeight="1">
      <c r="B49" s="255"/>
      <c r="C49" s="255"/>
      <c r="D49" s="447"/>
      <c r="E49" s="447"/>
      <c r="F49" s="255"/>
      <c r="G49" s="447"/>
    </row>
    <row r="50" spans="1:7" ht="13.5" customHeight="1">
      <c r="A50" s="481" t="s">
        <v>395</v>
      </c>
      <c r="B50" s="254">
        <f>'- 4 -'!C51</f>
        <v>8254</v>
      </c>
      <c r="C50" s="254">
        <f>'- 4 -'!E51</f>
        <v>8667</v>
      </c>
      <c r="D50" s="444">
        <v>13.6</v>
      </c>
      <c r="E50" s="444">
        <f>'- 9 -'!C50</f>
        <v>12.88888888888889</v>
      </c>
      <c r="F50" s="254"/>
      <c r="G50" s="444"/>
    </row>
    <row r="51" spans="1:7" ht="13.5" customHeight="1">
      <c r="A51" s="482" t="s">
        <v>396</v>
      </c>
      <c r="B51" s="253">
        <f>'- 4 -'!C52</f>
        <v>8731</v>
      </c>
      <c r="C51" s="253">
        <f>'- 4 -'!E52</f>
        <v>8744</v>
      </c>
      <c r="D51" s="442">
        <v>11.375</v>
      </c>
      <c r="E51" s="442">
        <f>'- 9 -'!C51</f>
        <v>11.711139347734012</v>
      </c>
      <c r="F51" s="253"/>
      <c r="G51" s="442"/>
    </row>
    <row r="52" spans="1:7" ht="49.5" customHeight="1">
      <c r="A52" s="33"/>
      <c r="B52" s="33"/>
      <c r="C52" s="33"/>
      <c r="D52" s="33"/>
      <c r="E52" s="33"/>
      <c r="F52" s="33"/>
      <c r="G52" s="33"/>
    </row>
    <row r="53" spans="1:3" ht="15" customHeight="1">
      <c r="A53" s="166" t="s">
        <v>62</v>
      </c>
      <c r="B53" s="53"/>
      <c r="C53" s="53"/>
    </row>
    <row r="54" spans="1:3" ht="12" customHeight="1">
      <c r="A54" s="53" t="s">
        <v>72</v>
      </c>
      <c r="B54" s="53"/>
      <c r="C54" s="53"/>
    </row>
    <row r="55" spans="1:3" ht="12" customHeight="1">
      <c r="A55" s="166" t="s">
        <v>63</v>
      </c>
      <c r="B55" s="53"/>
      <c r="C55" s="53"/>
    </row>
    <row r="56" spans="1:3" ht="12" customHeight="1">
      <c r="A56" s="166" t="s">
        <v>64</v>
      </c>
      <c r="B56" s="53"/>
      <c r="C56" s="53"/>
    </row>
    <row r="57" spans="1:3" ht="12" customHeight="1">
      <c r="A57" s="166" t="s">
        <v>65</v>
      </c>
      <c r="B57" s="53"/>
      <c r="C57" s="53"/>
    </row>
    <row r="58" spans="1:3" ht="12" customHeight="1">
      <c r="A58" s="166" t="s">
        <v>66</v>
      </c>
      <c r="B58" s="53"/>
      <c r="C58"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57"/>
  <sheetViews>
    <sheetView showGridLines="0" showZeros="0" workbookViewId="0" topLeftCell="A1">
      <selection activeCell="A1" sqref="A1"/>
    </sheetView>
  </sheetViews>
  <sheetFormatPr defaultColWidth="16.83203125" defaultRowHeight="12"/>
  <cols>
    <col min="1" max="1" width="32.83203125" style="1" customWidth="1"/>
    <col min="2" max="6" width="16.83203125" style="1" customWidth="1"/>
    <col min="7" max="16384" width="16.83203125" style="1" customWidth="1"/>
  </cols>
  <sheetData>
    <row r="1" spans="1:7" ht="6.75" customHeight="1">
      <c r="A1" s="5"/>
      <c r="B1" s="6"/>
      <c r="C1" s="6"/>
      <c r="D1" s="6"/>
      <c r="E1" s="6"/>
      <c r="F1" s="6"/>
      <c r="G1" s="6"/>
    </row>
    <row r="2" spans="1:7" ht="15.75" customHeight="1">
      <c r="A2" s="91"/>
      <c r="B2" s="104" t="s">
        <v>280</v>
      </c>
      <c r="C2" s="8"/>
      <c r="D2" s="8"/>
      <c r="E2" s="8"/>
      <c r="F2" s="105"/>
      <c r="G2" s="105"/>
    </row>
    <row r="3" spans="1:7" ht="15.75" customHeight="1">
      <c r="A3" s="93"/>
      <c r="B3" s="106" t="s">
        <v>450</v>
      </c>
      <c r="C3" s="10"/>
      <c r="D3" s="10"/>
      <c r="E3" s="10"/>
      <c r="F3" s="107"/>
      <c r="G3" s="107"/>
    </row>
    <row r="4" spans="2:7" ht="15.75" customHeight="1">
      <c r="B4" s="6"/>
      <c r="C4" s="6"/>
      <c r="D4" s="6"/>
      <c r="E4" s="6"/>
      <c r="F4" s="6"/>
      <c r="G4" s="6"/>
    </row>
    <row r="5" spans="2:7" ht="15.75" customHeight="1">
      <c r="B5" s="6"/>
      <c r="C5" s="6"/>
      <c r="D5" s="6"/>
      <c r="E5" s="6"/>
      <c r="F5" s="6"/>
      <c r="G5" s="6"/>
    </row>
    <row r="6" spans="2:7" ht="15.75" customHeight="1">
      <c r="B6" s="553" t="s">
        <v>71</v>
      </c>
      <c r="C6" s="554"/>
      <c r="D6" s="555"/>
      <c r="E6" s="545" t="s">
        <v>71</v>
      </c>
      <c r="F6" s="545" t="s">
        <v>451</v>
      </c>
      <c r="G6" s="545" t="s">
        <v>586</v>
      </c>
    </row>
    <row r="7" spans="2:7" ht="15.75" customHeight="1">
      <c r="B7" s="108" t="s">
        <v>535</v>
      </c>
      <c r="C7" s="71"/>
      <c r="D7" s="70"/>
      <c r="E7" s="109" t="s">
        <v>536</v>
      </c>
      <c r="F7" s="110" t="s">
        <v>537</v>
      </c>
      <c r="G7" s="110" t="s">
        <v>537</v>
      </c>
    </row>
    <row r="8" spans="1:7" ht="15.75" customHeight="1">
      <c r="A8" s="96"/>
      <c r="B8" s="15" t="s">
        <v>163</v>
      </c>
      <c r="C8" s="111" t="s">
        <v>164</v>
      </c>
      <c r="D8" s="112" t="s">
        <v>165</v>
      </c>
      <c r="E8" s="13" t="s">
        <v>162</v>
      </c>
      <c r="F8" s="13" t="s">
        <v>165</v>
      </c>
      <c r="G8" s="13" t="s">
        <v>165</v>
      </c>
    </row>
    <row r="9" spans="1:7" ht="15.75" customHeight="1">
      <c r="A9" s="49" t="s">
        <v>175</v>
      </c>
      <c r="B9" s="113" t="s">
        <v>281</v>
      </c>
      <c r="C9" s="113" t="s">
        <v>281</v>
      </c>
      <c r="D9" s="113" t="s">
        <v>281</v>
      </c>
      <c r="E9" s="114" t="s">
        <v>281</v>
      </c>
      <c r="F9" s="114" t="s">
        <v>281</v>
      </c>
      <c r="G9" s="114" t="s">
        <v>281</v>
      </c>
    </row>
    <row r="10" ht="4.5" customHeight="1">
      <c r="A10" s="4"/>
    </row>
    <row r="11" spans="1:7" ht="13.5" customHeight="1">
      <c r="A11" s="25" t="s">
        <v>359</v>
      </c>
      <c r="B11" s="26">
        <v>1617</v>
      </c>
      <c r="C11" s="26">
        <v>0</v>
      </c>
      <c r="D11" s="26">
        <f>B11-C11</f>
        <v>1617</v>
      </c>
      <c r="E11" s="100">
        <f>'- 7 -'!F11</f>
        <v>1562</v>
      </c>
      <c r="F11" s="100">
        <v>1618.5</v>
      </c>
      <c r="G11" s="100">
        <v>1647.1</v>
      </c>
    </row>
    <row r="12" spans="1:7" ht="13.5" customHeight="1">
      <c r="A12" s="27" t="s">
        <v>360</v>
      </c>
      <c r="B12" s="28">
        <v>2463</v>
      </c>
      <c r="C12" s="28">
        <v>0</v>
      </c>
      <c r="D12" s="28">
        <f>B12-C12</f>
        <v>2463</v>
      </c>
      <c r="E12" s="101">
        <f>'- 7 -'!F12</f>
        <v>2375.2</v>
      </c>
      <c r="F12" s="101">
        <v>2315</v>
      </c>
      <c r="G12" s="101">
        <v>2325.5</v>
      </c>
    </row>
    <row r="13" spans="1:7" ht="13.5" customHeight="1">
      <c r="A13" s="25" t="s">
        <v>361</v>
      </c>
      <c r="B13" s="26">
        <v>7364</v>
      </c>
      <c r="C13" s="26">
        <v>0</v>
      </c>
      <c r="D13" s="26">
        <f aca="true" t="shared" si="0" ref="D13:D47">B13-C13</f>
        <v>7364</v>
      </c>
      <c r="E13" s="100">
        <f>'- 7 -'!F13</f>
        <v>7109</v>
      </c>
      <c r="F13" s="100">
        <v>7177.7</v>
      </c>
      <c r="G13" s="100">
        <v>7304.5</v>
      </c>
    </row>
    <row r="14" spans="1:7" ht="13.5" customHeight="1">
      <c r="A14" s="27" t="s">
        <v>398</v>
      </c>
      <c r="B14" s="28">
        <v>4468</v>
      </c>
      <c r="C14" s="28">
        <v>0</v>
      </c>
      <c r="D14" s="28">
        <f t="shared" si="0"/>
        <v>4468</v>
      </c>
      <c r="E14" s="101">
        <f>'- 7 -'!F14</f>
        <v>4272.2</v>
      </c>
      <c r="F14" s="101">
        <v>4272.2</v>
      </c>
      <c r="G14" s="101">
        <v>4256.7</v>
      </c>
    </row>
    <row r="15" spans="1:7" ht="13.5" customHeight="1">
      <c r="A15" s="25" t="s">
        <v>362</v>
      </c>
      <c r="B15" s="26">
        <v>1720</v>
      </c>
      <c r="C15" s="26">
        <v>0</v>
      </c>
      <c r="D15" s="26">
        <f t="shared" si="0"/>
        <v>1720</v>
      </c>
      <c r="E15" s="100">
        <f>'- 7 -'!F15</f>
        <v>1661.5</v>
      </c>
      <c r="F15" s="100">
        <v>1648.4</v>
      </c>
      <c r="G15" s="100">
        <v>1634.4</v>
      </c>
    </row>
    <row r="16" spans="1:7" ht="13.5" customHeight="1">
      <c r="A16" s="27" t="s">
        <v>363</v>
      </c>
      <c r="B16" s="28">
        <v>1437</v>
      </c>
      <c r="C16" s="28">
        <v>0</v>
      </c>
      <c r="D16" s="28">
        <f t="shared" si="0"/>
        <v>1437</v>
      </c>
      <c r="E16" s="101">
        <f>'- 7 -'!F16</f>
        <v>1391.9</v>
      </c>
      <c r="F16" s="101">
        <v>1250.1</v>
      </c>
      <c r="G16" s="101">
        <v>1281.1</v>
      </c>
    </row>
    <row r="17" spans="1:7" ht="13.5" customHeight="1">
      <c r="A17" s="25" t="s">
        <v>364</v>
      </c>
      <c r="B17" s="26">
        <v>1615</v>
      </c>
      <c r="C17" s="26">
        <v>0</v>
      </c>
      <c r="D17" s="26">
        <f t="shared" si="0"/>
        <v>1615</v>
      </c>
      <c r="E17" s="100">
        <f>'- 7 -'!F17</f>
        <v>1579</v>
      </c>
      <c r="F17" s="100">
        <v>1485.4</v>
      </c>
      <c r="G17" s="100">
        <v>1558.9</v>
      </c>
    </row>
    <row r="18" spans="1:7" ht="13.5" customHeight="1">
      <c r="A18" s="27" t="s">
        <v>365</v>
      </c>
      <c r="B18" s="28">
        <v>6455</v>
      </c>
      <c r="C18" s="28">
        <v>358</v>
      </c>
      <c r="D18" s="28">
        <f t="shared" si="0"/>
        <v>6097</v>
      </c>
      <c r="E18" s="101">
        <f>'- 7 -'!F18</f>
        <v>5859.1</v>
      </c>
      <c r="F18" s="101">
        <v>3260</v>
      </c>
      <c r="G18" s="101">
        <v>3371.4</v>
      </c>
    </row>
    <row r="19" spans="1:7" ht="13.5" customHeight="1">
      <c r="A19" s="25" t="s">
        <v>366</v>
      </c>
      <c r="B19" s="26">
        <v>3123</v>
      </c>
      <c r="C19" s="26">
        <v>0</v>
      </c>
      <c r="D19" s="26">
        <f t="shared" si="0"/>
        <v>3123</v>
      </c>
      <c r="E19" s="100">
        <f>'- 7 -'!F19</f>
        <v>3009.9</v>
      </c>
      <c r="F19" s="100">
        <v>2927.2</v>
      </c>
      <c r="G19" s="100">
        <v>2834.9</v>
      </c>
    </row>
    <row r="20" spans="1:7" ht="13.5" customHeight="1">
      <c r="A20" s="27" t="s">
        <v>367</v>
      </c>
      <c r="B20" s="28">
        <v>6585</v>
      </c>
      <c r="C20" s="28">
        <v>0</v>
      </c>
      <c r="D20" s="28">
        <f t="shared" si="0"/>
        <v>6585</v>
      </c>
      <c r="E20" s="101">
        <f>'- 7 -'!F20</f>
        <v>6327.5</v>
      </c>
      <c r="F20" s="101">
        <v>6114.6</v>
      </c>
      <c r="G20" s="101">
        <v>5979.7</v>
      </c>
    </row>
    <row r="21" spans="1:7" ht="13.5" customHeight="1">
      <c r="A21" s="25" t="s">
        <v>368</v>
      </c>
      <c r="B21" s="26">
        <v>3427</v>
      </c>
      <c r="C21" s="26">
        <v>0</v>
      </c>
      <c r="D21" s="26">
        <f t="shared" si="0"/>
        <v>3427</v>
      </c>
      <c r="E21" s="100">
        <f>'- 7 -'!F21</f>
        <v>3323.5</v>
      </c>
      <c r="F21" s="100">
        <v>3309.1</v>
      </c>
      <c r="G21" s="100">
        <v>3417.1</v>
      </c>
    </row>
    <row r="22" spans="1:7" ht="13.5" customHeight="1">
      <c r="A22" s="27" t="s">
        <v>369</v>
      </c>
      <c r="B22" s="28">
        <v>1764</v>
      </c>
      <c r="C22" s="28">
        <v>0</v>
      </c>
      <c r="D22" s="28">
        <f t="shared" si="0"/>
        <v>1764</v>
      </c>
      <c r="E22" s="101">
        <f>'- 7 -'!F22</f>
        <v>1692</v>
      </c>
      <c r="F22" s="101">
        <v>1653.7</v>
      </c>
      <c r="G22" s="101">
        <v>1695.1</v>
      </c>
    </row>
    <row r="23" spans="1:7" ht="13.5" customHeight="1">
      <c r="A23" s="25" t="s">
        <v>370</v>
      </c>
      <c r="B23" s="26">
        <v>1363</v>
      </c>
      <c r="C23" s="26">
        <v>0</v>
      </c>
      <c r="D23" s="26">
        <f t="shared" si="0"/>
        <v>1363</v>
      </c>
      <c r="E23" s="100">
        <f>'- 7 -'!F23</f>
        <v>1327.5</v>
      </c>
      <c r="F23" s="100">
        <v>1371.1</v>
      </c>
      <c r="G23" s="100">
        <v>1381.5</v>
      </c>
    </row>
    <row r="24" spans="1:7" ht="13.5" customHeight="1">
      <c r="A24" s="27" t="s">
        <v>371</v>
      </c>
      <c r="B24" s="28">
        <v>4805</v>
      </c>
      <c r="C24" s="28">
        <v>0</v>
      </c>
      <c r="D24" s="28">
        <f t="shared" si="0"/>
        <v>4805</v>
      </c>
      <c r="E24" s="101">
        <f>'- 7 -'!F24</f>
        <v>4660.5</v>
      </c>
      <c r="F24" s="101">
        <v>4571.9</v>
      </c>
      <c r="G24" s="101">
        <v>4664.9</v>
      </c>
    </row>
    <row r="25" spans="1:7" ht="13.5" customHeight="1">
      <c r="A25" s="25" t="s">
        <v>372</v>
      </c>
      <c r="B25" s="26">
        <v>15565</v>
      </c>
      <c r="C25" s="26">
        <v>0</v>
      </c>
      <c r="D25" s="26">
        <f t="shared" si="0"/>
        <v>15565</v>
      </c>
      <c r="E25" s="100">
        <f>'- 7 -'!F25</f>
        <v>15015.5</v>
      </c>
      <c r="F25" s="100">
        <v>14933</v>
      </c>
      <c r="G25" s="100">
        <v>14848</v>
      </c>
    </row>
    <row r="26" spans="1:7" ht="13.5" customHeight="1">
      <c r="A26" s="27" t="s">
        <v>373</v>
      </c>
      <c r="B26" s="28">
        <v>3432</v>
      </c>
      <c r="C26" s="28">
        <v>0</v>
      </c>
      <c r="D26" s="28">
        <f t="shared" si="0"/>
        <v>3432</v>
      </c>
      <c r="E26" s="101">
        <f>'- 7 -'!F26</f>
        <v>3300.2</v>
      </c>
      <c r="F26" s="101">
        <v>3203.1</v>
      </c>
      <c r="G26" s="101">
        <v>3284</v>
      </c>
    </row>
    <row r="27" spans="1:7" ht="13.5" customHeight="1">
      <c r="A27" s="25" t="s">
        <v>374</v>
      </c>
      <c r="B27" s="26">
        <v>3380</v>
      </c>
      <c r="C27" s="26">
        <v>0</v>
      </c>
      <c r="D27" s="26">
        <f t="shared" si="0"/>
        <v>3380</v>
      </c>
      <c r="E27" s="100">
        <f>'- 7 -'!F27</f>
        <v>3248</v>
      </c>
      <c r="F27" s="100">
        <v>3266.5</v>
      </c>
      <c r="G27" s="100">
        <v>3259.6</v>
      </c>
    </row>
    <row r="28" spans="1:7" ht="13.5" customHeight="1">
      <c r="A28" s="27" t="s">
        <v>375</v>
      </c>
      <c r="B28" s="28">
        <v>2147</v>
      </c>
      <c r="C28" s="28">
        <v>0</v>
      </c>
      <c r="D28" s="28">
        <f t="shared" si="0"/>
        <v>2147</v>
      </c>
      <c r="E28" s="101">
        <f>'- 7 -'!F28</f>
        <v>2083</v>
      </c>
      <c r="F28" s="101">
        <v>1990.2</v>
      </c>
      <c r="G28" s="101">
        <v>1999.5</v>
      </c>
    </row>
    <row r="29" spans="1:7" ht="13.5" customHeight="1">
      <c r="A29" s="25" t="s">
        <v>376</v>
      </c>
      <c r="B29" s="26">
        <v>14307</v>
      </c>
      <c r="C29" s="26">
        <v>0</v>
      </c>
      <c r="D29" s="26">
        <f t="shared" si="0"/>
        <v>14307</v>
      </c>
      <c r="E29" s="100">
        <f>'- 7 -'!F29</f>
        <v>13159</v>
      </c>
      <c r="F29" s="100">
        <v>13631.1</v>
      </c>
      <c r="G29" s="100">
        <v>13583.7</v>
      </c>
    </row>
    <row r="30" spans="1:7" ht="13.5" customHeight="1">
      <c r="A30" s="27" t="s">
        <v>377</v>
      </c>
      <c r="B30" s="28">
        <v>1325</v>
      </c>
      <c r="C30" s="28">
        <v>0</v>
      </c>
      <c r="D30" s="28">
        <f t="shared" si="0"/>
        <v>1325</v>
      </c>
      <c r="E30" s="101">
        <f>'- 7 -'!F30</f>
        <v>1274.5</v>
      </c>
      <c r="F30" s="101">
        <v>1282.5</v>
      </c>
      <c r="G30" s="101">
        <v>1300.2</v>
      </c>
    </row>
    <row r="31" spans="1:7" ht="13.5" customHeight="1">
      <c r="A31" s="25" t="s">
        <v>378</v>
      </c>
      <c r="B31" s="26">
        <v>3539</v>
      </c>
      <c r="C31" s="26">
        <v>0</v>
      </c>
      <c r="D31" s="26">
        <f t="shared" si="0"/>
        <v>3539</v>
      </c>
      <c r="E31" s="100">
        <f>'- 7 -'!F31</f>
        <v>3402.8</v>
      </c>
      <c r="F31" s="100">
        <v>3298.9</v>
      </c>
      <c r="G31" s="100">
        <v>3407.6</v>
      </c>
    </row>
    <row r="32" spans="1:7" ht="13.5" customHeight="1">
      <c r="A32" s="27" t="s">
        <v>379</v>
      </c>
      <c r="B32" s="28">
        <v>2421</v>
      </c>
      <c r="C32" s="28">
        <v>0</v>
      </c>
      <c r="D32" s="28">
        <f t="shared" si="0"/>
        <v>2421</v>
      </c>
      <c r="E32" s="101">
        <f>'- 7 -'!F32</f>
        <v>2322</v>
      </c>
      <c r="F32" s="101">
        <v>2346.2</v>
      </c>
      <c r="G32" s="101">
        <v>2408.5</v>
      </c>
    </row>
    <row r="33" spans="1:7" ht="13.5" customHeight="1">
      <c r="A33" s="25" t="s">
        <v>380</v>
      </c>
      <c r="B33" s="26">
        <v>2620</v>
      </c>
      <c r="C33" s="26">
        <v>0</v>
      </c>
      <c r="D33" s="26">
        <f t="shared" si="0"/>
        <v>2620</v>
      </c>
      <c r="E33" s="100">
        <f>'- 7 -'!F33</f>
        <v>2524.2999999999997</v>
      </c>
      <c r="F33" s="100">
        <v>2493.2</v>
      </c>
      <c r="G33" s="100">
        <v>2603.6</v>
      </c>
    </row>
    <row r="34" spans="1:7" ht="13.5" customHeight="1">
      <c r="A34" s="27" t="s">
        <v>381</v>
      </c>
      <c r="B34" s="28">
        <v>2254</v>
      </c>
      <c r="C34" s="28">
        <v>0</v>
      </c>
      <c r="D34" s="28">
        <f t="shared" si="0"/>
        <v>2254</v>
      </c>
      <c r="E34" s="101">
        <f>'- 7 -'!F34</f>
        <v>2189.0000000000005</v>
      </c>
      <c r="F34" s="101">
        <v>2199.1</v>
      </c>
      <c r="G34" s="101">
        <v>2227.1</v>
      </c>
    </row>
    <row r="35" spans="1:7" ht="13.5" customHeight="1">
      <c r="A35" s="25" t="s">
        <v>382</v>
      </c>
      <c r="B35" s="26">
        <v>18291</v>
      </c>
      <c r="C35" s="26">
        <v>0</v>
      </c>
      <c r="D35" s="26">
        <f t="shared" si="0"/>
        <v>18291</v>
      </c>
      <c r="E35" s="100">
        <f>'- 7 -'!F35</f>
        <v>17841.5</v>
      </c>
      <c r="F35" s="100">
        <v>17710.6</v>
      </c>
      <c r="G35" s="100">
        <v>17828.8</v>
      </c>
    </row>
    <row r="36" spans="1:7" ht="13.5" customHeight="1">
      <c r="A36" s="27" t="s">
        <v>383</v>
      </c>
      <c r="B36" s="28">
        <v>2159</v>
      </c>
      <c r="C36" s="28">
        <v>0</v>
      </c>
      <c r="D36" s="28">
        <f t="shared" si="0"/>
        <v>2159</v>
      </c>
      <c r="E36" s="101">
        <f>'- 7 -'!F36</f>
        <v>2093.5</v>
      </c>
      <c r="F36" s="101">
        <v>2023.5</v>
      </c>
      <c r="G36" s="101">
        <v>2035.6</v>
      </c>
    </row>
    <row r="37" spans="1:7" ht="13.5" customHeight="1">
      <c r="A37" s="25" t="s">
        <v>384</v>
      </c>
      <c r="B37" s="26">
        <v>3500</v>
      </c>
      <c r="C37" s="26">
        <v>0</v>
      </c>
      <c r="D37" s="26">
        <f t="shared" si="0"/>
        <v>3500</v>
      </c>
      <c r="E37" s="100">
        <f>'- 7 -'!F37</f>
        <v>3369.3</v>
      </c>
      <c r="F37" s="100">
        <v>3380.4</v>
      </c>
      <c r="G37" s="100">
        <v>3492.7</v>
      </c>
    </row>
    <row r="38" spans="1:7" ht="13.5" customHeight="1">
      <c r="A38" s="27" t="s">
        <v>385</v>
      </c>
      <c r="B38" s="28">
        <v>8829</v>
      </c>
      <c r="C38" s="28">
        <v>0</v>
      </c>
      <c r="D38" s="28">
        <f t="shared" si="0"/>
        <v>8829</v>
      </c>
      <c r="E38" s="101">
        <f>'- 7 -'!F38</f>
        <v>8505</v>
      </c>
      <c r="F38" s="101">
        <v>8502.7</v>
      </c>
      <c r="G38" s="101">
        <v>8506.9</v>
      </c>
    </row>
    <row r="39" spans="1:7" ht="13.5" customHeight="1">
      <c r="A39" s="25" t="s">
        <v>386</v>
      </c>
      <c r="B39" s="26">
        <v>1885</v>
      </c>
      <c r="C39" s="26">
        <v>0</v>
      </c>
      <c r="D39" s="26">
        <f t="shared" si="0"/>
        <v>1885</v>
      </c>
      <c r="E39" s="100">
        <f>'- 7 -'!F39</f>
        <v>1820</v>
      </c>
      <c r="F39" s="100">
        <v>1812.7</v>
      </c>
      <c r="G39" s="100">
        <v>1833.6</v>
      </c>
    </row>
    <row r="40" spans="1:7" ht="13.5" customHeight="1">
      <c r="A40" s="27" t="s">
        <v>387</v>
      </c>
      <c r="B40" s="28">
        <v>9326</v>
      </c>
      <c r="C40" s="28">
        <v>0</v>
      </c>
      <c r="D40" s="28">
        <f t="shared" si="0"/>
        <v>9326</v>
      </c>
      <c r="E40" s="101">
        <f>'- 7 -'!F40</f>
        <v>8964.38</v>
      </c>
      <c r="F40" s="101">
        <v>9105.1</v>
      </c>
      <c r="G40" s="101">
        <v>9083.2</v>
      </c>
    </row>
    <row r="41" spans="1:7" ht="13.5" customHeight="1">
      <c r="A41" s="25" t="s">
        <v>388</v>
      </c>
      <c r="B41" s="26">
        <v>4977</v>
      </c>
      <c r="C41" s="26">
        <v>0</v>
      </c>
      <c r="D41" s="26">
        <f t="shared" si="0"/>
        <v>4977</v>
      </c>
      <c r="E41" s="100">
        <f>'- 7 -'!F41</f>
        <v>4782</v>
      </c>
      <c r="F41" s="100">
        <v>4863.6</v>
      </c>
      <c r="G41" s="100">
        <v>4925.1</v>
      </c>
    </row>
    <row r="42" spans="1:7" ht="13.5" customHeight="1">
      <c r="A42" s="27" t="s">
        <v>389</v>
      </c>
      <c r="B42" s="28">
        <v>1933</v>
      </c>
      <c r="C42" s="28">
        <v>0</v>
      </c>
      <c r="D42" s="28">
        <f t="shared" si="0"/>
        <v>1933</v>
      </c>
      <c r="E42" s="101">
        <f>'- 7 -'!F42</f>
        <v>1870.6000000000001</v>
      </c>
      <c r="F42" s="101">
        <v>1804</v>
      </c>
      <c r="G42" s="101">
        <v>1842.2</v>
      </c>
    </row>
    <row r="43" spans="1:7" ht="13.5" customHeight="1">
      <c r="A43" s="25" t="s">
        <v>390</v>
      </c>
      <c r="B43" s="26">
        <v>1240</v>
      </c>
      <c r="C43" s="26">
        <v>0</v>
      </c>
      <c r="D43" s="26">
        <f t="shared" si="0"/>
        <v>1240</v>
      </c>
      <c r="E43" s="100">
        <f>'- 7 -'!F43</f>
        <v>1209</v>
      </c>
      <c r="F43" s="100">
        <v>1217</v>
      </c>
      <c r="G43" s="100">
        <v>1240.7</v>
      </c>
    </row>
    <row r="44" spans="1:7" ht="13.5" customHeight="1">
      <c r="A44" s="27" t="s">
        <v>391</v>
      </c>
      <c r="B44" s="28">
        <v>825</v>
      </c>
      <c r="C44" s="28">
        <v>0</v>
      </c>
      <c r="D44" s="28">
        <f t="shared" si="0"/>
        <v>825</v>
      </c>
      <c r="E44" s="101">
        <f>'- 7 -'!F44</f>
        <v>790.5</v>
      </c>
      <c r="F44" s="101">
        <v>811.8</v>
      </c>
      <c r="G44" s="101">
        <v>823.5</v>
      </c>
    </row>
    <row r="45" spans="1:7" ht="13.5" customHeight="1">
      <c r="A45" s="25" t="s">
        <v>392</v>
      </c>
      <c r="B45" s="26">
        <v>1520</v>
      </c>
      <c r="C45" s="26">
        <v>0</v>
      </c>
      <c r="D45" s="26">
        <f t="shared" si="0"/>
        <v>1520</v>
      </c>
      <c r="E45" s="100">
        <f>'- 7 -'!F45</f>
        <v>1462.2</v>
      </c>
      <c r="F45" s="100">
        <v>1448</v>
      </c>
      <c r="G45" s="100">
        <v>1443.5</v>
      </c>
    </row>
    <row r="46" spans="1:7" ht="13.5" customHeight="1">
      <c r="A46" s="27" t="s">
        <v>393</v>
      </c>
      <c r="B46" s="28">
        <v>34381</v>
      </c>
      <c r="C46" s="28">
        <v>1853</v>
      </c>
      <c r="D46" s="28">
        <f t="shared" si="0"/>
        <v>32528</v>
      </c>
      <c r="E46" s="101">
        <f>'- 7 -'!F46</f>
        <v>31018.6</v>
      </c>
      <c r="F46" s="101">
        <v>30428.1</v>
      </c>
      <c r="G46" s="101">
        <v>30416.1</v>
      </c>
    </row>
    <row r="47" spans="1:7" ht="13.5" customHeight="1">
      <c r="A47" s="25" t="s">
        <v>397</v>
      </c>
      <c r="B47" s="26">
        <v>0</v>
      </c>
      <c r="C47" s="26">
        <v>0</v>
      </c>
      <c r="D47" s="26">
        <f t="shared" si="0"/>
        <v>0</v>
      </c>
      <c r="E47" s="100">
        <f>'- 7 -'!F47</f>
        <v>622</v>
      </c>
      <c r="F47" s="100">
        <v>0</v>
      </c>
      <c r="G47" s="100">
        <v>0</v>
      </c>
    </row>
    <row r="48" spans="1:7" ht="4.5" customHeight="1">
      <c r="A48" s="29"/>
      <c r="B48" s="30"/>
      <c r="C48" s="30"/>
      <c r="D48" s="30"/>
      <c r="E48" s="102"/>
      <c r="F48" s="102"/>
      <c r="G48" s="102"/>
    </row>
    <row r="49" spans="1:7" ht="13.5" customHeight="1">
      <c r="A49" s="31" t="s">
        <v>394</v>
      </c>
      <c r="B49" s="32">
        <f aca="true" t="shared" si="1" ref="B49:G49">SUM(B11:B47)</f>
        <v>188062</v>
      </c>
      <c r="C49" s="32">
        <f t="shared" si="1"/>
        <v>2211</v>
      </c>
      <c r="D49" s="32">
        <f t="shared" si="1"/>
        <v>185851</v>
      </c>
      <c r="E49" s="103">
        <f t="shared" si="1"/>
        <v>179017.68000000002</v>
      </c>
      <c r="F49" s="103">
        <f t="shared" si="1"/>
        <v>174726.19999999998</v>
      </c>
      <c r="G49" s="103">
        <f t="shared" si="1"/>
        <v>175746.50000000006</v>
      </c>
    </row>
    <row r="50" spans="1:7" ht="4.5" customHeight="1">
      <c r="A50" s="29" t="s">
        <v>78</v>
      </c>
      <c r="B50" s="30"/>
      <c r="C50" s="30"/>
      <c r="D50" s="30"/>
      <c r="E50" s="102"/>
      <c r="F50" s="102"/>
      <c r="G50" s="102"/>
    </row>
    <row r="51" spans="1:7" ht="13.5" customHeight="1">
      <c r="A51" s="27" t="s">
        <v>395</v>
      </c>
      <c r="B51" s="28">
        <v>151</v>
      </c>
      <c r="C51" s="28">
        <v>0</v>
      </c>
      <c r="D51" s="28">
        <f>B51-C51</f>
        <v>151</v>
      </c>
      <c r="E51" s="101">
        <f>'- 7 -'!F51</f>
        <v>145</v>
      </c>
      <c r="F51" s="101">
        <v>75</v>
      </c>
      <c r="G51" s="101">
        <v>66.5</v>
      </c>
    </row>
    <row r="52" spans="1:7" ht="13.5" customHeight="1">
      <c r="A52" s="25" t="s">
        <v>396</v>
      </c>
      <c r="B52" s="26">
        <v>285</v>
      </c>
      <c r="C52" s="26">
        <v>0</v>
      </c>
      <c r="D52" s="26">
        <f>B52-C52</f>
        <v>285</v>
      </c>
      <c r="E52" s="100">
        <f>'- 7 -'!F52</f>
        <v>276.5</v>
      </c>
      <c r="F52" s="100">
        <v>241.5</v>
      </c>
      <c r="G52" s="100">
        <v>238.1</v>
      </c>
    </row>
    <row r="53" spans="1:6" ht="49.5" customHeight="1">
      <c r="A53" s="33"/>
      <c r="B53" s="33"/>
      <c r="C53" s="33"/>
      <c r="D53" s="33"/>
      <c r="E53" s="33"/>
      <c r="F53" s="115"/>
    </row>
    <row r="54" spans="1:6" ht="15" customHeight="1">
      <c r="A54" s="165" t="s">
        <v>538</v>
      </c>
      <c r="C54" s="116"/>
      <c r="D54" s="116"/>
      <c r="E54" s="116"/>
      <c r="F54" s="116"/>
    </row>
    <row r="55" spans="1:6" ht="12" customHeight="1">
      <c r="A55" s="165" t="s">
        <v>541</v>
      </c>
      <c r="C55" s="116"/>
      <c r="D55" s="116"/>
      <c r="E55" s="116"/>
      <c r="F55" s="116"/>
    </row>
    <row r="56" spans="1:6" ht="12" customHeight="1">
      <c r="A56" s="35" t="s">
        <v>542</v>
      </c>
      <c r="C56" s="116"/>
      <c r="D56" s="116"/>
      <c r="E56" s="116"/>
      <c r="F56" s="116"/>
    </row>
    <row r="57" spans="1:6" ht="12" customHeight="1">
      <c r="A57" s="165" t="s">
        <v>587</v>
      </c>
      <c r="C57" s="116"/>
      <c r="D57" s="116"/>
      <c r="E57" s="116"/>
      <c r="F57" s="117"/>
    </row>
  </sheetData>
  <mergeCells count="1">
    <mergeCell ref="B6:D6"/>
  </mergeCells>
  <printOptions horizontalCentered="1"/>
  <pageMargins left="0.5" right="0.5" top="0.6" bottom="0" header="0.3" footer="0"/>
  <pageSetup fitToHeight="1" fitToWidth="1" horizontalDpi="1200" verticalDpi="1200" orientation="portrait" scale="88" r:id="rId1"/>
  <headerFooter alignWithMargins="0">
    <oddHeader>&amp;C&amp;"Arial,Regular"&amp;11&amp;A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7"/>
  <sheetViews>
    <sheetView showGridLines="0" showZeros="0" workbookViewId="0" topLeftCell="A1">
      <selection activeCell="A1" sqref="A1"/>
    </sheetView>
  </sheetViews>
  <sheetFormatPr defaultColWidth="9.33203125" defaultRowHeight="12"/>
  <cols>
    <col min="1" max="1" width="39.83203125" style="1" customWidth="1"/>
    <col min="2" max="3" width="31.83203125" style="1" customWidth="1"/>
    <col min="4" max="4" width="29.83203125" style="1" customWidth="1"/>
    <col min="5" max="16384" width="9.33203125" style="1" customWidth="1"/>
  </cols>
  <sheetData>
    <row r="1" spans="1:4" ht="6.75" customHeight="1">
      <c r="A1" s="5"/>
      <c r="B1" s="6"/>
      <c r="C1" s="6"/>
      <c r="D1" s="6"/>
    </row>
    <row r="2" spans="1:4" ht="15.75" customHeight="1">
      <c r="A2" s="91"/>
      <c r="B2" s="7" t="s">
        <v>283</v>
      </c>
      <c r="C2" s="8"/>
      <c r="D2" s="92"/>
    </row>
    <row r="3" spans="1:4" ht="15.75" customHeight="1">
      <c r="A3" s="93"/>
      <c r="B3" s="9" t="str">
        <f>STATDATE</f>
        <v>ACTUAL SEPTEMBER 30, 2003</v>
      </c>
      <c r="C3" s="10"/>
      <c r="D3" s="94"/>
    </row>
    <row r="4" spans="2:4" ht="15.75" customHeight="1">
      <c r="B4" s="6"/>
      <c r="C4" s="6"/>
      <c r="D4" s="6"/>
    </row>
    <row r="5" spans="2:4" ht="15.75" customHeight="1">
      <c r="B5" s="6"/>
      <c r="C5" s="6"/>
      <c r="D5" s="6"/>
    </row>
    <row r="6" spans="2:4" ht="15.75" customHeight="1">
      <c r="B6" s="95" t="s">
        <v>282</v>
      </c>
      <c r="C6" s="45"/>
      <c r="D6" s="6"/>
    </row>
    <row r="7" spans="1:4" ht="15.75" customHeight="1">
      <c r="A7" s="96"/>
      <c r="B7" s="97" t="s">
        <v>166</v>
      </c>
      <c r="C7" s="98"/>
      <c r="D7" s="99"/>
    </row>
    <row r="8" spans="1:3" ht="15.75" customHeight="1">
      <c r="A8" s="49" t="s">
        <v>175</v>
      </c>
      <c r="B8" s="50" t="s">
        <v>539</v>
      </c>
      <c r="C8" s="50" t="s">
        <v>540</v>
      </c>
    </row>
    <row r="9" ht="4.5" customHeight="1">
      <c r="A9" s="4"/>
    </row>
    <row r="10" spans="1:3" ht="13.5" customHeight="1">
      <c r="A10" s="25" t="s">
        <v>359</v>
      </c>
      <c r="B10" s="100">
        <v>17.43161268169852</v>
      </c>
      <c r="C10" s="100">
        <v>14.88185975609756</v>
      </c>
    </row>
    <row r="11" spans="1:3" ht="13.5" customHeight="1">
      <c r="A11" s="27" t="s">
        <v>360</v>
      </c>
      <c r="B11" s="101">
        <v>16.591226599608827</v>
      </c>
      <c r="C11" s="101">
        <v>14.081935139621745</v>
      </c>
    </row>
    <row r="12" spans="1:3" ht="13.5" customHeight="1">
      <c r="A12" s="25" t="s">
        <v>361</v>
      </c>
      <c r="B12" s="100">
        <v>18.069949885865714</v>
      </c>
      <c r="C12" s="100">
        <v>14.540508478042993</v>
      </c>
    </row>
    <row r="13" spans="1:3" ht="13.5" customHeight="1">
      <c r="A13" s="27" t="s">
        <v>398</v>
      </c>
      <c r="B13" s="101">
        <v>14.88535280150264</v>
      </c>
      <c r="C13" s="101">
        <v>11.922862246037061</v>
      </c>
    </row>
    <row r="14" spans="1:3" ht="13.5" customHeight="1">
      <c r="A14" s="25" t="s">
        <v>362</v>
      </c>
      <c r="B14" s="100">
        <v>19.132888070013816</v>
      </c>
      <c r="C14" s="100">
        <v>15.69525788777631</v>
      </c>
    </row>
    <row r="15" spans="1:3" ht="13.5" customHeight="1">
      <c r="A15" s="27" t="s">
        <v>363</v>
      </c>
      <c r="B15" s="101">
        <v>18.132861635220124</v>
      </c>
      <c r="C15" s="101">
        <v>15.060592945249947</v>
      </c>
    </row>
    <row r="16" spans="1:3" ht="13.5" customHeight="1">
      <c r="A16" s="25" t="s">
        <v>364</v>
      </c>
      <c r="B16" s="100">
        <v>16.53576290711069</v>
      </c>
      <c r="C16" s="100">
        <v>13.949995582648643</v>
      </c>
    </row>
    <row r="17" spans="1:3" ht="13.5" customHeight="1">
      <c r="A17" s="27" t="s">
        <v>365</v>
      </c>
      <c r="B17" s="101">
        <v>15.299851054378218</v>
      </c>
      <c r="C17" s="101">
        <v>12.234751195472866</v>
      </c>
    </row>
    <row r="18" spans="1:3" ht="13.5" customHeight="1">
      <c r="A18" s="25" t="s">
        <v>366</v>
      </c>
      <c r="B18" s="100">
        <v>19.079587468379064</v>
      </c>
      <c r="C18" s="100">
        <v>16.41883046039712</v>
      </c>
    </row>
    <row r="19" spans="1:3" ht="13.5" customHeight="1">
      <c r="A19" s="27" t="s">
        <v>367</v>
      </c>
      <c r="B19" s="101">
        <v>20.5023838095547</v>
      </c>
      <c r="C19" s="101">
        <v>17.840276309297245</v>
      </c>
    </row>
    <row r="20" spans="1:3" ht="13.5" customHeight="1">
      <c r="A20" s="25" t="s">
        <v>368</v>
      </c>
      <c r="B20" s="100">
        <v>18.832429346274623</v>
      </c>
      <c r="C20" s="100">
        <v>14.97072072072072</v>
      </c>
    </row>
    <row r="21" spans="1:3" ht="13.5" customHeight="1">
      <c r="A21" s="27" t="s">
        <v>369</v>
      </c>
      <c r="B21" s="101">
        <v>17.47283187726401</v>
      </c>
      <c r="C21" s="101">
        <v>14.295370057451843</v>
      </c>
    </row>
    <row r="22" spans="1:3" ht="13.5" customHeight="1">
      <c r="A22" s="25" t="s">
        <v>370</v>
      </c>
      <c r="B22" s="100">
        <v>17.307692307692307</v>
      </c>
      <c r="C22" s="100">
        <v>14.144912093766647</v>
      </c>
    </row>
    <row r="23" spans="1:3" ht="13.5" customHeight="1">
      <c r="A23" s="27" t="s">
        <v>371</v>
      </c>
      <c r="B23" s="101">
        <v>18.437125748502993</v>
      </c>
      <c r="C23" s="101">
        <v>15.317995069843878</v>
      </c>
    </row>
    <row r="24" spans="1:3" ht="13.5" customHeight="1">
      <c r="A24" s="25" t="s">
        <v>372</v>
      </c>
      <c r="B24" s="100">
        <v>19.31000845418482</v>
      </c>
      <c r="C24" s="100">
        <v>15.245400641676481</v>
      </c>
    </row>
    <row r="25" spans="1:3" ht="13.5" customHeight="1">
      <c r="A25" s="27" t="s">
        <v>373</v>
      </c>
      <c r="B25" s="101">
        <v>17.003889032927145</v>
      </c>
      <c r="C25" s="101">
        <v>14.140886108492587</v>
      </c>
    </row>
    <row r="26" spans="1:3" ht="13.5" customHeight="1">
      <c r="A26" s="25" t="s">
        <v>374</v>
      </c>
      <c r="B26" s="100">
        <v>16.55020228025009</v>
      </c>
      <c r="C26" s="100">
        <v>13.337165852256396</v>
      </c>
    </row>
    <row r="27" spans="1:3" ht="13.5" customHeight="1">
      <c r="A27" s="27" t="s">
        <v>375</v>
      </c>
      <c r="B27" s="101">
        <v>16.337254901960783</v>
      </c>
      <c r="C27" s="101">
        <v>13.726523887973642</v>
      </c>
    </row>
    <row r="28" spans="1:3" ht="13.5" customHeight="1">
      <c r="A28" s="25" t="s">
        <v>376</v>
      </c>
      <c r="B28" s="100">
        <v>18.294078249706985</v>
      </c>
      <c r="C28" s="100">
        <v>14.450911486931693</v>
      </c>
    </row>
    <row r="29" spans="1:3" ht="13.5" customHeight="1">
      <c r="A29" s="27" t="s">
        <v>377</v>
      </c>
      <c r="B29" s="101">
        <v>16.991067857618983</v>
      </c>
      <c r="C29" s="101">
        <v>14.410900045228404</v>
      </c>
    </row>
    <row r="30" spans="1:3" ht="13.5" customHeight="1">
      <c r="A30" s="25" t="s">
        <v>378</v>
      </c>
      <c r="B30" s="100">
        <v>17.943721765634358</v>
      </c>
      <c r="C30" s="100">
        <v>14.691939035447522</v>
      </c>
    </row>
    <row r="31" spans="1:3" ht="13.5" customHeight="1">
      <c r="A31" s="27" t="s">
        <v>379</v>
      </c>
      <c r="B31" s="101">
        <v>16.472758229284903</v>
      </c>
      <c r="C31" s="101">
        <v>14.10606889010388</v>
      </c>
    </row>
    <row r="32" spans="1:3" ht="13.5" customHeight="1">
      <c r="A32" s="25" t="s">
        <v>380</v>
      </c>
      <c r="B32" s="100">
        <v>15.709129379550687</v>
      </c>
      <c r="C32" s="100">
        <v>13.472274110049632</v>
      </c>
    </row>
    <row r="33" spans="1:3" ht="13.5" customHeight="1">
      <c r="A33" s="27" t="s">
        <v>381</v>
      </c>
      <c r="B33" s="101">
        <v>18.518518518518523</v>
      </c>
      <c r="C33" s="101">
        <v>15.3581702097804</v>
      </c>
    </row>
    <row r="34" spans="1:3" ht="13.5" customHeight="1">
      <c r="A34" s="25" t="s">
        <v>382</v>
      </c>
      <c r="B34" s="100">
        <v>18.709948244896225</v>
      </c>
      <c r="C34" s="100">
        <v>14.975364909895163</v>
      </c>
    </row>
    <row r="35" spans="1:3" ht="13.5" customHeight="1">
      <c r="A35" s="27" t="s">
        <v>383</v>
      </c>
      <c r="B35" s="101">
        <v>16.335573616755237</v>
      </c>
      <c r="C35" s="101">
        <v>13.83217707300958</v>
      </c>
    </row>
    <row r="36" spans="1:3" ht="13.5" customHeight="1">
      <c r="A36" s="25" t="s">
        <v>384</v>
      </c>
      <c r="B36" s="100">
        <v>19.08627428765649</v>
      </c>
      <c r="C36" s="100">
        <v>15.521006080707574</v>
      </c>
    </row>
    <row r="37" spans="1:3" ht="13.5" customHeight="1">
      <c r="A37" s="27" t="s">
        <v>385</v>
      </c>
      <c r="B37" s="101">
        <v>18.535719762525467</v>
      </c>
      <c r="C37" s="101">
        <v>15.12</v>
      </c>
    </row>
    <row r="38" spans="1:3" ht="13.5" customHeight="1">
      <c r="A38" s="25" t="s">
        <v>386</v>
      </c>
      <c r="B38" s="100">
        <v>16.820702402957487</v>
      </c>
      <c r="C38" s="100">
        <v>14.20099875156055</v>
      </c>
    </row>
    <row r="39" spans="1:3" ht="13.5" customHeight="1">
      <c r="A39" s="27" t="s">
        <v>387</v>
      </c>
      <c r="B39" s="101">
        <v>18.00721154728515</v>
      </c>
      <c r="C39" s="101">
        <v>14.98091701919796</v>
      </c>
    </row>
    <row r="40" spans="1:3" ht="13.5" customHeight="1">
      <c r="A40" s="25" t="s">
        <v>388</v>
      </c>
      <c r="B40" s="100">
        <v>17.657356922962798</v>
      </c>
      <c r="C40" s="100">
        <v>14.065946995323115</v>
      </c>
    </row>
    <row r="41" spans="1:3" ht="13.5" customHeight="1">
      <c r="A41" s="27" t="s">
        <v>389</v>
      </c>
      <c r="B41" s="101">
        <v>17.589092618711803</v>
      </c>
      <c r="C41" s="101">
        <v>15.083051120786973</v>
      </c>
    </row>
    <row r="42" spans="1:3" ht="13.5" customHeight="1">
      <c r="A42" s="25" t="s">
        <v>390</v>
      </c>
      <c r="B42" s="100">
        <v>15.762711864406779</v>
      </c>
      <c r="C42" s="100">
        <v>13.68111350005658</v>
      </c>
    </row>
    <row r="43" spans="1:3" ht="13.5" customHeight="1">
      <c r="A43" s="27" t="s">
        <v>391</v>
      </c>
      <c r="B43" s="101">
        <v>16.390213560024883</v>
      </c>
      <c r="C43" s="101">
        <v>13.832020997375329</v>
      </c>
    </row>
    <row r="44" spans="1:3" ht="13.5" customHeight="1">
      <c r="A44" s="25" t="s">
        <v>392</v>
      </c>
      <c r="B44" s="100">
        <v>19.34077618288145</v>
      </c>
      <c r="C44" s="100">
        <v>16.261120996441285</v>
      </c>
    </row>
    <row r="45" spans="1:3" ht="13.5" customHeight="1">
      <c r="A45" s="27" t="s">
        <v>393</v>
      </c>
      <c r="B45" s="101">
        <v>18.941169044312584</v>
      </c>
      <c r="C45" s="101">
        <v>15.083199610989544</v>
      </c>
    </row>
    <row r="46" spans="1:3" ht="13.5" customHeight="1">
      <c r="A46" s="25" t="s">
        <v>397</v>
      </c>
      <c r="B46" s="100">
        <v>18.118263909117392</v>
      </c>
      <c r="C46" s="100">
        <v>16.64882226980728</v>
      </c>
    </row>
    <row r="47" spans="1:3" ht="4.5" customHeight="1">
      <c r="A47" s="29"/>
      <c r="B47" s="102"/>
      <c r="C47" s="102"/>
    </row>
    <row r="48" spans="1:4" ht="13.5" customHeight="1">
      <c r="A48" s="31" t="s">
        <v>394</v>
      </c>
      <c r="B48" s="103">
        <v>18.08501330821196</v>
      </c>
      <c r="C48" s="103">
        <v>14.711478543627916</v>
      </c>
      <c r="D48" s="4"/>
    </row>
    <row r="49" spans="1:3" ht="4.5" customHeight="1">
      <c r="A49" s="29" t="s">
        <v>78</v>
      </c>
      <c r="B49" s="102"/>
      <c r="C49" s="102"/>
    </row>
    <row r="50" spans="1:3" ht="13.5" customHeight="1">
      <c r="A50" s="27" t="s">
        <v>395</v>
      </c>
      <c r="B50" s="101">
        <v>14.146341463414634</v>
      </c>
      <c r="C50" s="101">
        <v>12.88888888888889</v>
      </c>
    </row>
    <row r="51" spans="1:3" ht="13.5" customHeight="1">
      <c r="A51" s="25" t="s">
        <v>396</v>
      </c>
      <c r="B51" s="100">
        <v>14.341286307053942</v>
      </c>
      <c r="C51" s="100">
        <v>11.711139347734012</v>
      </c>
    </row>
    <row r="52" spans="1:4" ht="49.5" customHeight="1">
      <c r="A52" s="33"/>
      <c r="B52" s="33"/>
      <c r="C52" s="33"/>
      <c r="D52" s="33"/>
    </row>
    <row r="53" spans="1:4" ht="15" customHeight="1">
      <c r="A53" s="166" t="s">
        <v>544</v>
      </c>
      <c r="B53" s="53"/>
      <c r="C53" s="53"/>
      <c r="D53" s="53"/>
    </row>
    <row r="54" spans="1:4" ht="12" customHeight="1">
      <c r="A54" s="53" t="s">
        <v>543</v>
      </c>
      <c r="B54" s="53"/>
      <c r="C54" s="53"/>
      <c r="D54" s="53"/>
    </row>
    <row r="55" spans="1:4" ht="12" customHeight="1">
      <c r="A55" s="166" t="s">
        <v>545</v>
      </c>
      <c r="C55" s="53"/>
      <c r="D55" s="53"/>
    </row>
    <row r="56" spans="1:4" ht="12" customHeight="1">
      <c r="A56" s="53" t="s">
        <v>546</v>
      </c>
      <c r="C56" s="53"/>
      <c r="D56" s="53"/>
    </row>
    <row r="57" spans="1:4" ht="12" customHeight="1">
      <c r="A57" s="53" t="s">
        <v>547</v>
      </c>
      <c r="B57" s="53"/>
      <c r="C57" s="53"/>
      <c r="D57" s="53"/>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29"/>
  <sheetViews>
    <sheetView showGridLines="0" showZeros="0" workbookViewId="0" topLeftCell="A1">
      <selection activeCell="A1" sqref="A1"/>
    </sheetView>
  </sheetViews>
  <sheetFormatPr defaultColWidth="15.83203125" defaultRowHeight="12"/>
  <cols>
    <col min="1" max="1" width="5.83203125" style="1" customWidth="1"/>
    <col min="2" max="2" width="40.83203125" style="1" customWidth="1"/>
    <col min="3" max="7" width="17.83203125" style="1" customWidth="1"/>
    <col min="8" max="8" width="15.83203125" style="1" customWidth="1"/>
    <col min="9" max="9" width="2.83203125" style="1" customWidth="1"/>
    <col min="10" max="10" width="17.83203125" style="1" customWidth="1"/>
    <col min="11" max="11" width="9.83203125" style="1" customWidth="1"/>
    <col min="12" max="16384" width="15.83203125" style="1" customWidth="1"/>
  </cols>
  <sheetData>
    <row r="2" spans="1:10" ht="12">
      <c r="A2" s="54"/>
      <c r="B2" s="54"/>
      <c r="C2" s="55" t="str">
        <f>OPYEAR</f>
        <v>OPERATING FUND 2003/2004 ACTUAL</v>
      </c>
      <c r="D2" s="56"/>
      <c r="E2" s="56"/>
      <c r="F2" s="56"/>
      <c r="G2" s="56"/>
      <c r="H2" s="56"/>
      <c r="I2" s="56"/>
      <c r="J2" s="57"/>
    </row>
    <row r="4" spans="3:10" ht="12">
      <c r="C4" s="6"/>
      <c r="D4" s="6"/>
      <c r="E4" s="6"/>
      <c r="F4" s="6"/>
      <c r="G4" s="6"/>
      <c r="H4" s="6"/>
      <c r="I4" s="6"/>
      <c r="J4" s="6"/>
    </row>
    <row r="5" spans="3:10" ht="15.75">
      <c r="C5" s="538" t="s">
        <v>258</v>
      </c>
      <c r="D5" s="58"/>
      <c r="E5" s="58"/>
      <c r="F5" s="58"/>
      <c r="G5" s="58"/>
      <c r="H5" s="58"/>
      <c r="I5" s="58"/>
      <c r="J5" s="6"/>
    </row>
    <row r="6" spans="3:10" ht="15.75">
      <c r="C6" s="538" t="s">
        <v>453</v>
      </c>
      <c r="D6" s="58"/>
      <c r="E6" s="58"/>
      <c r="F6" s="58"/>
      <c r="G6" s="58"/>
      <c r="H6" s="58"/>
      <c r="I6" s="58"/>
      <c r="J6" s="6"/>
    </row>
    <row r="7" spans="3:10" ht="12">
      <c r="C7" s="6"/>
      <c r="D7" s="6"/>
      <c r="E7" s="6"/>
      <c r="F7" s="6"/>
      <c r="G7" s="6"/>
      <c r="H7" s="6"/>
      <c r="I7" s="6"/>
      <c r="J7" s="6"/>
    </row>
    <row r="8" spans="3:10" ht="12">
      <c r="C8" s="6"/>
      <c r="D8" s="6"/>
      <c r="E8" s="6"/>
      <c r="F8" s="6"/>
      <c r="G8" s="6"/>
      <c r="H8" s="6"/>
      <c r="I8" s="6"/>
      <c r="J8" s="6"/>
    </row>
    <row r="9" spans="3:10" ht="12">
      <c r="C9" s="44" t="s">
        <v>259</v>
      </c>
      <c r="D9" s="59"/>
      <c r="E9" s="59"/>
      <c r="F9" s="59"/>
      <c r="G9" s="59"/>
      <c r="H9" s="59"/>
      <c r="I9" s="60"/>
      <c r="J9" s="6"/>
    </row>
    <row r="10" spans="3:10" ht="12">
      <c r="C10" s="6"/>
      <c r="D10" s="6"/>
      <c r="E10" s="6"/>
      <c r="F10" s="6"/>
      <c r="G10" s="6"/>
      <c r="H10" s="6"/>
      <c r="I10" s="6"/>
      <c r="J10" s="6"/>
    </row>
    <row r="11" spans="1:10" ht="12">
      <c r="A11" s="61"/>
      <c r="B11" s="62"/>
      <c r="C11" s="63"/>
      <c r="D11" s="63" t="s">
        <v>260</v>
      </c>
      <c r="E11" s="64"/>
      <c r="F11" s="63" t="s">
        <v>261</v>
      </c>
      <c r="G11" s="63" t="s">
        <v>237</v>
      </c>
      <c r="H11" s="65"/>
      <c r="I11" s="66"/>
      <c r="J11" s="67"/>
    </row>
    <row r="12" spans="1:10" ht="12">
      <c r="A12" s="556" t="s">
        <v>272</v>
      </c>
      <c r="B12" s="557"/>
      <c r="C12" s="69" t="s">
        <v>262</v>
      </c>
      <c r="D12" s="69" t="s">
        <v>263</v>
      </c>
      <c r="E12" s="70" t="s">
        <v>247</v>
      </c>
      <c r="F12" s="69" t="s">
        <v>264</v>
      </c>
      <c r="G12" s="69" t="s">
        <v>247</v>
      </c>
      <c r="H12" s="71" t="s">
        <v>188</v>
      </c>
      <c r="I12" s="72"/>
      <c r="J12" s="73" t="s">
        <v>265</v>
      </c>
    </row>
    <row r="14" spans="1:10" ht="12">
      <c r="A14" s="74">
        <v>100</v>
      </c>
      <c r="B14" s="4" t="s">
        <v>137</v>
      </c>
      <c r="C14" s="75">
        <f>'- 12 -'!B21</f>
        <v>695933686.6</v>
      </c>
      <c r="D14" s="76">
        <f>'- 12 -'!B22</f>
        <v>45839459.68</v>
      </c>
      <c r="E14" s="76">
        <f>'- 12 -'!B39</f>
        <v>19848116.11</v>
      </c>
      <c r="F14" s="76">
        <f>'- 12 -'!B46</f>
        <v>57136784.41</v>
      </c>
      <c r="G14" s="77"/>
      <c r="H14" s="78"/>
      <c r="I14" s="77"/>
      <c r="J14" s="75">
        <f>SUM(C14:F14)</f>
        <v>818758046.8</v>
      </c>
    </row>
    <row r="15" spans="1:10" ht="24" customHeight="1">
      <c r="A15" s="74">
        <v>200</v>
      </c>
      <c r="B15" s="4" t="s">
        <v>138</v>
      </c>
      <c r="C15" s="75">
        <f>'- 12 -'!D21</f>
        <v>173355349</v>
      </c>
      <c r="D15" s="76">
        <f>'- 12 -'!D22</f>
        <v>16247088.33</v>
      </c>
      <c r="E15" s="76">
        <f>'- 12 -'!D39</f>
        <v>9159605.92</v>
      </c>
      <c r="F15" s="76">
        <f>'- 12 -'!D46</f>
        <v>3094398</v>
      </c>
      <c r="G15" s="77"/>
      <c r="H15" s="78"/>
      <c r="I15" s="77"/>
      <c r="J15" s="75">
        <f>SUM(C15:F15)</f>
        <v>201856441.25</v>
      </c>
    </row>
    <row r="16" spans="1:10" ht="24" customHeight="1">
      <c r="A16" s="74">
        <v>300</v>
      </c>
      <c r="B16" s="4" t="s">
        <v>341</v>
      </c>
      <c r="C16" s="75">
        <f>'- 12 -'!F21</f>
        <v>4647348</v>
      </c>
      <c r="D16" s="76">
        <f>'- 12 -'!F22</f>
        <v>382144</v>
      </c>
      <c r="E16" s="76">
        <f>'- 12 -'!F39</f>
        <v>1176126.3</v>
      </c>
      <c r="F16" s="76">
        <f>'- 12 -'!F46</f>
        <v>496885</v>
      </c>
      <c r="G16" s="77"/>
      <c r="H16" s="78">
        <f>'- 12 -'!F48</f>
        <v>34800</v>
      </c>
      <c r="I16" s="168" t="s">
        <v>302</v>
      </c>
      <c r="J16" s="75">
        <f>SUM(C16:H16)</f>
        <v>6737303.3</v>
      </c>
    </row>
    <row r="17" spans="1:10" ht="24" customHeight="1">
      <c r="A17" s="74">
        <v>400</v>
      </c>
      <c r="B17" s="4" t="s">
        <v>266</v>
      </c>
      <c r="C17" s="75">
        <f>'- 12 -'!H21</f>
        <v>7816587</v>
      </c>
      <c r="D17" s="76">
        <f>'- 12 -'!H22</f>
        <v>646355</v>
      </c>
      <c r="E17" s="76">
        <f>'- 12 -'!H39</f>
        <v>1034065</v>
      </c>
      <c r="F17" s="76">
        <f>'- 12 -'!H46</f>
        <v>602503</v>
      </c>
      <c r="G17" s="77"/>
      <c r="H17" s="78"/>
      <c r="I17" s="37"/>
      <c r="J17" s="75">
        <f>SUM(C17:F17)</f>
        <v>10099510</v>
      </c>
    </row>
    <row r="18" spans="1:10" ht="24" customHeight="1">
      <c r="A18" s="74">
        <v>500</v>
      </c>
      <c r="B18" s="4" t="s">
        <v>296</v>
      </c>
      <c r="C18" s="75">
        <f>'- 12 -'!J21</f>
        <v>30672932</v>
      </c>
      <c r="D18" s="76">
        <f>'- 12 -'!J22</f>
        <v>3638217.59</v>
      </c>
      <c r="E18" s="76">
        <f>'- 12 -'!J39</f>
        <v>10757648</v>
      </c>
      <c r="F18" s="76">
        <f>'- 12 -'!J46</f>
        <v>3323144.99</v>
      </c>
      <c r="G18" s="77"/>
      <c r="H18" s="78">
        <f>'- 12 -'!J48</f>
        <v>-34800</v>
      </c>
      <c r="I18" s="168" t="s">
        <v>302</v>
      </c>
      <c r="J18" s="75">
        <f>SUM(C18:H18)</f>
        <v>48357142.580000006</v>
      </c>
    </row>
    <row r="19" spans="1:10" ht="12" customHeight="1">
      <c r="A19" s="74"/>
      <c r="B19" s="4"/>
      <c r="C19" s="79"/>
      <c r="D19" s="80"/>
      <c r="E19" s="80"/>
      <c r="F19" s="80"/>
      <c r="G19" s="77"/>
      <c r="H19" s="81"/>
      <c r="I19" s="37"/>
      <c r="J19" s="75"/>
    </row>
    <row r="20" spans="1:11" ht="24" customHeight="1">
      <c r="A20" s="82">
        <v>600</v>
      </c>
      <c r="B20" s="83" t="s">
        <v>284</v>
      </c>
      <c r="C20" s="75">
        <f>'- 13 -'!B21</f>
        <v>53218835.45</v>
      </c>
      <c r="D20" s="76">
        <f>'- 13 -'!B22</f>
        <v>4028917.33</v>
      </c>
      <c r="E20" s="76">
        <f>'- 13 -'!B39</f>
        <v>8110809</v>
      </c>
      <c r="F20" s="76">
        <f>'- 13 -'!B46</f>
        <v>6747176</v>
      </c>
      <c r="G20" s="77"/>
      <c r="H20" s="78"/>
      <c r="I20" s="37"/>
      <c r="J20" s="75">
        <f>SUM(C20:F20)</f>
        <v>72105737.78</v>
      </c>
      <c r="K20" s="558" t="s">
        <v>303</v>
      </c>
    </row>
    <row r="21" spans="1:11" ht="24" customHeight="1">
      <c r="A21" s="74">
        <v>700</v>
      </c>
      <c r="B21" s="4" t="s">
        <v>267</v>
      </c>
      <c r="C21" s="75">
        <f>'- 13 -'!D21</f>
        <v>25991268</v>
      </c>
      <c r="D21" s="76">
        <f>'- 13 -'!D22</f>
        <v>3379158</v>
      </c>
      <c r="E21" s="76">
        <f>'- 13 -'!D39</f>
        <v>14846337.28</v>
      </c>
      <c r="F21" s="76">
        <f>'- 13 -'!D46</f>
        <v>10185788</v>
      </c>
      <c r="G21" s="77"/>
      <c r="H21" s="78"/>
      <c r="I21" s="37"/>
      <c r="J21" s="75">
        <f>SUM(C21:F21)</f>
        <v>54402551.28</v>
      </c>
      <c r="K21" s="559"/>
    </row>
    <row r="22" spans="1:10" ht="24" customHeight="1">
      <c r="A22" s="74">
        <v>800</v>
      </c>
      <c r="B22" s="4" t="s">
        <v>268</v>
      </c>
      <c r="C22" s="75">
        <f>'- 13 -'!F21</f>
        <v>71543992</v>
      </c>
      <c r="D22" s="76">
        <f>'- 13 -'!F22</f>
        <v>10388484.5</v>
      </c>
      <c r="E22" s="76">
        <f>'- 13 -'!F39</f>
        <v>72199121.65</v>
      </c>
      <c r="F22" s="76">
        <f>'- 13 -'!F46</f>
        <v>15630228</v>
      </c>
      <c r="G22" s="77"/>
      <c r="H22" s="78"/>
      <c r="I22" s="37"/>
      <c r="J22" s="75">
        <f>SUM(C22:F22)</f>
        <v>169761826.15</v>
      </c>
    </row>
    <row r="23" spans="1:10" ht="24" customHeight="1">
      <c r="A23" s="74">
        <v>900</v>
      </c>
      <c r="B23" s="4" t="s">
        <v>143</v>
      </c>
      <c r="C23" s="79"/>
      <c r="D23" s="80"/>
      <c r="E23" s="80"/>
      <c r="F23" s="80"/>
      <c r="G23" s="76">
        <v>2189249.63</v>
      </c>
      <c r="H23" s="81">
        <v>22518905.310000002</v>
      </c>
      <c r="I23" s="168" t="s">
        <v>447</v>
      </c>
      <c r="J23" s="75">
        <f>SUM(G23:H23)</f>
        <v>24708154.94</v>
      </c>
    </row>
    <row r="24" spans="1:10" ht="12">
      <c r="A24" s="74"/>
      <c r="B24" s="4"/>
      <c r="C24" s="79"/>
      <c r="D24" s="80"/>
      <c r="E24" s="80"/>
      <c r="F24" s="80"/>
      <c r="G24" s="80"/>
      <c r="H24" s="81"/>
      <c r="I24" s="77"/>
      <c r="J24" s="79"/>
    </row>
    <row r="25" spans="2:10" ht="12">
      <c r="B25" s="4"/>
      <c r="C25" s="84"/>
      <c r="D25" s="84"/>
      <c r="E25" s="84"/>
      <c r="F25" s="84"/>
      <c r="G25" s="84"/>
      <c r="H25" s="84"/>
      <c r="J25" s="84"/>
    </row>
    <row r="26" spans="1:11" ht="12">
      <c r="A26" s="85"/>
      <c r="B26" s="86" t="s">
        <v>265</v>
      </c>
      <c r="C26" s="87">
        <f>SUM(C14:C23)</f>
        <v>1063179998.0500001</v>
      </c>
      <c r="D26" s="88">
        <f>SUM(D14:D23)</f>
        <v>84549824.42999999</v>
      </c>
      <c r="E26" s="88">
        <f>SUM(E14:E23)</f>
        <v>137131829.26</v>
      </c>
      <c r="F26" s="88">
        <f>SUM(F14:F23)</f>
        <v>97216907.4</v>
      </c>
      <c r="G26" s="88">
        <f>G23</f>
        <v>2189249.63</v>
      </c>
      <c r="H26" s="89">
        <f>H23</f>
        <v>22518905.310000002</v>
      </c>
      <c r="I26" s="90"/>
      <c r="J26" s="87">
        <f>SUM(J14:J23)</f>
        <v>1406786714.08</v>
      </c>
      <c r="K26" s="1">
        <f>J26-'- 3 -'!D49</f>
        <v>0</v>
      </c>
    </row>
    <row r="27" ht="60" customHeight="1"/>
    <row r="28" spans="1:3" ht="12">
      <c r="A28" s="167" t="s">
        <v>302</v>
      </c>
      <c r="B28" s="1" t="s">
        <v>452</v>
      </c>
      <c r="C28" s="4"/>
    </row>
    <row r="29" spans="1:2" ht="12">
      <c r="A29" s="167" t="s">
        <v>447</v>
      </c>
      <c r="B29" s="1" t="s">
        <v>446</v>
      </c>
    </row>
  </sheetData>
  <mergeCells count="2">
    <mergeCell ref="A12:B12"/>
    <mergeCell ref="K20:K21"/>
  </mergeCells>
  <printOptions/>
  <pageMargins left="0.5905511811023623" right="0" top="0.7480314960629921" bottom="0.5118110236220472" header="0.31496062992125984" footer="0"/>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2"/>
  <sheetViews>
    <sheetView showGridLines="0" showZeros="0" workbookViewId="0" topLeftCell="A1">
      <selection activeCell="A1" sqref="A1"/>
    </sheetView>
  </sheetViews>
  <sheetFormatPr defaultColWidth="15.83203125" defaultRowHeight="12"/>
  <cols>
    <col min="1" max="1" width="48.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ustomWidth="1"/>
  </cols>
  <sheetData>
    <row r="2" spans="1:11" ht="12">
      <c r="A2" s="54"/>
      <c r="B2" s="54"/>
      <c r="C2" s="54"/>
      <c r="D2" s="55" t="str">
        <f>OPYEAR</f>
        <v>OPERATING FUND 2003/2004 ACTUAL</v>
      </c>
      <c r="E2" s="55"/>
      <c r="F2" s="55"/>
      <c r="G2" s="55"/>
      <c r="H2" s="56"/>
      <c r="I2" s="56"/>
      <c r="J2" s="57"/>
      <c r="K2" s="169" t="s">
        <v>82</v>
      </c>
    </row>
    <row r="3" spans="10:11" ht="9" customHeight="1">
      <c r="J3" s="116"/>
      <c r="K3" s="116"/>
    </row>
    <row r="4" spans="2:11" ht="15.75">
      <c r="B4" s="539" t="s">
        <v>270</v>
      </c>
      <c r="C4" s="116"/>
      <c r="D4" s="116"/>
      <c r="E4" s="116"/>
      <c r="F4" s="116"/>
      <c r="G4" s="116"/>
      <c r="H4" s="116"/>
      <c r="I4" s="116"/>
      <c r="J4" s="116"/>
      <c r="K4" s="116"/>
    </row>
    <row r="5" spans="2:11" ht="15.75">
      <c r="B5" s="539" t="s">
        <v>271</v>
      </c>
      <c r="C5" s="116"/>
      <c r="D5" s="116"/>
      <c r="E5" s="116"/>
      <c r="F5" s="116"/>
      <c r="G5" s="116"/>
      <c r="H5" s="116"/>
      <c r="I5" s="116"/>
      <c r="J5" s="116"/>
      <c r="K5" s="116"/>
    </row>
    <row r="6" ht="9" customHeight="1"/>
    <row r="7" spans="2:11" ht="12">
      <c r="B7" s="170" t="s">
        <v>272</v>
      </c>
      <c r="C7" s="56"/>
      <c r="D7" s="56"/>
      <c r="E7" s="56"/>
      <c r="F7" s="56"/>
      <c r="G7" s="56"/>
      <c r="H7" s="56"/>
      <c r="I7" s="56"/>
      <c r="J7" s="56"/>
      <c r="K7" s="171"/>
    </row>
    <row r="8" spans="1:11" ht="12">
      <c r="A8" s="6"/>
      <c r="B8" s="172" t="s">
        <v>153</v>
      </c>
      <c r="C8" s="173"/>
      <c r="D8" s="174"/>
      <c r="E8" s="173"/>
      <c r="F8" s="175" t="s">
        <v>322</v>
      </c>
      <c r="G8" s="173"/>
      <c r="H8" s="175" t="s">
        <v>148</v>
      </c>
      <c r="I8" s="173"/>
      <c r="J8" s="175" t="s">
        <v>293</v>
      </c>
      <c r="K8" s="173"/>
    </row>
    <row r="9" spans="1:11" ht="12">
      <c r="A9" s="6"/>
      <c r="B9" s="176" t="s">
        <v>273</v>
      </c>
      <c r="C9" s="177"/>
      <c r="D9" s="178" t="s">
        <v>138</v>
      </c>
      <c r="E9" s="177"/>
      <c r="F9" s="178" t="s">
        <v>403</v>
      </c>
      <c r="G9" s="177"/>
      <c r="H9" s="178" t="s">
        <v>172</v>
      </c>
      <c r="I9" s="177"/>
      <c r="J9" s="178" t="s">
        <v>113</v>
      </c>
      <c r="K9" s="177"/>
    </row>
    <row r="10" spans="1:11" ht="12">
      <c r="A10" s="179" t="s">
        <v>259</v>
      </c>
      <c r="B10" s="180" t="s">
        <v>176</v>
      </c>
      <c r="C10" s="180" t="s">
        <v>177</v>
      </c>
      <c r="D10" s="180" t="s">
        <v>176</v>
      </c>
      <c r="E10" s="180" t="s">
        <v>177</v>
      </c>
      <c r="F10" s="180" t="s">
        <v>176</v>
      </c>
      <c r="G10" s="180" t="s">
        <v>177</v>
      </c>
      <c r="H10" s="180" t="s">
        <v>176</v>
      </c>
      <c r="I10" s="180" t="s">
        <v>177</v>
      </c>
      <c r="J10" s="180" t="s">
        <v>176</v>
      </c>
      <c r="K10" s="73" t="s">
        <v>177</v>
      </c>
    </row>
    <row r="11" spans="1:11" ht="4.5" customHeight="1">
      <c r="A11" s="181"/>
      <c r="B11" s="6"/>
      <c r="C11" s="6"/>
      <c r="D11" s="6"/>
      <c r="E11" s="6"/>
      <c r="F11" s="6"/>
      <c r="G11" s="6"/>
      <c r="H11" s="6"/>
      <c r="I11" s="6"/>
      <c r="J11" s="6"/>
      <c r="K11" s="6"/>
    </row>
    <row r="12" spans="1:11" ht="12">
      <c r="A12" s="182" t="s">
        <v>262</v>
      </c>
      <c r="B12" s="183"/>
      <c r="C12" s="184"/>
      <c r="D12" s="183"/>
      <c r="E12" s="184"/>
      <c r="F12" s="183"/>
      <c r="G12" s="184"/>
      <c r="H12" s="183"/>
      <c r="I12" s="184"/>
      <c r="J12" s="183"/>
      <c r="K12" s="184"/>
    </row>
    <row r="13" spans="1:11" ht="12">
      <c r="A13" s="185" t="s">
        <v>405</v>
      </c>
      <c r="B13" s="186"/>
      <c r="C13" s="187"/>
      <c r="D13" s="186"/>
      <c r="E13" s="187"/>
      <c r="F13" s="186"/>
      <c r="G13" s="187"/>
      <c r="H13" s="186"/>
      <c r="I13" s="187"/>
      <c r="J13" s="186">
        <v>2877273</v>
      </c>
      <c r="K13" s="187"/>
    </row>
    <row r="14" spans="1:11" ht="12">
      <c r="A14" s="185" t="s">
        <v>449</v>
      </c>
      <c r="B14" s="186">
        <v>56556431.95</v>
      </c>
      <c r="C14" s="187">
        <f>B14/'- 13 -'!$J$52</f>
        <v>0.04020256331961904</v>
      </c>
      <c r="D14" s="186">
        <v>5347717</v>
      </c>
      <c r="E14" s="187">
        <f>D14/'- 13 -'!$J$52</f>
        <v>0.0038013701341338448</v>
      </c>
      <c r="F14" s="186">
        <v>501657</v>
      </c>
      <c r="G14" s="187">
        <f>F14/'- 13 -'!$J$52</f>
        <v>0.000356597766370057</v>
      </c>
      <c r="H14" s="186">
        <v>785026</v>
      </c>
      <c r="I14" s="187">
        <f>H14/'- 13 -'!$J$52</f>
        <v>0.0005580277323797343</v>
      </c>
      <c r="J14" s="186">
        <v>13950009</v>
      </c>
      <c r="K14" s="187">
        <f>J14/'- 13 -'!$J$52</f>
        <v>0.009916221741632614</v>
      </c>
    </row>
    <row r="15" spans="1:11" ht="12">
      <c r="A15" s="185" t="s">
        <v>406</v>
      </c>
      <c r="B15" s="186">
        <v>586520900.65</v>
      </c>
      <c r="C15" s="187">
        <f>B15/'- 13 -'!$J$52</f>
        <v>0.41692240535095515</v>
      </c>
      <c r="D15" s="186">
        <v>67773525</v>
      </c>
      <c r="E15" s="187">
        <f>D15/'- 13 -'!$J$52</f>
        <v>0.04817611960767062</v>
      </c>
      <c r="F15" s="186">
        <v>2654350</v>
      </c>
      <c r="G15" s="187">
        <f>F15/'- 13 -'!$J$52</f>
        <v>0.001886817648641125</v>
      </c>
      <c r="H15" s="186">
        <v>4525390</v>
      </c>
      <c r="I15" s="187">
        <f>H15/'- 13 -'!$J$52</f>
        <v>0.003216827366015808</v>
      </c>
      <c r="J15" s="186"/>
      <c r="K15" s="187">
        <f>J15/'- 13 -'!$J$52</f>
        <v>0</v>
      </c>
    </row>
    <row r="16" spans="1:11" ht="12">
      <c r="A16" s="185" t="s">
        <v>407</v>
      </c>
      <c r="B16" s="186">
        <v>17345577</v>
      </c>
      <c r="C16" s="187">
        <f>B16/'- 13 -'!$J$52</f>
        <v>0.012329926652274033</v>
      </c>
      <c r="D16" s="186">
        <v>80668670</v>
      </c>
      <c r="E16" s="187">
        <f>D16/'- 13 -'!$J$52</f>
        <v>0.05734250202437766</v>
      </c>
      <c r="F16" s="186">
        <v>1125053</v>
      </c>
      <c r="G16" s="187">
        <f>F16/'- 13 -'!$J$52</f>
        <v>0.0007997324603223553</v>
      </c>
      <c r="H16" s="186">
        <v>821232</v>
      </c>
      <c r="I16" s="187">
        <f>H16/'- 13 -'!$J$52</f>
        <v>0.0005837643985265124</v>
      </c>
      <c r="J16" s="186"/>
      <c r="K16" s="187">
        <f>J16/'- 13 -'!$J$52</f>
        <v>0</v>
      </c>
    </row>
    <row r="17" spans="1:11" ht="12">
      <c r="A17" s="185" t="s">
        <v>408</v>
      </c>
      <c r="B17" s="186">
        <v>2751117</v>
      </c>
      <c r="C17" s="187">
        <f>B17/'- 13 -'!$J$52</f>
        <v>0.0019556034844977585</v>
      </c>
      <c r="D17" s="186">
        <v>1485388</v>
      </c>
      <c r="E17" s="187">
        <f>D17/'- 13 -'!$J$52</f>
        <v>0.0010558729231185575</v>
      </c>
      <c r="F17" s="186">
        <v>140081</v>
      </c>
      <c r="G17" s="187">
        <f>F17/'- 13 -'!$J$52</f>
        <v>9.957515137012731E-05</v>
      </c>
      <c r="H17" s="186">
        <v>981709</v>
      </c>
      <c r="I17" s="187">
        <f>H17/'- 13 -'!$J$52</f>
        <v>0.000697837838653467</v>
      </c>
      <c r="J17" s="186">
        <v>2585035</v>
      </c>
      <c r="K17" s="187">
        <f>J17/'- 13 -'!$J$52</f>
        <v>0.001837545787237934</v>
      </c>
    </row>
    <row r="18" spans="1:11" ht="12">
      <c r="A18" s="188" t="s">
        <v>409</v>
      </c>
      <c r="B18" s="189">
        <v>25448299</v>
      </c>
      <c r="C18" s="190">
        <f>B18/'- 13 -'!$J$52</f>
        <v>0.018089664016085402</v>
      </c>
      <c r="D18" s="189">
        <v>1995455</v>
      </c>
      <c r="E18" s="190">
        <f>D18/'- 13 -'!$J$52</f>
        <v>0.0014184488522874436</v>
      </c>
      <c r="F18" s="189">
        <v>219939</v>
      </c>
      <c r="G18" s="190">
        <f>F18/'- 13 -'!$J$52</f>
        <v>0.00015634139688604757</v>
      </c>
      <c r="H18" s="189">
        <v>527108</v>
      </c>
      <c r="I18" s="190">
        <f>H18/'- 13 -'!$J$52</f>
        <v>0.00037468935036446817</v>
      </c>
      <c r="J18" s="189">
        <v>10684536</v>
      </c>
      <c r="K18" s="190">
        <f>J18/'- 13 -'!$J$52</f>
        <v>0.007594993536022548</v>
      </c>
    </row>
    <row r="19" spans="1:11" ht="12">
      <c r="A19" s="188" t="s">
        <v>410</v>
      </c>
      <c r="B19" s="191"/>
      <c r="C19" s="190"/>
      <c r="D19" s="191">
        <v>16067206</v>
      </c>
      <c r="E19" s="190">
        <f>D19/'- 13 -'!$J$52</f>
        <v>0.011421209654021729</v>
      </c>
      <c r="F19" s="191"/>
      <c r="G19" s="190"/>
      <c r="H19" s="191">
        <v>142777</v>
      </c>
      <c r="I19" s="190"/>
      <c r="J19" s="191"/>
      <c r="K19" s="190"/>
    </row>
    <row r="20" spans="1:11" ht="12">
      <c r="A20" s="192" t="s">
        <v>411</v>
      </c>
      <c r="B20" s="193">
        <v>7311361</v>
      </c>
      <c r="C20" s="194">
        <f>B20/'- 13 -'!$J$52</f>
        <v>0.0051972064612377505</v>
      </c>
      <c r="D20" s="193">
        <v>17388</v>
      </c>
      <c r="E20" s="194">
        <f>D20/'- 13 -'!$J$52</f>
        <v>1.2360082609517163E-05</v>
      </c>
      <c r="F20" s="193">
        <v>6268</v>
      </c>
      <c r="G20" s="194">
        <f>F20/'- 13 -'!$J$52</f>
        <v>4.455543926642143E-06</v>
      </c>
      <c r="H20" s="193">
        <v>33345</v>
      </c>
      <c r="I20" s="194">
        <f>H20/'- 13 -'!$J$52</f>
        <v>2.3702953451480895E-05</v>
      </c>
      <c r="J20" s="193">
        <v>576079</v>
      </c>
      <c r="K20" s="194">
        <f>J20/'- 13 -'!$J$52</f>
        <v>0.00040949988668093155</v>
      </c>
    </row>
    <row r="21" spans="1:11" ht="12.75" customHeight="1">
      <c r="A21" s="195" t="s">
        <v>412</v>
      </c>
      <c r="B21" s="195">
        <f>SUM(B13:B20)</f>
        <v>695933686.6</v>
      </c>
      <c r="C21" s="196">
        <f>B21/'- 13 -'!$J$52</f>
        <v>0.4946973692846692</v>
      </c>
      <c r="D21" s="195">
        <f>SUM(D13:D20)</f>
        <v>173355349</v>
      </c>
      <c r="E21" s="196">
        <f>D21/'- 13 -'!$J$52</f>
        <v>0.12322788327821937</v>
      </c>
      <c r="F21" s="195">
        <f>SUM(F13:F20)</f>
        <v>4647348</v>
      </c>
      <c r="G21" s="196">
        <f>F21/'- 13 -'!$J$52</f>
        <v>0.0033035199675163543</v>
      </c>
      <c r="H21" s="195">
        <f>SUM(H13:H20)</f>
        <v>7816587</v>
      </c>
      <c r="I21" s="196">
        <f>H21/'- 13 -'!$J$52</f>
        <v>0.00555634121488831</v>
      </c>
      <c r="J21" s="195">
        <f>SUM(J13:J20)</f>
        <v>30672932</v>
      </c>
      <c r="K21" s="196">
        <f>J21/'- 13 -'!$J$52</f>
        <v>0.02180354114309308</v>
      </c>
    </row>
    <row r="22" spans="1:11" ht="12">
      <c r="A22" s="182" t="s">
        <v>274</v>
      </c>
      <c r="B22" s="195">
        <v>45839459.68</v>
      </c>
      <c r="C22" s="196">
        <f>B22/'- 13 -'!$J$52</f>
        <v>0.032584512791605194</v>
      </c>
      <c r="D22" s="195">
        <v>16247088.33</v>
      </c>
      <c r="E22" s="196">
        <f>D22/'- 13 -'!$J$52</f>
        <v>0.011549077175231322</v>
      </c>
      <c r="F22" s="195">
        <v>382144</v>
      </c>
      <c r="G22" s="196">
        <f>F22/'- 13 -'!$J$52</f>
        <v>0.00027164316820401003</v>
      </c>
      <c r="H22" s="195">
        <v>646355</v>
      </c>
      <c r="I22" s="196">
        <f>H22/'- 13 -'!$J$52</f>
        <v>0.0004594548651411586</v>
      </c>
      <c r="J22" s="195">
        <v>3638217.59</v>
      </c>
      <c r="K22" s="196">
        <f>J22/'- 13 -'!$J$52</f>
        <v>0.00258618989899922</v>
      </c>
    </row>
    <row r="23" spans="1:11" ht="12">
      <c r="A23" s="182" t="s">
        <v>247</v>
      </c>
      <c r="B23" s="186"/>
      <c r="C23" s="187"/>
      <c r="D23" s="186"/>
      <c r="E23" s="187"/>
      <c r="F23" s="186"/>
      <c r="G23" s="187"/>
      <c r="H23" s="186"/>
      <c r="I23" s="187"/>
      <c r="J23" s="186"/>
      <c r="K23" s="187"/>
    </row>
    <row r="24" spans="1:11" ht="12">
      <c r="A24" s="188" t="s">
        <v>413</v>
      </c>
      <c r="B24" s="189">
        <v>2619983</v>
      </c>
      <c r="C24" s="190">
        <f>B24/'- 13 -'!$J$52</f>
        <v>0.0018623882169042216</v>
      </c>
      <c r="D24" s="189">
        <v>7198282</v>
      </c>
      <c r="E24" s="190">
        <f>D24/'- 13 -'!$J$52</f>
        <v>0.005116825406406742</v>
      </c>
      <c r="F24" s="189">
        <v>487072</v>
      </c>
      <c r="G24" s="190">
        <f>F24/'- 13 -'!$J$52</f>
        <v>0.00034623016774687964</v>
      </c>
      <c r="H24" s="189">
        <v>658283</v>
      </c>
      <c r="I24" s="190">
        <f>H24/'- 13 -'!$J$52</f>
        <v>0.00046793376239019933</v>
      </c>
      <c r="J24" s="189">
        <v>2555383</v>
      </c>
      <c r="K24" s="190">
        <f>J24/'- 13 -'!$J$52</f>
        <v>0.001816467965203347</v>
      </c>
    </row>
    <row r="25" spans="1:11" ht="12">
      <c r="A25" s="188" t="s">
        <v>414</v>
      </c>
      <c r="B25" s="189">
        <v>3560941.03</v>
      </c>
      <c r="C25" s="190">
        <f>B25/'- 13 -'!$J$52</f>
        <v>0.002531258643801422</v>
      </c>
      <c r="D25" s="189">
        <v>205527</v>
      </c>
      <c r="E25" s="190">
        <f>D25/'- 13 -'!$J$52</f>
        <v>0.00014609677354993292</v>
      </c>
      <c r="F25" s="189">
        <v>45226</v>
      </c>
      <c r="G25" s="190">
        <f>F25/'- 13 -'!$J$52</f>
        <v>3.214844122946993E-05</v>
      </c>
      <c r="H25" s="189">
        <v>42283</v>
      </c>
      <c r="I25" s="190">
        <f>H25/'- 13 -'!$J$52</f>
        <v>3.0056439669784573E-05</v>
      </c>
      <c r="J25" s="189">
        <v>1160695</v>
      </c>
      <c r="K25" s="190">
        <f>J25/'- 13 -'!$J$52</f>
        <v>0.0008250682128165128</v>
      </c>
    </row>
    <row r="26" spans="1:11" ht="12.75" customHeight="1">
      <c r="A26" s="188" t="s">
        <v>415</v>
      </c>
      <c r="B26" s="189"/>
      <c r="C26" s="190">
        <f>B26/'- 13 -'!$J$52</f>
        <v>0</v>
      </c>
      <c r="D26" s="189"/>
      <c r="E26" s="190">
        <f>D26/'- 13 -'!$J$52</f>
        <v>0</v>
      </c>
      <c r="F26" s="189">
        <v>39673</v>
      </c>
      <c r="G26" s="190">
        <f>F26/'- 13 -'!$J$52</f>
        <v>2.82011477666997E-05</v>
      </c>
      <c r="H26" s="189"/>
      <c r="I26" s="190">
        <f>H26/'- 13 -'!$J$52</f>
        <v>0</v>
      </c>
      <c r="J26" s="189"/>
      <c r="K26" s="190">
        <f>J26/'- 13 -'!$J$52</f>
        <v>0</v>
      </c>
    </row>
    <row r="27" spans="1:12" ht="12.75" customHeight="1">
      <c r="A27" s="188" t="s">
        <v>440</v>
      </c>
      <c r="B27" s="189">
        <v>1655101</v>
      </c>
      <c r="C27" s="190">
        <f>B27/'- 13 -'!$J$52</f>
        <v>0.0011765116797270798</v>
      </c>
      <c r="D27" s="189">
        <v>1236787.92</v>
      </c>
      <c r="E27" s="190">
        <f>D27/'- 13 -'!$J$52</f>
        <v>0.0008791580895820625</v>
      </c>
      <c r="F27" s="189">
        <v>64595</v>
      </c>
      <c r="G27" s="190">
        <f>F27/'- 13 -'!$J$52</f>
        <v>4.591669750182661E-05</v>
      </c>
      <c r="H27" s="189">
        <v>71603</v>
      </c>
      <c r="I27" s="190">
        <f>H27/'- 13 -'!$J$52</f>
        <v>5.089826288758094E-05</v>
      </c>
      <c r="J27" s="189">
        <v>1927440</v>
      </c>
      <c r="K27" s="190">
        <f>J27/'- 13 -'!$J$52</f>
        <v>0.0013701010826367471</v>
      </c>
      <c r="L27" s="560" t="s">
        <v>345</v>
      </c>
    </row>
    <row r="28" spans="1:12" ht="12.75" customHeight="1">
      <c r="A28" s="188" t="s">
        <v>416</v>
      </c>
      <c r="B28" s="189"/>
      <c r="C28" s="190">
        <f>B28/'- 13 -'!$J$52</f>
        <v>0</v>
      </c>
      <c r="D28" s="189"/>
      <c r="E28" s="190">
        <f>D28/'- 13 -'!$J$52</f>
        <v>0</v>
      </c>
      <c r="F28" s="189"/>
      <c r="G28" s="190">
        <f>F28/'- 13 -'!$J$52</f>
        <v>0</v>
      </c>
      <c r="H28" s="189"/>
      <c r="I28" s="190">
        <f>H28/'- 13 -'!$J$52</f>
        <v>0</v>
      </c>
      <c r="J28" s="189"/>
      <c r="K28" s="190">
        <f>J28/'- 13 -'!$J$52</f>
        <v>0</v>
      </c>
      <c r="L28" s="561"/>
    </row>
    <row r="29" spans="1:12" ht="12.75" customHeight="1">
      <c r="A29" s="188" t="s">
        <v>417</v>
      </c>
      <c r="B29" s="189">
        <v>357110</v>
      </c>
      <c r="C29" s="190">
        <f>B29/'- 13 -'!$J$52</f>
        <v>0.00025384800441020667</v>
      </c>
      <c r="D29" s="189">
        <v>71344</v>
      </c>
      <c r="E29" s="190">
        <f>D29/'- 13 -'!$J$52</f>
        <v>5.0714155376891674E-05</v>
      </c>
      <c r="F29" s="189">
        <v>6298</v>
      </c>
      <c r="G29" s="190">
        <f>F29/'- 13 -'!$J$52</f>
        <v>4.476869120930474E-06</v>
      </c>
      <c r="H29" s="189">
        <v>0</v>
      </c>
      <c r="I29" s="190">
        <f>H29/'- 13 -'!$J$52</f>
        <v>0</v>
      </c>
      <c r="J29" s="189"/>
      <c r="K29" s="190">
        <f>J29/'- 13 -'!$J$52</f>
        <v>0</v>
      </c>
      <c r="L29" s="561"/>
    </row>
    <row r="30" spans="1:11" ht="12.75" customHeight="1">
      <c r="A30" s="188" t="s">
        <v>418</v>
      </c>
      <c r="B30" s="189">
        <v>854829</v>
      </c>
      <c r="C30" s="190">
        <f>B30/'- 13 -'!$J$52</f>
        <v>0.0006076464836100153</v>
      </c>
      <c r="D30" s="189">
        <v>26575</v>
      </c>
      <c r="E30" s="190">
        <f>D30/'- 13 -'!$J$52</f>
        <v>1.8890567940413998E-05</v>
      </c>
      <c r="F30" s="189">
        <v>549</v>
      </c>
      <c r="G30" s="190">
        <f>F30/'- 13 -'!$J$52</f>
        <v>3.9025105547647356E-07</v>
      </c>
      <c r="H30" s="189">
        <v>119805</v>
      </c>
      <c r="I30" s="190">
        <f>H30/'- 13 -'!$J$52</f>
        <v>8.51621633904534E-05</v>
      </c>
      <c r="J30" s="189">
        <v>246473</v>
      </c>
      <c r="K30" s="190">
        <f>J30/'- 13 -'!$J$52</f>
        <v>0.00017520282039426753</v>
      </c>
    </row>
    <row r="31" spans="1:11" ht="12">
      <c r="A31" s="188" t="s">
        <v>419</v>
      </c>
      <c r="B31" s="189"/>
      <c r="C31" s="190">
        <f>B31/'- 13 -'!$J$52</f>
        <v>0</v>
      </c>
      <c r="D31" s="189"/>
      <c r="E31" s="190">
        <f>D31/'- 13 -'!$J$52</f>
        <v>0</v>
      </c>
      <c r="F31" s="189">
        <v>4404</v>
      </c>
      <c r="G31" s="190">
        <f>F31/'- 13 -'!$J$52</f>
        <v>3.130538521527121E-06</v>
      </c>
      <c r="H31" s="189"/>
      <c r="I31" s="190">
        <f>H31/'- 13 -'!$J$52</f>
        <v>0</v>
      </c>
      <c r="J31" s="189">
        <v>1207112</v>
      </c>
      <c r="K31" s="190">
        <f>J31/'- 13 -'!$J$52</f>
        <v>0.0008580632642592295</v>
      </c>
    </row>
    <row r="32" spans="1:11" ht="12">
      <c r="A32" s="188" t="s">
        <v>420</v>
      </c>
      <c r="B32" s="189">
        <v>2432524.95</v>
      </c>
      <c r="C32" s="190">
        <f>B32/'- 13 -'!$J$52</f>
        <v>0.0017291355723321605</v>
      </c>
      <c r="D32" s="189">
        <v>51830</v>
      </c>
      <c r="E32" s="190">
        <f>D32/'- 13 -'!$J$52</f>
        <v>3.684282733214139E-05</v>
      </c>
      <c r="F32" s="189">
        <v>18411</v>
      </c>
      <c r="G32" s="190">
        <f>F32/'- 13 -'!$J$52</f>
        <v>1.308727173474928E-05</v>
      </c>
      <c r="H32" s="189">
        <v>4443</v>
      </c>
      <c r="I32" s="190">
        <f>H32/'- 13 -'!$J$52</f>
        <v>3.1582612741019525E-06</v>
      </c>
      <c r="J32" s="189">
        <v>370099</v>
      </c>
      <c r="K32" s="190">
        <f>J32/'- 13 -'!$J$52</f>
        <v>0.0002630811026972448</v>
      </c>
    </row>
    <row r="33" spans="1:11" ht="12">
      <c r="A33" s="188" t="s">
        <v>421</v>
      </c>
      <c r="B33" s="189">
        <v>3550345</v>
      </c>
      <c r="C33" s="190">
        <f>B33/'- 13 -'!$J$52</f>
        <v>0.0025237265638535893</v>
      </c>
      <c r="D33" s="189">
        <v>97709</v>
      </c>
      <c r="E33" s="190">
        <f>D33/'- 13 -'!$J$52</f>
        <v>6.945544695728735E-05</v>
      </c>
      <c r="F33" s="189">
        <v>466785.3</v>
      </c>
      <c r="G33" s="190">
        <f>F33/'- 13 -'!$J$52</f>
        <v>0.0003318095737812429</v>
      </c>
      <c r="H33" s="189">
        <v>28256</v>
      </c>
      <c r="I33" s="190">
        <f>H33/'- 13 -'!$J$52</f>
        <v>2.0085489660370195E-05</v>
      </c>
      <c r="J33" s="189">
        <v>169724</v>
      </c>
      <c r="K33" s="190">
        <f>J33/'- 13 -'!$J$52</f>
        <v>0.00012064657584642805</v>
      </c>
    </row>
    <row r="34" spans="1:11" ht="12">
      <c r="A34" s="197" t="s">
        <v>422</v>
      </c>
      <c r="B34" s="189"/>
      <c r="C34" s="190">
        <f>B34/'- 13 -'!$J$52</f>
        <v>0</v>
      </c>
      <c r="D34" s="189"/>
      <c r="E34" s="190">
        <f>D34/'- 13 -'!$J$52</f>
        <v>0</v>
      </c>
      <c r="F34" s="189">
        <v>2611</v>
      </c>
      <c r="G34" s="190">
        <f>F34/'- 13 -'!$J$52</f>
        <v>1.8560027428944853E-06</v>
      </c>
      <c r="H34" s="189"/>
      <c r="I34" s="190">
        <f>H34/'- 13 -'!$J$52</f>
        <v>0</v>
      </c>
      <c r="J34" s="189"/>
      <c r="K34" s="190">
        <f>J34/'- 13 -'!$J$52</f>
        <v>0</v>
      </c>
    </row>
    <row r="35" spans="1:11" ht="12">
      <c r="A35" s="188" t="s">
        <v>423</v>
      </c>
      <c r="B35" s="189">
        <v>394515</v>
      </c>
      <c r="C35" s="190">
        <f>B35/'- 13 -'!$J$52</f>
        <v>0.0002804369674887085</v>
      </c>
      <c r="D35" s="189">
        <v>43446</v>
      </c>
      <c r="E35" s="190">
        <f>D35/'- 13 -'!$J$52</f>
        <v>3.0883146368362243E-05</v>
      </c>
      <c r="F35" s="189">
        <v>13179</v>
      </c>
      <c r="G35" s="190">
        <f>F35/'- 13 -'!$J$52</f>
        <v>9.3681578508642E-06</v>
      </c>
      <c r="H35" s="189">
        <v>74763</v>
      </c>
      <c r="I35" s="190">
        <f>H35/'- 13 -'!$J$52</f>
        <v>5.31445166859519E-05</v>
      </c>
      <c r="J35" s="189">
        <v>352315</v>
      </c>
      <c r="K35" s="190">
        <f>J35/'- 13 -'!$J$52</f>
        <v>0.0002504395275231216</v>
      </c>
    </row>
    <row r="36" spans="1:11" ht="12">
      <c r="A36" s="188" t="s">
        <v>424</v>
      </c>
      <c r="B36" s="189">
        <v>457363.13</v>
      </c>
      <c r="C36" s="190">
        <f>B36/'- 13 -'!$J$52</f>
        <v>0.0003251119202523198</v>
      </c>
      <c r="D36" s="189">
        <v>69665</v>
      </c>
      <c r="E36" s="190">
        <f>D36/'- 13 -'!$J$52</f>
        <v>4.95206553365547E-05</v>
      </c>
      <c r="F36" s="189">
        <v>1730</v>
      </c>
      <c r="G36" s="190">
        <f>F36/'- 13 -'!$J$52</f>
        <v>1.229752870627139E-06</v>
      </c>
      <c r="H36" s="189">
        <v>10118</v>
      </c>
      <c r="I36" s="190">
        <f>H36/'- 13 -'!$J$52</f>
        <v>7.192277193644735E-06</v>
      </c>
      <c r="J36" s="189">
        <v>1404334</v>
      </c>
      <c r="K36" s="190">
        <f>J36/'- 13 -'!$J$52</f>
        <v>0.0009982565131903425</v>
      </c>
    </row>
    <row r="37" spans="1:11" ht="12">
      <c r="A37" s="198" t="s">
        <v>425</v>
      </c>
      <c r="B37" s="189">
        <v>422130</v>
      </c>
      <c r="C37" s="190">
        <f>B37/'- 13 -'!$J$52</f>
        <v>0.000300066808831118</v>
      </c>
      <c r="D37" s="189">
        <v>135023</v>
      </c>
      <c r="E37" s="190">
        <f>D37/'- 13 -'!$J$52</f>
        <v>9.597972361311455E-05</v>
      </c>
      <c r="F37" s="189">
        <v>5493</v>
      </c>
      <c r="G37" s="190">
        <f>F37/'- 13 -'!$J$52</f>
        <v>3.904643074193569E-06</v>
      </c>
      <c r="H37" s="189">
        <v>17622</v>
      </c>
      <c r="I37" s="190">
        <f>H37/'- 13 -'!$J$52</f>
        <v>1.2526419124966152E-05</v>
      </c>
      <c r="J37" s="189">
        <v>693439</v>
      </c>
      <c r="K37" s="190">
        <f>J37/'- 13 -'!$J$52</f>
        <v>0.0004929240467368859</v>
      </c>
    </row>
    <row r="38" spans="1:11" ht="12">
      <c r="A38" s="199" t="s">
        <v>426</v>
      </c>
      <c r="B38" s="193">
        <v>3543274</v>
      </c>
      <c r="C38" s="194">
        <f>B38/'- 13 -'!$J$52</f>
        <v>0.0025187002155598296</v>
      </c>
      <c r="D38" s="193">
        <v>23417</v>
      </c>
      <c r="E38" s="194">
        <f>D38/'- 13 -'!$J$52</f>
        <v>1.6645735821662262E-05</v>
      </c>
      <c r="F38" s="193">
        <v>20100</v>
      </c>
      <c r="G38" s="194">
        <f>F38/'- 13 -'!$J$52</f>
        <v>1.4287880173182365E-05</v>
      </c>
      <c r="H38" s="193">
        <v>6889</v>
      </c>
      <c r="I38" s="194">
        <f>H38/'- 13 -'!$J$52</f>
        <v>4.8969754484106125E-06</v>
      </c>
      <c r="J38" s="193">
        <v>670634</v>
      </c>
      <c r="K38" s="194">
        <f>J38/'- 13 -'!$J$52</f>
        <v>0.0004767133448787056</v>
      </c>
    </row>
    <row r="39" spans="1:11" ht="12">
      <c r="A39" s="195" t="s">
        <v>427</v>
      </c>
      <c r="B39" s="195">
        <f>SUM(B24:B38)</f>
        <v>19848116.11</v>
      </c>
      <c r="C39" s="196">
        <f>B39/'- 13 -'!$J$52</f>
        <v>0.01410883107677067</v>
      </c>
      <c r="D39" s="195">
        <f>SUM(D24:D38)</f>
        <v>9159605.92</v>
      </c>
      <c r="E39" s="196">
        <f>D39/'- 13 -'!$J$52</f>
        <v>0.006511012528285165</v>
      </c>
      <c r="F39" s="195">
        <f>SUM(F24:F38)</f>
        <v>1176126.3</v>
      </c>
      <c r="G39" s="196">
        <f>F39/'- 13 -'!$J$52</f>
        <v>0.0008360373951705639</v>
      </c>
      <c r="H39" s="195">
        <f>SUM(H24:H38)</f>
        <v>1034065</v>
      </c>
      <c r="I39" s="196">
        <f>H39/'- 13 -'!$J$52</f>
        <v>0.0007350545677254638</v>
      </c>
      <c r="J39" s="195">
        <f>SUM(J24:J38)</f>
        <v>10757648</v>
      </c>
      <c r="K39" s="196">
        <f>J39/'- 13 -'!$J$52</f>
        <v>0.007646964456182832</v>
      </c>
    </row>
    <row r="40" spans="1:11" ht="12">
      <c r="A40" s="182" t="s">
        <v>428</v>
      </c>
      <c r="B40" s="200"/>
      <c r="C40" s="201"/>
      <c r="D40" s="200"/>
      <c r="E40" s="201"/>
      <c r="F40" s="200"/>
      <c r="G40" s="201"/>
      <c r="H40" s="200"/>
      <c r="I40" s="201"/>
      <c r="J40" s="200"/>
      <c r="K40" s="201"/>
    </row>
    <row r="41" spans="1:11" ht="12">
      <c r="A41" s="188" t="s">
        <v>429</v>
      </c>
      <c r="B41" s="197">
        <v>21395331</v>
      </c>
      <c r="C41" s="190">
        <f>B41/'- 13 -'!$J$52</f>
        <v>0.015208653014605673</v>
      </c>
      <c r="D41" s="202">
        <v>1771848</v>
      </c>
      <c r="E41" s="190">
        <f>D41/'- 13 -'!$J$52</f>
        <v>0.0012595000949797426</v>
      </c>
      <c r="F41" s="202">
        <v>135105</v>
      </c>
      <c r="G41" s="190">
        <f>F41/'- 13 -'!$J$52</f>
        <v>9.603801247750266E-05</v>
      </c>
      <c r="H41" s="202">
        <v>373065</v>
      </c>
      <c r="I41" s="190">
        <f>H41/'- 13 -'!$J$52</f>
        <v>0.0002651894535725512</v>
      </c>
      <c r="J41" s="202">
        <v>1459403</v>
      </c>
      <c r="K41" s="190">
        <f>J41/'- 13 -'!$J$52</f>
        <v>0.001037401750665814</v>
      </c>
    </row>
    <row r="42" spans="1:11" ht="12">
      <c r="A42" s="188" t="s">
        <v>430</v>
      </c>
      <c r="B42" s="197">
        <v>9315491</v>
      </c>
      <c r="C42" s="190">
        <f>B42/'- 13 -'!$J$52</f>
        <v>0.00662182184887357</v>
      </c>
      <c r="D42" s="202">
        <v>655169</v>
      </c>
      <c r="E42" s="190">
        <f>D42/'- 13 -'!$J$52</f>
        <v>0.0004657202072230705</v>
      </c>
      <c r="F42" s="202">
        <v>74575</v>
      </c>
      <c r="G42" s="190">
        <f>F42/'- 13 -'!$J$52</f>
        <v>5.301087880174502E-05</v>
      </c>
      <c r="H42" s="202">
        <v>95678</v>
      </c>
      <c r="I42" s="190">
        <f>H42/'- 13 -'!$J$52</f>
        <v>6.801173130396728E-05</v>
      </c>
      <c r="J42" s="202">
        <v>115826</v>
      </c>
      <c r="K42" s="190">
        <f>J42/'- 13 -'!$J$52</f>
        <v>8.233373178801098E-05</v>
      </c>
    </row>
    <row r="43" spans="1:11" ht="12">
      <c r="A43" s="188" t="s">
        <v>431</v>
      </c>
      <c r="B43" s="197">
        <v>8058472.41</v>
      </c>
      <c r="C43" s="190">
        <f>B43/'- 13 -'!$J$52</f>
        <v>0.005728282993680404</v>
      </c>
      <c r="D43" s="202">
        <v>265380</v>
      </c>
      <c r="E43" s="190">
        <f>D43/'- 13 -'!$J$52</f>
        <v>0.0001886426686745839</v>
      </c>
      <c r="F43" s="202">
        <v>114974</v>
      </c>
      <c r="G43" s="190">
        <f>F43/'- 13 -'!$J$52</f>
        <v>8.172809627022236E-05</v>
      </c>
      <c r="H43" s="202">
        <v>31225</v>
      </c>
      <c r="I43" s="190">
        <f>H43/'- 13 -'!$J$52</f>
        <v>2.219597305510544E-05</v>
      </c>
      <c r="J43" s="202">
        <v>439141</v>
      </c>
      <c r="K43" s="190">
        <f>J43/'- 13 -'!$J$52</f>
        <v>0.0003121589048324118</v>
      </c>
    </row>
    <row r="44" spans="1:11" ht="12">
      <c r="A44" s="188" t="s">
        <v>432</v>
      </c>
      <c r="B44" s="197">
        <v>-6481</v>
      </c>
      <c r="C44" s="190">
        <f>B44/'- 13 -'!$J$52</f>
        <v>-4.606952806089299E-06</v>
      </c>
      <c r="D44" s="202">
        <v>120</v>
      </c>
      <c r="E44" s="190">
        <f>D44/'- 13 -'!$J$52</f>
        <v>8.530077715332755E-08</v>
      </c>
      <c r="F44" s="202">
        <v>9630</v>
      </c>
      <c r="G44" s="190">
        <f>F44/'- 13 -'!$J$52</f>
        <v>6.845387366554536E-06</v>
      </c>
      <c r="H44" s="202">
        <v>0</v>
      </c>
      <c r="I44" s="190">
        <f>H44/'- 13 -'!$J$52</f>
        <v>0</v>
      </c>
      <c r="J44" s="202">
        <v>40737.99</v>
      </c>
      <c r="K44" s="190">
        <f>J44/'- 13 -'!$J$52</f>
        <v>2.8958185055537384E-05</v>
      </c>
    </row>
    <row r="45" spans="1:11" ht="12">
      <c r="A45" s="199" t="s">
        <v>433</v>
      </c>
      <c r="B45" s="203">
        <v>18373971</v>
      </c>
      <c r="C45" s="194">
        <f>B45/'- 13 -'!$J$52</f>
        <v>0.013060950047439191</v>
      </c>
      <c r="D45" s="204">
        <v>401881</v>
      </c>
      <c r="E45" s="194">
        <f>D45/'- 13 -'!$J$52</f>
        <v>0.00028567301352630357</v>
      </c>
      <c r="F45" s="204">
        <v>162601</v>
      </c>
      <c r="G45" s="194">
        <f>F45/'- 13 -'!$J$52</f>
        <v>0.00011558326388256845</v>
      </c>
      <c r="H45" s="204">
        <v>102535</v>
      </c>
      <c r="I45" s="194">
        <f>H45/'- 13 -'!$J$52</f>
        <v>7.288595987847035E-05</v>
      </c>
      <c r="J45" s="204">
        <v>1268037</v>
      </c>
      <c r="K45" s="194">
        <f>J45/'- 13 -'!$J$52</f>
        <v>0.0009013711796597835</v>
      </c>
    </row>
    <row r="46" spans="1:11" ht="12">
      <c r="A46" s="195" t="s">
        <v>434</v>
      </c>
      <c r="B46" s="195">
        <f>SUM(B41:B45)</f>
        <v>57136784.41</v>
      </c>
      <c r="C46" s="196">
        <f>B46/'- 13 -'!$J$52</f>
        <v>0.04061510095179275</v>
      </c>
      <c r="D46" s="195">
        <f>SUM(D41:D45)</f>
        <v>3094398</v>
      </c>
      <c r="E46" s="196">
        <f>D46/'- 13 -'!$J$52</f>
        <v>0.002199621285180854</v>
      </c>
      <c r="F46" s="195">
        <f>SUM(F41:F45)</f>
        <v>496885</v>
      </c>
      <c r="G46" s="196">
        <f>F46/'- 13 -'!$J$52</f>
        <v>0.000353205638798593</v>
      </c>
      <c r="H46" s="195">
        <f>SUM(H41:H45)</f>
        <v>602503</v>
      </c>
      <c r="I46" s="196">
        <f>H46/'- 13 -'!$J$52</f>
        <v>0.00042828311781009426</v>
      </c>
      <c r="J46" s="195">
        <f>SUM(J41:J45)</f>
        <v>3323144.99</v>
      </c>
      <c r="K46" s="196">
        <f>J46/'- 13 -'!$J$52</f>
        <v>0.002362223752001558</v>
      </c>
    </row>
    <row r="47" spans="1:11" ht="12">
      <c r="A47" s="182" t="s">
        <v>188</v>
      </c>
      <c r="B47" s="200"/>
      <c r="C47" s="201"/>
      <c r="D47" s="200"/>
      <c r="E47" s="201"/>
      <c r="F47" s="200"/>
      <c r="G47" s="201"/>
      <c r="H47" s="200"/>
      <c r="I47" s="201"/>
      <c r="J47" s="200"/>
      <c r="K47" s="201"/>
    </row>
    <row r="48" spans="1:11" ht="14.25">
      <c r="A48" s="199" t="s">
        <v>549</v>
      </c>
      <c r="B48" s="203"/>
      <c r="C48" s="194"/>
      <c r="D48" s="203"/>
      <c r="E48" s="194"/>
      <c r="F48" s="204">
        <v>34800</v>
      </c>
      <c r="G48" s="194"/>
      <c r="H48" s="203"/>
      <c r="I48" s="194"/>
      <c r="J48" s="204">
        <v>-34800</v>
      </c>
      <c r="K48" s="194"/>
    </row>
    <row r="49" spans="1:11" ht="12">
      <c r="A49" s="195" t="s">
        <v>437</v>
      </c>
      <c r="B49" s="195"/>
      <c r="C49" s="196"/>
      <c r="D49" s="195"/>
      <c r="E49" s="196"/>
      <c r="F49" s="195">
        <f>F48</f>
        <v>34800</v>
      </c>
      <c r="G49" s="196"/>
      <c r="H49" s="195"/>
      <c r="I49" s="196"/>
      <c r="J49" s="195">
        <f>J48</f>
        <v>-34800</v>
      </c>
      <c r="K49" s="196"/>
    </row>
    <row r="50" spans="1:11" ht="4.5" customHeight="1">
      <c r="A50" s="33"/>
      <c r="B50" s="43"/>
      <c r="C50" s="205"/>
      <c r="D50" s="84"/>
      <c r="E50" s="205"/>
      <c r="F50" s="84"/>
      <c r="G50" s="205"/>
      <c r="H50" s="84"/>
      <c r="I50" s="205"/>
      <c r="J50" s="84"/>
      <c r="K50" s="205"/>
    </row>
    <row r="51" spans="1:11" ht="12">
      <c r="A51" s="206" t="s">
        <v>438</v>
      </c>
      <c r="B51" s="206">
        <f>SUM(B49,B46,B39,B22,B21)</f>
        <v>818758046.8</v>
      </c>
      <c r="C51" s="207">
        <f>B51/'- 13 -'!$J$52</f>
        <v>0.5820058141048378</v>
      </c>
      <c r="D51" s="206">
        <f>SUM(D49,D46,D39,D22,D21)</f>
        <v>201856441.25</v>
      </c>
      <c r="E51" s="207">
        <f>D51/'- 13 -'!$J$52</f>
        <v>0.1434875942669167</v>
      </c>
      <c r="F51" s="206">
        <f>SUM(F49,F46,F39,F22,F21)</f>
        <v>6737303.3</v>
      </c>
      <c r="G51" s="207">
        <f>F51/'- 13 -'!$J$52</f>
        <v>0.004789143395063986</v>
      </c>
      <c r="H51" s="206">
        <f>SUM(H49,H46,H39,H22,H21)</f>
        <v>10099510</v>
      </c>
      <c r="I51" s="207">
        <f>H51/'- 13 -'!$J$52</f>
        <v>0.007179133765565026</v>
      </c>
      <c r="J51" s="206">
        <f>SUM(J49,J46,J39,J22,J21)</f>
        <v>48357142.58</v>
      </c>
      <c r="K51" s="207">
        <f>J51/'- 13 -'!$J$52</f>
        <v>0.03437418202490222</v>
      </c>
    </row>
    <row r="52" ht="15.75" customHeight="1">
      <c r="A52" s="216" t="s">
        <v>548</v>
      </c>
    </row>
  </sheetData>
  <mergeCells count="1">
    <mergeCell ref="L27:L29"/>
  </mergeCells>
  <printOptions verticalCentered="1"/>
  <pageMargins left="0.7874015748031497" right="0" top="0.3937007874015748" bottom="0.3937007874015748" header="0" footer="0"/>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chanderson</cp:lastModifiedBy>
  <cp:lastPrinted>2005-07-18T20:21:52Z</cp:lastPrinted>
  <dcterms:created xsi:type="dcterms:W3CDTF">1999-01-19T20:49:35Z</dcterms:created>
  <dcterms:modified xsi:type="dcterms:W3CDTF">2006-10-19T18:26:30Z</dcterms:modified>
  <cp:category/>
  <cp:version/>
  <cp:contentType/>
  <cp:contentStatus/>
</cp:coreProperties>
</file>