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20550" windowHeight="4065" tabRatio="824" firstSheet="4" activeTab="12"/>
  </bookViews>
  <sheets>
    <sheet name="2.1 Tâche B" sheetId="1" r:id="rId1"/>
    <sheet name="2.2 Tâche" sheetId="2" r:id="rId2"/>
    <sheet name="2.2 Tableau d'amort 1" sheetId="3" r:id="rId3"/>
    <sheet name="2.2 Tableau d'amort 2" sheetId="4" r:id="rId4"/>
    <sheet name="2.2 Tableau d'amort 3" sheetId="5" r:id="rId5"/>
    <sheet name="3. Tâche A" sheetId="6" r:id="rId6"/>
    <sheet name="4. Tâche" sheetId="7" r:id="rId7"/>
    <sheet name="5. Tâche" sheetId="8" r:id="rId8"/>
    <sheet name="6.1 Tâche" sheetId="9" r:id="rId9"/>
    <sheet name="6.2 Tâche" sheetId="10" r:id="rId10"/>
    <sheet name="6.3 Tâche" sheetId="11" r:id="rId11"/>
    <sheet name="7. Tâche" sheetId="12" r:id="rId12"/>
    <sheet name="8. Tâche" sheetId="13" r:id="rId13"/>
  </sheets>
  <definedNames/>
  <calcPr fullCalcOnLoad="1"/>
</workbook>
</file>

<file path=xl/sharedStrings.xml><?xml version="1.0" encoding="utf-8"?>
<sst xmlns="http://schemas.openxmlformats.org/spreadsheetml/2006/main" count="349" uniqueCount="166">
  <si>
    <t>Un véhicule sous-compact</t>
  </si>
  <si>
    <t>Un véhicule compact</t>
  </si>
  <si>
    <t>Un camion</t>
  </si>
  <si>
    <t>Une fourgonnette</t>
  </si>
  <si>
    <t>Un véhicule électrique</t>
  </si>
  <si>
    <t>Un véhicule hybride</t>
  </si>
  <si>
    <t>Valeur de reprise</t>
  </si>
  <si>
    <t>Le coût total du prêt</t>
  </si>
  <si>
    <t>Le total payé</t>
  </si>
  <si>
    <t>Coût</t>
  </si>
  <si>
    <t>Mois</t>
  </si>
  <si>
    <t>Montant de dépréciation</t>
  </si>
  <si>
    <t>L'huile</t>
  </si>
  <si>
    <t>A</t>
  </si>
  <si>
    <t>B</t>
  </si>
  <si>
    <t>C</t>
  </si>
  <si>
    <t>D</t>
  </si>
  <si>
    <t>E</t>
  </si>
  <si>
    <t>F</t>
  </si>
  <si>
    <t>Situation A</t>
  </si>
  <si>
    <t>Situation B</t>
  </si>
  <si>
    <t>Situation C</t>
  </si>
  <si>
    <t>Situation D</t>
  </si>
  <si>
    <t>Situation E</t>
  </si>
  <si>
    <t>Situation F</t>
  </si>
  <si>
    <t>Situation G</t>
  </si>
  <si>
    <t>Situation H</t>
  </si>
  <si>
    <t>Un véhicule utilitaire sport (SUV)</t>
  </si>
  <si>
    <t>Le genre de véhicule</t>
  </si>
  <si>
    <t>Le prix de base</t>
  </si>
  <si>
    <t>Les options</t>
  </si>
  <si>
    <t>La taxe d'accise sur les climatiseurs</t>
  </si>
  <si>
    <t>L'écotaxe sur les pneus</t>
  </si>
  <si>
    <t>Le paiement mensuel</t>
  </si>
  <si>
    <t>La valeur résiduelle</t>
  </si>
  <si>
    <t>Les réponses possibles</t>
  </si>
  <si>
    <t>La propriété</t>
  </si>
  <si>
    <t>Le crédit-bail</t>
  </si>
  <si>
    <t>Un véhicule d'occasion</t>
  </si>
  <si>
    <t>Un véhicule neuf</t>
  </si>
  <si>
    <t>La location-achat</t>
  </si>
  <si>
    <t>Un véhicule utilitaire sport (SUV) d'un concessionnaire</t>
  </si>
  <si>
    <t>Le prix total</t>
  </si>
  <si>
    <t>Les taxes</t>
  </si>
  <si>
    <t>Le coût total</t>
  </si>
  <si>
    <t>Le montant du prêt</t>
  </si>
  <si>
    <t>La durée du prêt (ans)</t>
  </si>
  <si>
    <t>Le taux du prêt</t>
  </si>
  <si>
    <t>La durée (ans)</t>
  </si>
  <si>
    <t>Le total payé pour le contrat</t>
  </si>
  <si>
    <t>Le kilométrage additionnel</t>
  </si>
  <si>
    <t xml:space="preserve">Les frais additionnels </t>
  </si>
  <si>
    <t>Le total payé à la fin du 
contrat</t>
  </si>
  <si>
    <t>Le prix : argent comptant</t>
  </si>
  <si>
    <t xml:space="preserve">Le prix d'achat total </t>
  </si>
  <si>
    <t>Le total payé - le contrat et 
l'achat</t>
  </si>
  <si>
    <t>La comparaison</t>
  </si>
  <si>
    <t>Les calculs</t>
  </si>
  <si>
    <t>Le prix affiché</t>
  </si>
  <si>
    <t>La vente privée</t>
  </si>
  <si>
    <t>Le prix</t>
  </si>
  <si>
    <t>La valeur
comptable</t>
  </si>
  <si>
    <t>Les réparations
nécessaires</t>
  </si>
  <si>
    <t>Le certificat
d'inspection</t>
  </si>
  <si>
    <t>La recherche de
privilège</t>
  </si>
  <si>
    <t>Le total</t>
  </si>
  <si>
    <t>Le frais administratif initial</t>
  </si>
  <si>
    <t>Le total des paiements
hebdomadaires</t>
  </si>
  <si>
    <t>Le matériel</t>
  </si>
  <si>
    <t>Les heures</t>
  </si>
  <si>
    <t>La main-d'œuvre</t>
  </si>
  <si>
    <t>Le filtre</t>
  </si>
  <si>
    <t>Les essuie-glaces</t>
  </si>
  <si>
    <t>Les pneus</t>
  </si>
  <si>
    <t>Le tuyau d'échappement</t>
  </si>
  <si>
    <t>Les phares</t>
  </si>
  <si>
    <t>Le filtre à huile</t>
  </si>
  <si>
    <t>L'antigel</t>
  </si>
  <si>
    <t>Les courroies</t>
  </si>
  <si>
    <t>La dépréciation</t>
  </si>
  <si>
    <t>L'âge du véhicule</t>
  </si>
  <si>
    <t>Le coût d'achat</t>
  </si>
  <si>
    <t>Le taux de 
dépréciation</t>
  </si>
  <si>
    <t>Le montant de dépréciation</t>
  </si>
  <si>
    <t>La distance initiale</t>
  </si>
  <si>
    <t>La distance finale</t>
  </si>
  <si>
    <t>La distance parcourue</t>
  </si>
  <si>
    <t>Les litres utilisés</t>
  </si>
  <si>
    <t>La consommation de carburant</t>
  </si>
  <si>
    <t>Les litres utilisés en ville</t>
  </si>
  <si>
    <t>Les litres utilisés sur la route</t>
  </si>
  <si>
    <t>Le total des litres utilisés</t>
  </si>
  <si>
    <t>La distance maximale (km)</t>
  </si>
  <si>
    <t>Le coût</t>
  </si>
  <si>
    <t>L'acompte (paiement initial)</t>
  </si>
  <si>
    <t>Le montant du paiement mensuel envers l'intérêt</t>
  </si>
  <si>
    <t>Le montant du paiement mensuel envers le capital</t>
  </si>
  <si>
    <t>La valeur nette</t>
  </si>
  <si>
    <t>Le solde impayé</t>
  </si>
  <si>
    <t>km en ville</t>
  </si>
  <si>
    <t>km sur la route</t>
  </si>
  <si>
    <t>Fiche</t>
  </si>
  <si>
    <t xml:space="preserve">Le facteur qui est différent est </t>
  </si>
  <si>
    <t>G</t>
  </si>
  <si>
    <t>H</t>
  </si>
  <si>
    <t>La franchise</t>
  </si>
  <si>
    <t>L'année</t>
  </si>
  <si>
    <t>L’assurance de responsabilité civile de base</t>
  </si>
  <si>
    <t>Le code d’usage de base aux fins d’assurance</t>
  </si>
  <si>
    <t>Le rabais d’Autopac</t>
  </si>
  <si>
    <t>Le code postal</t>
  </si>
  <si>
    <t>Montant payé par tranche de 1000 $</t>
  </si>
  <si>
    <t>Les frais d'acquisition</t>
  </si>
  <si>
    <t>Les coûts additionnels $/km</t>
  </si>
  <si>
    <t>Le frais administratif à la fin du contrat</t>
  </si>
  <si>
    <t>TPS</t>
  </si>
  <si>
    <t>TVP</t>
  </si>
  <si>
    <t>Un véhicule
sous-compact</t>
  </si>
  <si>
    <t>Un véhicule
compact</t>
  </si>
  <si>
    <t>Un véhicule
utilitaire sport
(SUV)</t>
  </si>
  <si>
    <t>Une
fourgonnette</t>
  </si>
  <si>
    <t>Un véhicule
électrique</t>
  </si>
  <si>
    <t>Un véhicule
hybride</t>
  </si>
  <si>
    <t>La grandeur du réservoir de carburant (Litres)</t>
  </si>
  <si>
    <t>La consommation de carburant (L/100 km)</t>
  </si>
  <si>
    <t>Un véhicule sous-compact/compact</t>
  </si>
  <si>
    <t>Les frais d'intérêt</t>
  </si>
  <si>
    <t>L'acompte          (paiement initial)</t>
  </si>
  <si>
    <t>L'acompte                                         (paiement initial)</t>
  </si>
  <si>
    <t>Le kilométrage maximal par année</t>
  </si>
  <si>
    <t>Le montant additionnel
comparé à l'achat au comptant</t>
  </si>
  <si>
    <t>Le montant additionnel
comparé à un prêt de 3 ans à 3 %</t>
  </si>
  <si>
    <t>Le paiement mensuel total</t>
  </si>
  <si>
    <t>Le total des paiements mensuels</t>
  </si>
  <si>
    <t>Le coût additionnel des kilomètres</t>
  </si>
  <si>
    <t>La vente auprès d'un concessionnaire</t>
  </si>
  <si>
    <t>Les paiements toutes les deux semaines</t>
  </si>
  <si>
    <t>Une camion</t>
  </si>
  <si>
    <r>
      <t>Annexe M, Le solutionnaire, Mathématiques au quotidien, 12</t>
    </r>
    <r>
      <rPr>
        <vertAlign val="superscript"/>
        <sz val="10"/>
        <color indexed="8"/>
        <rFont val="Calibri"/>
        <family val="2"/>
      </rPr>
      <t>e</t>
    </r>
    <r>
      <rPr>
        <sz val="10"/>
        <color indexed="8"/>
        <rFont val="Calibri"/>
        <family val="2"/>
      </rPr>
      <t xml:space="preserve"> année</t>
    </r>
  </si>
  <si>
    <t>Les frais de transport/ préparation</t>
  </si>
  <si>
    <t>La TVP</t>
  </si>
  <si>
    <t>La TPS</t>
  </si>
  <si>
    <t>La différence</t>
  </si>
  <si>
    <t>Question 1</t>
  </si>
  <si>
    <t>Question 2</t>
  </si>
  <si>
    <t>Question 3</t>
  </si>
  <si>
    <t>Question 4</t>
  </si>
  <si>
    <t>Question 5</t>
  </si>
  <si>
    <t>Le sous-total</t>
  </si>
  <si>
    <t>Le filtre à air</t>
  </si>
  <si>
    <t>Un silencieux</t>
  </si>
  <si>
    <t xml:space="preserve">La dépréciation totale </t>
  </si>
  <si>
    <t>La dépréciation totale</t>
  </si>
  <si>
    <t xml:space="preserve"> (en $) </t>
  </si>
  <si>
    <t>(en %)</t>
  </si>
  <si>
    <t>Question 1 A</t>
  </si>
  <si>
    <t>Question 1 B</t>
  </si>
  <si>
    <t>Question 2 A</t>
  </si>
  <si>
    <t>Question 1 C</t>
  </si>
  <si>
    <t>Question 2 B</t>
  </si>
  <si>
    <t>Question 3 A</t>
  </si>
  <si>
    <t>En ville</t>
  </si>
  <si>
    <t>Sur la route</t>
  </si>
  <si>
    <t>La perte de jouissance du véhicule</t>
  </si>
  <si>
    <t>La protection pour véhicule neuf</t>
  </si>
  <si>
    <t>Un véhicule utilitaire sport (SUV)/une fourgonnette</t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</si>
</sst>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09]mmmm\-dd\-yy"/>
    <numFmt numFmtId="181" formatCode="[$-409]h:mm:ss\ AM/PM"/>
    <numFmt numFmtId="182" formatCode="#,##0.00\ [$$-C0C]_ ;\-#,##0.00\ [$$-C0C]\ "/>
    <numFmt numFmtId="183" formatCode="&quot;$&quot;#,##0.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%"/>
    <numFmt numFmtId="189" formatCode="#,##0.00\ [$$-C0C]"/>
    <numFmt numFmtId="190" formatCode="_ * #,##0.00_ \ [$$-C0C]_ ;_ * \-#,##0.00\ \ [$$-C0C]_ ;_ * &quot;-&quot;??_ \ [$$-C0C]_ ;_ @_ "/>
    <numFmt numFmtId="191" formatCode="0.0"/>
    <numFmt numFmtId="192" formatCode="_ * #,##0.00_)\ [$$-C0C]_ ;_ * \(#,##0.00\)\ [$$-C0C]_ ;_ * &quot;-&quot;??_)\ [$$-C0C]_ ;_ @_ "/>
    <numFmt numFmtId="193" formatCode="#,##0.0"/>
    <numFmt numFmtId="194" formatCode="#,##0.000"/>
    <numFmt numFmtId="195" formatCode="#,##0.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_-&quot;$&quot;* #,##0.000_-;\-&quot;$&quot;* #,##0.000_-;_-&quot;$&quot;* &quot;-&quot;??_-;_-@_-"/>
    <numFmt numFmtId="202" formatCode="&quot;Vrai&quot;;&quot;Vrai&quot;;&quot;Faux&quot;"/>
    <numFmt numFmtId="203" formatCode="&quot;Actif&quot;;&quot;Actif&quot;;&quot;Inactif&quot;"/>
    <numFmt numFmtId="204" formatCode="_-* #,##0.00\ [$€-40C]_-;\-* #,##0.00\ [$€-40C]_-;_-* &quot;-&quot;??\ [$€-40C]_-;_-@_-"/>
    <numFmt numFmtId="205" formatCode="[$-C0C]d\ mmmm\ yyyy"/>
    <numFmt numFmtId="206" formatCode="#,##0.00\ &quot;$&quot;"/>
    <numFmt numFmtId="207" formatCode="_ * #,##0.000_)\ [$$-C0C]_ ;_ * \(#,##0.000\)\ [$$-C0C]_ ;_ * &quot;-&quot;??_)\ [$$-C0C]_ ;_ @_ "/>
    <numFmt numFmtId="208" formatCode="_ * #,##0.0_)\ [$$-C0C]_ ;_ * \(#,##0.0\)\ [$$-C0C]_ ;_ * &quot;-&quot;??_)\ [$$-C0C]_ ;_ @_ "/>
    <numFmt numFmtId="209" formatCode="#,##0.0\ &quot;$&quot;_);[Red]\(#,##0.0\ &quot;$&quot;\)"/>
    <numFmt numFmtId="210" formatCode="_ * #,##0_)\ [$$-C0C]_ ;_ * \(#,##0\)\ [$$-C0C]_ ;_ * &quot;-&quot;??_)\ [$$-C0C]_ ;_ @_ "/>
    <numFmt numFmtId="211" formatCode="0.00000000"/>
    <numFmt numFmtId="212" formatCode="_-&quot;$&quot;* #,##0.0_-;\-&quot;$&quot;* #,##0.0_-;_-&quot;$&quot;* &quot;-&quot;??_-;_-@_-"/>
    <numFmt numFmtId="213" formatCode="_-&quot;$&quot;* #,##0_-;\-&quot;$&quot;* #,##0_-;_-&quot;$&quot;* &quot;-&quot;??_-;_-@_-"/>
    <numFmt numFmtId="214" formatCode="_-* #,##0.0_-;\-* #,##0.0_-;_-* &quot;-&quot;??_-;_-@_-"/>
    <numFmt numFmtId="215" formatCode="_-* #,##0_-;\-* #,##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63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33333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rgb="FF000000"/>
      <name val="Arial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7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wrapText="1"/>
    </xf>
    <xf numFmtId="192" fontId="48" fillId="0" borderId="0" xfId="48" applyNumberFormat="1" applyFont="1" applyAlignment="1">
      <alignment/>
    </xf>
    <xf numFmtId="192" fontId="48" fillId="0" borderId="0" xfId="0" applyNumberFormat="1" applyFont="1" applyAlignment="1">
      <alignment/>
    </xf>
    <xf numFmtId="9" fontId="48" fillId="0" borderId="0" xfId="52" applyFont="1" applyAlignment="1">
      <alignment/>
    </xf>
    <xf numFmtId="1" fontId="48" fillId="0" borderId="0" xfId="0" applyNumberFormat="1" applyFont="1" applyAlignment="1">
      <alignment/>
    </xf>
    <xf numFmtId="0" fontId="48" fillId="33" borderId="0" xfId="0" applyFont="1" applyFill="1" applyAlignment="1">
      <alignment/>
    </xf>
    <xf numFmtId="192" fontId="48" fillId="33" borderId="0" xfId="0" applyNumberFormat="1" applyFont="1" applyFill="1" applyAlignment="1">
      <alignment/>
    </xf>
    <xf numFmtId="192" fontId="48" fillId="0" borderId="10" xfId="0" applyNumberFormat="1" applyFont="1" applyBorder="1" applyAlignment="1">
      <alignment horizontal="right" vertical="center" wrapText="1"/>
    </xf>
    <xf numFmtId="192" fontId="48" fillId="0" borderId="10" xfId="0" applyNumberFormat="1" applyFont="1" applyBorder="1" applyAlignment="1">
      <alignment horizontal="right" vertical="center"/>
    </xf>
    <xf numFmtId="192" fontId="50" fillId="0" borderId="10" xfId="48" applyNumberFormat="1" applyFont="1" applyBorder="1" applyAlignment="1">
      <alignment horizontal="right" vertical="center" wrapText="1"/>
    </xf>
    <xf numFmtId="192" fontId="50" fillId="0" borderId="10" xfId="0" applyNumberFormat="1" applyFont="1" applyBorder="1" applyAlignment="1">
      <alignment horizontal="right" vertical="center" wrapText="1"/>
    </xf>
    <xf numFmtId="0" fontId="51" fillId="0" borderId="0" xfId="0" applyFont="1" applyAlignment="1">
      <alignment/>
    </xf>
    <xf numFmtId="192" fontId="51" fillId="0" borderId="0" xfId="0" applyNumberFormat="1" applyFont="1" applyAlignment="1">
      <alignment/>
    </xf>
    <xf numFmtId="0" fontId="51" fillId="0" borderId="0" xfId="0" applyFont="1" applyAlignment="1">
      <alignment wrapText="1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167" fontId="51" fillId="0" borderId="0" xfId="0" applyNumberFormat="1" applyFont="1" applyAlignment="1">
      <alignment/>
    </xf>
    <xf numFmtId="0" fontId="51" fillId="34" borderId="0" xfId="0" applyFont="1" applyFill="1" applyAlignment="1">
      <alignment/>
    </xf>
    <xf numFmtId="0" fontId="51" fillId="0" borderId="0" xfId="0" applyNumberFormat="1" applyFont="1" applyAlignment="1">
      <alignment/>
    </xf>
    <xf numFmtId="192" fontId="51" fillId="34" borderId="0" xfId="0" applyNumberFormat="1" applyFont="1" applyFill="1" applyAlignment="1">
      <alignment/>
    </xf>
    <xf numFmtId="0" fontId="51" fillId="34" borderId="0" xfId="0" applyFont="1" applyFill="1" applyAlignment="1">
      <alignment wrapText="1"/>
    </xf>
    <xf numFmtId="0" fontId="51" fillId="0" borderId="0" xfId="0" applyFont="1" applyFill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9" fontId="46" fillId="0" borderId="0" xfId="0" applyNumberFormat="1" applyFont="1" applyAlignment="1">
      <alignment horizontal="right"/>
    </xf>
    <xf numFmtId="0" fontId="46" fillId="0" borderId="0" xfId="0" applyFont="1" applyAlignment="1">
      <alignment/>
    </xf>
    <xf numFmtId="16" fontId="46" fillId="0" borderId="0" xfId="0" applyNumberFormat="1" applyFont="1" applyAlignment="1">
      <alignment/>
    </xf>
    <xf numFmtId="170" fontId="46" fillId="0" borderId="0" xfId="48" applyNumberFormat="1" applyFont="1" applyAlignment="1">
      <alignment/>
    </xf>
    <xf numFmtId="170" fontId="0" fillId="0" borderId="0" xfId="0" applyNumberFormat="1" applyAlignment="1">
      <alignment/>
    </xf>
    <xf numFmtId="0" fontId="0" fillId="0" borderId="0" xfId="0" applyFont="1" applyAlignment="1">
      <alignment/>
    </xf>
    <xf numFmtId="170" fontId="46" fillId="0" borderId="0" xfId="48" applyNumberFormat="1" applyFont="1" applyFill="1" applyAlignment="1">
      <alignment/>
    </xf>
    <xf numFmtId="0" fontId="49" fillId="0" borderId="11" xfId="0" applyFont="1" applyBorder="1" applyAlignment="1">
      <alignment horizontal="center" vertical="center" wrapText="1"/>
    </xf>
    <xf numFmtId="44" fontId="51" fillId="0" borderId="0" xfId="48" applyNumberFormat="1" applyFont="1" applyAlignment="1">
      <alignment/>
    </xf>
    <xf numFmtId="170" fontId="46" fillId="0" borderId="0" xfId="0" applyNumberFormat="1" applyFont="1" applyAlignment="1">
      <alignment horizontal="center"/>
    </xf>
    <xf numFmtId="192" fontId="46" fillId="0" borderId="0" xfId="48" applyNumberFormat="1" applyFont="1" applyAlignment="1">
      <alignment/>
    </xf>
    <xf numFmtId="0" fontId="46" fillId="0" borderId="0" xfId="0" applyNumberFormat="1" applyFont="1" applyAlignment="1">
      <alignment horizontal="right"/>
    </xf>
    <xf numFmtId="0" fontId="49" fillId="0" borderId="12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192" fontId="48" fillId="0" borderId="0" xfId="0" applyNumberFormat="1" applyFont="1" applyAlignment="1">
      <alignment horizontal="right" vertical="center"/>
    </xf>
    <xf numFmtId="192" fontId="48" fillId="0" borderId="0" xfId="0" applyNumberFormat="1" applyFont="1" applyAlignment="1">
      <alignment horizontal="center" vertical="center"/>
    </xf>
    <xf numFmtId="192" fontId="0" fillId="0" borderId="0" xfId="0" applyNumberFormat="1" applyAlignment="1">
      <alignment/>
    </xf>
    <xf numFmtId="0" fontId="0" fillId="0" borderId="0" xfId="0" applyAlignment="1">
      <alignment wrapText="1"/>
    </xf>
    <xf numFmtId="10" fontId="0" fillId="0" borderId="0" xfId="52" applyNumberFormat="1" applyFont="1" applyAlignment="1">
      <alignment/>
    </xf>
    <xf numFmtId="0" fontId="0" fillId="0" borderId="0" xfId="0" applyAlignment="1">
      <alignment horizontal="right" vertical="center"/>
    </xf>
    <xf numFmtId="0" fontId="46" fillId="0" borderId="0" xfId="0" applyFont="1" applyAlignment="1">
      <alignment horizontal="right" vertical="center"/>
    </xf>
    <xf numFmtId="192" fontId="46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0" xfId="52" applyFont="1" applyAlignment="1">
      <alignment horizontal="center" vertical="center"/>
    </xf>
    <xf numFmtId="0" fontId="48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8" fillId="0" borderId="11" xfId="0" applyFont="1" applyBorder="1" applyAlignment="1">
      <alignment/>
    </xf>
    <xf numFmtId="0" fontId="49" fillId="0" borderId="11" xfId="0" applyFont="1" applyBorder="1" applyAlignment="1">
      <alignment horizontal="center" vertical="center"/>
    </xf>
    <xf numFmtId="167" fontId="49" fillId="0" borderId="14" xfId="0" applyNumberFormat="1" applyFont="1" applyBorder="1" applyAlignment="1">
      <alignment horizontal="right" vertical="top" wrapText="1"/>
    </xf>
    <xf numFmtId="0" fontId="48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0" fontId="48" fillId="0" borderId="15" xfId="0" applyFont="1" applyBorder="1" applyAlignment="1">
      <alignment horizontal="center" wrapText="1"/>
    </xf>
    <xf numFmtId="0" fontId="49" fillId="0" borderId="15" xfId="0" applyFont="1" applyBorder="1" applyAlignment="1">
      <alignment horizontal="right" vertical="center"/>
    </xf>
    <xf numFmtId="0" fontId="49" fillId="0" borderId="10" xfId="0" applyFont="1" applyBorder="1" applyAlignment="1">
      <alignment horizontal="right" vertical="center"/>
    </xf>
    <xf numFmtId="2" fontId="49" fillId="0" borderId="10" xfId="0" applyNumberFormat="1" applyFont="1" applyBorder="1" applyAlignment="1">
      <alignment horizontal="right" vertical="center"/>
    </xf>
    <xf numFmtId="0" fontId="48" fillId="0" borderId="13" xfId="0" applyFont="1" applyBorder="1" applyAlignment="1">
      <alignment horizontal="center" vertical="center" wrapText="1"/>
    </xf>
    <xf numFmtId="192" fontId="51" fillId="35" borderId="0" xfId="0" applyNumberFormat="1" applyFont="1" applyFill="1" applyAlignment="1">
      <alignment/>
    </xf>
    <xf numFmtId="0" fontId="51" fillId="35" borderId="0" xfId="0" applyFont="1" applyFill="1" applyAlignment="1">
      <alignment wrapText="1"/>
    </xf>
    <xf numFmtId="0" fontId="51" fillId="0" borderId="0" xfId="0" applyFont="1" applyAlignment="1">
      <alignment horizontal="center"/>
    </xf>
    <xf numFmtId="192" fontId="51" fillId="0" borderId="0" xfId="48" applyNumberFormat="1" applyFont="1" applyAlignment="1">
      <alignment/>
    </xf>
    <xf numFmtId="192" fontId="51" fillId="0" borderId="0" xfId="0" applyNumberFormat="1" applyFont="1" applyFill="1" applyAlignment="1">
      <alignment/>
    </xf>
    <xf numFmtId="192" fontId="48" fillId="35" borderId="0" xfId="0" applyNumberFormat="1" applyFont="1" applyFill="1" applyAlignment="1">
      <alignment horizontal="right" vertical="center"/>
    </xf>
    <xf numFmtId="214" fontId="48" fillId="0" borderId="11" xfId="46" applyNumberFormat="1" applyFont="1" applyBorder="1" applyAlignment="1">
      <alignment horizontal="center" vertical="top" wrapText="1"/>
    </xf>
    <xf numFmtId="214" fontId="48" fillId="0" borderId="12" xfId="46" applyNumberFormat="1" applyFont="1" applyBorder="1" applyAlignment="1">
      <alignment horizontal="center" vertical="top" wrapText="1"/>
    </xf>
    <xf numFmtId="214" fontId="48" fillId="0" borderId="13" xfId="46" applyNumberFormat="1" applyFont="1" applyBorder="1" applyAlignment="1">
      <alignment horizontal="center" vertical="top" wrapText="1"/>
    </xf>
    <xf numFmtId="214" fontId="48" fillId="0" borderId="14" xfId="46" applyNumberFormat="1" applyFont="1" applyBorder="1" applyAlignment="1">
      <alignment horizontal="center" vertical="top" wrapText="1"/>
    </xf>
    <xf numFmtId="2" fontId="49" fillId="0" borderId="14" xfId="0" applyNumberFormat="1" applyFont="1" applyBorder="1" applyAlignment="1">
      <alignment horizontal="right" vertical="center" wrapText="1"/>
    </xf>
    <xf numFmtId="0" fontId="49" fillId="0" borderId="14" xfId="0" applyFont="1" applyBorder="1" applyAlignment="1">
      <alignment horizontal="right" vertical="center" wrapText="1"/>
    </xf>
    <xf numFmtId="191" fontId="49" fillId="0" borderId="14" xfId="0" applyNumberFormat="1" applyFont="1" applyBorder="1" applyAlignment="1">
      <alignment horizontal="right" vertical="center" wrapText="1"/>
    </xf>
    <xf numFmtId="0" fontId="48" fillId="0" borderId="11" xfId="0" applyFont="1" applyBorder="1" applyAlignment="1">
      <alignment horizontal="right" vertical="top" wrapText="1"/>
    </xf>
    <xf numFmtId="0" fontId="53" fillId="0" borderId="13" xfId="0" applyFont="1" applyBorder="1" applyAlignment="1">
      <alignment horizontal="right" vertical="top" wrapText="1"/>
    </xf>
    <xf numFmtId="0" fontId="48" fillId="0" borderId="13" xfId="0" applyFont="1" applyBorder="1" applyAlignment="1">
      <alignment horizontal="right" vertical="top" wrapText="1"/>
    </xf>
    <xf numFmtId="207" fontId="48" fillId="0" borderId="0" xfId="48" applyNumberFormat="1" applyFont="1" applyAlignment="1">
      <alignment/>
    </xf>
    <xf numFmtId="0" fontId="46" fillId="0" borderId="0" xfId="0" applyFont="1" applyAlignment="1">
      <alignment horizontal="center" vertical="center"/>
    </xf>
    <xf numFmtId="192" fontId="48" fillId="0" borderId="10" xfId="0" applyNumberFormat="1" applyFont="1" applyBorder="1" applyAlignment="1">
      <alignment vertical="center" wrapText="1"/>
    </xf>
    <xf numFmtId="192" fontId="48" fillId="0" borderId="10" xfId="0" applyNumberFormat="1" applyFont="1" applyBorder="1" applyAlignment="1">
      <alignment vertical="center"/>
    </xf>
    <xf numFmtId="9" fontId="48" fillId="0" borderId="10" xfId="52" applyFont="1" applyBorder="1" applyAlignment="1">
      <alignment horizontal="right" vertical="center" wrapText="1"/>
    </xf>
    <xf numFmtId="9" fontId="48" fillId="0" borderId="10" xfId="0" applyNumberFormat="1" applyFont="1" applyBorder="1" applyAlignment="1">
      <alignment horizontal="right" vertical="center"/>
    </xf>
    <xf numFmtId="0" fontId="51" fillId="0" borderId="10" xfId="0" applyFont="1" applyBorder="1" applyAlignment="1">
      <alignment/>
    </xf>
    <xf numFmtId="215" fontId="48" fillId="0" borderId="10" xfId="46" applyNumberFormat="1" applyFont="1" applyBorder="1" applyAlignment="1">
      <alignment vertical="center" wrapText="1"/>
    </xf>
    <xf numFmtId="215" fontId="48" fillId="0" borderId="10" xfId="46" applyNumberFormat="1" applyFont="1" applyBorder="1" applyAlignment="1">
      <alignment vertical="center"/>
    </xf>
    <xf numFmtId="192" fontId="48" fillId="0" borderId="0" xfId="0" applyNumberFormat="1" applyFont="1" applyBorder="1" applyAlignment="1">
      <alignment horizontal="right" vertical="center" wrapText="1"/>
    </xf>
    <xf numFmtId="192" fontId="48" fillId="0" borderId="0" xfId="0" applyNumberFormat="1" applyFont="1" applyBorder="1" applyAlignment="1">
      <alignment horizontal="right" vertical="center"/>
    </xf>
    <xf numFmtId="0" fontId="48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vertical="top" wrapText="1"/>
    </xf>
    <xf numFmtId="0" fontId="48" fillId="35" borderId="0" xfId="0" applyFont="1" applyFill="1" applyAlignment="1">
      <alignment horizontal="left" vertical="center" wrapText="1"/>
    </xf>
    <xf numFmtId="0" fontId="49" fillId="0" borderId="0" xfId="0" applyFont="1" applyAlignment="1">
      <alignment wrapText="1"/>
    </xf>
    <xf numFmtId="0" fontId="48" fillId="33" borderId="0" xfId="0" applyFont="1" applyFill="1" applyAlignment="1">
      <alignment wrapText="1"/>
    </xf>
    <xf numFmtId="0" fontId="48" fillId="34" borderId="0" xfId="0" applyFont="1" applyFill="1" applyAlignment="1">
      <alignment wrapText="1"/>
    </xf>
    <xf numFmtId="1" fontId="48" fillId="34" borderId="0" xfId="0" applyNumberFormat="1" applyFont="1" applyFill="1" applyAlignment="1">
      <alignment/>
    </xf>
    <xf numFmtId="9" fontId="48" fillId="34" borderId="0" xfId="52" applyFont="1" applyFill="1" applyAlignment="1">
      <alignment/>
    </xf>
    <xf numFmtId="192" fontId="48" fillId="34" borderId="0" xfId="0" applyNumberFormat="1" applyFont="1" applyFill="1" applyAlignment="1">
      <alignment/>
    </xf>
    <xf numFmtId="0" fontId="51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70" fontId="46" fillId="0" borderId="0" xfId="48" applyNumberFormat="1" applyFont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16" fontId="46" fillId="0" borderId="0" xfId="0" applyNumberFormat="1" applyFont="1" applyAlignment="1">
      <alignment horizontal="center" vertical="center"/>
    </xf>
    <xf numFmtId="0" fontId="46" fillId="34" borderId="0" xfId="0" applyFont="1" applyFill="1" applyAlignment="1">
      <alignment horizontal="center" vertical="center" wrapText="1"/>
    </xf>
    <xf numFmtId="16" fontId="46" fillId="34" borderId="0" xfId="0" applyNumberFormat="1" applyFont="1" applyFill="1" applyAlignment="1">
      <alignment horizontal="center" vertical="center"/>
    </xf>
    <xf numFmtId="170" fontId="46" fillId="34" borderId="0" xfId="48" applyNumberFormat="1" applyFont="1" applyFill="1" applyAlignment="1">
      <alignment/>
    </xf>
    <xf numFmtId="0" fontId="0" fillId="34" borderId="0" xfId="0" applyFill="1" applyAlignment="1">
      <alignment horizontal="center" vertical="center"/>
    </xf>
    <xf numFmtId="170" fontId="46" fillId="34" borderId="0" xfId="48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192" fontId="46" fillId="0" borderId="0" xfId="48" applyNumberFormat="1" applyFont="1" applyAlignment="1">
      <alignment horizontal="center" vertical="center"/>
    </xf>
    <xf numFmtId="0" fontId="46" fillId="0" borderId="0" xfId="0" applyNumberFormat="1" applyFont="1" applyAlignment="1">
      <alignment horizontal="center" vertical="center"/>
    </xf>
    <xf numFmtId="9" fontId="46" fillId="0" borderId="0" xfId="0" applyNumberFormat="1" applyFont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0" fontId="46" fillId="0" borderId="0" xfId="48" applyNumberFormat="1" applyFont="1" applyFill="1" applyAlignment="1">
      <alignment horizontal="center" vertical="center"/>
    </xf>
    <xf numFmtId="192" fontId="51" fillId="0" borderId="0" xfId="0" applyNumberFormat="1" applyFont="1" applyAlignment="1">
      <alignment horizontal="center" vertical="center"/>
    </xf>
    <xf numFmtId="192" fontId="51" fillId="0" borderId="0" xfId="48" applyNumberFormat="1" applyFont="1" applyAlignment="1">
      <alignment horizontal="center" vertical="center"/>
    </xf>
    <xf numFmtId="170" fontId="46" fillId="0" borderId="0" xfId="0" applyNumberFormat="1" applyFont="1" applyAlignment="1">
      <alignment horizontal="center" vertical="center"/>
    </xf>
    <xf numFmtId="170" fontId="46" fillId="0" borderId="0" xfId="0" applyNumberFormat="1" applyFont="1" applyAlignment="1">
      <alignment horizontal="center" vertical="center" wrapText="1"/>
    </xf>
    <xf numFmtId="0" fontId="46" fillId="34" borderId="0" xfId="0" applyFont="1" applyFill="1" applyAlignment="1">
      <alignment/>
    </xf>
    <xf numFmtId="0" fontId="0" fillId="34" borderId="0" xfId="0" applyFill="1" applyAlignment="1">
      <alignment/>
    </xf>
    <xf numFmtId="16" fontId="46" fillId="34" borderId="0" xfId="0" applyNumberFormat="1" applyFont="1" applyFill="1" applyAlignment="1">
      <alignment horizontal="center" vertical="center" wrapText="1"/>
    </xf>
    <xf numFmtId="170" fontId="46" fillId="0" borderId="0" xfId="48" applyNumberFormat="1" applyFont="1" applyAlignment="1">
      <alignment horizontal="center" vertical="center" wrapText="1"/>
    </xf>
    <xf numFmtId="170" fontId="46" fillId="34" borderId="0" xfId="48" applyNumberFormat="1" applyFont="1" applyFill="1" applyAlignment="1">
      <alignment horizontal="center" vertical="center" wrapText="1"/>
    </xf>
    <xf numFmtId="170" fontId="0" fillId="0" borderId="0" xfId="0" applyNumberFormat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192" fontId="0" fillId="34" borderId="0" xfId="0" applyNumberFormat="1" applyFill="1" applyAlignment="1">
      <alignment/>
    </xf>
    <xf numFmtId="10" fontId="0" fillId="34" borderId="0" xfId="52" applyNumberFormat="1" applyFont="1" applyFill="1" applyAlignment="1">
      <alignment/>
    </xf>
    <xf numFmtId="0" fontId="48" fillId="34" borderId="10" xfId="0" applyFont="1" applyFill="1" applyBorder="1" applyAlignment="1">
      <alignment horizontal="center" vertical="center"/>
    </xf>
    <xf numFmtId="0" fontId="48" fillId="34" borderId="0" xfId="0" applyFont="1" applyFill="1" applyAlignment="1">
      <alignment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4" fillId="34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49" fillId="34" borderId="0" xfId="0" applyFont="1" applyFill="1" applyAlignment="1">
      <alignment horizontal="center"/>
    </xf>
    <xf numFmtId="0" fontId="49" fillId="34" borderId="0" xfId="0" applyFont="1" applyFill="1" applyAlignment="1">
      <alignment/>
    </xf>
    <xf numFmtId="192" fontId="49" fillId="34" borderId="0" xfId="0" applyNumberFormat="1" applyFont="1" applyFill="1" applyAlignment="1">
      <alignment/>
    </xf>
    <xf numFmtId="0" fontId="2" fillId="35" borderId="0" xfId="0" applyFont="1" applyFill="1" applyAlignment="1">
      <alignment horizontal="right" vertical="center"/>
    </xf>
    <xf numFmtId="0" fontId="51" fillId="35" borderId="0" xfId="0" applyFont="1" applyFill="1" applyAlignment="1">
      <alignment horizontal="right" vertical="center"/>
    </xf>
    <xf numFmtId="167" fontId="51" fillId="35" borderId="0" xfId="0" applyNumberFormat="1" applyFont="1" applyFill="1" applyAlignment="1">
      <alignment/>
    </xf>
    <xf numFmtId="0" fontId="51" fillId="35" borderId="0" xfId="0" applyFont="1" applyFill="1" applyAlignment="1">
      <alignment horizontal="left" vertical="center"/>
    </xf>
    <xf numFmtId="0" fontId="48" fillId="36" borderId="0" xfId="0" applyFont="1" applyFill="1" applyAlignment="1">
      <alignment horizontal="center" vertical="center"/>
    </xf>
    <xf numFmtId="9" fontId="0" fillId="36" borderId="0" xfId="0" applyNumberFormat="1" applyFill="1" applyAlignment="1">
      <alignment/>
    </xf>
    <xf numFmtId="0" fontId="46" fillId="36" borderId="0" xfId="0" applyFont="1" applyFill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9" fillId="0" borderId="16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167" fontId="2" fillId="35" borderId="0" xfId="0" applyNumberFormat="1" applyFont="1" applyFill="1" applyAlignment="1">
      <alignment vertical="center"/>
    </xf>
    <xf numFmtId="0" fontId="0" fillId="0" borderId="0" xfId="0" applyAlignment="1">
      <alignment horizontal="right"/>
    </xf>
    <xf numFmtId="192" fontId="0" fillId="0" borderId="0" xfId="0" applyNumberFormat="1" applyAlignment="1">
      <alignment/>
    </xf>
    <xf numFmtId="0" fontId="0" fillId="0" borderId="0" xfId="0" applyAlignment="1">
      <alignment/>
    </xf>
    <xf numFmtId="0" fontId="46" fillId="3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9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Fill="1" applyAlignment="1">
      <alignment horizontal="right" wrapText="1"/>
    </xf>
    <xf numFmtId="0" fontId="0" fillId="34" borderId="0" xfId="0" applyFill="1" applyAlignment="1">
      <alignment horizontal="center" wrapText="1"/>
    </xf>
    <xf numFmtId="0" fontId="0" fillId="34" borderId="0" xfId="0" applyFill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5" sqref="A5:H16"/>
    </sheetView>
  </sheetViews>
  <sheetFormatPr defaultColWidth="11.421875" defaultRowHeight="15"/>
  <cols>
    <col min="1" max="1" width="21.00390625" style="1" customWidth="1"/>
    <col min="2" max="8" width="22.140625" style="1" customWidth="1"/>
    <col min="9" max="16384" width="11.421875" style="1" customWidth="1"/>
  </cols>
  <sheetData>
    <row r="1" spans="1:2" ht="15">
      <c r="A1" s="1" t="s">
        <v>6</v>
      </c>
      <c r="B1" s="8">
        <v>3500</v>
      </c>
    </row>
    <row r="5" spans="1:9" s="7" customFormat="1" ht="30.75" customHeight="1">
      <c r="A5" s="138" t="s">
        <v>28</v>
      </c>
      <c r="B5" s="134" t="s">
        <v>0</v>
      </c>
      <c r="C5" s="134" t="s">
        <v>1</v>
      </c>
      <c r="D5" s="134" t="s">
        <v>27</v>
      </c>
      <c r="E5" s="134" t="s">
        <v>2</v>
      </c>
      <c r="F5" s="134" t="s">
        <v>3</v>
      </c>
      <c r="G5" s="134" t="s">
        <v>4</v>
      </c>
      <c r="H5" s="134" t="s">
        <v>5</v>
      </c>
      <c r="I5" s="6"/>
    </row>
    <row r="7" spans="1:8" ht="15">
      <c r="A7" s="4" t="s">
        <v>29</v>
      </c>
      <c r="B7" s="14">
        <v>18635</v>
      </c>
      <c r="C7" s="14">
        <v>26745</v>
      </c>
      <c r="D7" s="14">
        <v>40490</v>
      </c>
      <c r="E7" s="14">
        <v>28949</v>
      </c>
      <c r="F7" s="15">
        <v>26140</v>
      </c>
      <c r="G7" s="15">
        <v>35145</v>
      </c>
      <c r="H7" s="15">
        <v>27480</v>
      </c>
    </row>
    <row r="8" spans="1:8" ht="15">
      <c r="A8" s="4" t="s">
        <v>30</v>
      </c>
      <c r="B8" s="16">
        <v>2255</v>
      </c>
      <c r="C8" s="16">
        <v>1875</v>
      </c>
      <c r="D8" s="16">
        <v>2750</v>
      </c>
      <c r="E8" s="16">
        <v>895</v>
      </c>
      <c r="F8" s="15">
        <v>1450</v>
      </c>
      <c r="G8" s="15">
        <v>850</v>
      </c>
      <c r="H8" s="15">
        <v>1215</v>
      </c>
    </row>
    <row r="9" spans="1:8" ht="45">
      <c r="A9" s="4" t="s">
        <v>139</v>
      </c>
      <c r="B9" s="16">
        <v>1675</v>
      </c>
      <c r="C9" s="16">
        <v>1715</v>
      </c>
      <c r="D9" s="16">
        <v>1895</v>
      </c>
      <c r="E9" s="16">
        <v>1800</v>
      </c>
      <c r="F9" s="15">
        <v>1895</v>
      </c>
      <c r="G9" s="15">
        <v>1785</v>
      </c>
      <c r="H9" s="15">
        <v>1717</v>
      </c>
    </row>
    <row r="10" spans="1:8" ht="30">
      <c r="A10" s="4" t="s">
        <v>31</v>
      </c>
      <c r="B10" s="16">
        <v>100</v>
      </c>
      <c r="C10" s="16">
        <v>100</v>
      </c>
      <c r="D10" s="16">
        <v>100</v>
      </c>
      <c r="E10" s="16">
        <v>100</v>
      </c>
      <c r="F10" s="17">
        <v>100</v>
      </c>
      <c r="G10" s="17">
        <v>100</v>
      </c>
      <c r="H10" s="17">
        <v>100</v>
      </c>
    </row>
    <row r="11" spans="1:8" ht="30">
      <c r="A11" s="4" t="s">
        <v>32</v>
      </c>
      <c r="B11" s="16">
        <v>20</v>
      </c>
      <c r="C11" s="16">
        <v>18.75</v>
      </c>
      <c r="D11" s="16">
        <v>14</v>
      </c>
      <c r="E11" s="16">
        <v>28</v>
      </c>
      <c r="F11" s="15">
        <v>16.5</v>
      </c>
      <c r="G11" s="15">
        <v>18.5</v>
      </c>
      <c r="H11" s="15">
        <v>20</v>
      </c>
    </row>
    <row r="12" spans="1:8" ht="15">
      <c r="A12" s="1" t="str">
        <f>A1</f>
        <v>Valeur de reprise</v>
      </c>
      <c r="B12" s="9">
        <f aca="true" t="shared" si="0" ref="B12:H12">$B$1</f>
        <v>3500</v>
      </c>
      <c r="C12" s="9">
        <f t="shared" si="0"/>
        <v>3500</v>
      </c>
      <c r="D12" s="9">
        <f t="shared" si="0"/>
        <v>3500</v>
      </c>
      <c r="E12" s="9">
        <f t="shared" si="0"/>
        <v>3500</v>
      </c>
      <c r="F12" s="9">
        <f t="shared" si="0"/>
        <v>3500</v>
      </c>
      <c r="G12" s="9">
        <f t="shared" si="0"/>
        <v>3500</v>
      </c>
      <c r="H12" s="9">
        <f t="shared" si="0"/>
        <v>3500</v>
      </c>
    </row>
    <row r="13" spans="1:8" ht="15.75">
      <c r="A13" s="2" t="s">
        <v>42</v>
      </c>
      <c r="B13" s="9">
        <f aca="true" t="shared" si="1" ref="B13:H13">B7+B8+B9+B10+B11-B12</f>
        <v>19185</v>
      </c>
      <c r="C13" s="9">
        <f t="shared" si="1"/>
        <v>26953.75</v>
      </c>
      <c r="D13" s="9">
        <f t="shared" si="1"/>
        <v>41749</v>
      </c>
      <c r="E13" s="9">
        <f t="shared" si="1"/>
        <v>28272</v>
      </c>
      <c r="F13" s="9">
        <f t="shared" si="1"/>
        <v>26101.5</v>
      </c>
      <c r="G13" s="9">
        <f t="shared" si="1"/>
        <v>34398.5</v>
      </c>
      <c r="H13" s="9">
        <f t="shared" si="1"/>
        <v>27032</v>
      </c>
    </row>
    <row r="14" spans="1:8" ht="15.75">
      <c r="A14" s="2"/>
      <c r="B14" s="9"/>
      <c r="C14" s="9"/>
      <c r="D14" s="9"/>
      <c r="E14" s="9"/>
      <c r="F14" s="9"/>
      <c r="G14" s="9"/>
      <c r="H14" s="9"/>
    </row>
    <row r="15" spans="1:8" ht="15">
      <c r="A15" s="1" t="s">
        <v>43</v>
      </c>
      <c r="B15" s="9">
        <f>B13*(0.13)</f>
        <v>2494.05</v>
      </c>
      <c r="C15" s="9">
        <f aca="true" t="shared" si="2" ref="C15:H15">C13*(0.13)</f>
        <v>3503.9875</v>
      </c>
      <c r="D15" s="9">
        <f t="shared" si="2"/>
        <v>5427.37</v>
      </c>
      <c r="E15" s="9">
        <f t="shared" si="2"/>
        <v>3675.36</v>
      </c>
      <c r="F15" s="9">
        <f t="shared" si="2"/>
        <v>3393.195</v>
      </c>
      <c r="G15" s="9">
        <f t="shared" si="2"/>
        <v>4471.805</v>
      </c>
      <c r="H15" s="9">
        <f t="shared" si="2"/>
        <v>3514.1600000000003</v>
      </c>
    </row>
    <row r="16" spans="1:8" ht="15.75">
      <c r="A16" s="148" t="s">
        <v>44</v>
      </c>
      <c r="B16" s="149">
        <f aca="true" t="shared" si="3" ref="B16:H16">B13+B15</f>
        <v>21679.05</v>
      </c>
      <c r="C16" s="149">
        <f t="shared" si="3"/>
        <v>30457.7375</v>
      </c>
      <c r="D16" s="149">
        <f t="shared" si="3"/>
        <v>47176.37</v>
      </c>
      <c r="E16" s="149">
        <f t="shared" si="3"/>
        <v>31947.36</v>
      </c>
      <c r="F16" s="149">
        <f t="shared" si="3"/>
        <v>29494.695</v>
      </c>
      <c r="G16" s="149">
        <f t="shared" si="3"/>
        <v>38870.305</v>
      </c>
      <c r="H16" s="149">
        <f t="shared" si="3"/>
        <v>30546.16</v>
      </c>
    </row>
    <row r="18" ht="15">
      <c r="A18" s="160" t="s">
        <v>138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"/>
  <sheetViews>
    <sheetView zoomScale="115" zoomScaleNormal="115" zoomScalePageLayoutView="0" workbookViewId="0" topLeftCell="A1">
      <selection activeCell="A1" sqref="A1:M18"/>
    </sheetView>
  </sheetViews>
  <sheetFormatPr defaultColWidth="11.421875" defaultRowHeight="15"/>
  <cols>
    <col min="1" max="1" width="15.140625" style="0" customWidth="1"/>
    <col min="2" max="2" width="15.7109375" style="0" customWidth="1"/>
    <col min="3" max="3" width="14.421875" style="0" customWidth="1"/>
    <col min="4" max="4" width="13.140625" style="0" bestFit="1" customWidth="1"/>
    <col min="5" max="5" width="3.57421875" style="0" customWidth="1"/>
    <col min="6" max="6" width="14.57421875" style="0" customWidth="1"/>
    <col min="7" max="7" width="13.140625" style="0" bestFit="1" customWidth="1"/>
    <col min="8" max="8" width="3.57421875" style="0" customWidth="1"/>
    <col min="9" max="9" width="16.140625" style="0" bestFit="1" customWidth="1"/>
    <col min="10" max="10" width="13.140625" style="0" bestFit="1" customWidth="1"/>
    <col min="11" max="11" width="3.57421875" style="0" customWidth="1"/>
    <col min="12" max="12" width="15.421875" style="0" customWidth="1"/>
    <col min="13" max="13" width="13.140625" style="0" bestFit="1" customWidth="1"/>
    <col min="14" max="19" width="12.00390625" style="0" bestFit="1" customWidth="1"/>
  </cols>
  <sheetData>
    <row r="1" ht="15">
      <c r="A1" s="32" t="s">
        <v>79</v>
      </c>
    </row>
    <row r="2" spans="3:13" s="108" customFormat="1" ht="42" customHeight="1">
      <c r="C2" s="165" t="s">
        <v>117</v>
      </c>
      <c r="D2" s="166"/>
      <c r="F2" s="165" t="s">
        <v>118</v>
      </c>
      <c r="G2" s="166"/>
      <c r="I2" s="165" t="s">
        <v>119</v>
      </c>
      <c r="J2" s="166"/>
      <c r="L2" s="165" t="s">
        <v>2</v>
      </c>
      <c r="M2" s="166"/>
    </row>
    <row r="3" spans="1:13" ht="15">
      <c r="A3" s="54" t="s">
        <v>81</v>
      </c>
      <c r="B3" s="54"/>
      <c r="C3" s="163">
        <v>19185</v>
      </c>
      <c r="D3" s="164"/>
      <c r="E3" s="48"/>
      <c r="F3" s="163">
        <v>26953.75</v>
      </c>
      <c r="G3" s="164"/>
      <c r="H3" s="48"/>
      <c r="I3" s="163">
        <v>41749</v>
      </c>
      <c r="J3" s="164"/>
      <c r="K3" s="48"/>
      <c r="L3" s="163">
        <v>28272</v>
      </c>
      <c r="M3" s="164"/>
    </row>
    <row r="4" spans="1:13" ht="30" customHeight="1">
      <c r="A4" s="54" t="s">
        <v>80</v>
      </c>
      <c r="B4" s="55" t="s">
        <v>82</v>
      </c>
      <c r="C4" s="49" t="s">
        <v>83</v>
      </c>
      <c r="D4" s="49" t="s">
        <v>34</v>
      </c>
      <c r="E4" s="49"/>
      <c r="F4" s="49" t="str">
        <f>C4</f>
        <v>Le montant de dépréciation</v>
      </c>
      <c r="G4" s="49" t="str">
        <f>D4</f>
        <v>La valeur résiduelle</v>
      </c>
      <c r="H4" s="49"/>
      <c r="I4" s="49" t="str">
        <f>F4</f>
        <v>Le montant de dépréciation</v>
      </c>
      <c r="J4" s="49" t="str">
        <f>G4</f>
        <v>La valeur résiduelle</v>
      </c>
      <c r="K4" s="49"/>
      <c r="L4" s="49" t="str">
        <f>I4</f>
        <v>Le montant de dépréciation</v>
      </c>
      <c r="M4" s="49" t="str">
        <f>J4</f>
        <v>La valeur résiduelle</v>
      </c>
    </row>
    <row r="5" spans="1:13" ht="15">
      <c r="A5" s="54">
        <v>1</v>
      </c>
      <c r="B5" s="56">
        <v>0.2</v>
      </c>
      <c r="C5" s="48">
        <f>C3*$B$5</f>
        <v>3837</v>
      </c>
      <c r="D5" s="48">
        <f>C3-C5</f>
        <v>15348</v>
      </c>
      <c r="E5" s="48"/>
      <c r="F5" s="48">
        <f>F3*$B$5</f>
        <v>5390.75</v>
      </c>
      <c r="G5" s="48">
        <f>F3-F5</f>
        <v>21563</v>
      </c>
      <c r="H5" s="48"/>
      <c r="I5" s="48">
        <f>I3*$B$5</f>
        <v>8349.800000000001</v>
      </c>
      <c r="J5" s="48">
        <f>I3-I5</f>
        <v>33399.2</v>
      </c>
      <c r="K5" s="48"/>
      <c r="L5" s="48">
        <f>L3*$B$5</f>
        <v>5654.400000000001</v>
      </c>
      <c r="M5" s="48">
        <f>L3-L5</f>
        <v>22617.6</v>
      </c>
    </row>
    <row r="6" spans="1:13" ht="15">
      <c r="A6" s="54">
        <f>A5+1</f>
        <v>2</v>
      </c>
      <c r="B6" s="56">
        <v>0.15</v>
      </c>
      <c r="C6" s="48">
        <f>D5*$B$6</f>
        <v>2302.2</v>
      </c>
      <c r="D6" s="48">
        <f>D5-C6</f>
        <v>13045.8</v>
      </c>
      <c r="E6" s="48"/>
      <c r="F6" s="48">
        <f>G5*$B$6</f>
        <v>3234.45</v>
      </c>
      <c r="G6" s="48">
        <f>G5-F6</f>
        <v>18328.55</v>
      </c>
      <c r="H6" s="48"/>
      <c r="I6" s="48">
        <f>J5*$B$6</f>
        <v>5009.879999999999</v>
      </c>
      <c r="J6" s="48">
        <f>J5-I6</f>
        <v>28389.32</v>
      </c>
      <c r="K6" s="48"/>
      <c r="L6" s="48">
        <f>M5*$B$6</f>
        <v>3392.64</v>
      </c>
      <c r="M6" s="48">
        <f>M5-L6</f>
        <v>19224.96</v>
      </c>
    </row>
    <row r="7" spans="1:13" ht="15">
      <c r="A7" s="54">
        <f>A6+1</f>
        <v>3</v>
      </c>
      <c r="B7" s="56">
        <v>0.15</v>
      </c>
      <c r="C7" s="48">
        <f>D6*$B$7</f>
        <v>1956.87</v>
      </c>
      <c r="D7" s="48">
        <f>D6-C7</f>
        <v>11088.93</v>
      </c>
      <c r="E7" s="48"/>
      <c r="F7" s="48">
        <f>G6*$B$7</f>
        <v>2749.2825</v>
      </c>
      <c r="G7" s="48">
        <f>G6-F7</f>
        <v>15579.2675</v>
      </c>
      <c r="H7" s="48"/>
      <c r="I7" s="48">
        <f>J6*$B$7</f>
        <v>4258.398</v>
      </c>
      <c r="J7" s="48">
        <f>J6-I7</f>
        <v>24130.922</v>
      </c>
      <c r="K7" s="48"/>
      <c r="L7" s="48">
        <f>M6*$B$7</f>
        <v>2883.7439999999997</v>
      </c>
      <c r="M7" s="48">
        <f>M6-L7</f>
        <v>16341.216</v>
      </c>
    </row>
    <row r="8" spans="1:12" ht="28.5" customHeight="1">
      <c r="A8" s="171" t="s">
        <v>151</v>
      </c>
      <c r="B8" s="170" t="s">
        <v>153</v>
      </c>
      <c r="C8" s="136">
        <f>SUM(C5:C7)</f>
        <v>8096.07</v>
      </c>
      <c r="F8" s="136">
        <f>SUM(F5:F7)</f>
        <v>11374.4825</v>
      </c>
      <c r="I8" s="136">
        <f>SUM(I5:I7)</f>
        <v>17618.078</v>
      </c>
      <c r="L8" s="136">
        <f>SUM(L5:L7)</f>
        <v>11930.784</v>
      </c>
    </row>
    <row r="9" spans="1:13" ht="15">
      <c r="A9" s="172"/>
      <c r="B9" s="169" t="s">
        <v>154</v>
      </c>
      <c r="C9" s="137">
        <f>C8/C3</f>
        <v>0.422</v>
      </c>
      <c r="D9" s="50"/>
      <c r="E9" s="50"/>
      <c r="F9" s="137">
        <f>F8/F3</f>
        <v>0.422</v>
      </c>
      <c r="G9" s="50"/>
      <c r="H9" s="50"/>
      <c r="I9" s="137">
        <f>I8/I3</f>
        <v>0.42200000000000004</v>
      </c>
      <c r="J9" s="50"/>
      <c r="K9" s="50"/>
      <c r="L9" s="137">
        <f>L8/L3</f>
        <v>0.422</v>
      </c>
      <c r="M9" s="50"/>
    </row>
    <row r="11" spans="3:10" s="108" customFormat="1" ht="39.75" customHeight="1">
      <c r="C11" s="165" t="s">
        <v>120</v>
      </c>
      <c r="D11" s="166"/>
      <c r="F11" s="165" t="s">
        <v>121</v>
      </c>
      <c r="G11" s="166"/>
      <c r="I11" s="165" t="s">
        <v>122</v>
      </c>
      <c r="J11" s="166"/>
    </row>
    <row r="12" spans="1:11" ht="15">
      <c r="A12" s="54" t="str">
        <f>A3</f>
        <v>Le coût d'achat</v>
      </c>
      <c r="B12" s="54"/>
      <c r="C12" s="167">
        <v>26101.5</v>
      </c>
      <c r="D12" s="168"/>
      <c r="E12" s="48"/>
      <c r="F12" s="163">
        <v>34398.5</v>
      </c>
      <c r="G12" s="164"/>
      <c r="H12" s="48"/>
      <c r="I12" s="163">
        <v>27032</v>
      </c>
      <c r="J12" s="164"/>
      <c r="K12" s="48"/>
    </row>
    <row r="13" spans="1:11" ht="30" customHeight="1">
      <c r="A13" s="54" t="str">
        <f>A4</f>
        <v>L'âge du véhicule</v>
      </c>
      <c r="B13" s="55" t="str">
        <f>B4</f>
        <v>Le taux de 
dépréciation</v>
      </c>
      <c r="C13" s="49" t="s">
        <v>83</v>
      </c>
      <c r="D13" s="49" t="s">
        <v>34</v>
      </c>
      <c r="E13" s="49"/>
      <c r="F13" s="49" t="s">
        <v>11</v>
      </c>
      <c r="G13" s="49" t="s">
        <v>34</v>
      </c>
      <c r="H13" s="49"/>
      <c r="I13" s="49" t="s">
        <v>83</v>
      </c>
      <c r="J13" s="49" t="s">
        <v>34</v>
      </c>
      <c r="K13" s="49"/>
    </row>
    <row r="14" spans="1:11" ht="15">
      <c r="A14" s="54">
        <f>A5</f>
        <v>1</v>
      </c>
      <c r="B14" s="56">
        <f>B5</f>
        <v>0.2</v>
      </c>
      <c r="C14" s="48">
        <f>C12*$B$5</f>
        <v>5220.3</v>
      </c>
      <c r="D14" s="48">
        <f>C12-C14</f>
        <v>20881.2</v>
      </c>
      <c r="E14" s="48"/>
      <c r="F14" s="48">
        <f>F12*$B$5</f>
        <v>6879.700000000001</v>
      </c>
      <c r="G14" s="48">
        <f>F12-F14</f>
        <v>27518.8</v>
      </c>
      <c r="H14" s="48"/>
      <c r="I14" s="48">
        <f>I12*$B$5</f>
        <v>5406.400000000001</v>
      </c>
      <c r="J14" s="48">
        <f>I12-I14</f>
        <v>21625.6</v>
      </c>
      <c r="K14" s="48"/>
    </row>
    <row r="15" spans="1:11" ht="15">
      <c r="A15" s="54">
        <f>A6</f>
        <v>2</v>
      </c>
      <c r="B15" s="56">
        <f>B6</f>
        <v>0.15</v>
      </c>
      <c r="C15" s="48">
        <f>D14*$B$6</f>
        <v>3132.18</v>
      </c>
      <c r="D15" s="48">
        <f>D14-C15</f>
        <v>17749.02</v>
      </c>
      <c r="E15" s="48"/>
      <c r="F15" s="48">
        <f>G14*$B$6</f>
        <v>4127.82</v>
      </c>
      <c r="G15" s="48">
        <f>G14-F15</f>
        <v>23390.98</v>
      </c>
      <c r="H15" s="48"/>
      <c r="I15" s="48">
        <f>J14*$B$6</f>
        <v>3243.8399999999997</v>
      </c>
      <c r="J15" s="48">
        <f>J14-I15</f>
        <v>18381.76</v>
      </c>
      <c r="K15" s="48"/>
    </row>
    <row r="16" spans="1:11" ht="15">
      <c r="A16" s="54">
        <f>A7</f>
        <v>3</v>
      </c>
      <c r="B16" s="56">
        <f>B7</f>
        <v>0.15</v>
      </c>
      <c r="C16" s="48">
        <f>D15*$B$7</f>
        <v>2662.353</v>
      </c>
      <c r="D16" s="48">
        <f>D15-C16</f>
        <v>15086.667000000001</v>
      </c>
      <c r="E16" s="48"/>
      <c r="F16" s="48">
        <f>G15*$B$7</f>
        <v>3508.647</v>
      </c>
      <c r="G16" s="48">
        <f>G15-F16</f>
        <v>19882.333</v>
      </c>
      <c r="H16" s="48"/>
      <c r="I16" s="48">
        <f>J15*$B$7</f>
        <v>2757.2639999999997</v>
      </c>
      <c r="J16" s="48">
        <f>J15-I16</f>
        <v>15624.496</v>
      </c>
      <c r="K16" s="48"/>
    </row>
    <row r="17" spans="1:9" ht="27.75" customHeight="1">
      <c r="A17" s="171" t="s">
        <v>152</v>
      </c>
      <c r="B17" s="170" t="s">
        <v>153</v>
      </c>
      <c r="C17" s="136">
        <f>SUM(C14:C16)</f>
        <v>11014.832999999999</v>
      </c>
      <c r="F17" s="136">
        <f>SUM(F14:F16)</f>
        <v>14516.167000000001</v>
      </c>
      <c r="I17" s="136">
        <f>SUM(I14:I16)</f>
        <v>11407.503999999999</v>
      </c>
    </row>
    <row r="18" spans="1:9" ht="15">
      <c r="A18" s="171"/>
      <c r="B18" s="169" t="s">
        <v>154</v>
      </c>
      <c r="C18" s="137">
        <f>C17/C12</f>
        <v>0.42199999999999993</v>
      </c>
      <c r="F18" s="137">
        <f>F17/F12</f>
        <v>0.42200000000000004</v>
      </c>
      <c r="I18" s="137">
        <f>I17/I12</f>
        <v>0.422</v>
      </c>
    </row>
    <row r="20" ht="15.75">
      <c r="A20" s="160" t="s">
        <v>138</v>
      </c>
    </row>
  </sheetData>
  <sheetProtection/>
  <mergeCells count="16">
    <mergeCell ref="A8:A9"/>
    <mergeCell ref="A17:A18"/>
    <mergeCell ref="C2:D2"/>
    <mergeCell ref="F2:G2"/>
    <mergeCell ref="I2:J2"/>
    <mergeCell ref="L2:M2"/>
    <mergeCell ref="C3:D3"/>
    <mergeCell ref="F3:G3"/>
    <mergeCell ref="I3:J3"/>
    <mergeCell ref="L3:M3"/>
    <mergeCell ref="C12:D12"/>
    <mergeCell ref="C11:D11"/>
    <mergeCell ref="F11:G11"/>
    <mergeCell ref="I11:J11"/>
    <mergeCell ref="F12:G12"/>
    <mergeCell ref="I12:J12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41"/>
  <sheetViews>
    <sheetView zoomScalePageLayoutView="0" workbookViewId="0" topLeftCell="A1">
      <selection activeCell="A2" sqref="A2:H5"/>
    </sheetView>
  </sheetViews>
  <sheetFormatPr defaultColWidth="11.421875" defaultRowHeight="15"/>
  <cols>
    <col min="1" max="1" width="22.140625" style="1" bestFit="1" customWidth="1"/>
    <col min="2" max="3" width="15.57421875" style="1" customWidth="1"/>
    <col min="4" max="4" width="16.00390625" style="1" bestFit="1" customWidth="1"/>
    <col min="5" max="5" width="13.28125" style="1" customWidth="1"/>
    <col min="6" max="6" width="17.421875" style="1" customWidth="1"/>
    <col min="7" max="7" width="14.140625" style="1" customWidth="1"/>
    <col min="8" max="8" width="13.57421875" style="1" customWidth="1"/>
    <col min="9" max="16384" width="11.421875" style="1" customWidth="1"/>
  </cols>
  <sheetData>
    <row r="2" spans="1:9" ht="45">
      <c r="A2" s="138" t="s">
        <v>28</v>
      </c>
      <c r="B2" s="134" t="s">
        <v>0</v>
      </c>
      <c r="C2" s="134" t="s">
        <v>1</v>
      </c>
      <c r="D2" s="134" t="s">
        <v>27</v>
      </c>
      <c r="E2" s="134" t="s">
        <v>2</v>
      </c>
      <c r="F2" s="134" t="s">
        <v>3</v>
      </c>
      <c r="G2" s="134" t="s">
        <v>4</v>
      </c>
      <c r="H2" s="134" t="s">
        <v>5</v>
      </c>
      <c r="I2" s="7"/>
    </row>
    <row r="3" spans="1:8" ht="45">
      <c r="A3" s="4" t="s">
        <v>123</v>
      </c>
      <c r="B3" s="4">
        <v>40</v>
      </c>
      <c r="C3" s="4">
        <v>64</v>
      </c>
      <c r="D3" s="4">
        <v>93</v>
      </c>
      <c r="E3" s="4">
        <v>87</v>
      </c>
      <c r="F3" s="3">
        <v>76</v>
      </c>
      <c r="G3" s="3">
        <v>0</v>
      </c>
      <c r="H3" s="3">
        <v>43</v>
      </c>
    </row>
    <row r="4" spans="1:8" ht="15.75">
      <c r="A4" s="159" t="s">
        <v>124</v>
      </c>
      <c r="B4" s="159"/>
      <c r="C4" s="159"/>
      <c r="D4" s="159"/>
      <c r="E4" s="159"/>
      <c r="F4" s="159"/>
      <c r="G4" s="159"/>
      <c r="H4" s="159"/>
    </row>
    <row r="5" spans="1:8" ht="15">
      <c r="A5" s="4" t="s">
        <v>161</v>
      </c>
      <c r="B5" s="4">
        <v>7.9</v>
      </c>
      <c r="C5" s="4">
        <v>8.1</v>
      </c>
      <c r="D5" s="4">
        <v>12.7</v>
      </c>
      <c r="E5" s="4">
        <v>12.3</v>
      </c>
      <c r="F5" s="3">
        <v>13.7</v>
      </c>
      <c r="G5" s="3">
        <v>0</v>
      </c>
      <c r="H5" s="3">
        <v>4.6</v>
      </c>
    </row>
    <row r="6" spans="1:8" ht="15">
      <c r="A6" s="4" t="s">
        <v>162</v>
      </c>
      <c r="B6" s="4">
        <v>5.9</v>
      </c>
      <c r="C6" s="4">
        <v>5.7</v>
      </c>
      <c r="D6" s="4">
        <v>9.6</v>
      </c>
      <c r="E6" s="4">
        <v>9.3</v>
      </c>
      <c r="F6" s="3">
        <v>9.4</v>
      </c>
      <c r="G6" s="3">
        <v>0</v>
      </c>
      <c r="H6" s="3">
        <v>4.4</v>
      </c>
    </row>
    <row r="9" ht="15.75" thickBot="1">
      <c r="A9" s="139" t="s">
        <v>155</v>
      </c>
    </row>
    <row r="10" spans="1:6" ht="45.75" thickBot="1">
      <c r="A10" s="57"/>
      <c r="B10" s="58" t="s">
        <v>84</v>
      </c>
      <c r="C10" s="58" t="s">
        <v>85</v>
      </c>
      <c r="D10" s="58" t="s">
        <v>86</v>
      </c>
      <c r="E10" s="58" t="s">
        <v>87</v>
      </c>
      <c r="F10" s="58" t="s">
        <v>88</v>
      </c>
    </row>
    <row r="11" spans="1:6" ht="16.5" thickBot="1">
      <c r="A11" s="59" t="s">
        <v>13</v>
      </c>
      <c r="B11" s="77">
        <v>71416</v>
      </c>
      <c r="C11" s="78">
        <v>71739</v>
      </c>
      <c r="D11" s="83">
        <f aca="true" t="shared" si="0" ref="D11:D16">C11-B11</f>
        <v>323</v>
      </c>
      <c r="E11" s="84">
        <v>26.2</v>
      </c>
      <c r="F11" s="81">
        <f aca="true" t="shared" si="1" ref="F11:F16">E11*100/D11</f>
        <v>8.111455108359133</v>
      </c>
    </row>
    <row r="12" spans="1:6" ht="16.5" thickBot="1">
      <c r="A12" s="59" t="s">
        <v>14</v>
      </c>
      <c r="B12" s="79">
        <v>481758.4</v>
      </c>
      <c r="C12" s="80">
        <v>482943</v>
      </c>
      <c r="D12" s="82">
        <f t="shared" si="0"/>
        <v>1184.5999999999767</v>
      </c>
      <c r="E12" s="85">
        <v>54.9</v>
      </c>
      <c r="F12" s="81">
        <f t="shared" si="1"/>
        <v>4.63447577241272</v>
      </c>
    </row>
    <row r="13" spans="1:6" ht="16.5" thickBot="1">
      <c r="A13" s="59" t="s">
        <v>15</v>
      </c>
      <c r="B13" s="79">
        <v>23165.2</v>
      </c>
      <c r="C13" s="80">
        <v>23721.9</v>
      </c>
      <c r="D13" s="82">
        <f t="shared" si="0"/>
        <v>556.7000000000007</v>
      </c>
      <c r="E13" s="86">
        <v>70.7</v>
      </c>
      <c r="F13" s="81">
        <f t="shared" si="1"/>
        <v>12.699838333033933</v>
      </c>
    </row>
    <row r="14" spans="1:6" ht="16.5" thickBot="1">
      <c r="A14" s="59" t="s">
        <v>16</v>
      </c>
      <c r="B14" s="79">
        <v>135714.8</v>
      </c>
      <c r="C14" s="80">
        <v>136028.3</v>
      </c>
      <c r="D14" s="82">
        <f t="shared" si="0"/>
        <v>313.5</v>
      </c>
      <c r="E14" s="85">
        <v>43.1</v>
      </c>
      <c r="F14" s="81">
        <f t="shared" si="1"/>
        <v>13.748006379585327</v>
      </c>
    </row>
    <row r="15" spans="1:6" ht="16.5" thickBot="1">
      <c r="A15" s="59" t="s">
        <v>17</v>
      </c>
      <c r="B15" s="79">
        <v>87158.1</v>
      </c>
      <c r="C15" s="80">
        <v>88031.4</v>
      </c>
      <c r="D15" s="82">
        <f t="shared" si="0"/>
        <v>873.2999999999884</v>
      </c>
      <c r="E15" s="86">
        <v>68.9</v>
      </c>
      <c r="F15" s="81">
        <f t="shared" si="1"/>
        <v>7.889614107408786</v>
      </c>
    </row>
    <row r="16" spans="1:6" ht="16.5" thickBot="1">
      <c r="A16" s="59" t="s">
        <v>18</v>
      </c>
      <c r="B16" s="79">
        <v>15632.1</v>
      </c>
      <c r="C16" s="80">
        <v>16341.8</v>
      </c>
      <c r="D16" s="82">
        <f t="shared" si="0"/>
        <v>709.6999999999989</v>
      </c>
      <c r="E16" s="86">
        <v>87.3</v>
      </c>
      <c r="F16" s="81">
        <f t="shared" si="1"/>
        <v>12.300972241792326</v>
      </c>
    </row>
    <row r="17" ht="15">
      <c r="A17" s="139"/>
    </row>
    <row r="18" spans="1:2" ht="15">
      <c r="A18" s="139" t="s">
        <v>156</v>
      </c>
      <c r="B18" s="60" t="s">
        <v>14</v>
      </c>
    </row>
    <row r="19" ht="15">
      <c r="B19" s="60" t="s">
        <v>16</v>
      </c>
    </row>
    <row r="21" ht="15.75" thickBot="1">
      <c r="A21" s="139" t="s">
        <v>158</v>
      </c>
    </row>
    <row r="22" spans="1:7" ht="45.75" thickBot="1">
      <c r="A22" s="140" t="s">
        <v>28</v>
      </c>
      <c r="B22" s="141" t="str">
        <f>B2</f>
        <v>Un véhicule sous-compact</v>
      </c>
      <c r="C22" s="141" t="str">
        <f>C2</f>
        <v>Un véhicule compact</v>
      </c>
      <c r="D22" s="141" t="str">
        <f>D2</f>
        <v>Un véhicule utilitaire sport (SUV)</v>
      </c>
      <c r="E22" s="141" t="str">
        <f>E2</f>
        <v>Un camion</v>
      </c>
      <c r="F22" s="141" t="str">
        <f>F2</f>
        <v>Une fourgonnette</v>
      </c>
      <c r="G22" s="141" t="str">
        <f>H2</f>
        <v>Un véhicule hybride</v>
      </c>
    </row>
    <row r="23" spans="1:7" ht="16.5" thickBot="1">
      <c r="A23" s="61"/>
      <c r="B23" s="62" t="s">
        <v>17</v>
      </c>
      <c r="C23" s="62" t="s">
        <v>13</v>
      </c>
      <c r="D23" s="62" t="s">
        <v>15</v>
      </c>
      <c r="E23" s="62" t="s">
        <v>18</v>
      </c>
      <c r="F23" s="62" t="s">
        <v>16</v>
      </c>
      <c r="G23" s="62" t="s">
        <v>14</v>
      </c>
    </row>
    <row r="25" spans="1:4" ht="15">
      <c r="A25" s="139" t="s">
        <v>157</v>
      </c>
      <c r="B25" s="1" t="s">
        <v>99</v>
      </c>
      <c r="C25" s="1" t="s">
        <v>100</v>
      </c>
      <c r="D25" s="1" t="s">
        <v>93</v>
      </c>
    </row>
    <row r="26" spans="2:4" ht="15.75" thickBot="1">
      <c r="B26" s="1">
        <v>800</v>
      </c>
      <c r="C26" s="1">
        <v>1000</v>
      </c>
      <c r="D26" s="87">
        <v>1.129</v>
      </c>
    </row>
    <row r="27" spans="1:7" ht="45.75" thickBot="1">
      <c r="A27" s="140" t="str">
        <f>A22</f>
        <v>Le genre de véhicule</v>
      </c>
      <c r="B27" s="140" t="str">
        <f aca="true" t="shared" si="2" ref="B27:G27">B22</f>
        <v>Un véhicule sous-compact</v>
      </c>
      <c r="C27" s="140" t="str">
        <f t="shared" si="2"/>
        <v>Un véhicule compact</v>
      </c>
      <c r="D27" s="140" t="str">
        <f t="shared" si="2"/>
        <v>Un véhicule utilitaire sport (SUV)</v>
      </c>
      <c r="E27" s="140" t="str">
        <f t="shared" si="2"/>
        <v>Un camion</v>
      </c>
      <c r="F27" s="140" t="str">
        <f t="shared" si="2"/>
        <v>Une fourgonnette</v>
      </c>
      <c r="G27" s="140" t="str">
        <f t="shared" si="2"/>
        <v>Un véhicule hybride</v>
      </c>
    </row>
    <row r="28" spans="1:7" ht="30.75" thickBot="1">
      <c r="A28" s="70" t="s">
        <v>89</v>
      </c>
      <c r="B28" s="83">
        <f>$B$26/100*B5</f>
        <v>63.2</v>
      </c>
      <c r="C28" s="83">
        <f>$B$26/100*C5</f>
        <v>64.8</v>
      </c>
      <c r="D28" s="83">
        <f>$B$26/100*D5</f>
        <v>101.6</v>
      </c>
      <c r="E28" s="83">
        <f>$B$26/100*E5</f>
        <v>98.4</v>
      </c>
      <c r="F28" s="83">
        <f>$B$26/100*F5</f>
        <v>109.6</v>
      </c>
      <c r="G28" s="83">
        <f>$B$26/100*H5</f>
        <v>36.8</v>
      </c>
    </row>
    <row r="29" spans="1:7" ht="30.75" thickBot="1">
      <c r="A29" s="70" t="s">
        <v>90</v>
      </c>
      <c r="B29" s="83">
        <f>$C$26/100*B6</f>
        <v>59</v>
      </c>
      <c r="C29" s="83">
        <f>$C$26/100*C6</f>
        <v>57</v>
      </c>
      <c r="D29" s="83">
        <f>$C$26/100*D6</f>
        <v>96</v>
      </c>
      <c r="E29" s="83">
        <f>$C$26/100*E6</f>
        <v>93</v>
      </c>
      <c r="F29" s="83">
        <f>$C$26/100*F6</f>
        <v>94</v>
      </c>
      <c r="G29" s="83">
        <f>$C$26/100*H6</f>
        <v>44</v>
      </c>
    </row>
    <row r="30" spans="1:7" ht="30.75" thickBot="1">
      <c r="A30" s="70" t="s">
        <v>91</v>
      </c>
      <c r="B30" s="83">
        <f aca="true" t="shared" si="3" ref="B30:G30">B28+B29</f>
        <v>122.2</v>
      </c>
      <c r="C30" s="83">
        <f t="shared" si="3"/>
        <v>121.8</v>
      </c>
      <c r="D30" s="83">
        <f t="shared" si="3"/>
        <v>197.6</v>
      </c>
      <c r="E30" s="83">
        <f t="shared" si="3"/>
        <v>191.4</v>
      </c>
      <c r="F30" s="83">
        <f t="shared" si="3"/>
        <v>203.6</v>
      </c>
      <c r="G30" s="83">
        <f t="shared" si="3"/>
        <v>80.8</v>
      </c>
    </row>
    <row r="31" spans="1:7" ht="16.5" thickBot="1">
      <c r="A31" s="70" t="s">
        <v>9</v>
      </c>
      <c r="B31" s="63">
        <f aca="true" t="shared" si="4" ref="B31:G31">$D$26*B30</f>
        <v>137.9638</v>
      </c>
      <c r="C31" s="63">
        <f t="shared" si="4"/>
        <v>137.5122</v>
      </c>
      <c r="D31" s="63">
        <f t="shared" si="4"/>
        <v>223.0904</v>
      </c>
      <c r="E31" s="63">
        <f t="shared" si="4"/>
        <v>216.0906</v>
      </c>
      <c r="F31" s="63">
        <f t="shared" si="4"/>
        <v>229.8644</v>
      </c>
      <c r="G31" s="63">
        <f t="shared" si="4"/>
        <v>91.22319999999999</v>
      </c>
    </row>
    <row r="33" spans="1:2" ht="15">
      <c r="A33" s="139" t="s">
        <v>159</v>
      </c>
      <c r="B33" s="1" t="s">
        <v>5</v>
      </c>
    </row>
    <row r="35" ht="15.75" thickBot="1">
      <c r="A35" s="139" t="s">
        <v>160</v>
      </c>
    </row>
    <row r="36" spans="1:7" ht="45.75" thickBot="1">
      <c r="A36" s="140" t="str">
        <f>A27</f>
        <v>Le genre de véhicule</v>
      </c>
      <c r="B36" s="140" t="str">
        <f aca="true" t="shared" si="5" ref="B36:G36">B27</f>
        <v>Un véhicule sous-compact</v>
      </c>
      <c r="C36" s="140" t="str">
        <f t="shared" si="5"/>
        <v>Un véhicule compact</v>
      </c>
      <c r="D36" s="140" t="str">
        <f t="shared" si="5"/>
        <v>Un véhicule utilitaire sport (SUV)</v>
      </c>
      <c r="E36" s="140" t="str">
        <f t="shared" si="5"/>
        <v>Un camion</v>
      </c>
      <c r="F36" s="140" t="str">
        <f t="shared" si="5"/>
        <v>Une fourgonnette</v>
      </c>
      <c r="G36" s="140" t="str">
        <f t="shared" si="5"/>
        <v>Un véhicule hybride</v>
      </c>
    </row>
    <row r="37" spans="1:7" ht="45">
      <c r="A37" s="66" t="str">
        <f aca="true" t="shared" si="6" ref="A37:F37">A3</f>
        <v>La grandeur du réservoir de carburant (Litres)</v>
      </c>
      <c r="B37" s="67">
        <f t="shared" si="6"/>
        <v>40</v>
      </c>
      <c r="C37" s="67">
        <f t="shared" si="6"/>
        <v>64</v>
      </c>
      <c r="D37" s="67">
        <f t="shared" si="6"/>
        <v>93</v>
      </c>
      <c r="E37" s="67">
        <f t="shared" si="6"/>
        <v>87</v>
      </c>
      <c r="F37" s="67">
        <f t="shared" si="6"/>
        <v>76</v>
      </c>
      <c r="G37" s="67">
        <f>H3</f>
        <v>43</v>
      </c>
    </row>
    <row r="38" spans="1:7" ht="19.5" customHeight="1">
      <c r="A38" s="65" t="str">
        <f aca="true" t="shared" si="7" ref="A38:F38">A6</f>
        <v>Sur la route</v>
      </c>
      <c r="B38" s="68">
        <f t="shared" si="7"/>
        <v>5.9</v>
      </c>
      <c r="C38" s="68">
        <f t="shared" si="7"/>
        <v>5.7</v>
      </c>
      <c r="D38" s="68">
        <f t="shared" si="7"/>
        <v>9.6</v>
      </c>
      <c r="E38" s="68">
        <f t="shared" si="7"/>
        <v>9.3</v>
      </c>
      <c r="F38" s="68">
        <f t="shared" si="7"/>
        <v>9.4</v>
      </c>
      <c r="G38" s="68">
        <f>H6</f>
        <v>4.4</v>
      </c>
    </row>
    <row r="39" spans="1:7" ht="30">
      <c r="A39" s="64" t="s">
        <v>92</v>
      </c>
      <c r="B39" s="69">
        <f aca="true" t="shared" si="8" ref="B39:G39">B37/B38*100</f>
        <v>677.9661016949152</v>
      </c>
      <c r="C39" s="69">
        <f t="shared" si="8"/>
        <v>1122.8070175438595</v>
      </c>
      <c r="D39" s="69">
        <f t="shared" si="8"/>
        <v>968.75</v>
      </c>
      <c r="E39" s="69">
        <f t="shared" si="8"/>
        <v>935.4838709677418</v>
      </c>
      <c r="F39" s="69">
        <f t="shared" si="8"/>
        <v>808.5106382978724</v>
      </c>
      <c r="G39" s="69">
        <f t="shared" si="8"/>
        <v>977.2727272727271</v>
      </c>
    </row>
    <row r="41" ht="15">
      <c r="A41" s="160" t="s">
        <v>138</v>
      </c>
    </row>
  </sheetData>
  <sheetProtection/>
  <mergeCells count="1">
    <mergeCell ref="A4:H4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15" sqref="B15"/>
    </sheetView>
  </sheetViews>
  <sheetFormatPr defaultColWidth="11.421875" defaultRowHeight="15"/>
  <cols>
    <col min="2" max="2" width="55.28125" style="0" customWidth="1"/>
  </cols>
  <sheetData>
    <row r="1" spans="1:2" s="88" customFormat="1" ht="19.5" customHeight="1">
      <c r="A1" s="142" t="s">
        <v>101</v>
      </c>
      <c r="B1" s="143" t="s">
        <v>102</v>
      </c>
    </row>
    <row r="2" spans="1:2" s="88" customFormat="1" ht="8.25" customHeight="1">
      <c r="A2" s="142"/>
      <c r="B2" s="143"/>
    </row>
    <row r="3" spans="1:2" ht="19.5" customHeight="1">
      <c r="A3" s="144" t="s">
        <v>13</v>
      </c>
      <c r="B3" s="145" t="s">
        <v>105</v>
      </c>
    </row>
    <row r="4" spans="1:2" ht="19.5" customHeight="1">
      <c r="A4" s="144" t="s">
        <v>14</v>
      </c>
      <c r="B4" s="145" t="s">
        <v>106</v>
      </c>
    </row>
    <row r="5" spans="1:2" ht="19.5" customHeight="1">
      <c r="A5" s="144" t="s">
        <v>15</v>
      </c>
      <c r="B5" s="145" t="s">
        <v>107</v>
      </c>
    </row>
    <row r="6" spans="1:2" ht="19.5" customHeight="1">
      <c r="A6" s="144" t="s">
        <v>16</v>
      </c>
      <c r="B6" s="145" t="s">
        <v>108</v>
      </c>
    </row>
    <row r="7" spans="1:2" ht="19.5" customHeight="1">
      <c r="A7" s="144" t="s">
        <v>17</v>
      </c>
      <c r="B7" s="146" t="s">
        <v>109</v>
      </c>
    </row>
    <row r="8" spans="1:2" ht="19.5" customHeight="1">
      <c r="A8" s="144" t="s">
        <v>18</v>
      </c>
      <c r="B8" s="146" t="s">
        <v>110</v>
      </c>
    </row>
    <row r="9" spans="1:2" ht="19.5" customHeight="1">
      <c r="A9" s="144" t="s">
        <v>103</v>
      </c>
      <c r="B9" s="145" t="s">
        <v>163</v>
      </c>
    </row>
    <row r="10" spans="1:2" ht="19.5" customHeight="1">
      <c r="A10" s="144" t="s">
        <v>104</v>
      </c>
      <c r="B10" s="145" t="s">
        <v>164</v>
      </c>
    </row>
    <row r="11" ht="19.5" customHeight="1"/>
    <row r="12" ht="15.75">
      <c r="A12" s="160" t="s">
        <v>138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C18" sqref="C6:C18"/>
    </sheetView>
  </sheetViews>
  <sheetFormatPr defaultColWidth="11.421875" defaultRowHeight="15"/>
  <cols>
    <col min="1" max="1" width="21.8515625" style="1" customWidth="1"/>
    <col min="2" max="2" width="24.00390625" style="1" customWidth="1"/>
    <col min="3" max="3" width="55.57421875" style="1" customWidth="1"/>
    <col min="4" max="16384" width="11.421875" style="1" customWidth="1"/>
  </cols>
  <sheetData>
    <row r="1" s="2" customFormat="1" ht="15.75">
      <c r="A1" s="2" t="s">
        <v>35</v>
      </c>
    </row>
    <row r="2" spans="2:3" s="2" customFormat="1" ht="15.75">
      <c r="B2" s="147" t="s">
        <v>36</v>
      </c>
      <c r="C2" s="147" t="s">
        <v>28</v>
      </c>
    </row>
    <row r="3" ht="15.75">
      <c r="A3" s="2"/>
    </row>
    <row r="4" spans="1:3" ht="15.75">
      <c r="A4" s="2" t="s">
        <v>19</v>
      </c>
      <c r="B4" s="1" t="s">
        <v>37</v>
      </c>
      <c r="C4" s="1" t="s">
        <v>125</v>
      </c>
    </row>
    <row r="5" ht="15.75">
      <c r="A5" s="2"/>
    </row>
    <row r="6" spans="1:3" ht="15.75">
      <c r="A6" s="2" t="s">
        <v>20</v>
      </c>
      <c r="B6" s="1" t="s">
        <v>38</v>
      </c>
      <c r="C6" s="1" t="s">
        <v>137</v>
      </c>
    </row>
    <row r="7" ht="15.75">
      <c r="A7" s="2"/>
    </row>
    <row r="8" spans="1:3" ht="15.75">
      <c r="A8" s="2" t="s">
        <v>21</v>
      </c>
      <c r="B8" s="1" t="s">
        <v>37</v>
      </c>
      <c r="C8" s="1" t="s">
        <v>27</v>
      </c>
    </row>
    <row r="9" ht="15.75">
      <c r="A9" s="2"/>
    </row>
    <row r="10" spans="1:3" ht="15.75">
      <c r="A10" s="2" t="s">
        <v>22</v>
      </c>
      <c r="B10" s="1" t="s">
        <v>39</v>
      </c>
      <c r="C10" s="1" t="s">
        <v>165</v>
      </c>
    </row>
    <row r="11" ht="15.75">
      <c r="A11" s="2"/>
    </row>
    <row r="12" spans="1:3" ht="15.75">
      <c r="A12" s="2" t="s">
        <v>23</v>
      </c>
      <c r="B12" s="1" t="s">
        <v>38</v>
      </c>
      <c r="C12" s="1" t="s">
        <v>125</v>
      </c>
    </row>
    <row r="13" ht="15.75">
      <c r="A13" s="2"/>
    </row>
    <row r="14" spans="1:3" ht="15.75">
      <c r="A14" s="2" t="s">
        <v>24</v>
      </c>
      <c r="B14" s="1" t="s">
        <v>38</v>
      </c>
      <c r="C14" s="1" t="s">
        <v>41</v>
      </c>
    </row>
    <row r="15" ht="15.75">
      <c r="A15" s="2"/>
    </row>
    <row r="16" spans="1:3" ht="15.75">
      <c r="A16" s="2" t="s">
        <v>25</v>
      </c>
      <c r="B16" s="1" t="s">
        <v>37</v>
      </c>
      <c r="C16" s="1" t="s">
        <v>125</v>
      </c>
    </row>
    <row r="17" ht="15.75">
      <c r="A17" s="2"/>
    </row>
    <row r="18" spans="1:3" ht="15.75">
      <c r="A18" s="2" t="s">
        <v>26</v>
      </c>
      <c r="B18" s="1" t="s">
        <v>40</v>
      </c>
      <c r="C18" s="1" t="s">
        <v>125</v>
      </c>
    </row>
    <row r="19" ht="15.75">
      <c r="A19" s="2"/>
    </row>
    <row r="20" ht="15">
      <c r="A20" s="160" t="s">
        <v>138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6">
      <selection activeCell="A22" sqref="A22:H43"/>
    </sheetView>
  </sheetViews>
  <sheetFormatPr defaultColWidth="11.421875" defaultRowHeight="15"/>
  <cols>
    <col min="1" max="1" width="23.7109375" style="1" customWidth="1"/>
    <col min="2" max="2" width="15.8515625" style="1" customWidth="1"/>
    <col min="3" max="3" width="15.28125" style="1" customWidth="1"/>
    <col min="4" max="4" width="17.140625" style="1" customWidth="1"/>
    <col min="5" max="5" width="16.7109375" style="1" customWidth="1"/>
    <col min="6" max="6" width="16.00390625" style="1" customWidth="1"/>
    <col min="7" max="8" width="17.140625" style="1" customWidth="1"/>
    <col min="9" max="16384" width="11.421875" style="1" customWidth="1"/>
  </cols>
  <sheetData>
    <row r="1" spans="1:2" ht="30">
      <c r="A1" s="7" t="s">
        <v>127</v>
      </c>
      <c r="B1" s="9">
        <v>2500</v>
      </c>
    </row>
    <row r="2" spans="1:2" ht="15">
      <c r="A2" s="7"/>
      <c r="B2" s="9"/>
    </row>
    <row r="3" spans="1:9" s="7" customFormat="1" ht="46.5" customHeight="1">
      <c r="A3" s="4" t="s">
        <v>28</v>
      </c>
      <c r="B3" s="4" t="s">
        <v>0</v>
      </c>
      <c r="C3" s="4" t="s">
        <v>1</v>
      </c>
      <c r="D3" s="4" t="s">
        <v>27</v>
      </c>
      <c r="E3" s="4" t="s">
        <v>2</v>
      </c>
      <c r="F3" s="4" t="s">
        <v>3</v>
      </c>
      <c r="G3" s="4" t="s">
        <v>4</v>
      </c>
      <c r="H3" s="4" t="s">
        <v>5</v>
      </c>
      <c r="I3" s="6"/>
    </row>
    <row r="4" ht="15">
      <c r="A4" s="7"/>
    </row>
    <row r="5" spans="1:8" ht="15.75">
      <c r="A5" s="101" t="s">
        <v>44</v>
      </c>
      <c r="B5" s="9">
        <v>21679.05</v>
      </c>
      <c r="C5" s="9">
        <v>30457.74</v>
      </c>
      <c r="D5" s="9">
        <v>47176.37</v>
      </c>
      <c r="E5" s="9">
        <v>31947.36</v>
      </c>
      <c r="F5" s="9">
        <v>29494.7</v>
      </c>
      <c r="G5" s="9">
        <v>38870.31</v>
      </c>
      <c r="H5" s="9">
        <v>30546.16</v>
      </c>
    </row>
    <row r="6" ht="15">
      <c r="A6" s="7"/>
    </row>
    <row r="7" spans="1:8" ht="30">
      <c r="A7" s="7" t="str">
        <f>$A$1</f>
        <v>L'acompte          (paiement initial)</v>
      </c>
      <c r="B7" s="9">
        <f>$B$1</f>
        <v>2500</v>
      </c>
      <c r="C7" s="9">
        <f aca="true" t="shared" si="0" ref="C7:H7">$B$1</f>
        <v>2500</v>
      </c>
      <c r="D7" s="9">
        <f t="shared" si="0"/>
        <v>2500</v>
      </c>
      <c r="E7" s="9">
        <f t="shared" si="0"/>
        <v>2500</v>
      </c>
      <c r="F7" s="9">
        <f t="shared" si="0"/>
        <v>2500</v>
      </c>
      <c r="G7" s="9">
        <f t="shared" si="0"/>
        <v>2500</v>
      </c>
      <c r="H7" s="9">
        <f t="shared" si="0"/>
        <v>2500</v>
      </c>
    </row>
    <row r="8" ht="15">
      <c r="A8" s="7"/>
    </row>
    <row r="9" spans="1:8" ht="15">
      <c r="A9" s="7" t="s">
        <v>45</v>
      </c>
      <c r="B9" s="9">
        <f>B5-B7</f>
        <v>19179.05</v>
      </c>
      <c r="C9" s="9">
        <f aca="true" t="shared" si="1" ref="C9:H9">C5-C7</f>
        <v>27957.74</v>
      </c>
      <c r="D9" s="9">
        <f t="shared" si="1"/>
        <v>44676.37</v>
      </c>
      <c r="E9" s="9">
        <f t="shared" si="1"/>
        <v>29447.36</v>
      </c>
      <c r="F9" s="9">
        <f t="shared" si="1"/>
        <v>26994.7</v>
      </c>
      <c r="G9" s="9">
        <f t="shared" si="1"/>
        <v>36370.31</v>
      </c>
      <c r="H9" s="9">
        <f t="shared" si="1"/>
        <v>28046.16</v>
      </c>
    </row>
    <row r="10" spans="1:8" ht="15">
      <c r="A10" s="7"/>
      <c r="B10" s="9"/>
      <c r="C10" s="9"/>
      <c r="D10" s="9"/>
      <c r="E10" s="9"/>
      <c r="F10" s="9"/>
      <c r="G10" s="9"/>
      <c r="H10" s="9"/>
    </row>
    <row r="11" spans="1:8" ht="15">
      <c r="A11" s="102"/>
      <c r="B11" s="13"/>
      <c r="C11" s="13"/>
      <c r="D11" s="13"/>
      <c r="E11" s="13"/>
      <c r="F11" s="13"/>
      <c r="G11" s="13"/>
      <c r="H11" s="13"/>
    </row>
    <row r="12" spans="1:2" ht="15">
      <c r="A12" s="103" t="s">
        <v>46</v>
      </c>
      <c r="B12" s="104">
        <v>6</v>
      </c>
    </row>
    <row r="13" spans="1:2" ht="15">
      <c r="A13" s="103" t="s">
        <v>47</v>
      </c>
      <c r="B13" s="105">
        <v>0.03</v>
      </c>
    </row>
    <row r="14" spans="1:2" ht="30">
      <c r="A14" s="103" t="s">
        <v>111</v>
      </c>
      <c r="B14" s="106">
        <v>15.19</v>
      </c>
    </row>
    <row r="15" ht="15">
      <c r="A15" s="7"/>
    </row>
    <row r="16" spans="1:8" ht="15">
      <c r="A16" s="7" t="s">
        <v>33</v>
      </c>
      <c r="B16" s="8">
        <f aca="true" t="shared" si="2" ref="B16:H16">B9/1000*$B$14</f>
        <v>291.3297695</v>
      </c>
      <c r="C16" s="8">
        <f t="shared" si="2"/>
        <v>424.6780706</v>
      </c>
      <c r="D16" s="8">
        <f t="shared" si="2"/>
        <v>678.6340603000001</v>
      </c>
      <c r="E16" s="8">
        <f t="shared" si="2"/>
        <v>447.3053984</v>
      </c>
      <c r="F16" s="8">
        <f t="shared" si="2"/>
        <v>410.049493</v>
      </c>
      <c r="G16" s="8">
        <f t="shared" si="2"/>
        <v>552.4650088999999</v>
      </c>
      <c r="H16" s="8">
        <f t="shared" si="2"/>
        <v>426.0211704</v>
      </c>
    </row>
    <row r="17" spans="1:8" ht="15">
      <c r="A17" s="7" t="s">
        <v>7</v>
      </c>
      <c r="B17" s="9">
        <f>B16*12*$B$12</f>
        <v>20975.743404</v>
      </c>
      <c r="C17" s="9">
        <f aca="true" t="shared" si="3" ref="C17:H17">C16*12*$B$12</f>
        <v>30576.821083200004</v>
      </c>
      <c r="D17" s="9">
        <f t="shared" si="3"/>
        <v>48861.652341600005</v>
      </c>
      <c r="E17" s="9">
        <f t="shared" si="3"/>
        <v>32205.9886848</v>
      </c>
      <c r="F17" s="9">
        <f t="shared" si="3"/>
        <v>29523.563496</v>
      </c>
      <c r="G17" s="9">
        <f t="shared" si="3"/>
        <v>39777.48064079999</v>
      </c>
      <c r="H17" s="9">
        <f t="shared" si="3"/>
        <v>30673.5242688</v>
      </c>
    </row>
    <row r="18" spans="1:8" ht="15">
      <c r="A18" s="7" t="s">
        <v>126</v>
      </c>
      <c r="B18" s="9">
        <f aca="true" t="shared" si="4" ref="B18:H18">B17-B9</f>
        <v>1796.6934040000015</v>
      </c>
      <c r="C18" s="9">
        <f t="shared" si="4"/>
        <v>2619.0810832000025</v>
      </c>
      <c r="D18" s="9">
        <f t="shared" si="4"/>
        <v>4185.282341600003</v>
      </c>
      <c r="E18" s="9">
        <f t="shared" si="4"/>
        <v>2758.628684799998</v>
      </c>
      <c r="F18" s="9">
        <f t="shared" si="4"/>
        <v>2528.863495999998</v>
      </c>
      <c r="G18" s="9">
        <f t="shared" si="4"/>
        <v>3407.1706407999955</v>
      </c>
      <c r="H18" s="9">
        <f t="shared" si="4"/>
        <v>2627.3642688</v>
      </c>
    </row>
    <row r="19" ht="15">
      <c r="A19" s="7"/>
    </row>
    <row r="20" spans="1:8" ht="15.75">
      <c r="A20" s="101" t="s">
        <v>8</v>
      </c>
      <c r="B20" s="9">
        <f aca="true" t="shared" si="5" ref="B20:H20">B17+B7</f>
        <v>23475.743404</v>
      </c>
      <c r="C20" s="9">
        <f t="shared" si="5"/>
        <v>33076.821083200004</v>
      </c>
      <c r="D20" s="9">
        <f t="shared" si="5"/>
        <v>51361.652341600005</v>
      </c>
      <c r="E20" s="9">
        <f t="shared" si="5"/>
        <v>34705.9886848</v>
      </c>
      <c r="F20" s="9">
        <f t="shared" si="5"/>
        <v>32023.563496</v>
      </c>
      <c r="G20" s="9">
        <f t="shared" si="5"/>
        <v>42277.48064079999</v>
      </c>
      <c r="H20" s="9">
        <f t="shared" si="5"/>
        <v>33173.5242688</v>
      </c>
    </row>
    <row r="21" ht="15">
      <c r="A21" s="7"/>
    </row>
    <row r="22" spans="1:8" ht="15">
      <c r="A22" s="102"/>
      <c r="B22" s="12"/>
      <c r="C22" s="12"/>
      <c r="D22" s="12"/>
      <c r="E22" s="12"/>
      <c r="F22" s="12"/>
      <c r="G22" s="12"/>
      <c r="H22" s="12"/>
    </row>
    <row r="23" spans="1:2" ht="15">
      <c r="A23" s="7" t="s">
        <v>46</v>
      </c>
      <c r="B23" s="11">
        <v>3</v>
      </c>
    </row>
    <row r="24" spans="1:2" ht="15">
      <c r="A24" s="7" t="s">
        <v>47</v>
      </c>
      <c r="B24" s="10">
        <v>0.03</v>
      </c>
    </row>
    <row r="25" spans="1:2" ht="30">
      <c r="A25" s="7" t="s">
        <v>111</v>
      </c>
      <c r="B25" s="9">
        <v>29.08</v>
      </c>
    </row>
    <row r="26" spans="1:2" ht="15">
      <c r="A26" s="7"/>
      <c r="B26" s="9"/>
    </row>
    <row r="27" ht="15">
      <c r="A27" s="7"/>
    </row>
    <row r="28" spans="1:8" ht="15">
      <c r="A28" s="7" t="s">
        <v>33</v>
      </c>
      <c r="B28" s="8">
        <f>B9/1000*$B$25</f>
        <v>557.726774</v>
      </c>
      <c r="C28" s="8">
        <f aca="true" t="shared" si="6" ref="C28:H28">C9/1000*$B$25</f>
        <v>813.0110792</v>
      </c>
      <c r="D28" s="8">
        <f t="shared" si="6"/>
        <v>1299.1888396000002</v>
      </c>
      <c r="E28" s="8">
        <f t="shared" si="6"/>
        <v>856.3292287999999</v>
      </c>
      <c r="F28" s="8">
        <f t="shared" si="6"/>
        <v>785.0058760000001</v>
      </c>
      <c r="G28" s="8">
        <f t="shared" si="6"/>
        <v>1057.6486148</v>
      </c>
      <c r="H28" s="8">
        <f t="shared" si="6"/>
        <v>815.5823328</v>
      </c>
    </row>
    <row r="29" spans="1:8" ht="15">
      <c r="A29" s="7" t="s">
        <v>7</v>
      </c>
      <c r="B29" s="9">
        <f aca="true" t="shared" si="7" ref="B29:H29">B28*12*$B$23</f>
        <v>20078.163864</v>
      </c>
      <c r="C29" s="9">
        <f t="shared" si="7"/>
        <v>29268.3988512</v>
      </c>
      <c r="D29" s="9">
        <f t="shared" si="7"/>
        <v>46770.7982256</v>
      </c>
      <c r="E29" s="9">
        <f t="shared" si="7"/>
        <v>30827.852236799998</v>
      </c>
      <c r="F29" s="9">
        <f t="shared" si="7"/>
        <v>28260.211536000003</v>
      </c>
      <c r="G29" s="9">
        <f t="shared" si="7"/>
        <v>38075.3501328</v>
      </c>
      <c r="H29" s="9">
        <f t="shared" si="7"/>
        <v>29360.9639808</v>
      </c>
    </row>
    <row r="30" spans="1:8" ht="15">
      <c r="A30" s="7" t="s">
        <v>126</v>
      </c>
      <c r="B30" s="9">
        <f>B29-B9</f>
        <v>899.113863999999</v>
      </c>
      <c r="C30" s="9">
        <f aca="true" t="shared" si="8" ref="C30:H30">C29-C9</f>
        <v>1310.658851199998</v>
      </c>
      <c r="D30" s="9">
        <f t="shared" si="8"/>
        <v>2094.4282256000006</v>
      </c>
      <c r="E30" s="9">
        <f t="shared" si="8"/>
        <v>1380.492236799997</v>
      </c>
      <c r="F30" s="9">
        <f t="shared" si="8"/>
        <v>1265.5115360000018</v>
      </c>
      <c r="G30" s="9">
        <f t="shared" si="8"/>
        <v>1705.0401328000007</v>
      </c>
      <c r="H30" s="9">
        <f t="shared" si="8"/>
        <v>1314.8039807999994</v>
      </c>
    </row>
    <row r="31" ht="15">
      <c r="A31" s="7"/>
    </row>
    <row r="32" spans="1:8" ht="15.75">
      <c r="A32" s="101" t="s">
        <v>8</v>
      </c>
      <c r="B32" s="9">
        <f>B29+B7</f>
        <v>22578.163864</v>
      </c>
      <c r="C32" s="9">
        <f aca="true" t="shared" si="9" ref="C32:H32">C29+C7</f>
        <v>31768.3988512</v>
      </c>
      <c r="D32" s="9">
        <f t="shared" si="9"/>
        <v>49270.7982256</v>
      </c>
      <c r="E32" s="9">
        <f t="shared" si="9"/>
        <v>33327.8522368</v>
      </c>
      <c r="F32" s="9">
        <f t="shared" si="9"/>
        <v>30760.211536000003</v>
      </c>
      <c r="G32" s="9">
        <f t="shared" si="9"/>
        <v>40575.3501328</v>
      </c>
      <c r="H32" s="9">
        <f t="shared" si="9"/>
        <v>31860.9639808</v>
      </c>
    </row>
    <row r="33" ht="15">
      <c r="A33" s="7"/>
    </row>
    <row r="34" spans="1:8" ht="15">
      <c r="A34" s="102"/>
      <c r="B34" s="12"/>
      <c r="C34" s="12"/>
      <c r="D34" s="12"/>
      <c r="E34" s="12"/>
      <c r="F34" s="12"/>
      <c r="G34" s="12"/>
      <c r="H34" s="12"/>
    </row>
    <row r="35" spans="1:2" ht="15">
      <c r="A35" s="103" t="s">
        <v>46</v>
      </c>
      <c r="B35" s="104">
        <v>3</v>
      </c>
    </row>
    <row r="36" spans="1:2" ht="15">
      <c r="A36" s="103" t="s">
        <v>47</v>
      </c>
      <c r="B36" s="105">
        <v>0.06</v>
      </c>
    </row>
    <row r="37" spans="1:2" ht="30">
      <c r="A37" s="103" t="s">
        <v>111</v>
      </c>
      <c r="B37" s="106">
        <v>30.43</v>
      </c>
    </row>
    <row r="38" spans="1:2" ht="15">
      <c r="A38" s="7"/>
      <c r="B38" s="9"/>
    </row>
    <row r="39" spans="1:8" ht="15">
      <c r="A39" s="7" t="s">
        <v>33</v>
      </c>
      <c r="B39" s="8">
        <f>B9/1000*$B$37</f>
        <v>583.6184915</v>
      </c>
      <c r="C39" s="8">
        <f aca="true" t="shared" si="10" ref="C39:H39">C9/1000*$B$37</f>
        <v>850.7540282</v>
      </c>
      <c r="D39" s="8">
        <f t="shared" si="10"/>
        <v>1359.5019391</v>
      </c>
      <c r="E39" s="8">
        <f t="shared" si="10"/>
        <v>896.0831648</v>
      </c>
      <c r="F39" s="8">
        <f t="shared" si="10"/>
        <v>821.4487210000001</v>
      </c>
      <c r="G39" s="8">
        <f t="shared" si="10"/>
        <v>1106.7485333</v>
      </c>
      <c r="H39" s="8">
        <f t="shared" si="10"/>
        <v>853.4446488</v>
      </c>
    </row>
    <row r="40" spans="1:8" ht="15">
      <c r="A40" s="7" t="s">
        <v>7</v>
      </c>
      <c r="B40" s="9">
        <f>B39*12*$B$35</f>
        <v>21010.265694</v>
      </c>
      <c r="C40" s="9">
        <f aca="true" t="shared" si="11" ref="C40:H40">C39*12*$B$35</f>
        <v>30627.1450152</v>
      </c>
      <c r="D40" s="9">
        <f t="shared" si="11"/>
        <v>48942.069807600004</v>
      </c>
      <c r="E40" s="9">
        <f t="shared" si="11"/>
        <v>32258.9939328</v>
      </c>
      <c r="F40" s="9">
        <f t="shared" si="11"/>
        <v>29572.153956000002</v>
      </c>
      <c r="G40" s="9">
        <f t="shared" si="11"/>
        <v>39842.9471988</v>
      </c>
      <c r="H40" s="9">
        <f t="shared" si="11"/>
        <v>30724.0073568</v>
      </c>
    </row>
    <row r="41" spans="1:8" ht="15">
      <c r="A41" s="7" t="s">
        <v>126</v>
      </c>
      <c r="B41" s="9">
        <f>B40-B9</f>
        <v>1831.2156940000023</v>
      </c>
      <c r="C41" s="9">
        <f aca="true" t="shared" si="12" ref="C41:H41">C40-C9</f>
        <v>2669.405015199998</v>
      </c>
      <c r="D41" s="9">
        <f t="shared" si="12"/>
        <v>4265.699807600002</v>
      </c>
      <c r="E41" s="9">
        <f t="shared" si="12"/>
        <v>2811.6339327999995</v>
      </c>
      <c r="F41" s="9">
        <f t="shared" si="12"/>
        <v>2577.453956000001</v>
      </c>
      <c r="G41" s="9">
        <f t="shared" si="12"/>
        <v>3472.637198800003</v>
      </c>
      <c r="H41" s="9">
        <f t="shared" si="12"/>
        <v>2677.847356800001</v>
      </c>
    </row>
    <row r="42" ht="15">
      <c r="A42" s="7"/>
    </row>
    <row r="43" spans="1:8" ht="15.75">
      <c r="A43" s="101" t="s">
        <v>8</v>
      </c>
      <c r="B43" s="9">
        <f>B40+B7</f>
        <v>23510.265694</v>
      </c>
      <c r="C43" s="9">
        <f aca="true" t="shared" si="13" ref="C43:H43">C40+C7</f>
        <v>33127.1450152</v>
      </c>
      <c r="D43" s="9">
        <f t="shared" si="13"/>
        <v>51442.069807600004</v>
      </c>
      <c r="E43" s="9">
        <f t="shared" si="13"/>
        <v>34758.993932800004</v>
      </c>
      <c r="F43" s="9">
        <f t="shared" si="13"/>
        <v>32072.153956000002</v>
      </c>
      <c r="G43" s="9">
        <f t="shared" si="13"/>
        <v>42342.9471988</v>
      </c>
      <c r="H43" s="9">
        <f t="shared" si="13"/>
        <v>33224.0073568</v>
      </c>
    </row>
    <row r="45" ht="15">
      <c r="A45" s="160" t="s">
        <v>138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23">
      <selection activeCell="D46" sqref="D46"/>
    </sheetView>
  </sheetViews>
  <sheetFormatPr defaultColWidth="11.421875" defaultRowHeight="15"/>
  <cols>
    <col min="1" max="1" width="24.7109375" style="0" customWidth="1"/>
    <col min="2" max="2" width="18.421875" style="0" customWidth="1"/>
    <col min="3" max="4" width="22.140625" style="0" customWidth="1"/>
    <col min="5" max="6" width="13.8515625" style="0" bestFit="1" customWidth="1"/>
    <col min="7" max="7" width="13.00390625" style="0" bestFit="1" customWidth="1"/>
    <col min="8" max="8" width="20.57421875" style="49" customWidth="1"/>
    <col min="9" max="9" width="13.7109375" style="0" bestFit="1" customWidth="1"/>
    <col min="10" max="10" width="22.00390625" style="0" customWidth="1"/>
    <col min="11" max="11" width="21.00390625" style="0" customWidth="1"/>
    <col min="12" max="13" width="13.8515625" style="0" bestFit="1" customWidth="1"/>
  </cols>
  <sheetData>
    <row r="1" spans="1:13" ht="30">
      <c r="A1" s="108" t="s">
        <v>128</v>
      </c>
      <c r="B1" s="118">
        <v>2500</v>
      </c>
      <c r="C1" s="54"/>
      <c r="D1" s="54"/>
      <c r="E1" s="54"/>
      <c r="F1" s="54"/>
      <c r="G1" s="54"/>
      <c r="H1" s="55"/>
      <c r="I1" s="54"/>
      <c r="J1" s="54"/>
      <c r="K1" s="54"/>
      <c r="L1" s="54"/>
      <c r="M1" s="54"/>
    </row>
    <row r="2" spans="1:13" ht="15">
      <c r="A2" s="108"/>
      <c r="B2" s="88"/>
      <c r="C2" s="88"/>
      <c r="D2" s="88"/>
      <c r="E2" s="88"/>
      <c r="F2" s="54"/>
      <c r="G2" s="54"/>
      <c r="H2" s="55"/>
      <c r="I2" s="54"/>
      <c r="J2" s="54"/>
      <c r="K2" s="54"/>
      <c r="L2" s="54"/>
      <c r="M2" s="54"/>
    </row>
    <row r="3" spans="1:13" ht="15">
      <c r="A3" s="108" t="s">
        <v>48</v>
      </c>
      <c r="B3" s="119">
        <v>6</v>
      </c>
      <c r="C3" s="88"/>
      <c r="D3" s="88"/>
      <c r="E3" s="88"/>
      <c r="F3" s="88"/>
      <c r="G3" s="54"/>
      <c r="H3" s="55"/>
      <c r="I3" s="54"/>
      <c r="J3" s="54"/>
      <c r="K3" s="54"/>
      <c r="L3" s="54"/>
      <c r="M3" s="54"/>
    </row>
    <row r="4" spans="1:13" ht="15">
      <c r="A4" s="108" t="s">
        <v>47</v>
      </c>
      <c r="B4" s="120">
        <v>0.03</v>
      </c>
      <c r="C4" s="88"/>
      <c r="D4" s="157"/>
      <c r="E4" s="157"/>
      <c r="F4" s="157"/>
      <c r="G4" s="54"/>
      <c r="H4" s="55"/>
      <c r="I4" s="54"/>
      <c r="J4" s="54"/>
      <c r="K4" s="54"/>
      <c r="L4" s="54"/>
      <c r="M4" s="54"/>
    </row>
    <row r="5" spans="1:13" ht="15">
      <c r="A5" s="108"/>
      <c r="B5" s="111"/>
      <c r="C5" s="88"/>
      <c r="D5" s="109"/>
      <c r="E5" s="109"/>
      <c r="F5" s="109"/>
      <c r="G5" s="54"/>
      <c r="H5" s="55"/>
      <c r="I5" s="54"/>
      <c r="J5" s="54"/>
      <c r="K5" s="54"/>
      <c r="L5" s="54"/>
      <c r="M5" s="54"/>
    </row>
    <row r="6" spans="1:9" s="54" customFormat="1" ht="15">
      <c r="A6" s="112" t="s">
        <v>0</v>
      </c>
      <c r="B6" s="113"/>
      <c r="C6" s="88"/>
      <c r="D6" s="109"/>
      <c r="E6" s="109"/>
      <c r="F6" s="109"/>
      <c r="H6" s="112" t="s">
        <v>1</v>
      </c>
      <c r="I6" s="115"/>
    </row>
    <row r="7" spans="1:13" ht="15">
      <c r="A7" s="121" t="s">
        <v>33</v>
      </c>
      <c r="B7" s="116">
        <v>291.33</v>
      </c>
      <c r="C7" s="54"/>
      <c r="D7" s="110"/>
      <c r="E7" s="110"/>
      <c r="F7" s="110"/>
      <c r="G7" s="54"/>
      <c r="H7" s="121" t="str">
        <f>A7</f>
        <v>Le paiement mensuel</v>
      </c>
      <c r="I7" s="116">
        <v>424.68</v>
      </c>
      <c r="J7" s="54"/>
      <c r="K7" s="54"/>
      <c r="L7" s="54"/>
      <c r="M7" s="54"/>
    </row>
    <row r="8" spans="1:13" ht="15.75" thickBot="1">
      <c r="A8" s="122"/>
      <c r="B8" s="123"/>
      <c r="C8" s="54"/>
      <c r="D8" s="110"/>
      <c r="E8" s="110"/>
      <c r="F8" s="110"/>
      <c r="G8" s="54"/>
      <c r="H8" s="55"/>
      <c r="I8" s="54"/>
      <c r="J8" s="54"/>
      <c r="K8" s="54"/>
      <c r="L8" s="54"/>
      <c r="M8" s="54"/>
    </row>
    <row r="9" spans="1:13" s="18" customFormat="1" ht="48" customHeight="1" thickBot="1">
      <c r="A9" s="38" t="s">
        <v>10</v>
      </c>
      <c r="B9" s="43" t="s">
        <v>33</v>
      </c>
      <c r="C9" s="43" t="s">
        <v>95</v>
      </c>
      <c r="D9" s="43" t="s">
        <v>96</v>
      </c>
      <c r="E9" s="43" t="s">
        <v>98</v>
      </c>
      <c r="F9" s="43" t="s">
        <v>97</v>
      </c>
      <c r="G9" s="21"/>
      <c r="H9" s="38" t="str">
        <f aca="true" t="shared" si="0" ref="H9:M9">A9</f>
        <v>Mois</v>
      </c>
      <c r="I9" s="43" t="str">
        <f t="shared" si="0"/>
        <v>Le paiement mensuel</v>
      </c>
      <c r="J9" s="43" t="str">
        <f t="shared" si="0"/>
        <v>Le montant du paiement mensuel envers l'intérêt</v>
      </c>
      <c r="K9" s="43" t="str">
        <f t="shared" si="0"/>
        <v>Le montant du paiement mensuel envers le capital</v>
      </c>
      <c r="L9" s="43" t="str">
        <f t="shared" si="0"/>
        <v>Le solde impayé</v>
      </c>
      <c r="M9" s="43" t="str">
        <f t="shared" si="0"/>
        <v>La valeur nette</v>
      </c>
    </row>
    <row r="10" spans="1:13" s="18" customFormat="1" ht="14.25">
      <c r="A10" s="107">
        <v>0</v>
      </c>
      <c r="B10" s="124"/>
      <c r="C10" s="124"/>
      <c r="D10" s="124"/>
      <c r="E10" s="125">
        <v>19179.05</v>
      </c>
      <c r="F10" s="125">
        <f>$B$1</f>
        <v>2500</v>
      </c>
      <c r="G10" s="21"/>
      <c r="H10" s="107">
        <v>0</v>
      </c>
      <c r="I10" s="124"/>
      <c r="J10" s="124"/>
      <c r="K10" s="124"/>
      <c r="L10" s="125">
        <v>27957.74</v>
      </c>
      <c r="M10" s="125">
        <f>F10</f>
        <v>2500</v>
      </c>
    </row>
    <row r="11" spans="1:13" s="18" customFormat="1" ht="14.25">
      <c r="A11" s="107">
        <f>A10+1</f>
        <v>1</v>
      </c>
      <c r="B11" s="125">
        <f>$B$7</f>
        <v>291.33</v>
      </c>
      <c r="C11" s="125">
        <f>E10*$B$4/12</f>
        <v>47.947624999999995</v>
      </c>
      <c r="D11" s="125">
        <f>B11-C11</f>
        <v>243.382375</v>
      </c>
      <c r="E11" s="125">
        <f>E10-D11</f>
        <v>18935.667625</v>
      </c>
      <c r="F11" s="125">
        <f>F10+D11</f>
        <v>2743.382375</v>
      </c>
      <c r="G11" s="21"/>
      <c r="H11" s="107">
        <f>H10+1</f>
        <v>1</v>
      </c>
      <c r="I11" s="125">
        <f>$I$7</f>
        <v>424.68</v>
      </c>
      <c r="J11" s="125">
        <f>L10*$B$4/12</f>
        <v>69.89435</v>
      </c>
      <c r="K11" s="125">
        <f>I11-J11</f>
        <v>354.78565000000003</v>
      </c>
      <c r="L11" s="125">
        <f>L10-K11</f>
        <v>27602.95435</v>
      </c>
      <c r="M11" s="125">
        <f>M10+K11</f>
        <v>2854.78565</v>
      </c>
    </row>
    <row r="12" spans="1:13" s="18" customFormat="1" ht="14.25">
      <c r="A12" s="107">
        <f>A11+1</f>
        <v>2</v>
      </c>
      <c r="B12" s="125">
        <f>$B$7</f>
        <v>291.33</v>
      </c>
      <c r="C12" s="125">
        <f>E11*$B$4/12</f>
        <v>47.33916906249999</v>
      </c>
      <c r="D12" s="125">
        <f>B12-C12</f>
        <v>243.9908309375</v>
      </c>
      <c r="E12" s="125">
        <f>E11-D12</f>
        <v>18691.6767940625</v>
      </c>
      <c r="F12" s="125">
        <f>F11+D12</f>
        <v>2987.3732059375</v>
      </c>
      <c r="G12" s="21"/>
      <c r="H12" s="107">
        <f>H11+1</f>
        <v>2</v>
      </c>
      <c r="I12" s="125">
        <f>$I$7</f>
        <v>424.68</v>
      </c>
      <c r="J12" s="125">
        <f>L11*$B$4/12</f>
        <v>69.007385875</v>
      </c>
      <c r="K12" s="125">
        <f>I12-J12</f>
        <v>355.672614125</v>
      </c>
      <c r="L12" s="125">
        <f>L11-K12</f>
        <v>27247.281735875</v>
      </c>
      <c r="M12" s="125">
        <f>M11+K12</f>
        <v>3210.458264125</v>
      </c>
    </row>
    <row r="13" spans="1:13" s="18" customFormat="1" ht="14.25">
      <c r="A13" s="107">
        <f>A12+1</f>
        <v>3</v>
      </c>
      <c r="B13" s="125">
        <f>$B$7</f>
        <v>291.33</v>
      </c>
      <c r="C13" s="125">
        <f>E12*$B$4/12</f>
        <v>46.72919198515624</v>
      </c>
      <c r="D13" s="125">
        <f>B13-C13</f>
        <v>244.60080801484375</v>
      </c>
      <c r="E13" s="125">
        <f>E12-D13</f>
        <v>18447.075986047657</v>
      </c>
      <c r="F13" s="125">
        <f>F12+D13</f>
        <v>3231.9740139523437</v>
      </c>
      <c r="G13" s="21"/>
      <c r="H13" s="107">
        <f>H12+1</f>
        <v>3</v>
      </c>
      <c r="I13" s="125">
        <f>$I$7</f>
        <v>424.68</v>
      </c>
      <c r="J13" s="125">
        <f>L12*$B$4/12</f>
        <v>68.1182043396875</v>
      </c>
      <c r="K13" s="125">
        <f>I13-J13</f>
        <v>356.5617956603125</v>
      </c>
      <c r="L13" s="125">
        <f>L12-K13</f>
        <v>26890.719940214687</v>
      </c>
      <c r="M13" s="125">
        <f>M12+K13</f>
        <v>3567.0200597853122</v>
      </c>
    </row>
    <row r="14" spans="1:13" s="18" customFormat="1" ht="14.25">
      <c r="A14" s="107">
        <f>A13+1</f>
        <v>4</v>
      </c>
      <c r="B14" s="125">
        <f>$B$7</f>
        <v>291.33</v>
      </c>
      <c r="C14" s="125">
        <f>E13*$B$4/12</f>
        <v>46.11768996511915</v>
      </c>
      <c r="D14" s="125">
        <f>B14-C14</f>
        <v>245.21231003488083</v>
      </c>
      <c r="E14" s="125">
        <f>E13-D14</f>
        <v>18201.863676012777</v>
      </c>
      <c r="F14" s="125">
        <f>F13+D14</f>
        <v>3477.1863239872246</v>
      </c>
      <c r="G14" s="21"/>
      <c r="H14" s="107">
        <f>H13+1</f>
        <v>4</v>
      </c>
      <c r="I14" s="125">
        <f>$I$7</f>
        <v>424.68</v>
      </c>
      <c r="J14" s="125">
        <f>L13*$B$4/12</f>
        <v>67.22679985053672</v>
      </c>
      <c r="K14" s="125">
        <f>I14-J14</f>
        <v>357.45320014946327</v>
      </c>
      <c r="L14" s="125">
        <f>L13-K14</f>
        <v>26533.266740065224</v>
      </c>
      <c r="M14" s="125">
        <f>M13+K14</f>
        <v>3924.4732599347753</v>
      </c>
    </row>
    <row r="15" spans="1:13" ht="15">
      <c r="A15" s="108"/>
      <c r="B15" s="126"/>
      <c r="C15" s="126"/>
      <c r="D15" s="126"/>
      <c r="E15" s="54"/>
      <c r="F15" s="126"/>
      <c r="G15" s="126"/>
      <c r="H15" s="127"/>
      <c r="I15" s="54"/>
      <c r="J15" s="126"/>
      <c r="K15" s="126"/>
      <c r="L15" s="126"/>
      <c r="M15" s="54"/>
    </row>
    <row r="16" spans="1:9" s="54" customFormat="1" ht="30">
      <c r="A16" s="112" t="s">
        <v>27</v>
      </c>
      <c r="B16" s="116"/>
      <c r="D16" s="110"/>
      <c r="E16" s="110"/>
      <c r="F16" s="110"/>
      <c r="H16" s="112" t="s">
        <v>2</v>
      </c>
      <c r="I16" s="115"/>
    </row>
    <row r="17" spans="1:13" ht="15">
      <c r="A17" s="121" t="s">
        <v>33</v>
      </c>
      <c r="B17" s="116">
        <v>678.63</v>
      </c>
      <c r="C17" s="54"/>
      <c r="D17" s="110"/>
      <c r="E17" s="110"/>
      <c r="F17" s="110"/>
      <c r="G17" s="54"/>
      <c r="H17" s="121" t="str">
        <f>A17</f>
        <v>Le paiement mensuel</v>
      </c>
      <c r="I17" s="116">
        <v>447.31</v>
      </c>
      <c r="J17" s="54"/>
      <c r="K17" s="54"/>
      <c r="L17" s="54"/>
      <c r="M17" s="54"/>
    </row>
    <row r="18" spans="1:13" ht="15.75" thickBot="1">
      <c r="A18" s="122"/>
      <c r="B18" s="123"/>
      <c r="C18" s="54"/>
      <c r="D18" s="110"/>
      <c r="E18" s="110"/>
      <c r="F18" s="110"/>
      <c r="G18" s="54"/>
      <c r="H18" s="55"/>
      <c r="I18" s="54"/>
      <c r="J18" s="54"/>
      <c r="K18" s="54"/>
      <c r="L18" s="54"/>
      <c r="M18" s="54"/>
    </row>
    <row r="19" spans="1:13" ht="63.75" thickBot="1">
      <c r="A19" s="38" t="str">
        <f aca="true" t="shared" si="1" ref="A19:F19">A9</f>
        <v>Mois</v>
      </c>
      <c r="B19" s="43" t="str">
        <f t="shared" si="1"/>
        <v>Le paiement mensuel</v>
      </c>
      <c r="C19" s="43" t="str">
        <f t="shared" si="1"/>
        <v>Le montant du paiement mensuel envers l'intérêt</v>
      </c>
      <c r="D19" s="43" t="str">
        <f t="shared" si="1"/>
        <v>Le montant du paiement mensuel envers le capital</v>
      </c>
      <c r="E19" s="43" t="str">
        <f t="shared" si="1"/>
        <v>Le solde impayé</v>
      </c>
      <c r="F19" s="43" t="str">
        <f t="shared" si="1"/>
        <v>La valeur nette</v>
      </c>
      <c r="G19" s="21"/>
      <c r="H19" s="38" t="str">
        <f aca="true" t="shared" si="2" ref="H19:M19">A9</f>
        <v>Mois</v>
      </c>
      <c r="I19" s="38" t="str">
        <f t="shared" si="2"/>
        <v>Le paiement mensuel</v>
      </c>
      <c r="J19" s="38" t="str">
        <f t="shared" si="2"/>
        <v>Le montant du paiement mensuel envers l'intérêt</v>
      </c>
      <c r="K19" s="38" t="str">
        <f t="shared" si="2"/>
        <v>Le montant du paiement mensuel envers le capital</v>
      </c>
      <c r="L19" s="38" t="str">
        <f t="shared" si="2"/>
        <v>Le solde impayé</v>
      </c>
      <c r="M19" s="38" t="str">
        <f t="shared" si="2"/>
        <v>La valeur nette</v>
      </c>
    </row>
    <row r="20" spans="1:13" ht="15">
      <c r="A20" s="107">
        <v>0</v>
      </c>
      <c r="B20" s="124"/>
      <c r="C20" s="124"/>
      <c r="D20" s="124"/>
      <c r="E20" s="125">
        <v>44676.37</v>
      </c>
      <c r="F20" s="125">
        <f>F10</f>
        <v>2500</v>
      </c>
      <c r="G20" s="21"/>
      <c r="H20" s="107">
        <v>0</v>
      </c>
      <c r="I20" s="124"/>
      <c r="J20" s="124"/>
      <c r="K20" s="124"/>
      <c r="L20" s="125">
        <v>29447.36</v>
      </c>
      <c r="M20" s="125">
        <f>F10</f>
        <v>2500</v>
      </c>
    </row>
    <row r="21" spans="1:13" ht="15">
      <c r="A21" s="107">
        <f>A20+1</f>
        <v>1</v>
      </c>
      <c r="B21" s="125">
        <f>$B$17</f>
        <v>678.63</v>
      </c>
      <c r="C21" s="125">
        <f>E20*$B$4/12</f>
        <v>111.69092500000001</v>
      </c>
      <c r="D21" s="125">
        <f>B21-C21</f>
        <v>566.939075</v>
      </c>
      <c r="E21" s="125">
        <f>E20-D21</f>
        <v>44109.430925</v>
      </c>
      <c r="F21" s="125">
        <f>F20+D21</f>
        <v>3066.9390750000002</v>
      </c>
      <c r="G21" s="21"/>
      <c r="H21" s="107">
        <f>H20+1</f>
        <v>1</v>
      </c>
      <c r="I21" s="125">
        <f>$I$17</f>
        <v>447.31</v>
      </c>
      <c r="J21" s="125">
        <f>L20*$B$4/12</f>
        <v>73.6184</v>
      </c>
      <c r="K21" s="125">
        <f>I21-J21</f>
        <v>373.6916</v>
      </c>
      <c r="L21" s="125">
        <f>L20-K21</f>
        <v>29073.668400000002</v>
      </c>
      <c r="M21" s="125">
        <f>M20+K21</f>
        <v>2873.6916</v>
      </c>
    </row>
    <row r="22" spans="1:13" ht="15">
      <c r="A22" s="107">
        <f>A21+1</f>
        <v>2</v>
      </c>
      <c r="B22" s="125">
        <f>$B$17</f>
        <v>678.63</v>
      </c>
      <c r="C22" s="125">
        <f>E21*$B$4/12</f>
        <v>110.2735773125</v>
      </c>
      <c r="D22" s="125">
        <f>B22-C22</f>
        <v>568.3564226875</v>
      </c>
      <c r="E22" s="125">
        <f>E21-D22</f>
        <v>43541.0745023125</v>
      </c>
      <c r="F22" s="125">
        <f>F21+D22</f>
        <v>3635.2954976875003</v>
      </c>
      <c r="G22" s="21"/>
      <c r="H22" s="107">
        <f>H21+1</f>
        <v>2</v>
      </c>
      <c r="I22" s="125">
        <f>$I$17</f>
        <v>447.31</v>
      </c>
      <c r="J22" s="125">
        <f>L21*$B$4/12</f>
        <v>72.684171</v>
      </c>
      <c r="K22" s="125">
        <f>I22-J22</f>
        <v>374.625829</v>
      </c>
      <c r="L22" s="125">
        <f>L21-K22</f>
        <v>28699.042571</v>
      </c>
      <c r="M22" s="125">
        <f>M21+K22</f>
        <v>3248.317429</v>
      </c>
    </row>
    <row r="23" spans="1:13" ht="15">
      <c r="A23" s="107">
        <f>A22+1</f>
        <v>3</v>
      </c>
      <c r="B23" s="125">
        <f>$B$17</f>
        <v>678.63</v>
      </c>
      <c r="C23" s="125">
        <f>E22*$B$4/12</f>
        <v>108.85268625578124</v>
      </c>
      <c r="D23" s="125">
        <f>B23-C23</f>
        <v>569.7773137442188</v>
      </c>
      <c r="E23" s="125">
        <f>E22-D23</f>
        <v>42971.29718856828</v>
      </c>
      <c r="F23" s="125">
        <f>F22+D23</f>
        <v>4205.072811431719</v>
      </c>
      <c r="G23" s="21"/>
      <c r="H23" s="107">
        <f>H22+1</f>
        <v>3</v>
      </c>
      <c r="I23" s="125">
        <f>$I$17</f>
        <v>447.31</v>
      </c>
      <c r="J23" s="125">
        <f>L22*$B$4/12</f>
        <v>71.7476064275</v>
      </c>
      <c r="K23" s="125">
        <f>I23-J23</f>
        <v>375.5623935725</v>
      </c>
      <c r="L23" s="125">
        <f>L22-K23</f>
        <v>28323.4801774275</v>
      </c>
      <c r="M23" s="125">
        <f>M22+K23</f>
        <v>3623.8798225725004</v>
      </c>
    </row>
    <row r="24" spans="1:13" ht="15">
      <c r="A24" s="107">
        <f>A23+1</f>
        <v>4</v>
      </c>
      <c r="B24" s="125">
        <f>$B$17</f>
        <v>678.63</v>
      </c>
      <c r="C24" s="125">
        <f>E23*$B$4/12</f>
        <v>107.42824297142069</v>
      </c>
      <c r="D24" s="125">
        <f>B24-C24</f>
        <v>571.2017570285793</v>
      </c>
      <c r="E24" s="125">
        <f>E23-D24</f>
        <v>42400.095431539696</v>
      </c>
      <c r="F24" s="125">
        <f>F23+D24</f>
        <v>4776.274568460298</v>
      </c>
      <c r="G24" s="21"/>
      <c r="H24" s="107">
        <f>H23+1</f>
        <v>4</v>
      </c>
      <c r="I24" s="125">
        <f>$I$17</f>
        <v>447.31</v>
      </c>
      <c r="J24" s="125">
        <f>L23*$B$4/12</f>
        <v>70.80870044356875</v>
      </c>
      <c r="K24" s="125">
        <f>I24-J24</f>
        <v>376.50129955643126</v>
      </c>
      <c r="L24" s="125">
        <f>L23-K24</f>
        <v>27946.978877871068</v>
      </c>
      <c r="M24" s="125">
        <f>M23+K24</f>
        <v>4000.3811221289316</v>
      </c>
    </row>
    <row r="25" spans="1:13" ht="19.5" customHeight="1">
      <c r="A25" s="55"/>
      <c r="B25" s="54"/>
      <c r="C25" s="54"/>
      <c r="D25" s="54"/>
      <c r="E25" s="54"/>
      <c r="F25" s="54"/>
      <c r="G25" s="54"/>
      <c r="H25" s="55"/>
      <c r="I25" s="54"/>
      <c r="J25" s="54"/>
      <c r="K25" s="54"/>
      <c r="L25" s="54"/>
      <c r="M25" s="54"/>
    </row>
    <row r="26" spans="1:9" s="54" customFormat="1" ht="30">
      <c r="A26" s="112" t="s">
        <v>3</v>
      </c>
      <c r="B26" s="116"/>
      <c r="D26" s="110"/>
      <c r="E26" s="110"/>
      <c r="F26" s="110"/>
      <c r="H26" s="112" t="s">
        <v>4</v>
      </c>
      <c r="I26" s="115"/>
    </row>
    <row r="27" spans="1:13" ht="15">
      <c r="A27" s="121" t="s">
        <v>33</v>
      </c>
      <c r="B27" s="116">
        <v>410.05</v>
      </c>
      <c r="C27" s="54"/>
      <c r="D27" s="110"/>
      <c r="E27" s="110"/>
      <c r="F27" s="110"/>
      <c r="G27" s="54"/>
      <c r="H27" s="121" t="str">
        <f>A27</f>
        <v>Le paiement mensuel</v>
      </c>
      <c r="I27" s="116">
        <v>552.46</v>
      </c>
      <c r="J27" s="54"/>
      <c r="K27" s="54"/>
      <c r="L27" s="54"/>
      <c r="M27" s="54"/>
    </row>
    <row r="28" spans="1:13" ht="15.75" thickBot="1">
      <c r="A28" s="122"/>
      <c r="B28" s="123"/>
      <c r="C28" s="54"/>
      <c r="D28" s="110"/>
      <c r="E28" s="110"/>
      <c r="F28" s="110"/>
      <c r="G28" s="54"/>
      <c r="H28" s="55"/>
      <c r="I28" s="54"/>
      <c r="J28" s="54"/>
      <c r="K28" s="54"/>
      <c r="L28" s="54"/>
      <c r="M28" s="54"/>
    </row>
    <row r="29" spans="1:13" s="18" customFormat="1" ht="48" customHeight="1" thickBot="1">
      <c r="A29" s="38" t="str">
        <f aca="true" t="shared" si="3" ref="A29:F29">A9</f>
        <v>Mois</v>
      </c>
      <c r="B29" s="38" t="str">
        <f t="shared" si="3"/>
        <v>Le paiement mensuel</v>
      </c>
      <c r="C29" s="38" t="str">
        <f t="shared" si="3"/>
        <v>Le montant du paiement mensuel envers l'intérêt</v>
      </c>
      <c r="D29" s="38" t="str">
        <f t="shared" si="3"/>
        <v>Le montant du paiement mensuel envers le capital</v>
      </c>
      <c r="E29" s="38" t="str">
        <f t="shared" si="3"/>
        <v>Le solde impayé</v>
      </c>
      <c r="F29" s="38" t="str">
        <f t="shared" si="3"/>
        <v>La valeur nette</v>
      </c>
      <c r="G29" s="21"/>
      <c r="H29" s="38" t="str">
        <f aca="true" t="shared" si="4" ref="H29:M29">A9</f>
        <v>Mois</v>
      </c>
      <c r="I29" s="38" t="str">
        <f t="shared" si="4"/>
        <v>Le paiement mensuel</v>
      </c>
      <c r="J29" s="38" t="str">
        <f t="shared" si="4"/>
        <v>Le montant du paiement mensuel envers l'intérêt</v>
      </c>
      <c r="K29" s="38" t="str">
        <f t="shared" si="4"/>
        <v>Le montant du paiement mensuel envers le capital</v>
      </c>
      <c r="L29" s="38" t="str">
        <f t="shared" si="4"/>
        <v>Le solde impayé</v>
      </c>
      <c r="M29" s="38" t="str">
        <f t="shared" si="4"/>
        <v>La valeur nette</v>
      </c>
    </row>
    <row r="30" spans="1:13" s="18" customFormat="1" ht="14.25">
      <c r="A30" s="107">
        <v>0</v>
      </c>
      <c r="B30" s="124"/>
      <c r="C30" s="124"/>
      <c r="D30" s="124"/>
      <c r="E30" s="125">
        <v>29494.7</v>
      </c>
      <c r="F30" s="125">
        <f>$B$1</f>
        <v>2500</v>
      </c>
      <c r="G30" s="21"/>
      <c r="H30" s="107">
        <v>0</v>
      </c>
      <c r="I30" s="124"/>
      <c r="J30" s="124"/>
      <c r="K30" s="124"/>
      <c r="L30" s="125">
        <v>36370.31</v>
      </c>
      <c r="M30" s="125">
        <f>$B$1</f>
        <v>2500</v>
      </c>
    </row>
    <row r="31" spans="1:13" s="18" customFormat="1" ht="14.25">
      <c r="A31" s="107">
        <f>A30+1</f>
        <v>1</v>
      </c>
      <c r="B31" s="125">
        <f>$B$27</f>
        <v>410.05</v>
      </c>
      <c r="C31" s="125">
        <f>E30*$B$4/12</f>
        <v>73.73675</v>
      </c>
      <c r="D31" s="125">
        <f>B31-C31</f>
        <v>336.31325000000004</v>
      </c>
      <c r="E31" s="125">
        <f>E30-D31</f>
        <v>29158.38675</v>
      </c>
      <c r="F31" s="125">
        <f>F30+D31</f>
        <v>2836.31325</v>
      </c>
      <c r="G31" s="21"/>
      <c r="H31" s="107">
        <f>H30+1</f>
        <v>1</v>
      </c>
      <c r="I31" s="125">
        <f>$I$27</f>
        <v>552.46</v>
      </c>
      <c r="J31" s="125">
        <f>L30*$B$4/12</f>
        <v>90.92577499999999</v>
      </c>
      <c r="K31" s="125">
        <f>I31-J31</f>
        <v>461.53422500000005</v>
      </c>
      <c r="L31" s="125">
        <f>L30-K31</f>
        <v>35908.775774999995</v>
      </c>
      <c r="M31" s="125">
        <f>M30+K31</f>
        <v>2961.534225</v>
      </c>
    </row>
    <row r="32" spans="1:13" s="18" customFormat="1" ht="14.25">
      <c r="A32" s="107">
        <f>A31+1</f>
        <v>2</v>
      </c>
      <c r="B32" s="125">
        <f>$B$27</f>
        <v>410.05</v>
      </c>
      <c r="C32" s="125">
        <f>E31*$B$4/12</f>
        <v>72.895966875</v>
      </c>
      <c r="D32" s="125">
        <f>B32-C32</f>
        <v>337.154033125</v>
      </c>
      <c r="E32" s="125">
        <f>E31-D32</f>
        <v>28821.232716875</v>
      </c>
      <c r="F32" s="125">
        <f>F31+D32</f>
        <v>3173.467283125</v>
      </c>
      <c r="G32" s="21"/>
      <c r="H32" s="107">
        <f>H31+1</f>
        <v>2</v>
      </c>
      <c r="I32" s="125">
        <f>$I$27</f>
        <v>552.46</v>
      </c>
      <c r="J32" s="125">
        <f>L31*$B$4/12</f>
        <v>89.7719394375</v>
      </c>
      <c r="K32" s="125">
        <f>I32-J32</f>
        <v>462.6880605625</v>
      </c>
      <c r="L32" s="125">
        <f>L31-K32</f>
        <v>35446.0877144375</v>
      </c>
      <c r="M32" s="125">
        <f>M31+K32</f>
        <v>3424.2222855625</v>
      </c>
    </row>
    <row r="33" spans="1:13" s="18" customFormat="1" ht="14.25">
      <c r="A33" s="107">
        <f>A32+1</f>
        <v>3</v>
      </c>
      <c r="B33" s="125">
        <f>$B$27</f>
        <v>410.05</v>
      </c>
      <c r="C33" s="125">
        <f>E32*$B$4/12</f>
        <v>72.0530817921875</v>
      </c>
      <c r="D33" s="125">
        <f>B33-C33</f>
        <v>337.99691820781254</v>
      </c>
      <c r="E33" s="125">
        <f>E32-D33</f>
        <v>28483.23579866719</v>
      </c>
      <c r="F33" s="125">
        <f>F32+D33</f>
        <v>3511.4642013328125</v>
      </c>
      <c r="G33" s="21"/>
      <c r="H33" s="107">
        <f>H32+1</f>
        <v>3</v>
      </c>
      <c r="I33" s="125">
        <f>$I$27</f>
        <v>552.46</v>
      </c>
      <c r="J33" s="125">
        <f>L32*$B$4/12</f>
        <v>88.61521928609375</v>
      </c>
      <c r="K33" s="125">
        <f>I33-J33</f>
        <v>463.8447807139063</v>
      </c>
      <c r="L33" s="125">
        <f>L32-K33</f>
        <v>34982.24293372359</v>
      </c>
      <c r="M33" s="125">
        <f>M32+K33</f>
        <v>3888.0670662764064</v>
      </c>
    </row>
    <row r="34" spans="1:13" s="18" customFormat="1" ht="14.25">
      <c r="A34" s="107">
        <f>A33+1</f>
        <v>4</v>
      </c>
      <c r="B34" s="125">
        <f>$B$27</f>
        <v>410.05</v>
      </c>
      <c r="C34" s="125">
        <f>E33*$B$4/12</f>
        <v>71.20808949666797</v>
      </c>
      <c r="D34" s="125">
        <f>B34-C34</f>
        <v>338.84191050333203</v>
      </c>
      <c r="E34" s="125">
        <f>E33-D34</f>
        <v>28144.393888163857</v>
      </c>
      <c r="F34" s="125">
        <f>F33+D34</f>
        <v>3850.3061118361447</v>
      </c>
      <c r="G34" s="21"/>
      <c r="H34" s="107">
        <f>H33+1</f>
        <v>4</v>
      </c>
      <c r="I34" s="125">
        <f>$I$27</f>
        <v>552.46</v>
      </c>
      <c r="J34" s="125">
        <f>L33*$B$4/12</f>
        <v>87.45560733430897</v>
      </c>
      <c r="K34" s="125">
        <f>I34-J34</f>
        <v>465.00439266569106</v>
      </c>
      <c r="L34" s="125">
        <f>L33-K34</f>
        <v>34517.23854105789</v>
      </c>
      <c r="M34" s="125">
        <f>M33+K34</f>
        <v>4353.071458942098</v>
      </c>
    </row>
    <row r="35" spans="1:13" ht="15">
      <c r="A35" s="108"/>
      <c r="B35" s="126"/>
      <c r="C35" s="126"/>
      <c r="D35" s="126"/>
      <c r="E35" s="54"/>
      <c r="F35" s="126"/>
      <c r="G35" s="126"/>
      <c r="H35" s="127"/>
      <c r="I35" s="54"/>
      <c r="J35" s="126"/>
      <c r="K35" s="126"/>
      <c r="L35" s="126"/>
      <c r="M35" s="54"/>
    </row>
    <row r="36" spans="1:8" s="54" customFormat="1" ht="33.75" customHeight="1">
      <c r="A36" s="112" t="s">
        <v>5</v>
      </c>
      <c r="B36" s="116"/>
      <c r="D36" s="110"/>
      <c r="E36" s="110"/>
      <c r="F36" s="110"/>
      <c r="H36" s="55"/>
    </row>
    <row r="37" spans="1:13" ht="15">
      <c r="A37" s="121" t="s">
        <v>33</v>
      </c>
      <c r="B37" s="116">
        <v>426.02</v>
      </c>
      <c r="C37" s="54"/>
      <c r="D37" s="110"/>
      <c r="E37" s="110"/>
      <c r="F37" s="110"/>
      <c r="G37" s="54"/>
      <c r="H37" s="55"/>
      <c r="I37" s="54"/>
      <c r="J37" s="54"/>
      <c r="K37" s="54"/>
      <c r="L37" s="54"/>
      <c r="M37" s="54"/>
    </row>
    <row r="38" spans="1:13" ht="15.75" thickBot="1">
      <c r="A38" s="122"/>
      <c r="B38" s="123"/>
      <c r="C38" s="54"/>
      <c r="D38" s="110"/>
      <c r="E38" s="110"/>
      <c r="F38" s="110"/>
      <c r="G38" s="54"/>
      <c r="H38" s="55"/>
      <c r="I38" s="54"/>
      <c r="J38" s="54"/>
      <c r="K38" s="54"/>
      <c r="L38" s="54"/>
      <c r="M38" s="54"/>
    </row>
    <row r="39" spans="1:13" ht="48.75" customHeight="1" thickBot="1">
      <c r="A39" s="38" t="str">
        <f aca="true" t="shared" si="5" ref="A39:F39">A9</f>
        <v>Mois</v>
      </c>
      <c r="B39" s="38" t="str">
        <f t="shared" si="5"/>
        <v>Le paiement mensuel</v>
      </c>
      <c r="C39" s="38" t="str">
        <f t="shared" si="5"/>
        <v>Le montant du paiement mensuel envers l'intérêt</v>
      </c>
      <c r="D39" s="38" t="str">
        <f t="shared" si="5"/>
        <v>Le montant du paiement mensuel envers le capital</v>
      </c>
      <c r="E39" s="38" t="str">
        <f t="shared" si="5"/>
        <v>Le solde impayé</v>
      </c>
      <c r="F39" s="38" t="str">
        <f t="shared" si="5"/>
        <v>La valeur nette</v>
      </c>
      <c r="G39" s="21"/>
      <c r="H39" s="55"/>
      <c r="I39" s="54"/>
      <c r="J39" s="54"/>
      <c r="K39" s="54"/>
      <c r="L39" s="54"/>
      <c r="M39" s="54"/>
    </row>
    <row r="40" spans="1:13" ht="15">
      <c r="A40" s="107">
        <v>0</v>
      </c>
      <c r="B40" s="124"/>
      <c r="C40" s="124"/>
      <c r="D40" s="124"/>
      <c r="E40" s="125">
        <v>28046.16</v>
      </c>
      <c r="F40" s="125">
        <f>$B$1</f>
        <v>2500</v>
      </c>
      <c r="G40" s="21"/>
      <c r="H40" s="55"/>
      <c r="I40" s="54"/>
      <c r="J40" s="54"/>
      <c r="K40" s="54"/>
      <c r="L40" s="54"/>
      <c r="M40" s="54"/>
    </row>
    <row r="41" spans="1:13" ht="15">
      <c r="A41" s="107">
        <f>A40+1</f>
        <v>1</v>
      </c>
      <c r="B41" s="125">
        <f>$B$37</f>
        <v>426.02</v>
      </c>
      <c r="C41" s="125">
        <f>E40*$B$4/12</f>
        <v>70.1154</v>
      </c>
      <c r="D41" s="125">
        <f>B41-C41</f>
        <v>355.90459999999996</v>
      </c>
      <c r="E41" s="125">
        <f>E40-D41</f>
        <v>27690.2554</v>
      </c>
      <c r="F41" s="125">
        <f>F40+D41</f>
        <v>2855.9046</v>
      </c>
      <c r="G41" s="21"/>
      <c r="H41" s="55"/>
      <c r="I41" s="54"/>
      <c r="J41" s="54"/>
      <c r="K41" s="54"/>
      <c r="L41" s="54"/>
      <c r="M41" s="54"/>
    </row>
    <row r="42" spans="1:13" ht="15">
      <c r="A42" s="107">
        <f>A41+1</f>
        <v>2</v>
      </c>
      <c r="B42" s="125">
        <f>$B$37</f>
        <v>426.02</v>
      </c>
      <c r="C42" s="125">
        <f>E41*$B$4/12</f>
        <v>69.22563849999999</v>
      </c>
      <c r="D42" s="125">
        <f>B42-C42</f>
        <v>356.7943615</v>
      </c>
      <c r="E42" s="125">
        <f>E41-D42</f>
        <v>27333.461038499998</v>
      </c>
      <c r="F42" s="125">
        <f>F41+D42</f>
        <v>3212.6989614999998</v>
      </c>
      <c r="G42" s="21"/>
      <c r="H42" s="55"/>
      <c r="I42" s="54"/>
      <c r="J42" s="54"/>
      <c r="K42" s="54"/>
      <c r="L42" s="54"/>
      <c r="M42" s="54"/>
    </row>
    <row r="43" spans="1:13" ht="15">
      <c r="A43" s="107">
        <f>A42+1</f>
        <v>3</v>
      </c>
      <c r="B43" s="125">
        <f>$B$37</f>
        <v>426.02</v>
      </c>
      <c r="C43" s="125">
        <f>E42*$B$4/12</f>
        <v>68.33365259624999</v>
      </c>
      <c r="D43" s="125">
        <f>B43-C43</f>
        <v>357.68634740375</v>
      </c>
      <c r="E43" s="125">
        <f>E42-D43</f>
        <v>26975.77469109625</v>
      </c>
      <c r="F43" s="125">
        <f>F42+D43</f>
        <v>3570.38530890375</v>
      </c>
      <c r="G43" s="21"/>
      <c r="H43" s="55"/>
      <c r="I43" s="54"/>
      <c r="J43" s="54"/>
      <c r="K43" s="54"/>
      <c r="L43" s="54"/>
      <c r="M43" s="54"/>
    </row>
    <row r="44" spans="1:13" ht="15">
      <c r="A44" s="107">
        <f>A43+1</f>
        <v>4</v>
      </c>
      <c r="B44" s="125">
        <f>$B$37</f>
        <v>426.02</v>
      </c>
      <c r="C44" s="125">
        <f>E43*$B$4/12</f>
        <v>67.43943672774061</v>
      </c>
      <c r="D44" s="125">
        <f>B44-C44</f>
        <v>358.5805632722594</v>
      </c>
      <c r="E44" s="125">
        <f>E43-D44</f>
        <v>26617.19412782399</v>
      </c>
      <c r="F44" s="125">
        <f>F43+D44</f>
        <v>3928.9658721760093</v>
      </c>
      <c r="G44" s="21"/>
      <c r="H44" s="55"/>
      <c r="I44" s="54"/>
      <c r="J44" s="54"/>
      <c r="K44" s="54"/>
      <c r="L44" s="54"/>
      <c r="M44" s="54"/>
    </row>
    <row r="45" spans="1:13" ht="15">
      <c r="A45" s="55"/>
      <c r="B45" s="54"/>
      <c r="C45" s="54"/>
      <c r="D45" s="54"/>
      <c r="E45" s="54"/>
      <c r="F45" s="54"/>
      <c r="G45" s="54"/>
      <c r="H45" s="55"/>
      <c r="I45" s="54"/>
      <c r="J45" s="54"/>
      <c r="K45" s="54"/>
      <c r="L45" s="54"/>
      <c r="M45" s="54"/>
    </row>
    <row r="46" spans="1:13" ht="15.75">
      <c r="A46" s="160" t="s">
        <v>138</v>
      </c>
      <c r="B46" s="54"/>
      <c r="C46" s="54"/>
      <c r="D46" s="160"/>
      <c r="E46" s="54"/>
      <c r="F46" s="54"/>
      <c r="G46" s="54"/>
      <c r="H46" s="55"/>
      <c r="I46" s="54"/>
      <c r="J46" s="54"/>
      <c r="K46" s="54"/>
      <c r="L46" s="54"/>
      <c r="M46" s="54"/>
    </row>
    <row r="47" ht="15">
      <c r="A47" s="49"/>
    </row>
    <row r="48" ht="15">
      <c r="A48" s="49"/>
    </row>
    <row r="49" ht="15">
      <c r="A49" s="49"/>
    </row>
    <row r="50" ht="15">
      <c r="A50" s="49"/>
    </row>
    <row r="51" ht="15">
      <c r="A51" s="49"/>
    </row>
  </sheetData>
  <sheetProtection/>
  <mergeCells count="1">
    <mergeCell ref="D4:F4"/>
  </mergeCells>
  <printOptions/>
  <pageMargins left="0.7" right="0.7" top="0.75" bottom="0.75" header="0.3" footer="0.3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8">
      <selection activeCell="A1" sqref="A1:F44"/>
    </sheetView>
  </sheetViews>
  <sheetFormatPr defaultColWidth="11.421875" defaultRowHeight="15"/>
  <cols>
    <col min="1" max="1" width="26.8515625" style="0" customWidth="1"/>
    <col min="2" max="2" width="13.00390625" style="0" bestFit="1" customWidth="1"/>
    <col min="3" max="4" width="21.28125" style="0" bestFit="1" customWidth="1"/>
    <col min="5" max="6" width="13.8515625" style="0" bestFit="1" customWidth="1"/>
    <col min="7" max="7" width="13.00390625" style="0" bestFit="1" customWidth="1"/>
    <col min="8" max="8" width="20.7109375" style="0" customWidth="1"/>
    <col min="9" max="9" width="13.7109375" style="0" bestFit="1" customWidth="1"/>
    <col min="10" max="11" width="21.28125" style="0" bestFit="1" customWidth="1"/>
    <col min="12" max="13" width="13.8515625" style="0" bestFit="1" customWidth="1"/>
  </cols>
  <sheetData>
    <row r="1" spans="1:2" ht="15">
      <c r="A1" s="32" t="s">
        <v>94</v>
      </c>
      <c r="B1" s="41">
        <v>2500</v>
      </c>
    </row>
    <row r="2" spans="1:5" ht="15">
      <c r="A2" s="29"/>
      <c r="B2" s="29"/>
      <c r="C2" s="29"/>
      <c r="D2" s="29"/>
      <c r="E2" s="29"/>
    </row>
    <row r="3" spans="1:6" ht="15">
      <c r="A3" s="30" t="s">
        <v>48</v>
      </c>
      <c r="B3" s="42">
        <v>3</v>
      </c>
      <c r="C3" s="29"/>
      <c r="D3" s="29"/>
      <c r="E3" s="29"/>
      <c r="F3" s="29"/>
    </row>
    <row r="4" spans="1:6" ht="15">
      <c r="A4" s="30" t="s">
        <v>47</v>
      </c>
      <c r="B4" s="31">
        <v>0.03</v>
      </c>
      <c r="C4" s="29"/>
      <c r="D4" s="158"/>
      <c r="E4" s="158"/>
      <c r="F4" s="158"/>
    </row>
    <row r="5" spans="1:6" ht="15">
      <c r="A5" s="32"/>
      <c r="B5" s="33"/>
      <c r="C5" s="30"/>
      <c r="D5" s="34"/>
      <c r="E5" s="34"/>
      <c r="F5" s="34"/>
    </row>
    <row r="6" spans="1:9" s="55" customFormat="1" ht="15">
      <c r="A6" s="112" t="s">
        <v>0</v>
      </c>
      <c r="B6" s="130"/>
      <c r="C6" s="108"/>
      <c r="D6" s="131"/>
      <c r="E6" s="131"/>
      <c r="F6" s="131"/>
      <c r="H6" s="112" t="s">
        <v>1</v>
      </c>
      <c r="I6" s="121"/>
    </row>
    <row r="7" spans="1:9" ht="15">
      <c r="A7" s="129" t="s">
        <v>33</v>
      </c>
      <c r="B7" s="114">
        <v>557.73</v>
      </c>
      <c r="D7" s="35"/>
      <c r="E7" s="35"/>
      <c r="F7" s="35"/>
      <c r="H7" s="129" t="str">
        <f>A7</f>
        <v>Le paiement mensuel</v>
      </c>
      <c r="I7" s="114">
        <v>813.01</v>
      </c>
    </row>
    <row r="8" spans="1:6" ht="15.75" thickBot="1">
      <c r="A8" s="36"/>
      <c r="B8" s="37"/>
      <c r="D8" s="35"/>
      <c r="E8" s="35"/>
      <c r="F8" s="35"/>
    </row>
    <row r="9" spans="1:13" s="18" customFormat="1" ht="48" customHeight="1" thickBot="1">
      <c r="A9" s="38" t="s">
        <v>10</v>
      </c>
      <c r="B9" s="43" t="s">
        <v>33</v>
      </c>
      <c r="C9" s="43" t="s">
        <v>95</v>
      </c>
      <c r="D9" s="43" t="s">
        <v>96</v>
      </c>
      <c r="E9" s="43" t="s">
        <v>98</v>
      </c>
      <c r="F9" s="43" t="s">
        <v>97</v>
      </c>
      <c r="H9" s="38" t="str">
        <f aca="true" t="shared" si="0" ref="H9:M9">A9</f>
        <v>Mois</v>
      </c>
      <c r="I9" s="38" t="str">
        <f t="shared" si="0"/>
        <v>Le paiement mensuel</v>
      </c>
      <c r="J9" s="38" t="str">
        <f t="shared" si="0"/>
        <v>Le montant du paiement mensuel envers l'intérêt</v>
      </c>
      <c r="K9" s="38" t="str">
        <f t="shared" si="0"/>
        <v>Le montant du paiement mensuel envers le capital</v>
      </c>
      <c r="L9" s="38" t="str">
        <f t="shared" si="0"/>
        <v>Le solde impayé</v>
      </c>
      <c r="M9" s="38" t="str">
        <f t="shared" si="0"/>
        <v>La valeur nette</v>
      </c>
    </row>
    <row r="10" spans="1:13" s="18" customFormat="1" ht="14.25">
      <c r="A10" s="21">
        <v>0</v>
      </c>
      <c r="B10" s="19"/>
      <c r="C10" s="19"/>
      <c r="D10" s="19"/>
      <c r="E10" s="74">
        <v>19179.05</v>
      </c>
      <c r="F10" s="74">
        <f>$B$1</f>
        <v>2500</v>
      </c>
      <c r="H10" s="21">
        <v>0</v>
      </c>
      <c r="I10" s="19"/>
      <c r="J10" s="19"/>
      <c r="K10" s="19"/>
      <c r="L10" s="74">
        <v>27957.74</v>
      </c>
      <c r="M10" s="74">
        <f>F10</f>
        <v>2500</v>
      </c>
    </row>
    <row r="11" spans="1:13" s="18" customFormat="1" ht="14.25">
      <c r="A11" s="73">
        <f>A10+1</f>
        <v>1</v>
      </c>
      <c r="B11" s="74">
        <f>$B$7</f>
        <v>557.73</v>
      </c>
      <c r="C11" s="74">
        <f>E10*$B$4/12</f>
        <v>47.947624999999995</v>
      </c>
      <c r="D11" s="74">
        <f>B11-C11</f>
        <v>509.782375</v>
      </c>
      <c r="E11" s="74">
        <f>E10-D11</f>
        <v>18669.267625</v>
      </c>
      <c r="F11" s="74">
        <f>F10+D11</f>
        <v>3009.782375</v>
      </c>
      <c r="H11" s="73">
        <f>H10+1</f>
        <v>1</v>
      </c>
      <c r="I11" s="74">
        <f>$I$7</f>
        <v>813.01</v>
      </c>
      <c r="J11" s="74">
        <f>L10*$B$4/12</f>
        <v>69.89435</v>
      </c>
      <c r="K11" s="74">
        <f>I11-J11</f>
        <v>743.11565</v>
      </c>
      <c r="L11" s="74">
        <f>L10-K11</f>
        <v>27214.624350000002</v>
      </c>
      <c r="M11" s="74">
        <f>M10+K11</f>
        <v>3243.1156499999997</v>
      </c>
    </row>
    <row r="12" spans="1:13" s="18" customFormat="1" ht="14.25">
      <c r="A12" s="73">
        <f>A11+1</f>
        <v>2</v>
      </c>
      <c r="B12" s="74">
        <f>$B$7</f>
        <v>557.73</v>
      </c>
      <c r="C12" s="74">
        <f>E11*$B$4/12</f>
        <v>46.6731690625</v>
      </c>
      <c r="D12" s="74">
        <f>B12-C12</f>
        <v>511.0568309375</v>
      </c>
      <c r="E12" s="74">
        <f>E11-D12</f>
        <v>18158.2107940625</v>
      </c>
      <c r="F12" s="74">
        <f>F11+D12</f>
        <v>3520.8392059374996</v>
      </c>
      <c r="H12" s="73">
        <f>H11+1</f>
        <v>2</v>
      </c>
      <c r="I12" s="74">
        <f>$I$7</f>
        <v>813.01</v>
      </c>
      <c r="J12" s="74">
        <f>L11*$B$4/12</f>
        <v>68.036560875</v>
      </c>
      <c r="K12" s="74">
        <f>I12-J12</f>
        <v>744.973439125</v>
      </c>
      <c r="L12" s="74">
        <f>L11-K12</f>
        <v>26469.650910875003</v>
      </c>
      <c r="M12" s="74">
        <f>M11+K12</f>
        <v>3988.0890891249996</v>
      </c>
    </row>
    <row r="13" spans="1:13" s="18" customFormat="1" ht="14.25">
      <c r="A13" s="73">
        <f>A12+1</f>
        <v>3</v>
      </c>
      <c r="B13" s="74">
        <f>$B$7</f>
        <v>557.73</v>
      </c>
      <c r="C13" s="74">
        <f>E12*$B$4/12</f>
        <v>45.395526985156245</v>
      </c>
      <c r="D13" s="74">
        <f>B13-C13</f>
        <v>512.3344730148438</v>
      </c>
      <c r="E13" s="74">
        <f>E12-D13</f>
        <v>17645.876321047654</v>
      </c>
      <c r="F13" s="74">
        <f>F12+D13</f>
        <v>4033.1736789523434</v>
      </c>
      <c r="H13" s="73">
        <f>H12+1</f>
        <v>3</v>
      </c>
      <c r="I13" s="74">
        <f>$I$7</f>
        <v>813.01</v>
      </c>
      <c r="J13" s="74">
        <f>L12*$B$4/12</f>
        <v>66.17412727718751</v>
      </c>
      <c r="K13" s="74">
        <f>I13-J13</f>
        <v>746.8358727228125</v>
      </c>
      <c r="L13" s="74">
        <f>L12-K13</f>
        <v>25722.815038152192</v>
      </c>
      <c r="M13" s="74">
        <f>M12+K13</f>
        <v>4734.9249618478125</v>
      </c>
    </row>
    <row r="14" spans="1:13" s="18" customFormat="1" ht="14.25">
      <c r="A14" s="73">
        <f>A13+1</f>
        <v>4</v>
      </c>
      <c r="B14" s="74">
        <f>$B$7</f>
        <v>557.73</v>
      </c>
      <c r="C14" s="74">
        <f>E13*$B$4/12</f>
        <v>44.11469080261913</v>
      </c>
      <c r="D14" s="74">
        <f>B14-C14</f>
        <v>513.6153091973808</v>
      </c>
      <c r="E14" s="74">
        <f>E13-D14</f>
        <v>17132.261011850274</v>
      </c>
      <c r="F14" s="74">
        <f>F13+D14</f>
        <v>4546.788988149724</v>
      </c>
      <c r="H14" s="73">
        <f>H13+1</f>
        <v>4</v>
      </c>
      <c r="I14" s="74">
        <f>$I$7</f>
        <v>813.01</v>
      </c>
      <c r="J14" s="74">
        <f>L13*$B$4/12</f>
        <v>64.30703759538048</v>
      </c>
      <c r="K14" s="74">
        <f>I14-J14</f>
        <v>748.7029624046195</v>
      </c>
      <c r="L14" s="74">
        <f>L13-K14</f>
        <v>24974.112075747573</v>
      </c>
      <c r="M14" s="74">
        <f>M13+K14</f>
        <v>5483.627924252432</v>
      </c>
    </row>
    <row r="15" spans="1:12" ht="15">
      <c r="A15" s="30"/>
      <c r="B15" s="40"/>
      <c r="C15" s="40"/>
      <c r="D15" s="40"/>
      <c r="F15" s="40"/>
      <c r="G15" s="40"/>
      <c r="H15" s="40"/>
      <c r="J15" s="40"/>
      <c r="K15" s="40"/>
      <c r="L15" s="40"/>
    </row>
    <row r="16" spans="1:9" s="55" customFormat="1" ht="30">
      <c r="A16" s="112" t="s">
        <v>27</v>
      </c>
      <c r="B16" s="132"/>
      <c r="D16" s="133"/>
      <c r="E16" s="133"/>
      <c r="F16" s="133"/>
      <c r="H16" s="112" t="s">
        <v>2</v>
      </c>
      <c r="I16" s="121"/>
    </row>
    <row r="17" spans="1:9" ht="15">
      <c r="A17" t="s">
        <v>33</v>
      </c>
      <c r="B17" s="34">
        <v>1299.19</v>
      </c>
      <c r="D17" s="35"/>
      <c r="E17" s="35"/>
      <c r="F17" s="35"/>
      <c r="H17" s="129" t="str">
        <f>A17</f>
        <v>Le paiement mensuel</v>
      </c>
      <c r="I17" s="114">
        <v>856.33</v>
      </c>
    </row>
    <row r="18" spans="1:6" ht="15.75" thickBot="1">
      <c r="A18" s="36"/>
      <c r="B18" s="37"/>
      <c r="D18" s="35"/>
      <c r="E18" s="35"/>
      <c r="F18" s="35"/>
    </row>
    <row r="19" spans="1:13" ht="48" thickBot="1">
      <c r="A19" s="38" t="str">
        <f aca="true" t="shared" si="1" ref="A19:F19">A9</f>
        <v>Mois</v>
      </c>
      <c r="B19" s="38" t="str">
        <f t="shared" si="1"/>
        <v>Le paiement mensuel</v>
      </c>
      <c r="C19" s="38" t="str">
        <f t="shared" si="1"/>
        <v>Le montant du paiement mensuel envers l'intérêt</v>
      </c>
      <c r="D19" s="38" t="str">
        <f t="shared" si="1"/>
        <v>Le montant du paiement mensuel envers le capital</v>
      </c>
      <c r="E19" s="38" t="str">
        <f t="shared" si="1"/>
        <v>Le solde impayé</v>
      </c>
      <c r="F19" s="38" t="str">
        <f t="shared" si="1"/>
        <v>La valeur nette</v>
      </c>
      <c r="G19" s="18"/>
      <c r="H19" s="38" t="str">
        <f aca="true" t="shared" si="2" ref="H19:M19">A9</f>
        <v>Mois</v>
      </c>
      <c r="I19" s="38" t="str">
        <f t="shared" si="2"/>
        <v>Le paiement mensuel</v>
      </c>
      <c r="J19" s="38" t="str">
        <f t="shared" si="2"/>
        <v>Le montant du paiement mensuel envers l'intérêt</v>
      </c>
      <c r="K19" s="38" t="str">
        <f t="shared" si="2"/>
        <v>Le montant du paiement mensuel envers le capital</v>
      </c>
      <c r="L19" s="38" t="str">
        <f t="shared" si="2"/>
        <v>Le solde impayé</v>
      </c>
      <c r="M19" s="38" t="str">
        <f t="shared" si="2"/>
        <v>La valeur nette</v>
      </c>
    </row>
    <row r="20" spans="1:13" ht="15">
      <c r="A20" s="73">
        <v>0</v>
      </c>
      <c r="B20" s="19"/>
      <c r="C20" s="19"/>
      <c r="D20" s="19"/>
      <c r="E20" s="74">
        <v>44676.37</v>
      </c>
      <c r="F20" s="74">
        <f>F10</f>
        <v>2500</v>
      </c>
      <c r="G20" s="18"/>
      <c r="H20" s="73">
        <v>0</v>
      </c>
      <c r="I20" s="19"/>
      <c r="J20" s="19"/>
      <c r="K20" s="19"/>
      <c r="L20" s="74">
        <v>29447.36</v>
      </c>
      <c r="M20" s="74">
        <f>F10</f>
        <v>2500</v>
      </c>
    </row>
    <row r="21" spans="1:13" ht="15">
      <c r="A21" s="73">
        <f>A20+1</f>
        <v>1</v>
      </c>
      <c r="B21" s="74">
        <f>$B$17</f>
        <v>1299.19</v>
      </c>
      <c r="C21" s="74">
        <f>E20*$B$4/12</f>
        <v>111.69092500000001</v>
      </c>
      <c r="D21" s="74">
        <f>B21-C21</f>
        <v>1187.499075</v>
      </c>
      <c r="E21" s="74">
        <f>E20-D21</f>
        <v>43488.870925</v>
      </c>
      <c r="F21" s="74">
        <f>F20+D21</f>
        <v>3687.4990749999997</v>
      </c>
      <c r="G21" s="18"/>
      <c r="H21" s="73">
        <f>H20+1</f>
        <v>1</v>
      </c>
      <c r="I21" s="74">
        <f>$I$17</f>
        <v>856.33</v>
      </c>
      <c r="J21" s="74">
        <f>L20*$B$4/12</f>
        <v>73.6184</v>
      </c>
      <c r="K21" s="74">
        <f>I21-J21</f>
        <v>782.7116000000001</v>
      </c>
      <c r="L21" s="74">
        <f>L20-K21</f>
        <v>28664.648400000002</v>
      </c>
      <c r="M21" s="74">
        <f>M20+K21</f>
        <v>3282.7116</v>
      </c>
    </row>
    <row r="22" spans="1:13" ht="15">
      <c r="A22" s="73">
        <f>A21+1</f>
        <v>2</v>
      </c>
      <c r="B22" s="74">
        <f>$B$17</f>
        <v>1299.19</v>
      </c>
      <c r="C22" s="74">
        <f>E21*$B$4/12</f>
        <v>108.7221773125</v>
      </c>
      <c r="D22" s="74">
        <f>B22-C22</f>
        <v>1190.4678226875</v>
      </c>
      <c r="E22" s="74">
        <f>E21-D22</f>
        <v>42298.403102312506</v>
      </c>
      <c r="F22" s="74">
        <f>F21+D22</f>
        <v>4877.9668976875</v>
      </c>
      <c r="G22" s="18"/>
      <c r="H22" s="73">
        <f>H21+1</f>
        <v>2</v>
      </c>
      <c r="I22" s="74">
        <f>$I$17</f>
        <v>856.33</v>
      </c>
      <c r="J22" s="74">
        <f>L21*$B$4/12</f>
        <v>71.66162100000001</v>
      </c>
      <c r="K22" s="74">
        <f>I22-J22</f>
        <v>784.6683790000001</v>
      </c>
      <c r="L22" s="74">
        <f>L21-K22</f>
        <v>27879.980021000003</v>
      </c>
      <c r="M22" s="74">
        <f>M21+K22</f>
        <v>4067.3799790000003</v>
      </c>
    </row>
    <row r="23" spans="1:13" ht="15">
      <c r="A23" s="73">
        <f>A22+1</f>
        <v>3</v>
      </c>
      <c r="B23" s="74">
        <f>$B$17</f>
        <v>1299.19</v>
      </c>
      <c r="C23" s="74">
        <f>E22*$B$4/12</f>
        <v>105.74600775578126</v>
      </c>
      <c r="D23" s="74">
        <f>B23-C23</f>
        <v>1193.4439922442189</v>
      </c>
      <c r="E23" s="74">
        <f>E22-D23</f>
        <v>41104.95911006829</v>
      </c>
      <c r="F23" s="74">
        <f>F22+D23</f>
        <v>6071.410889931719</v>
      </c>
      <c r="G23" s="18"/>
      <c r="H23" s="73">
        <f>H22+1</f>
        <v>3</v>
      </c>
      <c r="I23" s="74">
        <f>$I$17</f>
        <v>856.33</v>
      </c>
      <c r="J23" s="74">
        <f>L22*$B$4/12</f>
        <v>69.6999500525</v>
      </c>
      <c r="K23" s="74">
        <f>I23-J23</f>
        <v>786.6300499475001</v>
      </c>
      <c r="L23" s="74">
        <f>L22-K23</f>
        <v>27093.349971052503</v>
      </c>
      <c r="M23" s="74">
        <f>M22+K23</f>
        <v>4854.0100289475</v>
      </c>
    </row>
    <row r="24" spans="1:13" ht="15">
      <c r="A24" s="73">
        <f>A23+1</f>
        <v>4</v>
      </c>
      <c r="B24" s="74">
        <f>$B$17</f>
        <v>1299.19</v>
      </c>
      <c r="C24" s="74">
        <f>E23*$B$4/12</f>
        <v>102.76239777517071</v>
      </c>
      <c r="D24" s="74">
        <f>B24-C24</f>
        <v>1196.4276022248293</v>
      </c>
      <c r="E24" s="74">
        <f>E23-D24</f>
        <v>39908.53150784346</v>
      </c>
      <c r="F24" s="74">
        <f>F23+D24</f>
        <v>7267.838492156548</v>
      </c>
      <c r="G24" s="18"/>
      <c r="H24" s="73">
        <f>H23+1</f>
        <v>4</v>
      </c>
      <c r="I24" s="74">
        <f>$I$17</f>
        <v>856.33</v>
      </c>
      <c r="J24" s="74">
        <f>L23*$B$4/12</f>
        <v>67.73337492763126</v>
      </c>
      <c r="K24" s="74">
        <f>I24-J24</f>
        <v>788.5966250723687</v>
      </c>
      <c r="L24" s="74">
        <f>L23-K24</f>
        <v>26304.753345980134</v>
      </c>
      <c r="M24" s="74">
        <f>M23+K24</f>
        <v>5642.606654019869</v>
      </c>
    </row>
    <row r="25" ht="16.5" customHeight="1"/>
    <row r="26" spans="1:9" s="55" customFormat="1" ht="30">
      <c r="A26" s="112" t="s">
        <v>3</v>
      </c>
      <c r="B26" s="132"/>
      <c r="D26" s="133"/>
      <c r="E26" s="133"/>
      <c r="F26" s="133"/>
      <c r="H26" s="112" t="s">
        <v>4</v>
      </c>
      <c r="I26" s="121"/>
    </row>
    <row r="27" spans="1:9" ht="15">
      <c r="A27" t="s">
        <v>33</v>
      </c>
      <c r="B27" s="34">
        <v>785.01</v>
      </c>
      <c r="D27" s="35"/>
      <c r="E27" s="35"/>
      <c r="F27" s="35"/>
      <c r="H27" s="129" t="str">
        <f>A27</f>
        <v>Le paiement mensuel</v>
      </c>
      <c r="I27" s="114">
        <v>1057.65</v>
      </c>
    </row>
    <row r="28" spans="1:6" ht="15.75" thickBot="1">
      <c r="A28" s="36"/>
      <c r="B28" s="37"/>
      <c r="D28" s="35"/>
      <c r="E28" s="35"/>
      <c r="F28" s="35"/>
    </row>
    <row r="29" spans="1:13" s="18" customFormat="1" ht="48" customHeight="1" thickBot="1">
      <c r="A29" s="38" t="str">
        <f aca="true" t="shared" si="3" ref="A29:F29">A9</f>
        <v>Mois</v>
      </c>
      <c r="B29" s="38" t="str">
        <f t="shared" si="3"/>
        <v>Le paiement mensuel</v>
      </c>
      <c r="C29" s="38" t="str">
        <f t="shared" si="3"/>
        <v>Le montant du paiement mensuel envers l'intérêt</v>
      </c>
      <c r="D29" s="38" t="str">
        <f t="shared" si="3"/>
        <v>Le montant du paiement mensuel envers le capital</v>
      </c>
      <c r="E29" s="38" t="str">
        <f t="shared" si="3"/>
        <v>Le solde impayé</v>
      </c>
      <c r="F29" s="38" t="str">
        <f t="shared" si="3"/>
        <v>La valeur nette</v>
      </c>
      <c r="H29" s="38" t="str">
        <f aca="true" t="shared" si="4" ref="H29:M29">A9</f>
        <v>Mois</v>
      </c>
      <c r="I29" s="38" t="str">
        <f t="shared" si="4"/>
        <v>Le paiement mensuel</v>
      </c>
      <c r="J29" s="38" t="str">
        <f t="shared" si="4"/>
        <v>Le montant du paiement mensuel envers l'intérêt</v>
      </c>
      <c r="K29" s="38" t="str">
        <f t="shared" si="4"/>
        <v>Le montant du paiement mensuel envers le capital</v>
      </c>
      <c r="L29" s="38" t="str">
        <f t="shared" si="4"/>
        <v>Le solde impayé</v>
      </c>
      <c r="M29" s="38" t="str">
        <f t="shared" si="4"/>
        <v>La valeur nette</v>
      </c>
    </row>
    <row r="30" spans="1:13" s="18" customFormat="1" ht="14.25">
      <c r="A30" s="73">
        <v>0</v>
      </c>
      <c r="B30" s="19"/>
      <c r="C30" s="19"/>
      <c r="D30" s="19"/>
      <c r="E30" s="74">
        <v>29494.7</v>
      </c>
      <c r="F30" s="74">
        <f>$B$1</f>
        <v>2500</v>
      </c>
      <c r="H30" s="73">
        <v>0</v>
      </c>
      <c r="I30" s="19"/>
      <c r="J30" s="19"/>
      <c r="K30" s="19"/>
      <c r="L30" s="74">
        <v>36370.31</v>
      </c>
      <c r="M30" s="74">
        <f>$B$1</f>
        <v>2500</v>
      </c>
    </row>
    <row r="31" spans="1:13" s="18" customFormat="1" ht="14.25">
      <c r="A31" s="73">
        <f>A30+1</f>
        <v>1</v>
      </c>
      <c r="B31" s="74">
        <f>$B$27</f>
        <v>785.01</v>
      </c>
      <c r="C31" s="74">
        <f>E30*$B$4/12</f>
        <v>73.73675</v>
      </c>
      <c r="D31" s="74">
        <f>B31-C31</f>
        <v>711.27325</v>
      </c>
      <c r="E31" s="74">
        <f>E30-D31</f>
        <v>28783.426750000002</v>
      </c>
      <c r="F31" s="74">
        <f>F30+D31</f>
        <v>3211.27325</v>
      </c>
      <c r="H31" s="73">
        <f>H30+1</f>
        <v>1</v>
      </c>
      <c r="I31" s="74">
        <f>$I$27</f>
        <v>1057.65</v>
      </c>
      <c r="J31" s="74">
        <f>L30*$B$4/12</f>
        <v>90.92577499999999</v>
      </c>
      <c r="K31" s="74">
        <f>I31-J31</f>
        <v>966.7242250000002</v>
      </c>
      <c r="L31" s="74">
        <f>L30-K31</f>
        <v>35403.585775</v>
      </c>
      <c r="M31" s="74">
        <f>M30+K31</f>
        <v>3466.724225</v>
      </c>
    </row>
    <row r="32" spans="1:13" s="18" customFormat="1" ht="14.25">
      <c r="A32" s="73">
        <f>A31+1</f>
        <v>2</v>
      </c>
      <c r="B32" s="74">
        <f>$B$27</f>
        <v>785.01</v>
      </c>
      <c r="C32" s="74">
        <f>E31*$B$4/12</f>
        <v>71.958566875</v>
      </c>
      <c r="D32" s="74">
        <f>B32-C32</f>
        <v>713.051433125</v>
      </c>
      <c r="E32" s="74">
        <f>E31-D32</f>
        <v>28070.375316875</v>
      </c>
      <c r="F32" s="74">
        <f>F31+D32</f>
        <v>3924.3246831250003</v>
      </c>
      <c r="H32" s="73">
        <f>H31+1</f>
        <v>2</v>
      </c>
      <c r="I32" s="74">
        <f>$I$27</f>
        <v>1057.65</v>
      </c>
      <c r="J32" s="74">
        <f>L31*$B$4/12</f>
        <v>88.50896443749998</v>
      </c>
      <c r="K32" s="74">
        <f>I32-J32</f>
        <v>969.1410355625001</v>
      </c>
      <c r="L32" s="74">
        <f>L31-K32</f>
        <v>34434.4447394375</v>
      </c>
      <c r="M32" s="74">
        <f>M31+K32</f>
        <v>4435.8652605625</v>
      </c>
    </row>
    <row r="33" spans="1:13" s="18" customFormat="1" ht="14.25">
      <c r="A33" s="73">
        <f>A32+1</f>
        <v>3</v>
      </c>
      <c r="B33" s="74">
        <f>$B$27</f>
        <v>785.01</v>
      </c>
      <c r="C33" s="74">
        <f>E32*$B$4/12</f>
        <v>70.1759382921875</v>
      </c>
      <c r="D33" s="74">
        <f>B33-C33</f>
        <v>714.8340617078125</v>
      </c>
      <c r="E33" s="74">
        <f>E32-D33</f>
        <v>27355.541255167187</v>
      </c>
      <c r="F33" s="74">
        <f>F32+D33</f>
        <v>4639.158744832813</v>
      </c>
      <c r="H33" s="73">
        <f>H32+1</f>
        <v>3</v>
      </c>
      <c r="I33" s="74">
        <f>$I$27</f>
        <v>1057.65</v>
      </c>
      <c r="J33" s="74">
        <f>L32*$B$4/12</f>
        <v>86.08611184859376</v>
      </c>
      <c r="K33" s="74">
        <f>I33-J33</f>
        <v>971.5638881514063</v>
      </c>
      <c r="L33" s="74">
        <f>L32-K33</f>
        <v>33462.88085128609</v>
      </c>
      <c r="M33" s="74">
        <f>M32+K33</f>
        <v>5407.429148713906</v>
      </c>
    </row>
    <row r="34" spans="1:13" s="18" customFormat="1" ht="14.25">
      <c r="A34" s="73">
        <f>A33+1</f>
        <v>4</v>
      </c>
      <c r="B34" s="74">
        <f>$B$27</f>
        <v>785.01</v>
      </c>
      <c r="C34" s="74">
        <f>E33*$B$4/12</f>
        <v>68.38885313791796</v>
      </c>
      <c r="D34" s="74">
        <f>B34-C34</f>
        <v>716.621146862082</v>
      </c>
      <c r="E34" s="74">
        <f>E33-D34</f>
        <v>26638.920108305105</v>
      </c>
      <c r="F34" s="74">
        <f>F33+D34</f>
        <v>5355.779891694895</v>
      </c>
      <c r="H34" s="73">
        <f>H33+1</f>
        <v>4</v>
      </c>
      <c r="I34" s="74">
        <f>$I$27</f>
        <v>1057.65</v>
      </c>
      <c r="J34" s="74">
        <f>L33*$B$4/12</f>
        <v>83.65720212821523</v>
      </c>
      <c r="K34" s="74">
        <f>I34-J34</f>
        <v>973.9927978717849</v>
      </c>
      <c r="L34" s="74">
        <f>L33-K34</f>
        <v>32488.888053414306</v>
      </c>
      <c r="M34" s="74">
        <f>M33+K34</f>
        <v>6381.421946585691</v>
      </c>
    </row>
    <row r="35" spans="1:12" ht="15">
      <c r="A35" s="30"/>
      <c r="B35" s="40"/>
      <c r="C35" s="40"/>
      <c r="D35" s="40"/>
      <c r="F35" s="40"/>
      <c r="G35" s="40"/>
      <c r="H35" s="40"/>
      <c r="J35" s="40"/>
      <c r="K35" s="40"/>
      <c r="L35" s="40"/>
    </row>
    <row r="36" spans="1:6" s="55" customFormat="1" ht="15">
      <c r="A36" s="112" t="s">
        <v>5</v>
      </c>
      <c r="B36" s="132"/>
      <c r="D36" s="133"/>
      <c r="E36" s="133"/>
      <c r="F36" s="133"/>
    </row>
    <row r="37" spans="1:6" ht="15">
      <c r="A37" s="129" t="s">
        <v>33</v>
      </c>
      <c r="B37" s="114">
        <v>815.58</v>
      </c>
      <c r="D37" s="35"/>
      <c r="E37" s="35"/>
      <c r="F37" s="35"/>
    </row>
    <row r="38" spans="1:6" ht="15.75" thickBot="1">
      <c r="A38" s="36"/>
      <c r="B38" s="37"/>
      <c r="D38" s="35"/>
      <c r="E38" s="35"/>
      <c r="F38" s="35"/>
    </row>
    <row r="39" spans="1:7" ht="48" thickBot="1">
      <c r="A39" s="38" t="str">
        <f aca="true" t="shared" si="5" ref="A39:F39">A9</f>
        <v>Mois</v>
      </c>
      <c r="B39" s="38" t="str">
        <f t="shared" si="5"/>
        <v>Le paiement mensuel</v>
      </c>
      <c r="C39" s="38" t="str">
        <f t="shared" si="5"/>
        <v>Le montant du paiement mensuel envers l'intérêt</v>
      </c>
      <c r="D39" s="38" t="str">
        <f t="shared" si="5"/>
        <v>Le montant du paiement mensuel envers le capital</v>
      </c>
      <c r="E39" s="38" t="str">
        <f t="shared" si="5"/>
        <v>Le solde impayé</v>
      </c>
      <c r="F39" s="38" t="str">
        <f t="shared" si="5"/>
        <v>La valeur nette</v>
      </c>
      <c r="G39" s="18"/>
    </row>
    <row r="40" spans="1:7" ht="15">
      <c r="A40" s="73">
        <v>0</v>
      </c>
      <c r="B40" s="19"/>
      <c r="C40" s="19"/>
      <c r="D40" s="19"/>
      <c r="E40" s="74">
        <v>28046.16</v>
      </c>
      <c r="F40" s="74">
        <f>$B$1</f>
        <v>2500</v>
      </c>
      <c r="G40" s="18"/>
    </row>
    <row r="41" spans="1:7" ht="15">
      <c r="A41" s="73">
        <f>A40+1</f>
        <v>1</v>
      </c>
      <c r="B41" s="74">
        <f>$B$37</f>
        <v>815.58</v>
      </c>
      <c r="C41" s="74">
        <f>E40*$B$4/12</f>
        <v>70.1154</v>
      </c>
      <c r="D41" s="74">
        <f>B41-C41</f>
        <v>745.4646</v>
      </c>
      <c r="E41" s="74">
        <f>E40-D41</f>
        <v>27300.6954</v>
      </c>
      <c r="F41" s="74">
        <f>F40+D41</f>
        <v>3245.4646000000002</v>
      </c>
      <c r="G41" s="18"/>
    </row>
    <row r="42" spans="1:7" ht="15">
      <c r="A42" s="73">
        <f>A41+1</f>
        <v>2</v>
      </c>
      <c r="B42" s="74">
        <f>$B$37</f>
        <v>815.58</v>
      </c>
      <c r="C42" s="74">
        <f>E41*$B$4/12</f>
        <v>68.2517385</v>
      </c>
      <c r="D42" s="74">
        <f>B42-C42</f>
        <v>747.3282615</v>
      </c>
      <c r="E42" s="74">
        <f>E41-D42</f>
        <v>26553.3671385</v>
      </c>
      <c r="F42" s="74">
        <f>F41+D42</f>
        <v>3992.7928615</v>
      </c>
      <c r="G42" s="18"/>
    </row>
    <row r="43" spans="1:7" ht="15">
      <c r="A43" s="73">
        <f>A42+1</f>
        <v>3</v>
      </c>
      <c r="B43" s="74">
        <f>$B$37</f>
        <v>815.58</v>
      </c>
      <c r="C43" s="74">
        <f>E42*$B$4/12</f>
        <v>66.38341784625</v>
      </c>
      <c r="D43" s="74">
        <f>B43-C43</f>
        <v>749.19658215375</v>
      </c>
      <c r="E43" s="74">
        <f>E42-D43</f>
        <v>25804.170556346253</v>
      </c>
      <c r="F43" s="74">
        <f>F42+D43</f>
        <v>4741.98944365375</v>
      </c>
      <c r="G43" s="18"/>
    </row>
    <row r="44" spans="1:7" ht="15">
      <c r="A44" s="73">
        <f>A43+1</f>
        <v>4</v>
      </c>
      <c r="B44" s="74">
        <f>$B$37</f>
        <v>815.58</v>
      </c>
      <c r="C44" s="74">
        <f>E43*$B$4/12</f>
        <v>64.51042639086563</v>
      </c>
      <c r="D44" s="74">
        <f>B44-C44</f>
        <v>751.0695736091344</v>
      </c>
      <c r="E44" s="74">
        <f>E43-D44</f>
        <v>25053.10098273712</v>
      </c>
      <c r="F44" s="74">
        <f>F43+D44</f>
        <v>5493.0590172628845</v>
      </c>
      <c r="G44" s="18"/>
    </row>
    <row r="46" ht="15.75">
      <c r="A46" s="160" t="s">
        <v>138</v>
      </c>
    </row>
  </sheetData>
  <sheetProtection/>
  <mergeCells count="1">
    <mergeCell ref="D4:F4"/>
  </mergeCells>
  <printOptions/>
  <pageMargins left="0.7" right="0.7" top="0.75" bottom="0.75" header="0.3" footer="0.3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34">
      <selection activeCell="A46" sqref="A46"/>
    </sheetView>
  </sheetViews>
  <sheetFormatPr defaultColWidth="11.421875" defaultRowHeight="15"/>
  <cols>
    <col min="1" max="1" width="26.28125" style="0" customWidth="1"/>
    <col min="2" max="2" width="13.00390625" style="0" bestFit="1" customWidth="1"/>
    <col min="3" max="4" width="21.28125" style="0" bestFit="1" customWidth="1"/>
    <col min="5" max="6" width="13.8515625" style="0" bestFit="1" customWidth="1"/>
    <col min="7" max="7" width="13.00390625" style="0" bestFit="1" customWidth="1"/>
    <col min="8" max="8" width="20.7109375" style="0" customWidth="1"/>
    <col min="9" max="9" width="12.57421875" style="0" bestFit="1" customWidth="1"/>
    <col min="10" max="11" width="21.421875" style="0" bestFit="1" customWidth="1"/>
    <col min="12" max="13" width="14.00390625" style="0" bestFit="1" customWidth="1"/>
  </cols>
  <sheetData>
    <row r="1" spans="1:2" ht="15">
      <c r="A1" s="32" t="s">
        <v>94</v>
      </c>
      <c r="B1" s="41">
        <v>2500</v>
      </c>
    </row>
    <row r="2" spans="1:5" ht="15">
      <c r="A2" s="29"/>
      <c r="B2" s="29"/>
      <c r="C2" s="29"/>
      <c r="D2" s="29"/>
      <c r="E2" s="29"/>
    </row>
    <row r="3" spans="1:6" ht="15">
      <c r="A3" s="30" t="s">
        <v>48</v>
      </c>
      <c r="B3" s="42">
        <v>3</v>
      </c>
      <c r="C3" s="29"/>
      <c r="D3" s="29"/>
      <c r="E3" s="29"/>
      <c r="F3" s="29"/>
    </row>
    <row r="4" spans="1:6" ht="15">
      <c r="A4" s="30" t="s">
        <v>47</v>
      </c>
      <c r="B4" s="31">
        <v>0.06</v>
      </c>
      <c r="C4" s="29"/>
      <c r="D4" s="158"/>
      <c r="E4" s="158"/>
      <c r="F4" s="158"/>
    </row>
    <row r="5" spans="1:6" ht="15">
      <c r="A5" s="32"/>
      <c r="B5" s="33"/>
      <c r="C5" s="30"/>
      <c r="D5" s="34"/>
      <c r="E5" s="34"/>
      <c r="F5" s="34"/>
    </row>
    <row r="6" spans="1:9" s="55" customFormat="1" ht="15">
      <c r="A6" s="112" t="s">
        <v>0</v>
      </c>
      <c r="B6" s="130"/>
      <c r="C6" s="108"/>
      <c r="D6" s="131"/>
      <c r="E6" s="131"/>
      <c r="F6" s="131"/>
      <c r="H6" s="112" t="s">
        <v>1</v>
      </c>
      <c r="I6" s="121"/>
    </row>
    <row r="7" spans="1:9" ht="15">
      <c r="A7" s="129" t="s">
        <v>33</v>
      </c>
      <c r="B7" s="114">
        <v>583.62</v>
      </c>
      <c r="D7" s="35"/>
      <c r="E7" s="35"/>
      <c r="F7" s="35"/>
      <c r="H7" s="129" t="str">
        <f>A7</f>
        <v>Le paiement mensuel</v>
      </c>
      <c r="I7" s="114">
        <v>850.75</v>
      </c>
    </row>
    <row r="8" spans="1:6" ht="15.75" thickBot="1">
      <c r="A8" s="36"/>
      <c r="B8" s="37"/>
      <c r="D8" s="35"/>
      <c r="E8" s="35"/>
      <c r="F8" s="35"/>
    </row>
    <row r="9" spans="1:13" s="18" customFormat="1" ht="48" customHeight="1" thickBot="1">
      <c r="A9" s="38" t="s">
        <v>10</v>
      </c>
      <c r="B9" s="43" t="s">
        <v>33</v>
      </c>
      <c r="C9" s="43" t="s">
        <v>95</v>
      </c>
      <c r="D9" s="43" t="s">
        <v>96</v>
      </c>
      <c r="E9" s="43" t="s">
        <v>98</v>
      </c>
      <c r="F9" s="43" t="s">
        <v>97</v>
      </c>
      <c r="H9" s="38" t="str">
        <f aca="true" t="shared" si="0" ref="H9:M9">A9</f>
        <v>Mois</v>
      </c>
      <c r="I9" s="38" t="str">
        <f t="shared" si="0"/>
        <v>Le paiement mensuel</v>
      </c>
      <c r="J9" s="38" t="str">
        <f t="shared" si="0"/>
        <v>Le montant du paiement mensuel envers l'intérêt</v>
      </c>
      <c r="K9" s="38" t="str">
        <f t="shared" si="0"/>
        <v>Le montant du paiement mensuel envers le capital</v>
      </c>
      <c r="L9" s="38" t="str">
        <f t="shared" si="0"/>
        <v>Le solde impayé</v>
      </c>
      <c r="M9" s="38" t="str">
        <f t="shared" si="0"/>
        <v>La valeur nette</v>
      </c>
    </row>
    <row r="10" spans="1:13" s="18" customFormat="1" ht="14.25">
      <c r="A10" s="21">
        <v>0</v>
      </c>
      <c r="B10" s="19"/>
      <c r="C10" s="19"/>
      <c r="D10" s="19"/>
      <c r="E10" s="74">
        <v>19179.05</v>
      </c>
      <c r="F10" s="74">
        <f>$B$1</f>
        <v>2500</v>
      </c>
      <c r="H10" s="21">
        <v>0</v>
      </c>
      <c r="I10" s="19"/>
      <c r="J10" s="19"/>
      <c r="K10" s="19"/>
      <c r="L10" s="74">
        <v>27957.74</v>
      </c>
      <c r="M10" s="74">
        <f>F10</f>
        <v>2500</v>
      </c>
    </row>
    <row r="11" spans="1:13" s="18" customFormat="1" ht="14.25">
      <c r="A11" s="73">
        <f>A10+1</f>
        <v>1</v>
      </c>
      <c r="B11" s="74">
        <f>$B$7</f>
        <v>583.62</v>
      </c>
      <c r="C11" s="74">
        <f>E10*$B$4/12</f>
        <v>95.89524999999999</v>
      </c>
      <c r="D11" s="74">
        <f>B11-C11</f>
        <v>487.72475000000003</v>
      </c>
      <c r="E11" s="74">
        <f>E10-D11</f>
        <v>18691.325249999998</v>
      </c>
      <c r="F11" s="74">
        <f>F10+D11</f>
        <v>2987.72475</v>
      </c>
      <c r="H11" s="73">
        <f>H10+1</f>
        <v>1</v>
      </c>
      <c r="I11" s="39">
        <f>$I$7</f>
        <v>850.75</v>
      </c>
      <c r="J11" s="39">
        <f>L10*$B$4/12</f>
        <v>139.7887</v>
      </c>
      <c r="K11" s="39">
        <f>I11-J11</f>
        <v>710.9612999999999</v>
      </c>
      <c r="L11" s="39">
        <f>L10-K11</f>
        <v>27246.778700000003</v>
      </c>
      <c r="M11" s="39">
        <f>M10+K11</f>
        <v>3210.9613</v>
      </c>
    </row>
    <row r="12" spans="1:13" s="18" customFormat="1" ht="14.25">
      <c r="A12" s="73">
        <f>A11+1</f>
        <v>2</v>
      </c>
      <c r="B12" s="74">
        <f>$B$7</f>
        <v>583.62</v>
      </c>
      <c r="C12" s="74">
        <f>E11*$B$4/12</f>
        <v>93.45662624999999</v>
      </c>
      <c r="D12" s="74">
        <f>B12-C12</f>
        <v>490.16337375</v>
      </c>
      <c r="E12" s="74">
        <f>E11-D12</f>
        <v>18201.161876249997</v>
      </c>
      <c r="F12" s="74">
        <f>F11+D12</f>
        <v>3477.88812375</v>
      </c>
      <c r="H12" s="73">
        <f>H11+1</f>
        <v>2</v>
      </c>
      <c r="I12" s="39">
        <f>$I$7</f>
        <v>850.75</v>
      </c>
      <c r="J12" s="39">
        <f>L11*$B$4/12</f>
        <v>136.2338935</v>
      </c>
      <c r="K12" s="39">
        <f>I12-J12</f>
        <v>714.5161065</v>
      </c>
      <c r="L12" s="39">
        <f>L11-K12</f>
        <v>26532.262593500003</v>
      </c>
      <c r="M12" s="39">
        <f>M11+K12</f>
        <v>3925.4774065</v>
      </c>
    </row>
    <row r="13" spans="1:13" s="18" customFormat="1" ht="14.25">
      <c r="A13" s="73">
        <f>A12+1</f>
        <v>3</v>
      </c>
      <c r="B13" s="74">
        <f>$B$7</f>
        <v>583.62</v>
      </c>
      <c r="C13" s="74">
        <f>E12*$B$4/12</f>
        <v>91.00580938124999</v>
      </c>
      <c r="D13" s="74">
        <f>B13-C13</f>
        <v>492.61419061875</v>
      </c>
      <c r="E13" s="74">
        <f>E12-D13</f>
        <v>17708.547685631245</v>
      </c>
      <c r="F13" s="74">
        <f>F12+D13</f>
        <v>3970.50231436875</v>
      </c>
      <c r="H13" s="73">
        <f>H12+1</f>
        <v>3</v>
      </c>
      <c r="I13" s="39">
        <f>$I$7</f>
        <v>850.75</v>
      </c>
      <c r="J13" s="39">
        <f>L12*$B$4/12</f>
        <v>132.6613129675</v>
      </c>
      <c r="K13" s="39">
        <f>I13-J13</f>
        <v>718.0886870325</v>
      </c>
      <c r="L13" s="39">
        <f>L12-K13</f>
        <v>25814.173906467502</v>
      </c>
      <c r="M13" s="39">
        <f>M12+K13</f>
        <v>4643.5660935325</v>
      </c>
    </row>
    <row r="14" spans="1:13" s="18" customFormat="1" ht="14.25">
      <c r="A14" s="73">
        <f>A13+1</f>
        <v>4</v>
      </c>
      <c r="B14" s="74">
        <f>$B$7</f>
        <v>583.62</v>
      </c>
      <c r="C14" s="74">
        <f>E13*$B$4/12</f>
        <v>88.54273842815623</v>
      </c>
      <c r="D14" s="74">
        <f>B14-C14</f>
        <v>495.0772615718438</v>
      </c>
      <c r="E14" s="74">
        <f>E13-D14</f>
        <v>17213.4704240594</v>
      </c>
      <c r="F14" s="74">
        <f>F13+D14</f>
        <v>4465.579575940594</v>
      </c>
      <c r="H14" s="73">
        <f>H13+1</f>
        <v>4</v>
      </c>
      <c r="I14" s="39">
        <f>$I$7</f>
        <v>850.75</v>
      </c>
      <c r="J14" s="39">
        <f>L13*$B$4/12</f>
        <v>129.0708695323375</v>
      </c>
      <c r="K14" s="39">
        <f>I14-J14</f>
        <v>721.6791304676625</v>
      </c>
      <c r="L14" s="39">
        <f>L13-K14</f>
        <v>25092.49477599984</v>
      </c>
      <c r="M14" s="39">
        <f>M13+K14</f>
        <v>5365.245224000163</v>
      </c>
    </row>
    <row r="15" spans="1:12" ht="15">
      <c r="A15" s="30"/>
      <c r="B15" s="40"/>
      <c r="C15" s="40"/>
      <c r="D15" s="40"/>
      <c r="F15" s="40"/>
      <c r="G15" s="40"/>
      <c r="H15" s="40"/>
      <c r="J15" s="40"/>
      <c r="K15" s="40"/>
      <c r="L15" s="40"/>
    </row>
    <row r="16" spans="1:9" s="55" customFormat="1" ht="30">
      <c r="A16" s="112" t="s">
        <v>27</v>
      </c>
      <c r="B16" s="132"/>
      <c r="D16" s="133"/>
      <c r="E16" s="133"/>
      <c r="F16" s="133"/>
      <c r="H16" s="112" t="s">
        <v>2</v>
      </c>
      <c r="I16" s="121"/>
    </row>
    <row r="17" spans="1:9" ht="15">
      <c r="A17" t="s">
        <v>33</v>
      </c>
      <c r="B17" s="34">
        <v>1359.5</v>
      </c>
      <c r="D17" s="35"/>
      <c r="E17" s="35"/>
      <c r="F17" s="35"/>
      <c r="H17" s="129" t="str">
        <f>A17</f>
        <v>Le paiement mensuel</v>
      </c>
      <c r="I17" s="114">
        <v>896.08</v>
      </c>
    </row>
    <row r="18" spans="1:6" ht="15.75" thickBot="1">
      <c r="A18" s="36"/>
      <c r="B18" s="37"/>
      <c r="D18" s="35"/>
      <c r="E18" s="35"/>
      <c r="F18" s="35"/>
    </row>
    <row r="19" spans="1:13" ht="48" thickBot="1">
      <c r="A19" s="38" t="str">
        <f aca="true" t="shared" si="1" ref="A19:F19">A9</f>
        <v>Mois</v>
      </c>
      <c r="B19" s="38" t="str">
        <f t="shared" si="1"/>
        <v>Le paiement mensuel</v>
      </c>
      <c r="C19" s="38" t="str">
        <f t="shared" si="1"/>
        <v>Le montant du paiement mensuel envers l'intérêt</v>
      </c>
      <c r="D19" s="38" t="str">
        <f t="shared" si="1"/>
        <v>Le montant du paiement mensuel envers le capital</v>
      </c>
      <c r="E19" s="38" t="str">
        <f t="shared" si="1"/>
        <v>Le solde impayé</v>
      </c>
      <c r="F19" s="38" t="str">
        <f t="shared" si="1"/>
        <v>La valeur nette</v>
      </c>
      <c r="G19" s="18"/>
      <c r="H19" s="38" t="str">
        <f aca="true" t="shared" si="2" ref="H19:M19">A9</f>
        <v>Mois</v>
      </c>
      <c r="I19" s="38" t="str">
        <f t="shared" si="2"/>
        <v>Le paiement mensuel</v>
      </c>
      <c r="J19" s="38" t="str">
        <f t="shared" si="2"/>
        <v>Le montant du paiement mensuel envers l'intérêt</v>
      </c>
      <c r="K19" s="38" t="str">
        <f t="shared" si="2"/>
        <v>Le montant du paiement mensuel envers le capital</v>
      </c>
      <c r="L19" s="38" t="str">
        <f t="shared" si="2"/>
        <v>Le solde impayé</v>
      </c>
      <c r="M19" s="38" t="str">
        <f t="shared" si="2"/>
        <v>La valeur nette</v>
      </c>
    </row>
    <row r="20" spans="1:13" ht="15">
      <c r="A20" s="73">
        <v>0</v>
      </c>
      <c r="B20" s="19"/>
      <c r="C20" s="19"/>
      <c r="D20" s="19"/>
      <c r="E20" s="74">
        <v>44676.37</v>
      </c>
      <c r="F20" s="74">
        <f>F10</f>
        <v>2500</v>
      </c>
      <c r="G20" s="18"/>
      <c r="H20" s="73">
        <v>0</v>
      </c>
      <c r="I20" s="19"/>
      <c r="J20" s="19"/>
      <c r="K20" s="19"/>
      <c r="L20" s="74">
        <v>29447.36</v>
      </c>
      <c r="M20" s="74">
        <f>F10</f>
        <v>2500</v>
      </c>
    </row>
    <row r="21" spans="1:13" ht="15">
      <c r="A21" s="73">
        <f>A20+1</f>
        <v>1</v>
      </c>
      <c r="B21" s="74">
        <f>$B$17</f>
        <v>1359.5</v>
      </c>
      <c r="C21" s="74">
        <f>E20*$B$4/12</f>
        <v>223.38185000000001</v>
      </c>
      <c r="D21" s="74">
        <f>B21-C21</f>
        <v>1136.11815</v>
      </c>
      <c r="E21" s="74">
        <f>E20-D21</f>
        <v>43540.25185</v>
      </c>
      <c r="F21" s="74">
        <f>F20+D21</f>
        <v>3636.1181500000002</v>
      </c>
      <c r="G21" s="18"/>
      <c r="H21" s="73">
        <f>H20+1</f>
        <v>1</v>
      </c>
      <c r="I21" s="74">
        <f>$I$17</f>
        <v>896.08</v>
      </c>
      <c r="J21" s="74">
        <f>L20*$B$4/12</f>
        <v>147.2368</v>
      </c>
      <c r="K21" s="74">
        <f>I21-J21</f>
        <v>748.8432</v>
      </c>
      <c r="L21" s="74">
        <f>L20-K21</f>
        <v>28698.5168</v>
      </c>
      <c r="M21" s="74">
        <f>M20+K21</f>
        <v>3248.8432000000003</v>
      </c>
    </row>
    <row r="22" spans="1:13" ht="15">
      <c r="A22" s="73">
        <f>A21+1</f>
        <v>2</v>
      </c>
      <c r="B22" s="74">
        <f>$B$17</f>
        <v>1359.5</v>
      </c>
      <c r="C22" s="74">
        <f>E21*$B$4/12</f>
        <v>217.70125925</v>
      </c>
      <c r="D22" s="74">
        <f>B22-C22</f>
        <v>1141.79874075</v>
      </c>
      <c r="E22" s="74">
        <f>E21-D22</f>
        <v>42398.453109250004</v>
      </c>
      <c r="F22" s="74">
        <f>F21+D22</f>
        <v>4777.916890750001</v>
      </c>
      <c r="G22" s="18"/>
      <c r="H22" s="73">
        <f>H21+1</f>
        <v>2</v>
      </c>
      <c r="I22" s="74">
        <f>$I$17</f>
        <v>896.08</v>
      </c>
      <c r="J22" s="74">
        <f>L21*$B$4/12</f>
        <v>143.492584</v>
      </c>
      <c r="K22" s="74">
        <f>I22-J22</f>
        <v>752.5874160000001</v>
      </c>
      <c r="L22" s="74">
        <f>L21-K22</f>
        <v>27945.929384000003</v>
      </c>
      <c r="M22" s="74">
        <f>M21+K22</f>
        <v>4001.4306160000006</v>
      </c>
    </row>
    <row r="23" spans="1:13" ht="15">
      <c r="A23" s="73">
        <f>A22+1</f>
        <v>3</v>
      </c>
      <c r="B23" s="74">
        <f>$B$17</f>
        <v>1359.5</v>
      </c>
      <c r="C23" s="74">
        <f>E22*$B$4/12</f>
        <v>211.99226554625</v>
      </c>
      <c r="D23" s="74">
        <f>B23-C23</f>
        <v>1147.50773445375</v>
      </c>
      <c r="E23" s="74">
        <f>E22-D23</f>
        <v>41250.945374796254</v>
      </c>
      <c r="F23" s="74">
        <f>F22+D23</f>
        <v>5925.42462520375</v>
      </c>
      <c r="G23" s="18"/>
      <c r="H23" s="73">
        <f>H22+1</f>
        <v>3</v>
      </c>
      <c r="I23" s="74">
        <f>$I$17</f>
        <v>896.08</v>
      </c>
      <c r="J23" s="74">
        <f>L22*$B$4/12</f>
        <v>139.72964692000002</v>
      </c>
      <c r="K23" s="74">
        <f>I23-J23</f>
        <v>756.35035308</v>
      </c>
      <c r="L23" s="74">
        <f>L22-K23</f>
        <v>27189.579030920002</v>
      </c>
      <c r="M23" s="74">
        <f>M22+K23</f>
        <v>4757.78096908</v>
      </c>
    </row>
    <row r="24" spans="1:13" ht="15">
      <c r="A24" s="73">
        <f>A23+1</f>
        <v>4</v>
      </c>
      <c r="B24" s="74">
        <f>$B$17</f>
        <v>1359.5</v>
      </c>
      <c r="C24" s="74">
        <f>E23*$B$4/12</f>
        <v>206.25472687398124</v>
      </c>
      <c r="D24" s="74">
        <f>B24-C24</f>
        <v>1153.2452731260187</v>
      </c>
      <c r="E24" s="74">
        <f>E23-D24</f>
        <v>40097.700101670234</v>
      </c>
      <c r="F24" s="74">
        <f>F23+D24</f>
        <v>7078.669898329768</v>
      </c>
      <c r="G24" s="18"/>
      <c r="H24" s="73">
        <f>H23+1</f>
        <v>4</v>
      </c>
      <c r="I24" s="74">
        <f>$I$17</f>
        <v>896.08</v>
      </c>
      <c r="J24" s="74">
        <f>L23*$B$4/12</f>
        <v>135.9478951546</v>
      </c>
      <c r="K24" s="74">
        <f>I24-J24</f>
        <v>760.1321048454</v>
      </c>
      <c r="L24" s="74">
        <f>L23-K24</f>
        <v>26429.4469260746</v>
      </c>
      <c r="M24" s="74">
        <f>M23+K24</f>
        <v>5517.913073925401</v>
      </c>
    </row>
    <row r="25" ht="15" customHeight="1"/>
    <row r="26" spans="1:9" s="55" customFormat="1" ht="30">
      <c r="A26" s="112" t="s">
        <v>3</v>
      </c>
      <c r="B26" s="132"/>
      <c r="D26" s="133"/>
      <c r="E26" s="133"/>
      <c r="F26" s="133"/>
      <c r="H26" s="112" t="s">
        <v>4</v>
      </c>
      <c r="I26" s="121"/>
    </row>
    <row r="27" spans="1:9" ht="15">
      <c r="A27" t="s">
        <v>33</v>
      </c>
      <c r="B27" s="34">
        <v>821.45</v>
      </c>
      <c r="D27" s="35"/>
      <c r="E27" s="35"/>
      <c r="F27" s="35"/>
      <c r="H27" s="129" t="str">
        <f>A27</f>
        <v>Le paiement mensuel</v>
      </c>
      <c r="I27" s="114">
        <v>1106.75</v>
      </c>
    </row>
    <row r="28" spans="1:6" ht="15.75" thickBot="1">
      <c r="A28" s="36"/>
      <c r="B28" s="37"/>
      <c r="D28" s="35"/>
      <c r="E28" s="35"/>
      <c r="F28" s="35"/>
    </row>
    <row r="29" spans="1:13" s="18" customFormat="1" ht="48" customHeight="1" thickBot="1">
      <c r="A29" s="38" t="str">
        <f aca="true" t="shared" si="3" ref="A29:F29">A9</f>
        <v>Mois</v>
      </c>
      <c r="B29" s="38" t="str">
        <f t="shared" si="3"/>
        <v>Le paiement mensuel</v>
      </c>
      <c r="C29" s="38" t="str">
        <f t="shared" si="3"/>
        <v>Le montant du paiement mensuel envers l'intérêt</v>
      </c>
      <c r="D29" s="38" t="str">
        <f t="shared" si="3"/>
        <v>Le montant du paiement mensuel envers le capital</v>
      </c>
      <c r="E29" s="38" t="str">
        <f t="shared" si="3"/>
        <v>Le solde impayé</v>
      </c>
      <c r="F29" s="38" t="str">
        <f t="shared" si="3"/>
        <v>La valeur nette</v>
      </c>
      <c r="H29" s="38" t="str">
        <f aca="true" t="shared" si="4" ref="H29:M29">A9</f>
        <v>Mois</v>
      </c>
      <c r="I29" s="38" t="str">
        <f t="shared" si="4"/>
        <v>Le paiement mensuel</v>
      </c>
      <c r="J29" s="38" t="str">
        <f t="shared" si="4"/>
        <v>Le montant du paiement mensuel envers l'intérêt</v>
      </c>
      <c r="K29" s="38" t="str">
        <f t="shared" si="4"/>
        <v>Le montant du paiement mensuel envers le capital</v>
      </c>
      <c r="L29" s="38" t="str">
        <f t="shared" si="4"/>
        <v>Le solde impayé</v>
      </c>
      <c r="M29" s="38" t="str">
        <f t="shared" si="4"/>
        <v>La valeur nette</v>
      </c>
    </row>
    <row r="30" spans="1:13" s="18" customFormat="1" ht="14.25">
      <c r="A30" s="73">
        <v>0</v>
      </c>
      <c r="B30" s="19"/>
      <c r="C30" s="19"/>
      <c r="D30" s="19"/>
      <c r="E30" s="74">
        <v>29494.7</v>
      </c>
      <c r="F30" s="74">
        <f>$B$1</f>
        <v>2500</v>
      </c>
      <c r="H30" s="73">
        <v>0</v>
      </c>
      <c r="I30" s="19"/>
      <c r="J30" s="19"/>
      <c r="K30" s="19"/>
      <c r="L30" s="74">
        <v>36370.31</v>
      </c>
      <c r="M30" s="74">
        <f>$B$1</f>
        <v>2500</v>
      </c>
    </row>
    <row r="31" spans="1:13" s="18" customFormat="1" ht="14.25">
      <c r="A31" s="73">
        <f>A30+1</f>
        <v>1</v>
      </c>
      <c r="B31" s="74">
        <f>$B$27</f>
        <v>821.45</v>
      </c>
      <c r="C31" s="74">
        <f>E30*$B$4/12</f>
        <v>147.4735</v>
      </c>
      <c r="D31" s="74">
        <f>B31-C31</f>
        <v>673.9765</v>
      </c>
      <c r="E31" s="74">
        <f>E30-D31</f>
        <v>28820.7235</v>
      </c>
      <c r="F31" s="74">
        <f>F30+D31</f>
        <v>3173.9764999999998</v>
      </c>
      <c r="H31" s="73">
        <f>H30+1</f>
        <v>1</v>
      </c>
      <c r="I31" s="74">
        <f>$I$27</f>
        <v>1106.75</v>
      </c>
      <c r="J31" s="74">
        <f>L30*$B$4/12</f>
        <v>181.85154999999997</v>
      </c>
      <c r="K31" s="74">
        <f>I31-J31</f>
        <v>924.89845</v>
      </c>
      <c r="L31" s="74">
        <f>L30-K31</f>
        <v>35445.41155</v>
      </c>
      <c r="M31" s="74">
        <f>M30+K31</f>
        <v>3424.89845</v>
      </c>
    </row>
    <row r="32" spans="1:13" s="18" customFormat="1" ht="14.25">
      <c r="A32" s="73">
        <f>A31+1</f>
        <v>2</v>
      </c>
      <c r="B32" s="74">
        <f>$B$27</f>
        <v>821.45</v>
      </c>
      <c r="C32" s="74">
        <f>E31*$B$4/12</f>
        <v>144.1036175</v>
      </c>
      <c r="D32" s="74">
        <f>B32-C32</f>
        <v>677.3463825</v>
      </c>
      <c r="E32" s="74">
        <f>E31-D32</f>
        <v>28143.3771175</v>
      </c>
      <c r="F32" s="74">
        <f>F31+D32</f>
        <v>3851.3228824999997</v>
      </c>
      <c r="H32" s="73">
        <f>H31+1</f>
        <v>2</v>
      </c>
      <c r="I32" s="74">
        <f>$I$27</f>
        <v>1106.75</v>
      </c>
      <c r="J32" s="74">
        <f>L31*$B$4/12</f>
        <v>177.22705774999997</v>
      </c>
      <c r="K32" s="74">
        <f>I32-J32</f>
        <v>929.52294225</v>
      </c>
      <c r="L32" s="74">
        <f>L31-K32</f>
        <v>34515.88860775</v>
      </c>
      <c r="M32" s="74">
        <f>M31+K32</f>
        <v>4354.42139225</v>
      </c>
    </row>
    <row r="33" spans="1:13" s="18" customFormat="1" ht="14.25">
      <c r="A33" s="73">
        <f>A32+1</f>
        <v>3</v>
      </c>
      <c r="B33" s="74">
        <f>$B$27</f>
        <v>821.45</v>
      </c>
      <c r="C33" s="74">
        <f>E32*$B$4/12</f>
        <v>140.7168855875</v>
      </c>
      <c r="D33" s="74">
        <f>B33-C33</f>
        <v>680.7331144125001</v>
      </c>
      <c r="E33" s="74">
        <f>E32-D33</f>
        <v>27462.644003087502</v>
      </c>
      <c r="F33" s="74">
        <f>F32+D33</f>
        <v>4532.0559969125</v>
      </c>
      <c r="H33" s="73">
        <f>H32+1</f>
        <v>3</v>
      </c>
      <c r="I33" s="74">
        <f>$I$27</f>
        <v>1106.75</v>
      </c>
      <c r="J33" s="74">
        <f>L32*$B$4/12</f>
        <v>172.57944303875</v>
      </c>
      <c r="K33" s="74">
        <f>I33-J33</f>
        <v>934.17055696125</v>
      </c>
      <c r="L33" s="74">
        <f>L32-K33</f>
        <v>33581.718050788746</v>
      </c>
      <c r="M33" s="74">
        <f>M32+K33</f>
        <v>5288.59194921125</v>
      </c>
    </row>
    <row r="34" spans="1:13" s="18" customFormat="1" ht="14.25">
      <c r="A34" s="73">
        <f>A33+1</f>
        <v>4</v>
      </c>
      <c r="B34" s="74">
        <f>$B$27</f>
        <v>821.45</v>
      </c>
      <c r="C34" s="74">
        <f>E33*$B$4/12</f>
        <v>137.3132200154375</v>
      </c>
      <c r="D34" s="74">
        <f>B34-C34</f>
        <v>684.1367799845625</v>
      </c>
      <c r="E34" s="74">
        <f>E33-D34</f>
        <v>26778.50722310294</v>
      </c>
      <c r="F34" s="74">
        <f>F33+D34</f>
        <v>5216.192776897062</v>
      </c>
      <c r="H34" s="73">
        <f>H33+1</f>
        <v>4</v>
      </c>
      <c r="I34" s="74">
        <f>$I$27</f>
        <v>1106.75</v>
      </c>
      <c r="J34" s="74">
        <f>L33*$B$4/12</f>
        <v>167.90859025394374</v>
      </c>
      <c r="K34" s="74">
        <f>I34-J34</f>
        <v>938.8414097460562</v>
      </c>
      <c r="L34" s="74">
        <f>L33-K34</f>
        <v>32642.87664104269</v>
      </c>
      <c r="M34" s="74">
        <f>M33+K34</f>
        <v>6227.433358957306</v>
      </c>
    </row>
    <row r="35" spans="1:12" ht="15">
      <c r="A35" s="30"/>
      <c r="B35" s="40"/>
      <c r="C35" s="40"/>
      <c r="D35" s="40"/>
      <c r="F35" s="40"/>
      <c r="G35" s="40"/>
      <c r="H35" s="40"/>
      <c r="J35" s="40"/>
      <c r="K35" s="40"/>
      <c r="L35" s="40"/>
    </row>
    <row r="36" spans="1:6" s="55" customFormat="1" ht="15">
      <c r="A36" s="112" t="s">
        <v>5</v>
      </c>
      <c r="B36" s="132"/>
      <c r="D36" s="133"/>
      <c r="E36" s="133"/>
      <c r="F36" s="133"/>
    </row>
    <row r="37" spans="1:6" ht="15">
      <c r="A37" s="129" t="s">
        <v>33</v>
      </c>
      <c r="B37" s="114">
        <v>853.44</v>
      </c>
      <c r="D37" s="35"/>
      <c r="E37" s="35"/>
      <c r="F37" s="35"/>
    </row>
    <row r="38" spans="1:6" ht="15.75" thickBot="1">
      <c r="A38" s="36"/>
      <c r="B38" s="37"/>
      <c r="D38" s="35"/>
      <c r="E38" s="35"/>
      <c r="F38" s="35"/>
    </row>
    <row r="39" spans="1:7" ht="48" thickBot="1">
      <c r="A39" s="38" t="str">
        <f aca="true" t="shared" si="5" ref="A39:F39">A9</f>
        <v>Mois</v>
      </c>
      <c r="B39" s="38" t="str">
        <f t="shared" si="5"/>
        <v>Le paiement mensuel</v>
      </c>
      <c r="C39" s="38" t="str">
        <f t="shared" si="5"/>
        <v>Le montant du paiement mensuel envers l'intérêt</v>
      </c>
      <c r="D39" s="38" t="str">
        <f t="shared" si="5"/>
        <v>Le montant du paiement mensuel envers le capital</v>
      </c>
      <c r="E39" s="38" t="str">
        <f t="shared" si="5"/>
        <v>Le solde impayé</v>
      </c>
      <c r="F39" s="38" t="str">
        <f t="shared" si="5"/>
        <v>La valeur nette</v>
      </c>
      <c r="G39" s="18"/>
    </row>
    <row r="40" spans="1:7" ht="15">
      <c r="A40" s="73">
        <v>0</v>
      </c>
      <c r="B40" s="19"/>
      <c r="C40" s="19"/>
      <c r="D40" s="19"/>
      <c r="E40" s="74">
        <v>28046.16</v>
      </c>
      <c r="F40" s="74">
        <f>$B$1</f>
        <v>2500</v>
      </c>
      <c r="G40" s="18"/>
    </row>
    <row r="41" spans="1:7" ht="15">
      <c r="A41" s="73">
        <f>A40+1</f>
        <v>1</v>
      </c>
      <c r="B41" s="74">
        <f>$B$37</f>
        <v>853.44</v>
      </c>
      <c r="C41" s="74">
        <f>E40*$B$4/12</f>
        <v>140.2308</v>
      </c>
      <c r="D41" s="74">
        <f>B41-C41</f>
        <v>713.2092</v>
      </c>
      <c r="E41" s="74">
        <f>E40-D41</f>
        <v>27332.9508</v>
      </c>
      <c r="F41" s="74">
        <f>F40+D41</f>
        <v>3213.2092000000002</v>
      </c>
      <c r="G41" s="18"/>
    </row>
    <row r="42" spans="1:7" ht="15">
      <c r="A42" s="73">
        <f>A41+1</f>
        <v>2</v>
      </c>
      <c r="B42" s="74">
        <f>$B$37</f>
        <v>853.44</v>
      </c>
      <c r="C42" s="74">
        <f>E41*$B$4/12</f>
        <v>136.664754</v>
      </c>
      <c r="D42" s="74">
        <f>B42-C42</f>
        <v>716.775246</v>
      </c>
      <c r="E42" s="74">
        <f>E41-D42</f>
        <v>26616.175553999998</v>
      </c>
      <c r="F42" s="74">
        <f>F41+D42</f>
        <v>3929.9844460000004</v>
      </c>
      <c r="G42" s="18"/>
    </row>
    <row r="43" spans="1:7" ht="15">
      <c r="A43" s="73">
        <f>A42+1</f>
        <v>3</v>
      </c>
      <c r="B43" s="74">
        <f>$B$37</f>
        <v>853.44</v>
      </c>
      <c r="C43" s="74">
        <f>E42*$B$4/12</f>
        <v>133.08087777</v>
      </c>
      <c r="D43" s="74">
        <f>B43-C43</f>
        <v>720.35912223</v>
      </c>
      <c r="E43" s="74">
        <f>E42-D43</f>
        <v>25895.81643177</v>
      </c>
      <c r="F43" s="74">
        <f>F42+D43</f>
        <v>4650.3435682300005</v>
      </c>
      <c r="G43" s="18"/>
    </row>
    <row r="44" spans="1:7" ht="15">
      <c r="A44" s="73">
        <f>A43+1</f>
        <v>4</v>
      </c>
      <c r="B44" s="74">
        <f>$B$37</f>
        <v>853.44</v>
      </c>
      <c r="C44" s="74">
        <f>E43*$B$4/12</f>
        <v>129.47908215885</v>
      </c>
      <c r="D44" s="74">
        <f>B44-C44</f>
        <v>723.96091784115</v>
      </c>
      <c r="E44" s="74">
        <f>E43-D44</f>
        <v>25171.85551392885</v>
      </c>
      <c r="F44" s="74">
        <f>F43+D44</f>
        <v>5374.304486071151</v>
      </c>
      <c r="G44" s="18"/>
    </row>
    <row r="46" ht="15.75">
      <c r="A46" s="160" t="s">
        <v>138</v>
      </c>
    </row>
  </sheetData>
  <sheetProtection/>
  <mergeCells count="1">
    <mergeCell ref="D4:F4"/>
  </mergeCells>
  <printOptions/>
  <pageMargins left="0.7" right="0.7" top="0.75" bottom="0.75" header="0.3" footer="0.3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6">
      <selection activeCell="A33" sqref="A33"/>
    </sheetView>
  </sheetViews>
  <sheetFormatPr defaultColWidth="9.140625" defaultRowHeight="15"/>
  <cols>
    <col min="1" max="1" width="34.140625" style="18" customWidth="1"/>
    <col min="2" max="8" width="17.28125" style="18" customWidth="1"/>
    <col min="9" max="16384" width="9.140625" style="18" customWidth="1"/>
  </cols>
  <sheetData>
    <row r="1" spans="1:8" s="21" customFormat="1" ht="44.25" customHeight="1">
      <c r="A1" s="138" t="s">
        <v>28</v>
      </c>
      <c r="B1" s="134" t="s">
        <v>0</v>
      </c>
      <c r="C1" s="134" t="s">
        <v>1</v>
      </c>
      <c r="D1" s="134" t="s">
        <v>27</v>
      </c>
      <c r="E1" s="134" t="s">
        <v>2</v>
      </c>
      <c r="F1" s="134" t="s">
        <v>3</v>
      </c>
      <c r="G1" s="134" t="s">
        <v>4</v>
      </c>
      <c r="H1" s="134" t="s">
        <v>5</v>
      </c>
    </row>
    <row r="3" spans="1:8" ht="15">
      <c r="A3" s="93" t="s">
        <v>33</v>
      </c>
      <c r="B3" s="89">
        <v>324.76</v>
      </c>
      <c r="C3" s="89">
        <v>355.21</v>
      </c>
      <c r="D3" s="89">
        <v>594</v>
      </c>
      <c r="E3" s="89">
        <v>535</v>
      </c>
      <c r="F3" s="90">
        <v>501</v>
      </c>
      <c r="G3" s="90">
        <v>734.17</v>
      </c>
      <c r="H3" s="90">
        <v>374.37</v>
      </c>
    </row>
    <row r="4" spans="1:8" ht="15">
      <c r="A4" s="93" t="s">
        <v>112</v>
      </c>
      <c r="B4" s="89">
        <v>450</v>
      </c>
      <c r="C4" s="89">
        <v>520</v>
      </c>
      <c r="D4" s="89">
        <v>468</v>
      </c>
      <c r="E4" s="89">
        <v>650</v>
      </c>
      <c r="F4" s="90">
        <v>321</v>
      </c>
      <c r="G4" s="90">
        <v>510</v>
      </c>
      <c r="H4" s="90">
        <v>360</v>
      </c>
    </row>
    <row r="5" spans="1:8" ht="15">
      <c r="A5" s="93" t="s">
        <v>34</v>
      </c>
      <c r="B5" s="91">
        <v>0.58</v>
      </c>
      <c r="C5" s="91">
        <v>0.54</v>
      </c>
      <c r="D5" s="91">
        <v>0.55</v>
      </c>
      <c r="E5" s="91">
        <v>0.55</v>
      </c>
      <c r="F5" s="92">
        <v>0.56</v>
      </c>
      <c r="G5" s="92">
        <v>0.38</v>
      </c>
      <c r="H5" s="92">
        <v>0.52</v>
      </c>
    </row>
    <row r="6" spans="1:8" ht="15">
      <c r="A6" s="93" t="s">
        <v>129</v>
      </c>
      <c r="B6" s="94">
        <v>24000</v>
      </c>
      <c r="C6" s="94">
        <v>20000</v>
      </c>
      <c r="D6" s="94">
        <v>24000</v>
      </c>
      <c r="E6" s="94">
        <v>20000</v>
      </c>
      <c r="F6" s="95">
        <v>24000</v>
      </c>
      <c r="G6" s="95">
        <v>20000</v>
      </c>
      <c r="H6" s="95">
        <v>20000</v>
      </c>
    </row>
    <row r="7" spans="1:8" ht="15">
      <c r="A7" s="93" t="s">
        <v>113</v>
      </c>
      <c r="B7" s="14">
        <v>0.08</v>
      </c>
      <c r="C7" s="14">
        <v>0.08</v>
      </c>
      <c r="D7" s="14">
        <v>0.16</v>
      </c>
      <c r="E7" s="14">
        <v>0.16</v>
      </c>
      <c r="F7" s="15">
        <v>0.16</v>
      </c>
      <c r="G7" s="15">
        <v>0.12</v>
      </c>
      <c r="H7" s="15">
        <v>0.08</v>
      </c>
    </row>
    <row r="8" spans="2:8" ht="14.25">
      <c r="B8" s="19"/>
      <c r="C8" s="19"/>
      <c r="D8" s="19"/>
      <c r="E8" s="19"/>
      <c r="F8" s="19"/>
      <c r="G8" s="19"/>
      <c r="H8" s="19"/>
    </row>
    <row r="9" spans="1:8" ht="14.25">
      <c r="A9" s="24" t="s">
        <v>57</v>
      </c>
      <c r="B9" s="24"/>
      <c r="C9" s="24"/>
      <c r="D9" s="24"/>
      <c r="E9" s="24"/>
      <c r="F9" s="24"/>
      <c r="G9" s="24"/>
      <c r="H9" s="24"/>
    </row>
    <row r="10" spans="1:8" ht="14.25">
      <c r="A10" s="20" t="s">
        <v>132</v>
      </c>
      <c r="B10" s="19">
        <f aca="true" t="shared" si="0" ref="B10:H10">B3*1.13</f>
        <v>366.9788</v>
      </c>
      <c r="C10" s="19">
        <f t="shared" si="0"/>
        <v>401.3872999999999</v>
      </c>
      <c r="D10" s="19">
        <f t="shared" si="0"/>
        <v>671.2199999999999</v>
      </c>
      <c r="E10" s="19">
        <f t="shared" si="0"/>
        <v>604.55</v>
      </c>
      <c r="F10" s="19">
        <f t="shared" si="0"/>
        <v>566.13</v>
      </c>
      <c r="G10" s="19">
        <f t="shared" si="0"/>
        <v>829.6120999999998</v>
      </c>
      <c r="H10" s="19">
        <f t="shared" si="0"/>
        <v>423.0381</v>
      </c>
    </row>
    <row r="11" spans="1:8" ht="14.25">
      <c r="A11" s="20" t="s">
        <v>133</v>
      </c>
      <c r="B11" s="19">
        <f>B10*3*12</f>
        <v>13211.2368</v>
      </c>
      <c r="C11" s="19">
        <f aca="true" t="shared" si="1" ref="C11:H11">C10*3*12</f>
        <v>14449.942799999997</v>
      </c>
      <c r="D11" s="19">
        <f t="shared" si="1"/>
        <v>24163.92</v>
      </c>
      <c r="E11" s="19">
        <f t="shared" si="1"/>
        <v>21763.8</v>
      </c>
      <c r="F11" s="19">
        <f t="shared" si="1"/>
        <v>20380.68</v>
      </c>
      <c r="G11" s="19">
        <f t="shared" si="1"/>
        <v>29866.035599999996</v>
      </c>
      <c r="H11" s="19">
        <f t="shared" si="1"/>
        <v>15229.371599999999</v>
      </c>
    </row>
    <row r="12" spans="1:8" ht="14.25">
      <c r="A12" s="18" t="s">
        <v>49</v>
      </c>
      <c r="B12" s="19">
        <f aca="true" t="shared" si="2" ref="B12:H12">B4+B11</f>
        <v>13661.2368</v>
      </c>
      <c r="C12" s="19">
        <f t="shared" si="2"/>
        <v>14969.942799999997</v>
      </c>
      <c r="D12" s="19">
        <f t="shared" si="2"/>
        <v>24631.92</v>
      </c>
      <c r="E12" s="19">
        <f t="shared" si="2"/>
        <v>22413.8</v>
      </c>
      <c r="F12" s="19">
        <f t="shared" si="2"/>
        <v>20701.68</v>
      </c>
      <c r="G12" s="19">
        <f t="shared" si="2"/>
        <v>30376.035599999996</v>
      </c>
      <c r="H12" s="19">
        <f t="shared" si="2"/>
        <v>15589.371599999999</v>
      </c>
    </row>
    <row r="13" spans="2:8" ht="14.25">
      <c r="B13" s="19"/>
      <c r="C13" s="19"/>
      <c r="D13" s="19"/>
      <c r="E13" s="19"/>
      <c r="F13" s="19"/>
      <c r="G13" s="19"/>
      <c r="H13" s="19"/>
    </row>
    <row r="14" spans="1:8" ht="14.25">
      <c r="A14" s="18" t="s">
        <v>50</v>
      </c>
      <c r="B14" s="25">
        <f aca="true" t="shared" si="3" ref="B14:H14">IF(66000-B6*3&lt;0,0,66000-B6*3)</f>
        <v>0</v>
      </c>
      <c r="C14" s="25">
        <f t="shared" si="3"/>
        <v>6000</v>
      </c>
      <c r="D14" s="25">
        <f t="shared" si="3"/>
        <v>0</v>
      </c>
      <c r="E14" s="25">
        <f t="shared" si="3"/>
        <v>6000</v>
      </c>
      <c r="F14" s="25">
        <f t="shared" si="3"/>
        <v>0</v>
      </c>
      <c r="G14" s="25">
        <f t="shared" si="3"/>
        <v>6000</v>
      </c>
      <c r="H14" s="25">
        <f t="shared" si="3"/>
        <v>6000</v>
      </c>
    </row>
    <row r="15" spans="1:8" ht="14.25">
      <c r="A15" s="20" t="s">
        <v>134</v>
      </c>
      <c r="B15" s="19">
        <f aca="true" t="shared" si="4" ref="B15:H15">B14*B7</f>
        <v>0</v>
      </c>
      <c r="C15" s="19">
        <f t="shared" si="4"/>
        <v>480</v>
      </c>
      <c r="D15" s="19">
        <f t="shared" si="4"/>
        <v>0</v>
      </c>
      <c r="E15" s="19">
        <f t="shared" si="4"/>
        <v>960</v>
      </c>
      <c r="F15" s="19">
        <f t="shared" si="4"/>
        <v>0</v>
      </c>
      <c r="G15" s="19">
        <f t="shared" si="4"/>
        <v>720</v>
      </c>
      <c r="H15" s="19">
        <f t="shared" si="4"/>
        <v>480</v>
      </c>
    </row>
    <row r="16" spans="1:8" ht="14.25">
      <c r="A16" s="18" t="s">
        <v>51</v>
      </c>
      <c r="B16" s="19">
        <v>450</v>
      </c>
      <c r="C16" s="19">
        <v>450</v>
      </c>
      <c r="D16" s="19">
        <v>450</v>
      </c>
      <c r="E16" s="19">
        <v>450</v>
      </c>
      <c r="F16" s="19">
        <v>450</v>
      </c>
      <c r="G16" s="19">
        <v>450</v>
      </c>
      <c r="H16" s="19">
        <v>450</v>
      </c>
    </row>
    <row r="17" spans="1:8" ht="14.25">
      <c r="A17" s="18" t="s">
        <v>43</v>
      </c>
      <c r="B17" s="19">
        <f>(B15+B16)*0.13</f>
        <v>58.5</v>
      </c>
      <c r="C17" s="19">
        <f aca="true" t="shared" si="5" ref="C17:H17">(C15+C16)*0.13</f>
        <v>120.9</v>
      </c>
      <c r="D17" s="19">
        <f t="shared" si="5"/>
        <v>58.5</v>
      </c>
      <c r="E17" s="19">
        <f t="shared" si="5"/>
        <v>183.3</v>
      </c>
      <c r="F17" s="19">
        <f t="shared" si="5"/>
        <v>58.5</v>
      </c>
      <c r="G17" s="19">
        <f t="shared" si="5"/>
        <v>152.1</v>
      </c>
      <c r="H17" s="19">
        <f t="shared" si="5"/>
        <v>120.9</v>
      </c>
    </row>
    <row r="18" spans="2:8" ht="6.75" customHeight="1">
      <c r="B18" s="19"/>
      <c r="C18" s="19"/>
      <c r="D18" s="19"/>
      <c r="E18" s="19"/>
      <c r="F18" s="19"/>
      <c r="G18" s="19"/>
      <c r="H18" s="19"/>
    </row>
    <row r="19" spans="1:8" ht="28.5">
      <c r="A19" s="72" t="s">
        <v>52</v>
      </c>
      <c r="B19" s="71">
        <f aca="true" t="shared" si="6" ref="B19:H19">B12+B15+B16+B17</f>
        <v>14169.7368</v>
      </c>
      <c r="C19" s="71">
        <f t="shared" si="6"/>
        <v>16020.842799999997</v>
      </c>
      <c r="D19" s="71">
        <f t="shared" si="6"/>
        <v>25140.42</v>
      </c>
      <c r="E19" s="71">
        <f t="shared" si="6"/>
        <v>24007.1</v>
      </c>
      <c r="F19" s="71">
        <f t="shared" si="6"/>
        <v>21210.18</v>
      </c>
      <c r="G19" s="71">
        <f t="shared" si="6"/>
        <v>31698.135599999994</v>
      </c>
      <c r="H19" s="71">
        <f t="shared" si="6"/>
        <v>16640.2716</v>
      </c>
    </row>
    <row r="20" spans="2:8" ht="14.25">
      <c r="B20" s="19"/>
      <c r="C20" s="19"/>
      <c r="D20" s="19"/>
      <c r="E20" s="19"/>
      <c r="F20" s="19"/>
      <c r="G20" s="19"/>
      <c r="H20" s="19"/>
    </row>
    <row r="21" spans="1:8" ht="14.25">
      <c r="A21" s="24" t="s">
        <v>34</v>
      </c>
      <c r="B21" s="26"/>
      <c r="C21" s="26"/>
      <c r="D21" s="26"/>
      <c r="E21" s="26"/>
      <c r="F21" s="26"/>
      <c r="G21" s="26"/>
      <c r="H21" s="26"/>
    </row>
    <row r="22" spans="1:8" ht="14.25">
      <c r="A22" s="18" t="s">
        <v>53</v>
      </c>
      <c r="B22" s="19">
        <v>22685</v>
      </c>
      <c r="C22" s="19">
        <v>30453.75</v>
      </c>
      <c r="D22" s="19">
        <v>45249</v>
      </c>
      <c r="E22" s="19">
        <v>31772</v>
      </c>
      <c r="F22" s="19">
        <v>29601.5</v>
      </c>
      <c r="G22" s="19">
        <v>37898.5</v>
      </c>
      <c r="H22" s="19">
        <v>30532</v>
      </c>
    </row>
    <row r="23" spans="1:8" ht="14.25">
      <c r="A23" s="18" t="s">
        <v>34</v>
      </c>
      <c r="B23" s="19">
        <f aca="true" t="shared" si="7" ref="B23:H23">B22*B5</f>
        <v>13157.3</v>
      </c>
      <c r="C23" s="19">
        <f t="shared" si="7"/>
        <v>16445.025</v>
      </c>
      <c r="D23" s="19">
        <f t="shared" si="7"/>
        <v>24886.95</v>
      </c>
      <c r="E23" s="19">
        <f t="shared" si="7"/>
        <v>17474.600000000002</v>
      </c>
      <c r="F23" s="19">
        <f t="shared" si="7"/>
        <v>16576.84</v>
      </c>
      <c r="G23" s="19">
        <f t="shared" si="7"/>
        <v>14401.43</v>
      </c>
      <c r="H23" s="19">
        <f t="shared" si="7"/>
        <v>15876.640000000001</v>
      </c>
    </row>
    <row r="24" spans="1:8" ht="14.25">
      <c r="A24" s="28" t="s">
        <v>54</v>
      </c>
      <c r="B24" s="75">
        <f>B23*1.13</f>
        <v>14867.748999999998</v>
      </c>
      <c r="C24" s="75">
        <f aca="true" t="shared" si="8" ref="C24:H24">C23*1.13</f>
        <v>18582.87825</v>
      </c>
      <c r="D24" s="75">
        <f t="shared" si="8"/>
        <v>28122.2535</v>
      </c>
      <c r="E24" s="75">
        <f t="shared" si="8"/>
        <v>19746.298</v>
      </c>
      <c r="F24" s="75">
        <f t="shared" si="8"/>
        <v>18731.8292</v>
      </c>
      <c r="G24" s="75">
        <f t="shared" si="8"/>
        <v>16273.615899999999</v>
      </c>
      <c r="H24" s="75">
        <f t="shared" si="8"/>
        <v>17940.6032</v>
      </c>
    </row>
    <row r="25" spans="2:8" ht="8.25" customHeight="1">
      <c r="B25" s="19"/>
      <c r="C25" s="19"/>
      <c r="D25" s="19"/>
      <c r="E25" s="19"/>
      <c r="F25" s="19"/>
      <c r="G25" s="19"/>
      <c r="H25" s="19"/>
    </row>
    <row r="26" spans="1:8" ht="28.5">
      <c r="A26" s="72" t="s">
        <v>55</v>
      </c>
      <c r="B26" s="71">
        <f aca="true" t="shared" si="9" ref="B26:H26">B19+B24</f>
        <v>29037.4858</v>
      </c>
      <c r="C26" s="71">
        <f t="shared" si="9"/>
        <v>34603.72105</v>
      </c>
      <c r="D26" s="71">
        <f t="shared" si="9"/>
        <v>53262.6735</v>
      </c>
      <c r="E26" s="71">
        <f t="shared" si="9"/>
        <v>43753.398</v>
      </c>
      <c r="F26" s="71">
        <f t="shared" si="9"/>
        <v>39942.0092</v>
      </c>
      <c r="G26" s="71">
        <f t="shared" si="9"/>
        <v>47971.75149999999</v>
      </c>
      <c r="H26" s="71">
        <f t="shared" si="9"/>
        <v>34580.874800000005</v>
      </c>
    </row>
    <row r="27" spans="1:8" ht="14.25">
      <c r="A27" s="20"/>
      <c r="B27" s="19"/>
      <c r="C27" s="19"/>
      <c r="D27" s="19"/>
      <c r="E27" s="19"/>
      <c r="F27" s="19"/>
      <c r="G27" s="19"/>
      <c r="H27" s="19"/>
    </row>
    <row r="28" spans="1:8" s="28" customFormat="1" ht="14.25">
      <c r="A28" s="27" t="s">
        <v>56</v>
      </c>
      <c r="B28" s="26"/>
      <c r="C28" s="26"/>
      <c r="D28" s="26"/>
      <c r="E28" s="26"/>
      <c r="F28" s="26"/>
      <c r="G28" s="26"/>
      <c r="H28" s="26"/>
    </row>
    <row r="29" spans="1:8" ht="28.5">
      <c r="A29" s="20" t="s">
        <v>130</v>
      </c>
      <c r="B29" s="19">
        <v>7358.44</v>
      </c>
      <c r="C29" s="19">
        <v>4145.98</v>
      </c>
      <c r="D29" s="19">
        <v>6086.3</v>
      </c>
      <c r="E29" s="19">
        <v>11806.04</v>
      </c>
      <c r="F29" s="19">
        <v>10447.31</v>
      </c>
      <c r="G29" s="19">
        <v>9101.45</v>
      </c>
      <c r="H29" s="19">
        <v>4034.71</v>
      </c>
    </row>
    <row r="30" ht="6.75" customHeight="1"/>
    <row r="31" spans="1:8" ht="28.5">
      <c r="A31" s="20" t="s">
        <v>131</v>
      </c>
      <c r="B31" s="19">
        <v>6459.32</v>
      </c>
      <c r="C31" s="19">
        <v>2835.32</v>
      </c>
      <c r="D31" s="19">
        <v>3991.88</v>
      </c>
      <c r="E31" s="19">
        <v>10425.55</v>
      </c>
      <c r="F31" s="19">
        <v>9181.8</v>
      </c>
      <c r="G31" s="19">
        <v>7396.41</v>
      </c>
      <c r="H31" s="19">
        <v>2719.91</v>
      </c>
    </row>
    <row r="33" ht="15">
      <c r="A33" s="160" t="s">
        <v>138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H21" sqref="A1:H21"/>
    </sheetView>
  </sheetViews>
  <sheetFormatPr defaultColWidth="9.140625" defaultRowHeight="15"/>
  <cols>
    <col min="1" max="1" width="17.140625" style="18" customWidth="1"/>
    <col min="2" max="2" width="13.7109375" style="18" customWidth="1"/>
    <col min="3" max="3" width="15.57421875" style="18" customWidth="1"/>
    <col min="4" max="4" width="15.140625" style="18" customWidth="1"/>
    <col min="5" max="5" width="15.00390625" style="18" customWidth="1"/>
    <col min="6" max="8" width="15.140625" style="18" bestFit="1" customWidth="1"/>
    <col min="9" max="16384" width="9.140625" style="18" customWidth="1"/>
  </cols>
  <sheetData>
    <row r="1" s="22" customFormat="1" ht="15">
      <c r="A1" s="22" t="s">
        <v>135</v>
      </c>
    </row>
    <row r="3" spans="1:8" s="21" customFormat="1" ht="50.25" customHeight="1">
      <c r="A3" s="134" t="s">
        <v>28</v>
      </c>
      <c r="B3" s="134" t="s">
        <v>0</v>
      </c>
      <c r="C3" s="134" t="s">
        <v>1</v>
      </c>
      <c r="D3" s="134" t="s">
        <v>27</v>
      </c>
      <c r="E3" s="134" t="s">
        <v>2</v>
      </c>
      <c r="F3" s="134" t="s">
        <v>3</v>
      </c>
      <c r="G3" s="134" t="s">
        <v>4</v>
      </c>
      <c r="H3" s="134" t="s">
        <v>5</v>
      </c>
    </row>
    <row r="5" spans="1:8" ht="15">
      <c r="A5" s="18" t="s">
        <v>58</v>
      </c>
      <c r="B5" s="97">
        <v>9790</v>
      </c>
      <c r="C5" s="97">
        <v>13400</v>
      </c>
      <c r="D5" s="97">
        <v>21900</v>
      </c>
      <c r="E5" s="97">
        <v>15980</v>
      </c>
      <c r="F5" s="97">
        <v>16495</v>
      </c>
      <c r="G5" s="97">
        <v>13100</v>
      </c>
      <c r="H5" s="97">
        <v>19726</v>
      </c>
    </row>
    <row r="6" spans="1:8" ht="14.25">
      <c r="A6" s="18" t="s">
        <v>43</v>
      </c>
      <c r="B6" s="19">
        <f>B5*0.13</f>
        <v>1272.7</v>
      </c>
      <c r="C6" s="19">
        <f aca="true" t="shared" si="0" ref="C6:H6">C5*0.13</f>
        <v>1742</v>
      </c>
      <c r="D6" s="19">
        <f t="shared" si="0"/>
        <v>2847</v>
      </c>
      <c r="E6" s="19">
        <f t="shared" si="0"/>
        <v>2077.4</v>
      </c>
      <c r="F6" s="19">
        <f t="shared" si="0"/>
        <v>2144.35</v>
      </c>
      <c r="G6" s="19">
        <f t="shared" si="0"/>
        <v>1703</v>
      </c>
      <c r="H6" s="19">
        <f t="shared" si="0"/>
        <v>2564.38</v>
      </c>
    </row>
    <row r="7" spans="1:8" ht="14.25">
      <c r="A7" s="153" t="s">
        <v>44</v>
      </c>
      <c r="B7" s="71">
        <f>B5+B6</f>
        <v>11062.7</v>
      </c>
      <c r="C7" s="71">
        <f aca="true" t="shared" si="1" ref="C7:H7">C5+C6</f>
        <v>15142</v>
      </c>
      <c r="D7" s="71">
        <f t="shared" si="1"/>
        <v>24747</v>
      </c>
      <c r="E7" s="71">
        <f t="shared" si="1"/>
        <v>18057.4</v>
      </c>
      <c r="F7" s="71">
        <f t="shared" si="1"/>
        <v>18639.35</v>
      </c>
      <c r="G7" s="71">
        <f t="shared" si="1"/>
        <v>14803</v>
      </c>
      <c r="H7" s="71">
        <f t="shared" si="1"/>
        <v>22290.38</v>
      </c>
    </row>
    <row r="9" s="22" customFormat="1" ht="15">
      <c r="A9" s="22" t="s">
        <v>59</v>
      </c>
    </row>
    <row r="10" spans="1:8" ht="28.5" customHeight="1">
      <c r="A10" s="18" t="s">
        <v>60</v>
      </c>
      <c r="B10" s="96">
        <v>8370</v>
      </c>
      <c r="C10" s="96">
        <v>11030</v>
      </c>
      <c r="D10" s="96">
        <v>18875</v>
      </c>
      <c r="E10" s="96">
        <v>12925</v>
      </c>
      <c r="F10" s="97">
        <v>14500</v>
      </c>
      <c r="G10" s="97">
        <v>11810</v>
      </c>
      <c r="H10" s="97">
        <v>17146</v>
      </c>
    </row>
    <row r="11" spans="1:8" ht="28.5" customHeight="1">
      <c r="A11" s="20" t="s">
        <v>61</v>
      </c>
      <c r="B11" s="96">
        <v>9080</v>
      </c>
      <c r="C11" s="96">
        <v>12250</v>
      </c>
      <c r="D11" s="96">
        <v>20405</v>
      </c>
      <c r="E11" s="96">
        <v>14450</v>
      </c>
      <c r="F11" s="97">
        <v>15946</v>
      </c>
      <c r="G11" s="97">
        <v>12455</v>
      </c>
      <c r="H11" s="97">
        <v>18436</v>
      </c>
    </row>
    <row r="12" spans="1:8" ht="28.5" customHeight="1">
      <c r="A12" s="18" t="s">
        <v>140</v>
      </c>
      <c r="B12" s="23">
        <f>B11*0.08</f>
        <v>726.4</v>
      </c>
      <c r="C12" s="23">
        <f aca="true" t="shared" si="2" ref="C12:H12">C11*0.08</f>
        <v>980</v>
      </c>
      <c r="D12" s="23">
        <f t="shared" si="2"/>
        <v>1632.4</v>
      </c>
      <c r="E12" s="23">
        <f t="shared" si="2"/>
        <v>1156</v>
      </c>
      <c r="F12" s="23">
        <f t="shared" si="2"/>
        <v>1275.68</v>
      </c>
      <c r="G12" s="23">
        <f t="shared" si="2"/>
        <v>996.4</v>
      </c>
      <c r="H12" s="23">
        <f t="shared" si="2"/>
        <v>1474.88</v>
      </c>
    </row>
    <row r="13" spans="1:8" ht="28.5">
      <c r="A13" s="20" t="s">
        <v>63</v>
      </c>
      <c r="B13" s="19">
        <v>20</v>
      </c>
      <c r="C13" s="19">
        <v>20</v>
      </c>
      <c r="D13" s="19">
        <v>20</v>
      </c>
      <c r="E13" s="19">
        <v>20</v>
      </c>
      <c r="F13" s="19">
        <v>20</v>
      </c>
      <c r="G13" s="19">
        <v>20</v>
      </c>
      <c r="H13" s="19">
        <v>20</v>
      </c>
    </row>
    <row r="14" spans="1:8" ht="14.25">
      <c r="A14" s="20" t="s">
        <v>141</v>
      </c>
      <c r="B14" s="19">
        <f>B13*0.05</f>
        <v>1</v>
      </c>
      <c r="C14" s="19">
        <f aca="true" t="shared" si="3" ref="C14:H14">C13*0.05</f>
        <v>1</v>
      </c>
      <c r="D14" s="19">
        <f t="shared" si="3"/>
        <v>1</v>
      </c>
      <c r="E14" s="19">
        <f t="shared" si="3"/>
        <v>1</v>
      </c>
      <c r="F14" s="19">
        <f t="shared" si="3"/>
        <v>1</v>
      </c>
      <c r="G14" s="19">
        <f t="shared" si="3"/>
        <v>1</v>
      </c>
      <c r="H14" s="19">
        <f t="shared" si="3"/>
        <v>1</v>
      </c>
    </row>
    <row r="15" spans="1:8" ht="28.5" customHeight="1">
      <c r="A15" s="20" t="s">
        <v>62</v>
      </c>
      <c r="B15" s="19">
        <v>149.99</v>
      </c>
      <c r="C15" s="19">
        <v>149.99</v>
      </c>
      <c r="D15" s="19">
        <v>149.99</v>
      </c>
      <c r="E15" s="19">
        <v>149.99</v>
      </c>
      <c r="F15" s="19">
        <v>149.99</v>
      </c>
      <c r="G15" s="19">
        <v>149.99</v>
      </c>
      <c r="H15" s="19">
        <v>149.99</v>
      </c>
    </row>
    <row r="16" spans="1:8" ht="21.75" customHeight="1">
      <c r="A16" s="18" t="s">
        <v>43</v>
      </c>
      <c r="B16" s="19">
        <f>B15*0.13</f>
        <v>19.498700000000003</v>
      </c>
      <c r="C16" s="19">
        <f aca="true" t="shared" si="4" ref="C16:H16">C15*0.13</f>
        <v>19.498700000000003</v>
      </c>
      <c r="D16" s="19">
        <f t="shared" si="4"/>
        <v>19.498700000000003</v>
      </c>
      <c r="E16" s="19">
        <f t="shared" si="4"/>
        <v>19.498700000000003</v>
      </c>
      <c r="F16" s="19">
        <f t="shared" si="4"/>
        <v>19.498700000000003</v>
      </c>
      <c r="G16" s="19">
        <f t="shared" si="4"/>
        <v>19.498700000000003</v>
      </c>
      <c r="H16" s="19">
        <f t="shared" si="4"/>
        <v>19.498700000000003</v>
      </c>
    </row>
    <row r="17" spans="1:8" ht="28.5">
      <c r="A17" s="20" t="s">
        <v>64</v>
      </c>
      <c r="B17" s="19">
        <v>18</v>
      </c>
      <c r="C17" s="19">
        <v>18</v>
      </c>
      <c r="D17" s="19">
        <v>18</v>
      </c>
      <c r="E17" s="19">
        <v>18</v>
      </c>
      <c r="F17" s="19">
        <v>18</v>
      </c>
      <c r="G17" s="19">
        <v>18</v>
      </c>
      <c r="H17" s="19">
        <v>18</v>
      </c>
    </row>
    <row r="19" spans="1:8" ht="19.5" customHeight="1">
      <c r="A19" s="150" t="s">
        <v>65</v>
      </c>
      <c r="B19" s="161">
        <f>SUM(B12:B18)+B10</f>
        <v>9304.8887</v>
      </c>
      <c r="C19" s="161">
        <f aca="true" t="shared" si="5" ref="C19:H19">SUM(C12:C18)+C10</f>
        <v>12218.4887</v>
      </c>
      <c r="D19" s="161">
        <f t="shared" si="5"/>
        <v>20715.8887</v>
      </c>
      <c r="E19" s="161">
        <f t="shared" si="5"/>
        <v>14289.4887</v>
      </c>
      <c r="F19" s="161">
        <f t="shared" si="5"/>
        <v>15984.1687</v>
      </c>
      <c r="G19" s="161">
        <f t="shared" si="5"/>
        <v>13014.8887</v>
      </c>
      <c r="H19" s="161">
        <f t="shared" si="5"/>
        <v>18829.3687</v>
      </c>
    </row>
    <row r="20" ht="6.75" customHeight="1"/>
    <row r="21" spans="1:8" ht="14.25">
      <c r="A21" s="151" t="s">
        <v>142</v>
      </c>
      <c r="B21" s="152">
        <f aca="true" t="shared" si="6" ref="B21:H21">B7-B19</f>
        <v>1757.8113000000012</v>
      </c>
      <c r="C21" s="152">
        <f t="shared" si="6"/>
        <v>2923.5113</v>
      </c>
      <c r="D21" s="152">
        <f t="shared" si="6"/>
        <v>4031.1113000000005</v>
      </c>
      <c r="E21" s="152">
        <f t="shared" si="6"/>
        <v>3767.9113000000016</v>
      </c>
      <c r="F21" s="152">
        <f t="shared" si="6"/>
        <v>2655.1812999999984</v>
      </c>
      <c r="G21" s="152">
        <f t="shared" si="6"/>
        <v>1788.1113000000005</v>
      </c>
      <c r="H21" s="152">
        <f t="shared" si="6"/>
        <v>3461.011300000002</v>
      </c>
    </row>
    <row r="23" ht="15">
      <c r="A23" s="160" t="s">
        <v>138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H14" sqref="A1:H14"/>
    </sheetView>
  </sheetViews>
  <sheetFormatPr defaultColWidth="11.421875" defaultRowHeight="15"/>
  <cols>
    <col min="1" max="1" width="21.57421875" style="5" customWidth="1"/>
    <col min="2" max="2" width="18.28125" style="5" customWidth="1"/>
    <col min="3" max="3" width="18.140625" style="5" customWidth="1"/>
    <col min="4" max="4" width="18.28125" style="5" customWidth="1"/>
    <col min="5" max="5" width="17.8515625" style="5" customWidth="1"/>
    <col min="6" max="6" width="15.28125" style="5" customWidth="1"/>
    <col min="7" max="7" width="17.57421875" style="5" customWidth="1"/>
    <col min="8" max="8" width="16.421875" style="5" customWidth="1"/>
    <col min="9" max="16384" width="11.421875" style="5" customWidth="1"/>
  </cols>
  <sheetData>
    <row r="1" spans="1:2" ht="15">
      <c r="A1" s="154" t="s">
        <v>48</v>
      </c>
      <c r="B1" s="154">
        <v>3</v>
      </c>
    </row>
    <row r="3" spans="1:8" ht="30" customHeight="1">
      <c r="A3" s="134" t="s">
        <v>28</v>
      </c>
      <c r="B3" s="134" t="s">
        <v>0</v>
      </c>
      <c r="C3" s="134" t="s">
        <v>1</v>
      </c>
      <c r="D3" s="134" t="s">
        <v>27</v>
      </c>
      <c r="E3" s="134" t="s">
        <v>2</v>
      </c>
      <c r="F3" s="134" t="s">
        <v>3</v>
      </c>
      <c r="G3" s="134" t="s">
        <v>4</v>
      </c>
      <c r="H3" s="134" t="s">
        <v>5</v>
      </c>
    </row>
    <row r="4" spans="1:8" ht="15">
      <c r="A4" s="6" t="s">
        <v>58</v>
      </c>
      <c r="B4" s="47">
        <v>9790</v>
      </c>
      <c r="C4" s="47">
        <v>13400</v>
      </c>
      <c r="D4" s="47">
        <v>21900</v>
      </c>
      <c r="E4" s="47">
        <v>15980</v>
      </c>
      <c r="F4" s="47">
        <v>16495</v>
      </c>
      <c r="G4" s="47">
        <v>13100</v>
      </c>
      <c r="H4" s="47">
        <v>19726</v>
      </c>
    </row>
    <row r="5" spans="1:8" ht="15">
      <c r="A5" s="6" t="s">
        <v>44</v>
      </c>
      <c r="B5" s="47">
        <v>11062.7</v>
      </c>
      <c r="C5" s="47">
        <v>15142</v>
      </c>
      <c r="D5" s="47">
        <v>24747</v>
      </c>
      <c r="E5" s="47">
        <v>18057.4</v>
      </c>
      <c r="F5" s="47">
        <v>18639.35</v>
      </c>
      <c r="G5" s="47">
        <v>14803</v>
      </c>
      <c r="H5" s="47">
        <v>22290.3</v>
      </c>
    </row>
    <row r="6" ht="15">
      <c r="A6" s="6"/>
    </row>
    <row r="7" spans="1:8" ht="30">
      <c r="A7" s="45" t="s">
        <v>66</v>
      </c>
      <c r="B7" s="46">
        <v>395</v>
      </c>
      <c r="C7" s="46">
        <v>395</v>
      </c>
      <c r="D7" s="46">
        <v>395</v>
      </c>
      <c r="E7" s="46">
        <v>395</v>
      </c>
      <c r="F7" s="46">
        <v>395</v>
      </c>
      <c r="G7" s="46">
        <v>395</v>
      </c>
      <c r="H7" s="46">
        <v>395</v>
      </c>
    </row>
    <row r="8" spans="1:8" ht="63" customHeight="1">
      <c r="A8" s="98" t="s">
        <v>136</v>
      </c>
      <c r="B8" s="96">
        <v>155.08</v>
      </c>
      <c r="C8" s="96">
        <v>213.06</v>
      </c>
      <c r="D8" s="96">
        <v>348.21</v>
      </c>
      <c r="E8" s="96">
        <v>254.08</v>
      </c>
      <c r="F8" s="96">
        <v>262.27</v>
      </c>
      <c r="G8" s="96">
        <v>208.29</v>
      </c>
      <c r="H8" s="96">
        <v>313.62</v>
      </c>
    </row>
    <row r="9" spans="1:8" ht="45">
      <c r="A9" s="99" t="s">
        <v>114</v>
      </c>
      <c r="B9" s="97">
        <v>125</v>
      </c>
      <c r="C9" s="97">
        <v>125</v>
      </c>
      <c r="D9" s="97">
        <v>125</v>
      </c>
      <c r="E9" s="97">
        <v>125</v>
      </c>
      <c r="F9" s="97">
        <v>125</v>
      </c>
      <c r="G9" s="97">
        <v>125</v>
      </c>
      <c r="H9" s="97">
        <v>125</v>
      </c>
    </row>
    <row r="10" spans="1:8" ht="15">
      <c r="A10" s="45"/>
      <c r="B10" s="46"/>
      <c r="C10" s="46"/>
      <c r="D10" s="46"/>
      <c r="E10" s="46"/>
      <c r="F10" s="46"/>
      <c r="G10" s="46"/>
      <c r="H10" s="46"/>
    </row>
    <row r="11" spans="1:8" ht="15">
      <c r="A11" s="45"/>
      <c r="B11" s="46"/>
      <c r="C11" s="46"/>
      <c r="D11" s="46"/>
      <c r="E11" s="46"/>
      <c r="F11" s="46"/>
      <c r="G11" s="46"/>
      <c r="H11" s="46"/>
    </row>
    <row r="12" spans="1:8" ht="45">
      <c r="A12" s="45" t="s">
        <v>136</v>
      </c>
      <c r="B12" s="46">
        <f>B8*1.13</f>
        <v>175.2404</v>
      </c>
      <c r="C12" s="46">
        <f aca="true" t="shared" si="0" ref="C12:H12">C8*1.13</f>
        <v>240.75779999999997</v>
      </c>
      <c r="D12" s="46">
        <f t="shared" si="0"/>
        <v>393.47729999999996</v>
      </c>
      <c r="E12" s="46">
        <f t="shared" si="0"/>
        <v>287.11039999999997</v>
      </c>
      <c r="F12" s="46">
        <f t="shared" si="0"/>
        <v>296.3650999999999</v>
      </c>
      <c r="G12" s="46">
        <f t="shared" si="0"/>
        <v>235.36769999999996</v>
      </c>
      <c r="H12" s="46">
        <f t="shared" si="0"/>
        <v>354.39059999999995</v>
      </c>
    </row>
    <row r="13" spans="1:8" ht="57.75" customHeight="1">
      <c r="A13" s="45" t="s">
        <v>67</v>
      </c>
      <c r="B13" s="46">
        <f>B12*26*$B$1</f>
        <v>13668.751199999999</v>
      </c>
      <c r="C13" s="46">
        <f aca="true" t="shared" si="1" ref="C13:H13">C12*26*$B$1</f>
        <v>18779.108399999997</v>
      </c>
      <c r="D13" s="46">
        <f t="shared" si="1"/>
        <v>30691.229399999997</v>
      </c>
      <c r="E13" s="46">
        <f t="shared" si="1"/>
        <v>22394.611199999996</v>
      </c>
      <c r="F13" s="46">
        <f t="shared" si="1"/>
        <v>23116.477799999993</v>
      </c>
      <c r="G13" s="46">
        <f t="shared" si="1"/>
        <v>18358.680599999996</v>
      </c>
      <c r="H13" s="46">
        <f t="shared" si="1"/>
        <v>27642.466799999995</v>
      </c>
    </row>
    <row r="14" spans="1:8" ht="21" customHeight="1">
      <c r="A14" s="100" t="s">
        <v>8</v>
      </c>
      <c r="B14" s="76">
        <f>B7+B13+B9</f>
        <v>14188.751199999999</v>
      </c>
      <c r="C14" s="76">
        <f aca="true" t="shared" si="2" ref="C14:H14">C7+C13+C9</f>
        <v>19299.108399999997</v>
      </c>
      <c r="D14" s="76">
        <f t="shared" si="2"/>
        <v>31211.229399999997</v>
      </c>
      <c r="E14" s="76">
        <f t="shared" si="2"/>
        <v>22914.611199999996</v>
      </c>
      <c r="F14" s="76">
        <f t="shared" si="2"/>
        <v>23636.477799999993</v>
      </c>
      <c r="G14" s="76">
        <f t="shared" si="2"/>
        <v>18878.680599999996</v>
      </c>
      <c r="H14" s="76">
        <f t="shared" si="2"/>
        <v>28162.466799999995</v>
      </c>
    </row>
    <row r="15" spans="1:8" ht="21" customHeight="1">
      <c r="A15" s="44"/>
      <c r="B15" s="46"/>
      <c r="C15" s="46"/>
      <c r="D15" s="46"/>
      <c r="E15" s="46"/>
      <c r="F15" s="46"/>
      <c r="G15" s="46"/>
      <c r="H15" s="46"/>
    </row>
    <row r="16" ht="15">
      <c r="A16" s="160" t="s">
        <v>138</v>
      </c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1" sqref="A1:E35"/>
    </sheetView>
  </sheetViews>
  <sheetFormatPr defaultColWidth="11.421875" defaultRowHeight="15"/>
  <cols>
    <col min="1" max="1" width="20.28125" style="0" customWidth="1"/>
    <col min="2" max="2" width="13.28125" style="0" customWidth="1"/>
    <col min="3" max="3" width="4.8515625" style="0" customWidth="1"/>
    <col min="4" max="4" width="24.421875" style="0" customWidth="1"/>
  </cols>
  <sheetData>
    <row r="1" spans="1:2" ht="15">
      <c r="A1" s="155" t="s">
        <v>115</v>
      </c>
      <c r="B1" s="155">
        <v>0.05</v>
      </c>
    </row>
    <row r="2" spans="1:2" ht="15">
      <c r="A2" s="155" t="s">
        <v>116</v>
      </c>
      <c r="B2" s="155">
        <v>0.08</v>
      </c>
    </row>
    <row r="4" spans="1:4" ht="15">
      <c r="A4" s="128" t="s">
        <v>143</v>
      </c>
      <c r="D4" s="156" t="s">
        <v>146</v>
      </c>
    </row>
    <row r="5" spans="1:5" ht="15">
      <c r="A5" t="s">
        <v>68</v>
      </c>
      <c r="B5" s="48">
        <v>45</v>
      </c>
      <c r="D5" t="s">
        <v>12</v>
      </c>
      <c r="E5" s="48">
        <f>4*4.05</f>
        <v>16.2</v>
      </c>
    </row>
    <row r="6" spans="1:5" ht="15">
      <c r="A6" t="s">
        <v>69</v>
      </c>
      <c r="B6" s="117">
        <v>0.75</v>
      </c>
      <c r="D6" t="s">
        <v>71</v>
      </c>
      <c r="E6" s="48">
        <v>25.6</v>
      </c>
    </row>
    <row r="7" spans="1:5" ht="15">
      <c r="A7" t="s">
        <v>70</v>
      </c>
      <c r="B7" s="48">
        <v>75</v>
      </c>
      <c r="D7" t="s">
        <v>72</v>
      </c>
      <c r="E7" s="48">
        <v>19.75</v>
      </c>
    </row>
    <row r="8" spans="1:5" ht="15">
      <c r="A8" s="51" t="s">
        <v>148</v>
      </c>
      <c r="B8" s="48">
        <f>B5+B6*B7</f>
        <v>101.25</v>
      </c>
      <c r="D8" t="str">
        <f>A6</f>
        <v>Les heures</v>
      </c>
      <c r="E8" s="117">
        <v>0.75</v>
      </c>
    </row>
    <row r="9" spans="1:5" ht="15">
      <c r="A9" s="162" t="s">
        <v>43</v>
      </c>
      <c r="B9" s="48">
        <f>B8*($B$1+$B$2)</f>
        <v>13.1625</v>
      </c>
      <c r="D9" t="str">
        <f>A7</f>
        <v>La main-d'œuvre</v>
      </c>
      <c r="E9" s="48">
        <v>65</v>
      </c>
    </row>
    <row r="10" spans="1:5" ht="15">
      <c r="A10" s="52" t="s">
        <v>65</v>
      </c>
      <c r="B10" s="53">
        <f>B8+B9</f>
        <v>114.4125</v>
      </c>
      <c r="D10" s="51" t="s">
        <v>148</v>
      </c>
      <c r="E10" s="48">
        <f>E5+E6+E7+E8*E9</f>
        <v>110.3</v>
      </c>
    </row>
    <row r="11" spans="4:5" ht="15">
      <c r="D11" s="162" t="s">
        <v>43</v>
      </c>
      <c r="E11" s="48">
        <f>E10*($B$1+$B$2)</f>
        <v>14.339</v>
      </c>
    </row>
    <row r="12" spans="4:5" ht="15">
      <c r="D12" s="52" t="s">
        <v>65</v>
      </c>
      <c r="E12" s="53">
        <f>E10+E11</f>
        <v>124.639</v>
      </c>
    </row>
    <row r="13" ht="15">
      <c r="A13" s="128" t="s">
        <v>144</v>
      </c>
    </row>
    <row r="14" spans="1:2" ht="15">
      <c r="A14" t="s">
        <v>72</v>
      </c>
      <c r="B14" s="48">
        <v>18</v>
      </c>
    </row>
    <row r="15" spans="1:4" ht="15">
      <c r="A15" t="s">
        <v>12</v>
      </c>
      <c r="B15" s="48">
        <f>5*4</f>
        <v>20</v>
      </c>
      <c r="D15" s="156" t="s">
        <v>147</v>
      </c>
    </row>
    <row r="16" spans="1:5" ht="15">
      <c r="A16" t="s">
        <v>71</v>
      </c>
      <c r="B16" s="48">
        <v>20</v>
      </c>
      <c r="D16" t="s">
        <v>74</v>
      </c>
      <c r="E16" s="48">
        <v>250</v>
      </c>
    </row>
    <row r="17" spans="1:5" ht="15">
      <c r="A17" t="s">
        <v>73</v>
      </c>
      <c r="B17" s="48">
        <f>150*4</f>
        <v>600</v>
      </c>
      <c r="D17" t="s">
        <v>150</v>
      </c>
      <c r="E17" s="48">
        <v>150</v>
      </c>
    </row>
    <row r="18" spans="1:5" ht="15">
      <c r="A18" t="str">
        <f>A6</f>
        <v>Les heures</v>
      </c>
      <c r="B18" s="117">
        <v>3.5</v>
      </c>
      <c r="D18" t="s">
        <v>75</v>
      </c>
      <c r="E18" s="48">
        <f>2*10</f>
        <v>20</v>
      </c>
    </row>
    <row r="19" spans="1:5" ht="15">
      <c r="A19" t="str">
        <f>A7</f>
        <v>La main-d'œuvre</v>
      </c>
      <c r="B19" s="48">
        <v>95</v>
      </c>
      <c r="D19" t="str">
        <f>A6</f>
        <v>Les heures</v>
      </c>
      <c r="E19" s="135">
        <f>1+40/60</f>
        <v>1.6666666666666665</v>
      </c>
    </row>
    <row r="20" spans="1:5" ht="15">
      <c r="A20" s="51" t="s">
        <v>148</v>
      </c>
      <c r="B20" s="48">
        <f>B14+B15+B16+B17+B18*B19</f>
        <v>990.5</v>
      </c>
      <c r="D20" t="str">
        <f>A7</f>
        <v>La main-d'œuvre</v>
      </c>
      <c r="E20" s="48">
        <v>85</v>
      </c>
    </row>
    <row r="21" spans="1:5" ht="15">
      <c r="A21" s="162" t="s">
        <v>43</v>
      </c>
      <c r="B21" s="48">
        <f>B20*($B$1+$B$2)</f>
        <v>128.76500000000001</v>
      </c>
      <c r="D21" s="51" t="s">
        <v>148</v>
      </c>
      <c r="E21" s="48">
        <f>E16+E17+E18+E19*E20</f>
        <v>561.6666666666666</v>
      </c>
    </row>
    <row r="22" spans="1:5" ht="15">
      <c r="A22" s="52" t="s">
        <v>65</v>
      </c>
      <c r="B22" s="53">
        <f>B20+B21</f>
        <v>1119.265</v>
      </c>
      <c r="D22" s="162" t="s">
        <v>43</v>
      </c>
      <c r="E22" s="48">
        <f>E21*($B$1+$B$2)</f>
        <v>73.01666666666667</v>
      </c>
    </row>
    <row r="23" spans="4:5" ht="15">
      <c r="D23" s="52" t="s">
        <v>65</v>
      </c>
      <c r="E23" s="53">
        <f>E21+E22</f>
        <v>634.6833333333333</v>
      </c>
    </row>
    <row r="25" ht="15">
      <c r="A25" s="156" t="s">
        <v>145</v>
      </c>
    </row>
    <row r="26" spans="1:2" ht="15">
      <c r="A26" t="s">
        <v>12</v>
      </c>
      <c r="B26" s="48">
        <f>4*2.5</f>
        <v>10</v>
      </c>
    </row>
    <row r="27" spans="1:2" ht="15">
      <c r="A27" t="s">
        <v>76</v>
      </c>
      <c r="B27" s="48">
        <v>21</v>
      </c>
    </row>
    <row r="28" spans="1:2" ht="15">
      <c r="A28" t="s">
        <v>149</v>
      </c>
      <c r="B28" s="48">
        <v>7</v>
      </c>
    </row>
    <row r="29" spans="1:2" ht="15">
      <c r="A29" t="s">
        <v>77</v>
      </c>
      <c r="B29" s="48">
        <f>8*2</f>
        <v>16</v>
      </c>
    </row>
    <row r="30" spans="1:2" ht="15">
      <c r="A30" t="s">
        <v>78</v>
      </c>
      <c r="B30" s="48">
        <f>2*29</f>
        <v>58</v>
      </c>
    </row>
    <row r="31" spans="1:2" ht="15">
      <c r="A31" t="str">
        <f>A6</f>
        <v>Les heures</v>
      </c>
      <c r="B31" s="117">
        <v>1.25</v>
      </c>
    </row>
    <row r="32" spans="1:2" ht="15">
      <c r="A32" t="str">
        <f>A7</f>
        <v>La main-d'œuvre</v>
      </c>
      <c r="B32" s="48">
        <v>60</v>
      </c>
    </row>
    <row r="33" spans="1:2" ht="15">
      <c r="A33" s="51" t="s">
        <v>148</v>
      </c>
      <c r="B33" s="48">
        <f>B26+B27+B28+B29+B30+B31*B32</f>
        <v>187</v>
      </c>
    </row>
    <row r="34" spans="1:2" ht="15">
      <c r="A34" s="162" t="s">
        <v>43</v>
      </c>
      <c r="B34" s="48">
        <f>B33*($B$1+$B$2)</f>
        <v>24.310000000000002</v>
      </c>
    </row>
    <row r="35" spans="1:2" ht="15">
      <c r="A35" s="52" t="s">
        <v>65</v>
      </c>
      <c r="B35" s="53">
        <f>B33+B34</f>
        <v>211.31</v>
      </c>
    </row>
    <row r="37" ht="15.75">
      <c r="A37" s="160" t="s">
        <v>138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</dc:creator>
  <cp:keywords/>
  <dc:description/>
  <cp:lastModifiedBy>Houle, Nathalie (MET)</cp:lastModifiedBy>
  <cp:lastPrinted>2018-08-13T15:50:13Z</cp:lastPrinted>
  <dcterms:created xsi:type="dcterms:W3CDTF">2013-11-07T00:28:20Z</dcterms:created>
  <dcterms:modified xsi:type="dcterms:W3CDTF">2018-11-17T20:52:31Z</dcterms:modified>
  <cp:category/>
  <cp:version/>
  <cp:contentType/>
  <cp:contentStatus/>
</cp:coreProperties>
</file>