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Edu_Internet_dev\dev_finance\finance\frame_report\"/>
    </mc:Choice>
  </mc:AlternateContent>
  <bookViews>
    <workbookView xWindow="100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28" r:id="rId23"/>
    <sheet name="- 28 -" sheetId="29"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33" r:id="rId39"/>
    <sheet name="- 45 -" sheetId="48" r:id="rId40"/>
    <sheet name="- 47 -" sheetId="49" r:id="rId41"/>
    <sheet name="- 48 - " sheetId="88" r:id="rId42"/>
    <sheet name="- 50 -" sheetId="50" r:id="rId43"/>
    <sheet name="- 51 -" sheetId="51" r:id="rId44"/>
    <sheet name="- 52 -" sheetId="81" r:id="rId45"/>
    <sheet name="- 53 -" sheetId="47" r:id="rId46"/>
    <sheet name="- 54 -" sheetId="46" r:id="rId47"/>
    <sheet name="- 55 -" sheetId="52" r:id="rId48"/>
    <sheet name="- 56 -" sheetId="84" r:id="rId49"/>
    <sheet name="- 57 -" sheetId="85" r:id="rId50"/>
    <sheet name="- 58 -" sheetId="89" r:id="rId51"/>
    <sheet name="- 59 -" sheetId="90" r:id="rId52"/>
    <sheet name="- 60 -" sheetId="78" r:id="rId53"/>
    <sheet name="Data" sheetId="2" state="hidden" r:id="rId54"/>
  </sheets>
  <externalReferences>
    <externalReference r:id="rId55"/>
    <externalReference r:id="rId56"/>
    <externalReference r:id="rId57"/>
    <externalReference r:id="rId58"/>
    <externalReference r:id="rId59"/>
  </externalReferences>
  <definedNames>
    <definedName name="_Fill" localSheetId="50" hidden="1">#REF!</definedName>
    <definedName name="_Fill" localSheetId="0" hidden="1">#REF!</definedName>
    <definedName name="_Fill" hidden="1">#REF!</definedName>
    <definedName name="_Order1" hidden="1">0</definedName>
    <definedName name="AEXP_BF" localSheetId="0">'[1]- 15 -'!$B$2</definedName>
    <definedName name="AEXP_BF">'- 15 -'!$B$2</definedName>
    <definedName name="AEXP_BP" localSheetId="0">'[1]- 18 -'!$B$2</definedName>
    <definedName name="AEXP_BP">'- 18 -'!$B$2</definedName>
    <definedName name="capyear" localSheetId="0">#REF!</definedName>
    <definedName name="capyear">#REF!</definedName>
    <definedName name="DATE_ENTRY" localSheetId="0">#REF!</definedName>
    <definedName name="DATE_ENTRY">#REF!</definedName>
    <definedName name="DIV">[2]Data!$A$9:$A$696</definedName>
    <definedName name="DIVNUM">[3]DATA!$B$1</definedName>
    <definedName name="HTML_CodePage" hidden="1">1252</definedName>
    <definedName name="HTML_Control" localSheetId="18" hidden="1">{"'- 4 -'!$A$1:$G$76","'-3 -'!$A$1:$G$77"}</definedName>
    <definedName name="HTML_Control" localSheetId="41" hidden="1">{"'- 4 -'!$A$1:$G$76","'-3 -'!$A$1:$G$77"}</definedName>
    <definedName name="HTML_Control" localSheetId="44" hidden="1">{"'- 4 -'!$A$1:$G$76","'-3 -'!$A$1:$G$77"}</definedName>
    <definedName name="HTML_Control" localSheetId="48" hidden="1">{"'- 4 -'!$A$1:$G$76","'-3 -'!$A$1:$G$77"}</definedName>
    <definedName name="HTML_Control" localSheetId="49"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ang" localSheetId="0">[1]Data!$V$4</definedName>
    <definedName name="Lang">Data!$Y$4</definedName>
    <definedName name="LIST">[3]DATA!$D$1:$D$39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'[4]- 3 -'!$A$3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'- 21 -'!$A$1:$I$59</definedName>
    <definedName name="_xlnm.Print_Area" localSheetId="17">'- 22 -'!$A$1:$J$58</definedName>
    <definedName name="_xlnm.Print_Area" localSheetId="18">'- 23 -'!$A$1:$F$59</definedName>
    <definedName name="_xlnm.Print_Area" localSheetId="19">'- 24 -'!$A$1:$I$59</definedName>
    <definedName name="_xlnm.Print_Area" localSheetId="20">'- 25 -'!$A$1:$J$59</definedName>
    <definedName name="_xlnm.Print_Area" localSheetId="21">'- 26 -'!$A$1:$E$59</definedName>
    <definedName name="_xlnm.Print_Area" localSheetId="22">'- 27 -'!$A$1:$J$59</definedName>
    <definedName name="_xlnm.Print_Area" localSheetId="23">'- 28 -'!$A$1:$G$59</definedName>
    <definedName name="_xlnm.Print_Area" localSheetId="24">'- 29 -'!$A$1:$G$59</definedName>
    <definedName name="_xlnm.Print_Area" localSheetId="1">'- 3 -'!$A$1:$F$59</definedName>
    <definedName name="_xlnm.Print_Area" localSheetId="25">'- 30 -'!$A$1:$F$59</definedName>
    <definedName name="_xlnm.Print_Area" localSheetId="26">'- 31 -'!$A$1:$G$59</definedName>
    <definedName name="_xlnm.Print_Area" localSheetId="27">'- 32 -'!$A$1:$F$59</definedName>
    <definedName name="_xlnm.Print_Area" localSheetId="28">'- 33 -'!$A$1:$F$59</definedName>
    <definedName name="_xlnm.Print_Area" localSheetId="29">'- 34 -'!$A$1:$H$59</definedName>
    <definedName name="_xlnm.Print_Area" localSheetId="30">'- 35 -'!$A$1:$E$59</definedName>
    <definedName name="_xlnm.Print_Area" localSheetId="31">'- 36 -'!$A$1:$G$59</definedName>
    <definedName name="_xlnm.Print_Area" localSheetId="32">'- 37 -'!$A$1:$J$59</definedName>
    <definedName name="_xlnm.Print_Area" localSheetId="33">'- 38 -'!$A$1:$H$58</definedName>
    <definedName name="_xlnm.Print_Area" localSheetId="2">'- 4 -'!$A$1:$E$59</definedName>
    <definedName name="_xlnm.Print_Area" localSheetId="34">'- 40 -'!$A$1:$H$59</definedName>
    <definedName name="_xlnm.Print_Area" localSheetId="35">'- 41 -'!$A$1:$I$62</definedName>
    <definedName name="_xlnm.Print_Area" localSheetId="36">'- 42 -'!$A$1:$I$59</definedName>
    <definedName name="_xlnm.Print_Area" localSheetId="37">'- 43 -'!$A$1:$I$59</definedName>
    <definedName name="_xlnm.Print_Area" localSheetId="38">'- 44 -'!$A$1:$C$60</definedName>
    <definedName name="_xlnm.Print_Area" localSheetId="39">'- 45 -'!$A$1:$D$58</definedName>
    <definedName name="_xlnm.Print_Area" localSheetId="40">'- 47 -'!$A$1:$G$57</definedName>
    <definedName name="_xlnm.Print_Area" localSheetId="41">'- 48 - '!$A$1:$F$52</definedName>
    <definedName name="_xlnm.Print_Area" localSheetId="42">'- 50 -'!$A$1:$F$57</definedName>
    <definedName name="_xlnm.Print_Area" localSheetId="43">'- 51 -'!$A$1:$G$59</definedName>
    <definedName name="_xlnm.Print_Area" localSheetId="44">'- 52 -'!$A$1:$G$59</definedName>
    <definedName name="_xlnm.Print_Area" localSheetId="45">'- 53 -'!$A$1:$F$57</definedName>
    <definedName name="_xlnm.Print_Area" localSheetId="46">'- 54 -'!$A$1:$F$59</definedName>
    <definedName name="_xlnm.Print_Area" localSheetId="47">'- 55 -'!$A$1:$F$59</definedName>
    <definedName name="_xlnm.Print_Area" localSheetId="48">'- 56 -'!$A$1:$F$61</definedName>
    <definedName name="_xlnm.Print_Area" localSheetId="49">'- 57 -'!$A$1:$H$56</definedName>
    <definedName name="_xlnm.Print_Area" localSheetId="50">'- 58 -'!$A$1:$I$57</definedName>
    <definedName name="_xlnm.Print_Area" localSheetId="51">'- 59 -'!$A$2:$G$52</definedName>
    <definedName name="_xlnm.Print_Area" localSheetId="3">'- 6 -'!$A$1:$H$59</definedName>
    <definedName name="_xlnm.Print_Area" localSheetId="52">'- 60 -'!$A$1:$I$55</definedName>
    <definedName name="_xlnm.Print_Area" localSheetId="4">'- 7 -'!$A$1:$F$59</definedName>
    <definedName name="_xlnm.Print_Area" localSheetId="5">'- 8 -'!$A$1:$G$59</definedName>
    <definedName name="_xlnm.Print_Area" localSheetId="6">'- 9 -'!$A$1:$D$58</definedName>
    <definedName name="_xlnm.Print_Area" localSheetId="53">Data!$A$3:$N$52</definedName>
    <definedName name="_xlnm.Print_Area" localSheetId="0">README!$B$3:$B$15</definedName>
    <definedName name="REVYEAR" localSheetId="0">'[4]- 42 -'!$B$1</definedName>
    <definedName name="REVYEAR">'- 41 -'!$B$1</definedName>
    <definedName name="STAMP" localSheetId="0">#REF!</definedName>
    <definedName name="STAMP">#REF!</definedName>
    <definedName name="STATDATE" localSheetId="0">'[4]- 6 -'!$B$3</definedName>
    <definedName name="STATDATE">'- 6 -'!$B$3</definedName>
    <definedName name="TAXYEAR" localSheetId="0">'[4]- 46 -'!$B$3</definedName>
    <definedName name="TAXYEAR">'- 45 -'!$B$3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 name="YEARFRENCH">'[5]- 42 -'!$B$1</definedName>
  </definedNames>
  <calcPr calcId="162913"/>
</workbook>
</file>

<file path=xl/calcChain.xml><?xml version="1.0" encoding="utf-8"?>
<calcChain xmlns="http://schemas.openxmlformats.org/spreadsheetml/2006/main">
  <c r="I28" i="41" l="1"/>
  <c r="C10" i="48" l="1"/>
  <c r="BA3" i="48" l="1"/>
  <c r="A55" i="52" l="1"/>
  <c r="D51" i="16" l="1"/>
  <c r="D50"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P48" i="2" l="1"/>
  <c r="B60" i="2" l="1"/>
  <c r="B61" i="2" s="1"/>
  <c r="B62" i="2" s="1"/>
  <c r="B63" i="2" s="1"/>
  <c r="B64" i="2" s="1"/>
  <c r="B65" i="2" s="1"/>
  <c r="B66" i="2" s="1"/>
  <c r="B67" i="2" s="1"/>
  <c r="B68" i="2" s="1"/>
  <c r="B69" i="2" s="1"/>
  <c r="B70" i="2" s="1"/>
  <c r="B71" i="2" s="1"/>
  <c r="B72" i="2" s="1"/>
  <c r="B73" i="2" s="1"/>
  <c r="B74" i="2" s="1"/>
  <c r="D14" i="43" l="1"/>
  <c r="Q48" i="2" l="1"/>
  <c r="D48" i="44"/>
  <c r="E13" i="43"/>
  <c r="E17" i="43"/>
  <c r="E21" i="43"/>
  <c r="E25" i="43"/>
  <c r="E29" i="43"/>
  <c r="E33" i="43"/>
  <c r="E37" i="43"/>
  <c r="E41" i="43"/>
  <c r="E45" i="43"/>
  <c r="B48" i="38"/>
  <c r="E12" i="43"/>
  <c r="E16" i="43"/>
  <c r="E20" i="43"/>
  <c r="E24" i="43"/>
  <c r="E28" i="43"/>
  <c r="E32" i="43"/>
  <c r="E36" i="43"/>
  <c r="E40" i="43"/>
  <c r="E44" i="43"/>
  <c r="E51" i="43"/>
  <c r="E51" i="46"/>
  <c r="E11" i="43"/>
  <c r="F48" i="44"/>
  <c r="D48" i="45"/>
  <c r="E12" i="46"/>
  <c r="E16" i="46"/>
  <c r="E20" i="46"/>
  <c r="E24" i="46"/>
  <c r="E28" i="46"/>
  <c r="E32" i="46"/>
  <c r="E36" i="46"/>
  <c r="E40" i="46"/>
  <c r="E44" i="46"/>
  <c r="E13" i="46"/>
  <c r="E17" i="46"/>
  <c r="E21" i="46"/>
  <c r="E25" i="46"/>
  <c r="E29" i="46"/>
  <c r="E33" i="46"/>
  <c r="E37" i="46"/>
  <c r="E41" i="46"/>
  <c r="E45" i="46"/>
  <c r="B48" i="45"/>
  <c r="E11" i="46"/>
  <c r="E15" i="46"/>
  <c r="E19" i="46"/>
  <c r="E23" i="46"/>
  <c r="E27" i="46"/>
  <c r="E31" i="46"/>
  <c r="E35" i="46"/>
  <c r="E39" i="46"/>
  <c r="E43" i="46"/>
  <c r="E50" i="46"/>
  <c r="E14" i="46"/>
  <c r="E18" i="46"/>
  <c r="E22" i="46"/>
  <c r="E26" i="46"/>
  <c r="E30" i="46"/>
  <c r="E34" i="46"/>
  <c r="E38" i="46"/>
  <c r="E42" i="46"/>
  <c r="E46" i="46"/>
  <c r="E15" i="43"/>
  <c r="E19" i="43"/>
  <c r="E23" i="43"/>
  <c r="E27" i="43"/>
  <c r="E31" i="43"/>
  <c r="E35" i="43"/>
  <c r="E39" i="43"/>
  <c r="E43" i="43"/>
  <c r="E50" i="43"/>
  <c r="H48" i="44"/>
  <c r="E48" i="52"/>
  <c r="D48" i="37"/>
  <c r="E18" i="43"/>
  <c r="E22" i="43"/>
  <c r="E26" i="43"/>
  <c r="E30" i="43"/>
  <c r="E34" i="43"/>
  <c r="E38" i="43"/>
  <c r="E42" i="43"/>
  <c r="E46" i="43"/>
  <c r="G48" i="43"/>
  <c r="C48" i="47"/>
  <c r="R48" i="2"/>
  <c r="B48" i="37"/>
  <c r="F48" i="36"/>
  <c r="D48" i="36"/>
  <c r="E14" i="43" l="1"/>
  <c r="B48" i="36" l="1"/>
  <c r="F48" i="34" l="1"/>
  <c r="B48" i="29"/>
  <c r="D48" i="35"/>
  <c r="E48" i="29"/>
  <c r="B48" i="35"/>
  <c r="D48" i="34"/>
  <c r="B48" i="34"/>
  <c r="H48" i="28" l="1"/>
  <c r="B48" i="27"/>
  <c r="E48" i="28"/>
  <c r="B48" i="28"/>
  <c r="B48" i="82" l="1"/>
  <c r="F48" i="25"/>
  <c r="B48" i="26"/>
  <c r="H48" i="26"/>
  <c r="D48" i="25"/>
  <c r="H48" i="25"/>
  <c r="E48" i="26"/>
  <c r="B48" i="25"/>
  <c r="D48" i="82"/>
  <c r="H48" i="11" l="1"/>
  <c r="E48" i="11"/>
  <c r="H48" i="9" l="1"/>
  <c r="H48" i="10"/>
  <c r="B48" i="7"/>
  <c r="E48" i="10"/>
  <c r="B48" i="11"/>
  <c r="B48" i="10"/>
  <c r="E48" i="9"/>
  <c r="B48" i="9"/>
  <c r="E48" i="8"/>
  <c r="B48" i="8"/>
  <c r="C52" i="84" l="1"/>
  <c r="C14" i="84" l="1"/>
  <c r="C18" i="84"/>
  <c r="C22" i="84"/>
  <c r="C26" i="84"/>
  <c r="C30" i="84"/>
  <c r="C34" i="84"/>
  <c r="C38" i="84"/>
  <c r="C42" i="84"/>
  <c r="C46" i="84"/>
  <c r="C12" i="84"/>
  <c r="C16" i="84"/>
  <c r="C20" i="84"/>
  <c r="C24" i="84"/>
  <c r="C13" i="84"/>
  <c r="C17" i="84"/>
  <c r="C21" i="84"/>
  <c r="C25" i="84"/>
  <c r="C29" i="84"/>
  <c r="C33" i="84"/>
  <c r="C37" i="84"/>
  <c r="C41" i="84"/>
  <c r="C45" i="84"/>
  <c r="C23" i="84"/>
  <c r="C27" i="84"/>
  <c r="C31" i="84"/>
  <c r="C35" i="84"/>
  <c r="C39" i="84"/>
  <c r="C43" i="84"/>
  <c r="C47" i="84"/>
  <c r="C28" i="84"/>
  <c r="C32" i="84"/>
  <c r="C36" i="84"/>
  <c r="C40" i="84"/>
  <c r="C44" i="84"/>
  <c r="C51" i="84"/>
  <c r="O48" i="2"/>
  <c r="BB3" i="78" l="1"/>
  <c r="BA3" i="78"/>
  <c r="A2" i="78"/>
  <c r="A2" i="90"/>
  <c r="BB3" i="89"/>
  <c r="AY2" i="84"/>
  <c r="AX2" i="84"/>
  <c r="BA3" i="89" s="1"/>
  <c r="A3" i="89" s="1"/>
  <c r="B2" i="50"/>
  <c r="A2" i="88"/>
  <c r="A2" i="49"/>
  <c r="B3" i="48"/>
  <c r="A3" i="88" s="1"/>
  <c r="BB3" i="33"/>
  <c r="A2" i="33"/>
  <c r="BB1" i="43"/>
  <c r="BA1" i="43"/>
  <c r="B1" i="43" s="1"/>
  <c r="BA3" i="33" l="1"/>
  <c r="A3" i="33" s="1"/>
  <c r="BA2" i="42"/>
  <c r="A2" i="42" s="1"/>
  <c r="BB2" i="42"/>
  <c r="B2" i="54"/>
  <c r="B2" i="76" s="1"/>
  <c r="A2" i="41"/>
  <c r="B2" i="40"/>
  <c r="B2" i="39"/>
  <c r="B2" i="8"/>
  <c r="B2" i="35" s="1"/>
  <c r="B2" i="18"/>
  <c r="B2" i="20" s="1"/>
  <c r="B5" i="22"/>
  <c r="B5" i="23" s="1"/>
  <c r="B4" i="22"/>
  <c r="B4" i="23" s="1"/>
  <c r="C5" i="21"/>
  <c r="B2" i="17"/>
  <c r="B3" i="16"/>
  <c r="B2" i="16"/>
  <c r="B2" i="14"/>
  <c r="B2" i="15" s="1"/>
  <c r="BA3" i="14"/>
  <c r="B3" i="14" s="1"/>
  <c r="B3" i="15" s="1"/>
  <c r="BB3" i="14"/>
  <c r="A2" i="6"/>
  <c r="BB3" i="5"/>
  <c r="BA3" i="5"/>
  <c r="A3" i="5" s="1"/>
  <c r="A2" i="5"/>
  <c r="B2" i="19" l="1"/>
  <c r="B2" i="10"/>
  <c r="B2" i="26"/>
  <c r="B2" i="34"/>
  <c r="B2" i="38"/>
  <c r="B2" i="7"/>
  <c r="B2" i="25"/>
  <c r="B2" i="29"/>
  <c r="B2" i="37"/>
  <c r="B2" i="9"/>
  <c r="B2" i="82"/>
  <c r="B2" i="28"/>
  <c r="B2" i="36"/>
  <c r="B2" i="11"/>
  <c r="B2" i="27"/>
  <c r="C15" i="84" l="1"/>
  <c r="C19" i="84"/>
  <c r="N48" i="2"/>
  <c r="M48" i="2"/>
  <c r="I14" i="78" l="1"/>
  <c r="D9" i="78"/>
  <c r="D9" i="90" l="1"/>
  <c r="G9" i="90" s="1"/>
  <c r="B9" i="90"/>
  <c r="A3" i="90" s="1"/>
  <c r="I51" i="89"/>
  <c r="I46" i="89"/>
  <c r="I44" i="89"/>
  <c r="I42" i="89"/>
  <c r="I40" i="89"/>
  <c r="I38" i="89"/>
  <c r="I36" i="89"/>
  <c r="I34" i="89"/>
  <c r="I32" i="89"/>
  <c r="I30" i="89"/>
  <c r="I28" i="89"/>
  <c r="I26" i="89"/>
  <c r="I24" i="89"/>
  <c r="I22" i="89"/>
  <c r="I20" i="89"/>
  <c r="I18" i="89"/>
  <c r="I16" i="89"/>
  <c r="I14" i="89"/>
  <c r="I12" i="89"/>
  <c r="H48" i="89"/>
  <c r="G48" i="89"/>
  <c r="F48" i="89"/>
  <c r="E48" i="89"/>
  <c r="D48" i="89"/>
  <c r="C48" i="89"/>
  <c r="B48" i="89"/>
  <c r="K20" i="85"/>
  <c r="K16" i="85"/>
  <c r="J50" i="85"/>
  <c r="D50" i="85"/>
  <c r="C50" i="85"/>
  <c r="F52" i="84"/>
  <c r="D40" i="84"/>
  <c r="F41" i="85" s="1"/>
  <c r="F19" i="84"/>
  <c r="F15" i="84"/>
  <c r="B49" i="84"/>
  <c r="F48"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G22" i="78" s="1"/>
  <c r="F21" i="50"/>
  <c r="F20" i="50"/>
  <c r="F19" i="50"/>
  <c r="F18" i="50"/>
  <c r="F17" i="50"/>
  <c r="F16" i="50"/>
  <c r="G16" i="78" s="1"/>
  <c r="F15" i="50"/>
  <c r="F14" i="50"/>
  <c r="G14" i="78" s="1"/>
  <c r="F13" i="50"/>
  <c r="F12" i="50"/>
  <c r="F11" i="50"/>
  <c r="B3" i="50"/>
  <c r="E48" i="49"/>
  <c r="E53" i="49" s="1"/>
  <c r="D48" i="49"/>
  <c r="D53" i="49" s="1"/>
  <c r="C48" i="49"/>
  <c r="C53" i="49" s="1"/>
  <c r="B48" i="49"/>
  <c r="B53" i="49" s="1"/>
  <c r="I45" i="49"/>
  <c r="I44" i="49"/>
  <c r="F44" i="49"/>
  <c r="I43" i="49"/>
  <c r="F43" i="49"/>
  <c r="G43" i="49" s="1"/>
  <c r="I43" i="78" s="1"/>
  <c r="G43" i="78" s="1"/>
  <c r="I42" i="49"/>
  <c r="I41" i="49"/>
  <c r="I40" i="49"/>
  <c r="I39" i="49"/>
  <c r="F39" i="49"/>
  <c r="I38" i="49"/>
  <c r="I37" i="49"/>
  <c r="I36" i="49"/>
  <c r="F36" i="49"/>
  <c r="I35" i="49"/>
  <c r="I34" i="49"/>
  <c r="I33" i="49"/>
  <c r="I32" i="49"/>
  <c r="I31" i="49"/>
  <c r="I30" i="49"/>
  <c r="I29" i="49"/>
  <c r="I28" i="49"/>
  <c r="F28" i="49"/>
  <c r="I27" i="49"/>
  <c r="I26" i="49"/>
  <c r="I25" i="49"/>
  <c r="I24" i="49"/>
  <c r="I23" i="49"/>
  <c r="I22" i="49"/>
  <c r="I21" i="49"/>
  <c r="I20" i="49"/>
  <c r="I19" i="49"/>
  <c r="I18" i="49"/>
  <c r="I17" i="49"/>
  <c r="I16" i="49"/>
  <c r="I15" i="49"/>
  <c r="I14" i="49"/>
  <c r="F14" i="49" s="1"/>
  <c r="I13" i="49"/>
  <c r="I12" i="49"/>
  <c r="F12" i="49"/>
  <c r="I11" i="49"/>
  <c r="F11" i="49"/>
  <c r="A3" i="49"/>
  <c r="B51" i="48"/>
  <c r="B50" i="48"/>
  <c r="C49" i="84" l="1"/>
  <c r="F9" i="90"/>
  <c r="G12" i="49"/>
  <c r="I12" i="78" s="1"/>
  <c r="G12" i="78" s="1"/>
  <c r="G39" i="49"/>
  <c r="I39" i="78" s="1"/>
  <c r="G39" i="78" s="1"/>
  <c r="G44" i="49"/>
  <c r="I13" i="89"/>
  <c r="I15" i="89"/>
  <c r="I17" i="89"/>
  <c r="I19" i="89"/>
  <c r="I21" i="89"/>
  <c r="I23" i="89"/>
  <c r="I25" i="89"/>
  <c r="I27" i="89"/>
  <c r="I29" i="89"/>
  <c r="I31" i="89"/>
  <c r="I33" i="89"/>
  <c r="I35" i="89"/>
  <c r="I37" i="89"/>
  <c r="I39" i="89"/>
  <c r="I41" i="89"/>
  <c r="I43" i="89"/>
  <c r="I45" i="89"/>
  <c r="I50" i="89"/>
  <c r="G11" i="49"/>
  <c r="G28" i="49"/>
  <c r="G36" i="49"/>
  <c r="D12" i="84"/>
  <c r="D14" i="84"/>
  <c r="D16" i="84"/>
  <c r="D18" i="84"/>
  <c r="F19" i="85" s="1"/>
  <c r="D21" i="84"/>
  <c r="D23" i="84"/>
  <c r="D25" i="84"/>
  <c r="D27" i="84"/>
  <c r="D29" i="84"/>
  <c r="F29" i="84" s="1"/>
  <c r="D31" i="84"/>
  <c r="D33" i="84"/>
  <c r="D35" i="84"/>
  <c r="D37" i="84"/>
  <c r="D39" i="84"/>
  <c r="F40" i="85" s="1"/>
  <c r="F40" i="84"/>
  <c r="D43" i="84"/>
  <c r="D45" i="84"/>
  <c r="E49" i="84"/>
  <c r="I11" i="89"/>
  <c r="C48" i="50"/>
  <c r="D13" i="84"/>
  <c r="D17" i="84"/>
  <c r="D20" i="84"/>
  <c r="D22" i="84"/>
  <c r="D24" i="84"/>
  <c r="F24" i="84" s="1"/>
  <c r="D26" i="84"/>
  <c r="D28" i="84"/>
  <c r="F28" i="84" s="1"/>
  <c r="D30" i="84"/>
  <c r="D32" i="84"/>
  <c r="D34" i="84"/>
  <c r="D36" i="84"/>
  <c r="D38" i="84"/>
  <c r="D41" i="84"/>
  <c r="F42" i="85" s="1"/>
  <c r="D42" i="84"/>
  <c r="D44" i="84"/>
  <c r="F44" i="84" s="1"/>
  <c r="D46" i="84"/>
  <c r="F47" i="85" s="1"/>
  <c r="D47" i="84"/>
  <c r="F48" i="85" s="1"/>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A5" i="48"/>
  <c r="C11" i="48" l="1"/>
  <c r="B11" i="50" s="1"/>
  <c r="C15" i="48"/>
  <c r="B15" i="50" s="1"/>
  <c r="D15" i="50" s="1"/>
  <c r="C19" i="48"/>
  <c r="B19" i="50" s="1"/>
  <c r="D19" i="50" s="1"/>
  <c r="C23" i="48"/>
  <c r="B23" i="50" s="1"/>
  <c r="D23" i="50" s="1"/>
  <c r="C27" i="48"/>
  <c r="B27" i="50" s="1"/>
  <c r="D27" i="50" s="1"/>
  <c r="C31" i="48"/>
  <c r="B31" i="50" s="1"/>
  <c r="D31" i="50" s="1"/>
  <c r="C35" i="48"/>
  <c r="B35" i="50" s="1"/>
  <c r="D35" i="50" s="1"/>
  <c r="C39" i="48"/>
  <c r="B39" i="50" s="1"/>
  <c r="D39" i="50" s="1"/>
  <c r="C43" i="48"/>
  <c r="B43" i="50" s="1"/>
  <c r="D43" i="50" s="1"/>
  <c r="C13" i="48"/>
  <c r="B13" i="50" s="1"/>
  <c r="D13" i="50" s="1"/>
  <c r="C17" i="48"/>
  <c r="B17" i="50" s="1"/>
  <c r="D17" i="50" s="1"/>
  <c r="C21" i="48"/>
  <c r="B21" i="50" s="1"/>
  <c r="D21" i="50" s="1"/>
  <c r="C25" i="48"/>
  <c r="B25" i="50" s="1"/>
  <c r="D25" i="50" s="1"/>
  <c r="C29" i="48"/>
  <c r="B29" i="50" s="1"/>
  <c r="D29" i="50" s="1"/>
  <c r="C33" i="48"/>
  <c r="B33" i="50" s="1"/>
  <c r="D33" i="50" s="1"/>
  <c r="C37" i="48"/>
  <c r="B37" i="50" s="1"/>
  <c r="D37" i="50" s="1"/>
  <c r="C41" i="48"/>
  <c r="B41" i="50" s="1"/>
  <c r="D41" i="50" s="1"/>
  <c r="C45" i="48"/>
  <c r="B45" i="50" s="1"/>
  <c r="D45" i="50" s="1"/>
  <c r="J12" i="49"/>
  <c r="B48" i="48"/>
  <c r="B53" i="48" s="1"/>
  <c r="C51" i="48" s="1"/>
  <c r="F39" i="84"/>
  <c r="I48" i="89"/>
  <c r="F18" i="84"/>
  <c r="C46" i="48"/>
  <c r="B46" i="50" s="1"/>
  <c r="D46" i="50" s="1"/>
  <c r="D11" i="50"/>
  <c r="C12" i="48"/>
  <c r="B12" i="50" s="1"/>
  <c r="D12" i="50" s="1"/>
  <c r="C14" i="48"/>
  <c r="B14" i="50" s="1"/>
  <c r="D14" i="50" s="1"/>
  <c r="C16" i="48"/>
  <c r="B16" i="50" s="1"/>
  <c r="D16" i="50" s="1"/>
  <c r="C18" i="48"/>
  <c r="B18" i="50" s="1"/>
  <c r="D18" i="50" s="1"/>
  <c r="C20" i="48"/>
  <c r="B20" i="50" s="1"/>
  <c r="D20" i="50" s="1"/>
  <c r="C22" i="48"/>
  <c r="B22" i="50" s="1"/>
  <c r="D22" i="50" s="1"/>
  <c r="C24" i="48"/>
  <c r="B24" i="50" s="1"/>
  <c r="D24" i="50" s="1"/>
  <c r="C26" i="48"/>
  <c r="B26" i="50" s="1"/>
  <c r="D26" i="50" s="1"/>
  <c r="C28" i="48"/>
  <c r="B28" i="50" s="1"/>
  <c r="D28" i="50" s="1"/>
  <c r="C30" i="48"/>
  <c r="B30" i="50" s="1"/>
  <c r="D30" i="50" s="1"/>
  <c r="C32" i="48"/>
  <c r="B32" i="50" s="1"/>
  <c r="D32" i="50" s="1"/>
  <c r="C34" i="48"/>
  <c r="B34" i="50" s="1"/>
  <c r="D34" i="50" s="1"/>
  <c r="C36" i="48"/>
  <c r="B36" i="50" s="1"/>
  <c r="D36" i="50" s="1"/>
  <c r="C38" i="48"/>
  <c r="B38" i="50" s="1"/>
  <c r="D38" i="50" s="1"/>
  <c r="C40" i="48"/>
  <c r="B40" i="50" s="1"/>
  <c r="D40" i="50" s="1"/>
  <c r="C42" i="48"/>
  <c r="B42" i="50" s="1"/>
  <c r="D42" i="50" s="1"/>
  <c r="C44" i="48"/>
  <c r="B44" i="50" s="1"/>
  <c r="D44" i="50" s="1"/>
  <c r="I44" i="78"/>
  <c r="G44" i="78" s="1"/>
  <c r="J43" i="49"/>
  <c r="J38" i="49"/>
  <c r="F39" i="85"/>
  <c r="F38" i="84"/>
  <c r="F35" i="85"/>
  <c r="F34" i="84"/>
  <c r="F31" i="85"/>
  <c r="F30" i="84"/>
  <c r="F27" i="85"/>
  <c r="F26" i="84"/>
  <c r="F23" i="85"/>
  <c r="F22" i="84"/>
  <c r="F14" i="85"/>
  <c r="F13" i="84"/>
  <c r="F45" i="84"/>
  <c r="F46" i="85"/>
  <c r="F36" i="85"/>
  <c r="F35" i="84"/>
  <c r="F32" i="85"/>
  <c r="F31" i="84"/>
  <c r="F28" i="85"/>
  <c r="F27" i="84"/>
  <c r="F23" i="84"/>
  <c r="F24" i="85"/>
  <c r="F15" i="85"/>
  <c r="F14" i="84"/>
  <c r="I28" i="78"/>
  <c r="G28" i="78" s="1"/>
  <c r="J27" i="49"/>
  <c r="I11" i="78"/>
  <c r="G11" i="78" s="1"/>
  <c r="J11" i="49"/>
  <c r="F41" i="84"/>
  <c r="F43" i="85"/>
  <c r="F42" i="84"/>
  <c r="F37" i="85"/>
  <c r="F36" i="84"/>
  <c r="F33" i="85"/>
  <c r="F32" i="84"/>
  <c r="F21" i="85"/>
  <c r="F20" i="84"/>
  <c r="F18" i="85"/>
  <c r="F17" i="84"/>
  <c r="F44" i="85"/>
  <c r="F43" i="84"/>
  <c r="F38" i="85"/>
  <c r="F37" i="84"/>
  <c r="F34" i="85"/>
  <c r="F33" i="84"/>
  <c r="F26" i="85"/>
  <c r="F25" i="84"/>
  <c r="F21" i="84"/>
  <c r="F22" i="85"/>
  <c r="F17" i="85"/>
  <c r="F16" i="84"/>
  <c r="F13" i="85"/>
  <c r="D49" i="84"/>
  <c r="F49" i="84" s="1"/>
  <c r="F12" i="84"/>
  <c r="I36" i="78"/>
  <c r="G36" i="78" s="1"/>
  <c r="J35" i="49"/>
  <c r="F46" i="84"/>
  <c r="F47" i="84"/>
  <c r="D48" i="50" l="1"/>
  <c r="C48" i="48"/>
  <c r="C53" i="48" s="1"/>
  <c r="B48" i="50"/>
  <c r="B2" i="46" l="1"/>
  <c r="B2" i="52"/>
  <c r="B2" i="47"/>
  <c r="B2" i="81"/>
  <c r="B2" i="51"/>
  <c r="B2" i="45"/>
  <c r="B2" i="44"/>
  <c r="I48" i="41"/>
  <c r="D50" i="40"/>
  <c r="D27" i="40"/>
  <c r="D14" i="40"/>
  <c r="H50" i="39" l="1"/>
  <c r="F50" i="39"/>
  <c r="D50" i="39"/>
  <c r="H27" i="39"/>
  <c r="F27" i="39"/>
  <c r="D27" i="39"/>
  <c r="F52" i="23" l="1"/>
  <c r="D46" i="23" l="1"/>
  <c r="B46" i="23"/>
  <c r="F46" i="23"/>
  <c r="J29" i="23"/>
  <c r="J49" i="22"/>
  <c r="F49" i="22"/>
  <c r="J35" i="23"/>
  <c r="J14" i="23"/>
  <c r="B40" i="22" l="1"/>
  <c r="J40" i="22"/>
  <c r="D46" i="22"/>
  <c r="F40" i="22"/>
  <c r="H46" i="22"/>
  <c r="D22" i="23"/>
  <c r="D40" i="23"/>
  <c r="B22" i="22"/>
  <c r="F22" i="22"/>
  <c r="D40" i="22"/>
  <c r="B46" i="22"/>
  <c r="F46" i="22"/>
  <c r="J46" i="22"/>
  <c r="B22" i="23"/>
  <c r="F40" i="23"/>
  <c r="J17" i="23"/>
  <c r="J20" i="23"/>
  <c r="H40" i="22"/>
  <c r="J36" i="23"/>
  <c r="J38" i="23"/>
  <c r="J44" i="23"/>
  <c r="J15" i="23"/>
  <c r="J32" i="23"/>
  <c r="J34" i="23"/>
  <c r="D22" i="22"/>
  <c r="H22" i="22"/>
  <c r="J37" i="23"/>
  <c r="J39" i="23"/>
  <c r="J45" i="23"/>
  <c r="J19" i="23"/>
  <c r="J33" i="23"/>
  <c r="B40" i="23"/>
  <c r="J22" i="22"/>
  <c r="J18" i="23"/>
  <c r="J21" i="23"/>
  <c r="F22" i="23"/>
  <c r="J23" i="23"/>
  <c r="J25" i="23"/>
  <c r="J26" i="23"/>
  <c r="J27" i="23"/>
  <c r="J28" i="23"/>
  <c r="J30" i="23"/>
  <c r="J31" i="23"/>
  <c r="J42" i="23"/>
  <c r="J43" i="23"/>
  <c r="J48" i="23"/>
  <c r="M48" i="22"/>
  <c r="J16" i="23"/>
  <c r="H51" i="23"/>
  <c r="H50" i="23"/>
  <c r="H49" i="23"/>
  <c r="D23" i="21"/>
  <c r="D22" i="21"/>
  <c r="D21" i="21"/>
  <c r="I19" i="21"/>
  <c r="D19" i="21"/>
  <c r="F19" i="21" l="1"/>
  <c r="E19" i="21"/>
  <c r="D54" i="23"/>
  <c r="B51" i="22"/>
  <c r="C22" i="21"/>
  <c r="F54" i="23"/>
  <c r="H51" i="22"/>
  <c r="C23" i="21"/>
  <c r="F51" i="22"/>
  <c r="J46" i="23"/>
  <c r="D51" i="22"/>
  <c r="C19" i="21"/>
  <c r="C21" i="21"/>
  <c r="J22" i="23"/>
  <c r="B54" i="23"/>
  <c r="K24" i="21"/>
  <c r="H27" i="21"/>
  <c r="H52" i="23"/>
  <c r="J49" i="23"/>
  <c r="J50" i="23"/>
  <c r="G27" i="21"/>
  <c r="J40" i="23"/>
  <c r="J51" i="22"/>
  <c r="D18" i="21"/>
  <c r="C18" i="21" s="1"/>
  <c r="I17" i="21"/>
  <c r="F17" i="21" s="1"/>
  <c r="E17" i="21" s="1"/>
  <c r="D17" i="21"/>
  <c r="C17" i="21"/>
  <c r="D16" i="21"/>
  <c r="C16" i="21" s="1"/>
  <c r="F15" i="21"/>
  <c r="D15" i="21"/>
  <c r="G48" i="16"/>
  <c r="F48" i="16"/>
  <c r="D48" i="16"/>
  <c r="C48" i="16"/>
  <c r="B48" i="16"/>
  <c r="K19" i="21" l="1"/>
  <c r="K17" i="21"/>
  <c r="C15" i="21"/>
  <c r="D27" i="21"/>
  <c r="E15" i="21"/>
  <c r="B3" i="17"/>
  <c r="C27" i="21" l="1"/>
  <c r="K15" i="21"/>
  <c r="A3" i="41" l="1"/>
  <c r="B3" i="54"/>
  <c r="B3" i="40"/>
  <c r="B3" i="76"/>
  <c r="B3" i="39"/>
  <c r="B3" i="37"/>
  <c r="B3" i="36"/>
  <c r="B3" i="29"/>
  <c r="B3" i="28"/>
  <c r="B3" i="27"/>
  <c r="B3" i="38"/>
  <c r="B3" i="35"/>
  <c r="B3" i="34"/>
  <c r="B3" i="25"/>
  <c r="B3" i="8"/>
  <c r="B3" i="26"/>
  <c r="B3" i="82"/>
  <c r="B3" i="11"/>
  <c r="B3" i="10"/>
  <c r="B3" i="7"/>
  <c r="B3" i="9"/>
  <c r="B3" i="18"/>
  <c r="B3" i="19" s="1"/>
  <c r="B3" i="20" s="1"/>
  <c r="C2" i="23"/>
  <c r="D2" i="22"/>
  <c r="C2" i="21"/>
  <c r="G24" i="78" l="1"/>
  <c r="F25" i="85"/>
  <c r="F29" i="85"/>
  <c r="F30" i="85"/>
  <c r="F45" i="85"/>
  <c r="G48" i="78"/>
  <c r="F50" i="85" l="1"/>
  <c r="F13" i="49"/>
  <c r="G13" i="49" s="1"/>
  <c r="F15" i="49"/>
  <c r="G15" i="49" s="1"/>
  <c r="F16" i="49"/>
  <c r="F17" i="49"/>
  <c r="F18" i="49"/>
  <c r="F19" i="49"/>
  <c r="G19" i="49" s="1"/>
  <c r="F20" i="49"/>
  <c r="F21" i="49"/>
  <c r="F22" i="49"/>
  <c r="F23" i="49"/>
  <c r="G23" i="49" s="1"/>
  <c r="F24" i="49"/>
  <c r="G24" i="49" s="1"/>
  <c r="I24" i="78" s="1"/>
  <c r="F25" i="49"/>
  <c r="G25" i="49" s="1"/>
  <c r="F26" i="49"/>
  <c r="G26" i="49" s="1"/>
  <c r="F27" i="49"/>
  <c r="G27" i="49" s="1"/>
  <c r="F29" i="49"/>
  <c r="G29" i="49" s="1"/>
  <c r="I29" i="78" s="1"/>
  <c r="F30" i="49"/>
  <c r="F31" i="49"/>
  <c r="G31" i="49" s="1"/>
  <c r="F32" i="49"/>
  <c r="G32" i="49" s="1"/>
  <c r="J31" i="49" s="1"/>
  <c r="F33" i="49"/>
  <c r="G33" i="49" s="1"/>
  <c r="F34" i="49"/>
  <c r="G34" i="49" s="1"/>
  <c r="F35" i="49"/>
  <c r="F37" i="49"/>
  <c r="F38" i="49"/>
  <c r="G38" i="49" s="1"/>
  <c r="F40" i="49"/>
  <c r="F41" i="49"/>
  <c r="G41" i="49" s="1"/>
  <c r="F42" i="49"/>
  <c r="G42" i="49" s="1"/>
  <c r="I42" i="78" s="1"/>
  <c r="F45" i="49"/>
  <c r="F46" i="49"/>
  <c r="G46" i="49" s="1"/>
  <c r="I46" i="78" s="1"/>
  <c r="J42" i="49"/>
  <c r="G17" i="78"/>
  <c r="G19" i="78"/>
  <c r="G13" i="78"/>
  <c r="G15" i="78"/>
  <c r="G23" i="78"/>
  <c r="G18" i="78"/>
  <c r="G20" i="78"/>
  <c r="G21" i="78"/>
  <c r="G25" i="78"/>
  <c r="G26" i="78"/>
  <c r="G27" i="78"/>
  <c r="G29" i="78"/>
  <c r="G30" i="78"/>
  <c r="G31" i="78"/>
  <c r="G32" i="78"/>
  <c r="G33" i="78"/>
  <c r="G34" i="78"/>
  <c r="G35" i="78"/>
  <c r="G37" i="78"/>
  <c r="G38" i="78"/>
  <c r="G40" i="78"/>
  <c r="G41" i="78"/>
  <c r="G42" i="78"/>
  <c r="G46" i="78"/>
  <c r="G45" i="78"/>
  <c r="E16" i="21"/>
  <c r="F16" i="21"/>
  <c r="E18" i="21"/>
  <c r="F18" i="21"/>
  <c r="E21" i="21"/>
  <c r="F21" i="21"/>
  <c r="E22" i="21"/>
  <c r="F22" i="21"/>
  <c r="E23" i="21"/>
  <c r="F23" i="21"/>
  <c r="I23" i="21"/>
  <c r="I27" i="21" s="1"/>
  <c r="J51" i="23"/>
  <c r="J52" i="23" s="1"/>
  <c r="J54" i="23" s="1"/>
  <c r="H54" i="23"/>
  <c r="I27" i="78" l="1"/>
  <c r="J26" i="49"/>
  <c r="G37" i="49"/>
  <c r="I37" i="78" s="1"/>
  <c r="G30" i="49"/>
  <c r="J29" i="49" s="1"/>
  <c r="G21" i="49"/>
  <c r="I21" i="78" s="1"/>
  <c r="G18" i="49"/>
  <c r="I18" i="78" s="1"/>
  <c r="E27" i="21"/>
  <c r="F27" i="21"/>
  <c r="I32" i="78"/>
  <c r="G16" i="49"/>
  <c r="J15" i="49" s="1"/>
  <c r="J33" i="49"/>
  <c r="I34" i="78"/>
  <c r="J24" i="49"/>
  <c r="I25" i="78"/>
  <c r="G40" i="49"/>
  <c r="G20" i="49"/>
  <c r="J19" i="49" s="1"/>
  <c r="G22" i="49"/>
  <c r="G17" i="49"/>
  <c r="J41" i="49"/>
  <c r="I26" i="78"/>
  <c r="J25" i="49"/>
  <c r="J28" i="49"/>
  <c r="G45" i="49"/>
  <c r="G35" i="49"/>
  <c r="J45" i="49"/>
  <c r="I41" i="78"/>
  <c r="J40" i="49"/>
  <c r="I38" i="78"/>
  <c r="J37" i="49"/>
  <c r="I33" i="78"/>
  <c r="J32" i="49"/>
  <c r="J30" i="49"/>
  <c r="I31" i="78"/>
  <c r="I13" i="78"/>
  <c r="J13" i="49"/>
  <c r="K16" i="21"/>
  <c r="I23" i="78"/>
  <c r="J22" i="49"/>
  <c r="J18" i="49"/>
  <c r="I19" i="78"/>
  <c r="J14" i="49"/>
  <c r="I15" i="78"/>
  <c r="K21" i="21"/>
  <c r="K18" i="21"/>
  <c r="F48" i="49"/>
  <c r="G48" i="49" s="1"/>
  <c r="I48" i="78" s="1"/>
  <c r="I54" i="23"/>
  <c r="N32" i="23" s="1"/>
  <c r="K22" i="21"/>
  <c r="K23" i="21"/>
  <c r="E51" i="22"/>
  <c r="N25" i="23" s="1"/>
  <c r="K22" i="23"/>
  <c r="N13" i="23" s="1"/>
  <c r="K46" i="23"/>
  <c r="N16" i="23" s="1"/>
  <c r="K40" i="23"/>
  <c r="N15" i="23" s="1"/>
  <c r="G54" i="23"/>
  <c r="N31" i="23" s="1"/>
  <c r="E54" i="23"/>
  <c r="N30" i="23" s="1"/>
  <c r="C54" i="23"/>
  <c r="N29" i="23" s="1"/>
  <c r="I51" i="22"/>
  <c r="N27" i="23" s="1"/>
  <c r="K49" i="23"/>
  <c r="N17" i="23" s="1"/>
  <c r="C51" i="22"/>
  <c r="N24" i="23" s="1"/>
  <c r="K52" i="23"/>
  <c r="G51" i="22"/>
  <c r="N26" i="23" s="1"/>
  <c r="K51" i="22"/>
  <c r="N28" i="23" s="1"/>
  <c r="K51" i="23"/>
  <c r="K22" i="22"/>
  <c r="K43" i="23"/>
  <c r="K27" i="23"/>
  <c r="C40" i="23"/>
  <c r="K21" i="23"/>
  <c r="K42" i="23"/>
  <c r="K18" i="23"/>
  <c r="K31" i="23"/>
  <c r="C30" i="23"/>
  <c r="E25" i="23"/>
  <c r="E40" i="23"/>
  <c r="G42" i="22"/>
  <c r="K38" i="22"/>
  <c r="C30" i="22"/>
  <c r="E15" i="22"/>
  <c r="K33" i="23"/>
  <c r="G26" i="23"/>
  <c r="K19" i="23"/>
  <c r="K45" i="23"/>
  <c r="G39" i="22"/>
  <c r="K37" i="23"/>
  <c r="E36" i="22"/>
  <c r="K33" i="22"/>
  <c r="E20" i="22"/>
  <c r="E22" i="22"/>
  <c r="E28" i="23"/>
  <c r="G21" i="23"/>
  <c r="C22" i="23"/>
  <c r="E43" i="22"/>
  <c r="K38" i="23"/>
  <c r="E37" i="22"/>
  <c r="K34" i="22"/>
  <c r="E33" i="22"/>
  <c r="K20" i="23"/>
  <c r="I18" i="22"/>
  <c r="E16" i="22"/>
  <c r="G40" i="22"/>
  <c r="C18" i="22"/>
  <c r="C31" i="23"/>
  <c r="G25" i="23"/>
  <c r="I42" i="22"/>
  <c r="K39" i="22"/>
  <c r="G35" i="22"/>
  <c r="C15" i="22"/>
  <c r="G28" i="23"/>
  <c r="E21" i="23"/>
  <c r="G43" i="22"/>
  <c r="C39" i="22"/>
  <c r="G37" i="22"/>
  <c r="K35" i="23"/>
  <c r="G33" i="22"/>
  <c r="E19" i="22"/>
  <c r="I46" i="22"/>
  <c r="K34" i="23"/>
  <c r="G27" i="23"/>
  <c r="C21" i="23"/>
  <c r="I43" i="22"/>
  <c r="E39" i="22"/>
  <c r="I37" i="22"/>
  <c r="C36" i="22"/>
  <c r="I33" i="22"/>
  <c r="E40" i="22"/>
  <c r="C19" i="22"/>
  <c r="I16" i="22"/>
  <c r="C22" i="22"/>
  <c r="K18" i="22"/>
  <c r="K46" i="22"/>
  <c r="K14" i="23"/>
  <c r="K17" i="22"/>
  <c r="I27" i="22"/>
  <c r="G29" i="22"/>
  <c r="I30" i="22"/>
  <c r="E35" i="22"/>
  <c r="K43" i="22"/>
  <c r="E44" i="22"/>
  <c r="I44" i="22"/>
  <c r="C45" i="22"/>
  <c r="G45" i="22"/>
  <c r="K45" i="22"/>
  <c r="E15" i="23"/>
  <c r="C16" i="23"/>
  <c r="C17" i="23"/>
  <c r="C19" i="23"/>
  <c r="G19" i="23"/>
  <c r="C29" i="23"/>
  <c r="E30" i="23"/>
  <c r="E42" i="23"/>
  <c r="C38" i="23"/>
  <c r="C43" i="23"/>
  <c r="E36" i="23"/>
  <c r="E43" i="23"/>
  <c r="G36" i="23"/>
  <c r="E17" i="22"/>
  <c r="I17" i="22"/>
  <c r="E21" i="22"/>
  <c r="I21" i="22"/>
  <c r="C23" i="22"/>
  <c r="G23" i="22"/>
  <c r="K23" i="22"/>
  <c r="E25" i="22"/>
  <c r="I25" i="22"/>
  <c r="C26" i="22"/>
  <c r="G26" i="22"/>
  <c r="K26" i="22"/>
  <c r="G27" i="22"/>
  <c r="C28" i="22"/>
  <c r="G28" i="22"/>
  <c r="K28" i="22"/>
  <c r="I29" i="22"/>
  <c r="G30" i="22"/>
  <c r="C31" i="22"/>
  <c r="G31" i="22"/>
  <c r="K31" i="22"/>
  <c r="E32" i="22"/>
  <c r="C35" i="22"/>
  <c r="E16" i="23"/>
  <c r="E27" i="23"/>
  <c r="G30" i="23"/>
  <c r="E32" i="23"/>
  <c r="C33" i="23"/>
  <c r="G33" i="23"/>
  <c r="E34" i="23"/>
  <c r="G45" i="23"/>
  <c r="C42" i="23"/>
  <c r="E45" i="23"/>
  <c r="C45" i="23"/>
  <c r="G39" i="23"/>
  <c r="C37" i="23"/>
  <c r="E39" i="23"/>
  <c r="E46" i="23"/>
  <c r="E35" i="23"/>
  <c r="K54" i="23"/>
  <c r="K23" i="23"/>
  <c r="N14" i="23" s="1"/>
  <c r="I52" i="23"/>
  <c r="K26" i="23"/>
  <c r="I51" i="23"/>
  <c r="K30" i="23"/>
  <c r="G22" i="23"/>
  <c r="K25" i="23"/>
  <c r="I49" i="23"/>
  <c r="K28" i="23"/>
  <c r="K16" i="23"/>
  <c r="C26" i="23"/>
  <c r="C18" i="23"/>
  <c r="K42" i="22"/>
  <c r="C42" i="22"/>
  <c r="K36" i="22"/>
  <c r="I15" i="22"/>
  <c r="G40" i="23"/>
  <c r="K29" i="23"/>
  <c r="C23" i="23"/>
  <c r="E22" i="23"/>
  <c r="C43" i="22"/>
  <c r="I38" i="22"/>
  <c r="C37" i="22"/>
  <c r="I34" i="22"/>
  <c r="C33" i="22"/>
  <c r="G18" i="22"/>
  <c r="K32" i="23"/>
  <c r="E26" i="23"/>
  <c r="G18" i="23"/>
  <c r="K44" i="23"/>
  <c r="I39" i="22"/>
  <c r="C38" i="22"/>
  <c r="G36" i="22"/>
  <c r="C34" i="22"/>
  <c r="I40" i="22"/>
  <c r="G19" i="22"/>
  <c r="K17" i="23"/>
  <c r="G22" i="22"/>
  <c r="I19" i="22"/>
  <c r="I22" i="22"/>
  <c r="C28" i="23"/>
  <c r="C25" i="23"/>
  <c r="E42" i="22"/>
  <c r="K37" i="22"/>
  <c r="G15" i="22"/>
  <c r="G31" i="23"/>
  <c r="G23" i="23"/>
  <c r="E18" i="23"/>
  <c r="K39" i="23"/>
  <c r="E38" i="22"/>
  <c r="I36" i="22"/>
  <c r="E34" i="22"/>
  <c r="K40" i="22"/>
  <c r="G16" i="22"/>
  <c r="E46" i="22"/>
  <c r="E31" i="23"/>
  <c r="E23" i="23"/>
  <c r="K15" i="23"/>
  <c r="G46" i="22"/>
  <c r="G38" i="22"/>
  <c r="K36" i="23"/>
  <c r="G34" i="22"/>
  <c r="K32" i="22"/>
  <c r="K19" i="22"/>
  <c r="E18" i="22"/>
  <c r="K15" i="22"/>
  <c r="C40" i="22"/>
  <c r="C16" i="22"/>
  <c r="C46" i="22"/>
  <c r="C17" i="22"/>
  <c r="C27" i="22"/>
  <c r="C29" i="22"/>
  <c r="K29" i="22"/>
  <c r="I32" i="22"/>
  <c r="K35" i="22"/>
  <c r="C44" i="22"/>
  <c r="G44" i="22"/>
  <c r="K44" i="22"/>
  <c r="E45" i="22"/>
  <c r="I45" i="22"/>
  <c r="C15" i="23"/>
  <c r="G15" i="23"/>
  <c r="G16" i="23"/>
  <c r="E17" i="23"/>
  <c r="E19" i="23"/>
  <c r="C27" i="23"/>
  <c r="E29" i="23"/>
  <c r="E44" i="23"/>
  <c r="G37" i="23"/>
  <c r="G46" i="23"/>
  <c r="C39" i="23"/>
  <c r="G44" i="23"/>
  <c r="G38" i="23"/>
  <c r="K16" i="22"/>
  <c r="G17" i="22"/>
  <c r="C21" i="22"/>
  <c r="G21" i="22"/>
  <c r="K21" i="22"/>
  <c r="E23" i="22"/>
  <c r="I23" i="22"/>
  <c r="C25" i="22"/>
  <c r="G25" i="22"/>
  <c r="K25" i="22"/>
  <c r="E26" i="22"/>
  <c r="I26" i="22"/>
  <c r="E27" i="22"/>
  <c r="K27" i="22"/>
  <c r="E28" i="22"/>
  <c r="I28" i="22"/>
  <c r="E29" i="22"/>
  <c r="E30" i="22"/>
  <c r="K30" i="22"/>
  <c r="E31" i="22"/>
  <c r="I31" i="22"/>
  <c r="C32" i="22"/>
  <c r="G32" i="22"/>
  <c r="I35" i="22"/>
  <c r="G17" i="23"/>
  <c r="G29" i="23"/>
  <c r="C32" i="23"/>
  <c r="G32" i="23"/>
  <c r="E33" i="23"/>
  <c r="C34" i="23"/>
  <c r="G34" i="23"/>
  <c r="G42" i="23"/>
  <c r="G35" i="23"/>
  <c r="C36" i="23"/>
  <c r="G43" i="23"/>
  <c r="E38" i="23"/>
  <c r="C44" i="23"/>
  <c r="E37" i="23"/>
  <c r="C46" i="23"/>
  <c r="C35" i="23"/>
  <c r="J23" i="49"/>
  <c r="J36" i="49" l="1"/>
  <c r="K27" i="21"/>
  <c r="J20" i="49"/>
  <c r="J17" i="49"/>
  <c r="I30" i="78"/>
  <c r="I16" i="78"/>
  <c r="I40" i="78"/>
  <c r="J39" i="49"/>
  <c r="I22" i="78"/>
  <c r="J21" i="49"/>
  <c r="I20" i="78"/>
  <c r="I17" i="78"/>
  <c r="J16" i="49"/>
  <c r="N18" i="23"/>
  <c r="N20" i="23" s="1"/>
  <c r="I35" i="78"/>
  <c r="J34" i="49"/>
  <c r="J44" i="49"/>
  <c r="I45" i="78"/>
  <c r="N34" i="23"/>
  <c r="B48" i="33" l="1"/>
  <c r="H51" i="39" l="1"/>
  <c r="F51" i="39"/>
  <c r="D51" i="40"/>
  <c r="D51" i="39"/>
  <c r="J51" i="9"/>
  <c r="G51" i="9"/>
  <c r="C51" i="15"/>
  <c r="E51" i="15" s="1"/>
  <c r="G50" i="8"/>
  <c r="E50" i="7"/>
  <c r="J50" i="9"/>
  <c r="G50" i="9"/>
  <c r="E46" i="7"/>
  <c r="G46" i="9"/>
  <c r="E45" i="7"/>
  <c r="J45" i="9"/>
  <c r="G45" i="9"/>
  <c r="C45" i="15"/>
  <c r="E45" i="15" s="1"/>
  <c r="G44" i="8"/>
  <c r="E44" i="7"/>
  <c r="J44" i="9"/>
  <c r="E43" i="7"/>
  <c r="J43" i="9"/>
  <c r="G43" i="9"/>
  <c r="C43" i="15"/>
  <c r="E43" i="15" s="1"/>
  <c r="E42" i="7"/>
  <c r="J42" i="9"/>
  <c r="G42" i="9"/>
  <c r="C42" i="15"/>
  <c r="E42" i="15" s="1"/>
  <c r="G41" i="8"/>
  <c r="E41" i="7"/>
  <c r="J41" i="9"/>
  <c r="G41" i="9"/>
  <c r="E40" i="7"/>
  <c r="G40" i="9"/>
  <c r="C40" i="15"/>
  <c r="E40" i="15" s="1"/>
  <c r="E39" i="7"/>
  <c r="J39" i="9"/>
  <c r="G39" i="9"/>
  <c r="C39" i="15"/>
  <c r="E39" i="15" s="1"/>
  <c r="E38" i="7"/>
  <c r="G38" i="9"/>
  <c r="C38" i="15"/>
  <c r="E38" i="15" s="1"/>
  <c r="G37" i="8"/>
  <c r="E37" i="7"/>
  <c r="G37" i="9"/>
  <c r="C37" i="15"/>
  <c r="E37" i="15" s="1"/>
  <c r="E36" i="7"/>
  <c r="J36" i="9"/>
  <c r="G36" i="9"/>
  <c r="C36" i="15"/>
  <c r="E36" i="15" s="1"/>
  <c r="E35" i="7"/>
  <c r="G35" i="9"/>
  <c r="C35" i="15"/>
  <c r="E35" i="15" s="1"/>
  <c r="E34" i="7"/>
  <c r="G34" i="9"/>
  <c r="C34" i="15"/>
  <c r="E34" i="15" s="1"/>
  <c r="E33" i="7"/>
  <c r="J33" i="9"/>
  <c r="G33" i="9"/>
  <c r="C33" i="15"/>
  <c r="E33" i="15" s="1"/>
  <c r="E32" i="7"/>
  <c r="G32" i="9"/>
  <c r="C32" i="15"/>
  <c r="E32" i="15" s="1"/>
  <c r="E31" i="7"/>
  <c r="J31" i="9"/>
  <c r="G31" i="9"/>
  <c r="C31" i="15"/>
  <c r="E31" i="15" s="1"/>
  <c r="E30" i="7"/>
  <c r="J30" i="9"/>
  <c r="G30" i="9"/>
  <c r="C30" i="15"/>
  <c r="E30" i="15" s="1"/>
  <c r="G29" i="8"/>
  <c r="E29" i="7"/>
  <c r="G29" i="9"/>
  <c r="G28" i="8"/>
  <c r="E28" i="7"/>
  <c r="J28" i="9"/>
  <c r="G28" i="9"/>
  <c r="E27" i="7"/>
  <c r="J27" i="9"/>
  <c r="G27" i="9"/>
  <c r="E26" i="7"/>
  <c r="G26" i="9"/>
  <c r="C26" i="15"/>
  <c r="E26" i="15" s="1"/>
  <c r="E25" i="7"/>
  <c r="G25" i="9"/>
  <c r="E24" i="7"/>
  <c r="G24" i="9"/>
  <c r="C24" i="15"/>
  <c r="E24" i="15" s="1"/>
  <c r="E23" i="7"/>
  <c r="J23" i="9"/>
  <c r="G23" i="9"/>
  <c r="G22" i="8"/>
  <c r="E22" i="7"/>
  <c r="J22" i="9"/>
  <c r="G22" i="9"/>
  <c r="G21" i="8"/>
  <c r="E21" i="7"/>
  <c r="J21" i="9"/>
  <c r="G21" i="9"/>
  <c r="E20" i="7"/>
  <c r="J20" i="9"/>
  <c r="G20" i="9"/>
  <c r="E19" i="7"/>
  <c r="J19" i="9"/>
  <c r="G19" i="9"/>
  <c r="E18" i="7"/>
  <c r="J18" i="9"/>
  <c r="G18" i="9"/>
  <c r="E17" i="7"/>
  <c r="J17" i="9"/>
  <c r="G17" i="9"/>
  <c r="C17" i="15"/>
  <c r="E17" i="15" s="1"/>
  <c r="E16" i="7"/>
  <c r="J16" i="9"/>
  <c r="G16" i="9"/>
  <c r="C16" i="15"/>
  <c r="E16" i="15" s="1"/>
  <c r="E15" i="7"/>
  <c r="J15" i="9"/>
  <c r="G15" i="9"/>
  <c r="C15" i="15"/>
  <c r="E15" i="15" s="1"/>
  <c r="G14" i="8"/>
  <c r="E14" i="7"/>
  <c r="J14" i="9"/>
  <c r="E13" i="7"/>
  <c r="G13" i="9"/>
  <c r="C13" i="15"/>
  <c r="E13" i="15" s="1"/>
  <c r="G51" i="81"/>
  <c r="G46" i="81"/>
  <c r="G44" i="81"/>
  <c r="G43" i="81"/>
  <c r="G42" i="81"/>
  <c r="G41" i="81"/>
  <c r="G40" i="81"/>
  <c r="G39" i="81"/>
  <c r="G38" i="81"/>
  <c r="G37" i="81"/>
  <c r="G36" i="81"/>
  <c r="G35" i="81"/>
  <c r="G34" i="81"/>
  <c r="G33" i="81"/>
  <c r="G32" i="81"/>
  <c r="G31" i="81"/>
  <c r="G30" i="81"/>
  <c r="G29" i="81"/>
  <c r="G28" i="81"/>
  <c r="G27" i="81"/>
  <c r="G26" i="81"/>
  <c r="G25" i="81"/>
  <c r="G24" i="81"/>
  <c r="G23" i="81"/>
  <c r="G22" i="81"/>
  <c r="G20" i="81"/>
  <c r="G19" i="81"/>
  <c r="G17" i="81"/>
  <c r="G16" i="81"/>
  <c r="G15" i="81"/>
  <c r="G14" i="81"/>
  <c r="G13" i="81"/>
  <c r="E12" i="7"/>
  <c r="J12" i="9"/>
  <c r="G12" i="9"/>
  <c r="G12" i="81"/>
  <c r="H48" i="14"/>
  <c r="G48" i="14"/>
  <c r="F48" i="14"/>
  <c r="C48" i="43"/>
  <c r="A53" i="44" s="1"/>
  <c r="D48" i="52"/>
  <c r="C48" i="52"/>
  <c r="B48" i="52"/>
  <c r="D48" i="46"/>
  <c r="C48" i="46"/>
  <c r="B48" i="46"/>
  <c r="F48" i="47"/>
  <c r="E48" i="47"/>
  <c r="D48" i="47"/>
  <c r="F48" i="81"/>
  <c r="E48" i="81"/>
  <c r="D48" i="81"/>
  <c r="C48" i="81"/>
  <c r="B48" i="81"/>
  <c r="G48" i="51"/>
  <c r="F48" i="51"/>
  <c r="E48" i="51"/>
  <c r="D48" i="51"/>
  <c r="C48" i="51"/>
  <c r="A54" i="47" l="1"/>
  <c r="G11" i="81"/>
  <c r="B48" i="51"/>
  <c r="B48" i="14"/>
  <c r="C11" i="15"/>
  <c r="E11" i="15" s="1"/>
  <c r="C48" i="39"/>
  <c r="H14" i="20"/>
  <c r="H18" i="20"/>
  <c r="H22" i="20"/>
  <c r="H26" i="20"/>
  <c r="H30" i="20"/>
  <c r="H34" i="20"/>
  <c r="H38" i="20"/>
  <c r="H42" i="20"/>
  <c r="H46" i="20"/>
  <c r="I13" i="7"/>
  <c r="H13" i="7"/>
  <c r="G13" i="7"/>
  <c r="F13" i="7"/>
  <c r="I15" i="7"/>
  <c r="D15" i="7"/>
  <c r="H15" i="7"/>
  <c r="G15" i="7"/>
  <c r="F15" i="7"/>
  <c r="I17" i="7"/>
  <c r="D17" i="7"/>
  <c r="H17" i="7"/>
  <c r="G17" i="7"/>
  <c r="F17" i="7"/>
  <c r="I19" i="7"/>
  <c r="D19" i="7"/>
  <c r="H19" i="7"/>
  <c r="G19" i="7"/>
  <c r="F19" i="7"/>
  <c r="I21" i="7"/>
  <c r="H21" i="7"/>
  <c r="F21" i="7"/>
  <c r="G21" i="7"/>
  <c r="I23" i="7"/>
  <c r="H23" i="7"/>
  <c r="D23" i="7"/>
  <c r="G23" i="7"/>
  <c r="F23" i="7"/>
  <c r="D25" i="7"/>
  <c r="F25" i="7"/>
  <c r="I25" i="7"/>
  <c r="G25" i="7"/>
  <c r="H25" i="7"/>
  <c r="I27" i="7"/>
  <c r="H27" i="7"/>
  <c r="G27" i="7"/>
  <c r="F27" i="7"/>
  <c r="I29" i="7"/>
  <c r="G29" i="7"/>
  <c r="F29" i="7"/>
  <c r="H29" i="7"/>
  <c r="I31" i="7"/>
  <c r="F31" i="7"/>
  <c r="G31" i="7"/>
  <c r="H31" i="7"/>
  <c r="I33" i="7"/>
  <c r="H33" i="7"/>
  <c r="F33" i="7"/>
  <c r="G33" i="7"/>
  <c r="I35" i="7"/>
  <c r="F35" i="7"/>
  <c r="G35" i="7"/>
  <c r="H35" i="7"/>
  <c r="E37" i="41"/>
  <c r="E37" i="16"/>
  <c r="E39" i="41"/>
  <c r="E39" i="16"/>
  <c r="E43" i="41"/>
  <c r="E43" i="16"/>
  <c r="E45" i="16"/>
  <c r="E45" i="41"/>
  <c r="G18" i="81"/>
  <c r="C41" i="15"/>
  <c r="E41" i="15" s="1"/>
  <c r="C50" i="15"/>
  <c r="E50" i="15" s="1"/>
  <c r="E48" i="14"/>
  <c r="E11" i="7"/>
  <c r="G11" i="8"/>
  <c r="B48" i="15"/>
  <c r="W13" i="2" s="1"/>
  <c r="G48" i="39"/>
  <c r="H15" i="20"/>
  <c r="H19" i="20"/>
  <c r="H23" i="20"/>
  <c r="H27" i="20"/>
  <c r="H31" i="20"/>
  <c r="H35" i="20"/>
  <c r="H39" i="20"/>
  <c r="H43" i="20"/>
  <c r="H50" i="20"/>
  <c r="E16" i="41"/>
  <c r="E16" i="16"/>
  <c r="E24" i="41"/>
  <c r="E24" i="16"/>
  <c r="E26" i="41"/>
  <c r="E26" i="16"/>
  <c r="E30" i="41"/>
  <c r="E30" i="16"/>
  <c r="E32" i="16"/>
  <c r="E32" i="41"/>
  <c r="E34" i="41"/>
  <c r="E34" i="16"/>
  <c r="I37" i="7"/>
  <c r="F37" i="7"/>
  <c r="H37" i="7"/>
  <c r="G37" i="7"/>
  <c r="I39" i="7"/>
  <c r="F39" i="7"/>
  <c r="G39" i="7"/>
  <c r="H39" i="7"/>
  <c r="D39" i="7"/>
  <c r="I41" i="7"/>
  <c r="F41" i="7"/>
  <c r="H41" i="7"/>
  <c r="G41" i="7"/>
  <c r="I43" i="7"/>
  <c r="F43" i="7"/>
  <c r="G43" i="7"/>
  <c r="D43" i="7"/>
  <c r="H43" i="7"/>
  <c r="I45" i="7"/>
  <c r="F45" i="7"/>
  <c r="H45" i="7"/>
  <c r="G45" i="7"/>
  <c r="I50" i="7"/>
  <c r="D50" i="7"/>
  <c r="G50" i="7"/>
  <c r="H50" i="7"/>
  <c r="F50" i="7"/>
  <c r="E51" i="16"/>
  <c r="C12" i="15"/>
  <c r="E12" i="15" s="1"/>
  <c r="G50" i="81"/>
  <c r="C14" i="15"/>
  <c r="E14" i="15" s="1"/>
  <c r="C18" i="15"/>
  <c r="E18" i="15" s="1"/>
  <c r="C20" i="15"/>
  <c r="E20" i="15" s="1"/>
  <c r="C22" i="15"/>
  <c r="E22" i="15" s="1"/>
  <c r="C28" i="15"/>
  <c r="E28" i="15" s="1"/>
  <c r="D48" i="38"/>
  <c r="D48" i="14"/>
  <c r="J11" i="9"/>
  <c r="E48" i="39"/>
  <c r="D48" i="43"/>
  <c r="I12" i="7"/>
  <c r="D12" i="7"/>
  <c r="F12" i="7"/>
  <c r="H12" i="7"/>
  <c r="G12" i="7"/>
  <c r="H16" i="20"/>
  <c r="H20" i="20"/>
  <c r="H24" i="20"/>
  <c r="H28" i="20"/>
  <c r="H32" i="20"/>
  <c r="H36" i="20"/>
  <c r="J36" i="20" s="1"/>
  <c r="H40" i="20"/>
  <c r="H44" i="20"/>
  <c r="H51" i="20"/>
  <c r="I14" i="7"/>
  <c r="F14" i="7"/>
  <c r="D14" i="7"/>
  <c r="H14" i="7"/>
  <c r="G14" i="7"/>
  <c r="I16" i="7"/>
  <c r="F16" i="7"/>
  <c r="H16" i="7"/>
  <c r="G16" i="7"/>
  <c r="I18" i="7"/>
  <c r="G18" i="7"/>
  <c r="F18" i="7"/>
  <c r="D18" i="7"/>
  <c r="H18" i="7"/>
  <c r="H20" i="7"/>
  <c r="G20" i="7"/>
  <c r="F20" i="7" s="1"/>
  <c r="D20" i="7"/>
  <c r="I20" i="7"/>
  <c r="G22" i="7"/>
  <c r="F22" i="7"/>
  <c r="I22" i="7"/>
  <c r="H22" i="7" s="1"/>
  <c r="I24" i="7"/>
  <c r="H24" i="7"/>
  <c r="F24" i="7"/>
  <c r="G24" i="7"/>
  <c r="G26" i="7"/>
  <c r="I26" i="7"/>
  <c r="H26" i="7" s="1"/>
  <c r="F26" i="7"/>
  <c r="I28" i="7"/>
  <c r="F28" i="7"/>
  <c r="D28" i="7"/>
  <c r="G28" i="7"/>
  <c r="H28" i="7"/>
  <c r="I30" i="7"/>
  <c r="F30" i="7"/>
  <c r="D30" i="7"/>
  <c r="G30" i="7"/>
  <c r="H30" i="7"/>
  <c r="I32" i="7"/>
  <c r="H32" i="7"/>
  <c r="G32" i="7"/>
  <c r="F32" i="7"/>
  <c r="I34" i="7"/>
  <c r="G34" i="7"/>
  <c r="F34" i="7"/>
  <c r="H34" i="7"/>
  <c r="E36" i="16"/>
  <c r="E36" i="41"/>
  <c r="E38" i="41"/>
  <c r="E38" i="16"/>
  <c r="E40" i="41"/>
  <c r="E40" i="16"/>
  <c r="E42" i="41"/>
  <c r="E42" i="16"/>
  <c r="C44" i="15"/>
  <c r="E44" i="15" s="1"/>
  <c r="C46" i="15"/>
  <c r="E46" i="15" s="1"/>
  <c r="E51" i="7"/>
  <c r="B48" i="47"/>
  <c r="H11" i="20"/>
  <c r="G11" i="9"/>
  <c r="C48" i="14"/>
  <c r="C48" i="40"/>
  <c r="H13" i="20"/>
  <c r="H17" i="20"/>
  <c r="H21" i="20"/>
  <c r="H25" i="20"/>
  <c r="H29" i="20"/>
  <c r="H33" i="20"/>
  <c r="H37" i="20"/>
  <c r="H41" i="20"/>
  <c r="H45" i="20"/>
  <c r="E13" i="41"/>
  <c r="E13" i="16"/>
  <c r="E15" i="16"/>
  <c r="E15" i="41"/>
  <c r="E17" i="16"/>
  <c r="E17" i="41"/>
  <c r="E31" i="41"/>
  <c r="E31" i="16"/>
  <c r="E33" i="16"/>
  <c r="E33" i="41"/>
  <c r="E35" i="16"/>
  <c r="E35" i="41"/>
  <c r="I36" i="7"/>
  <c r="H36" i="7"/>
  <c r="F36" i="7"/>
  <c r="D36" i="7"/>
  <c r="G36" i="7"/>
  <c r="I38" i="7"/>
  <c r="F38" i="7"/>
  <c r="H38" i="7"/>
  <c r="G38" i="7"/>
  <c r="I40" i="7"/>
  <c r="F40" i="7"/>
  <c r="H40" i="7"/>
  <c r="G40" i="7"/>
  <c r="I42" i="7"/>
  <c r="F42" i="7"/>
  <c r="H42" i="7"/>
  <c r="G42" i="7"/>
  <c r="I44" i="7"/>
  <c r="H44" i="7"/>
  <c r="F44" i="7"/>
  <c r="D44" i="7"/>
  <c r="G44" i="7"/>
  <c r="I46" i="7"/>
  <c r="G46" i="7"/>
  <c r="F46" i="7"/>
  <c r="H46" i="7"/>
  <c r="G21" i="81"/>
  <c r="G45" i="81"/>
  <c r="C19" i="15"/>
  <c r="E19" i="15" s="1"/>
  <c r="C21" i="15"/>
  <c r="E21" i="15" s="1"/>
  <c r="C23" i="15"/>
  <c r="E23" i="15" s="1"/>
  <c r="C25" i="15"/>
  <c r="E25" i="15" s="1"/>
  <c r="C27" i="15"/>
  <c r="E27" i="15" s="1"/>
  <c r="C29" i="15"/>
  <c r="E29" i="15" s="1"/>
  <c r="E27" i="41" l="1"/>
  <c r="E21" i="41"/>
  <c r="I51" i="7"/>
  <c r="F51" i="7"/>
  <c r="D51" i="7"/>
  <c r="H51" i="7"/>
  <c r="G51" i="7"/>
  <c r="E44" i="41"/>
  <c r="E44" i="16"/>
  <c r="E28" i="41"/>
  <c r="E28" i="16"/>
  <c r="E27" i="16" s="1"/>
  <c r="E20" i="16"/>
  <c r="E20" i="41"/>
  <c r="E12" i="16"/>
  <c r="E12" i="41"/>
  <c r="E50" i="16"/>
  <c r="E50" i="41"/>
  <c r="J46" i="20"/>
  <c r="J38" i="20"/>
  <c r="J30" i="20"/>
  <c r="J22" i="20"/>
  <c r="J14" i="20"/>
  <c r="G48" i="81"/>
  <c r="E29" i="41"/>
  <c r="E29" i="16"/>
  <c r="E25" i="16"/>
  <c r="E25" i="41"/>
  <c r="J45" i="20"/>
  <c r="J37" i="20"/>
  <c r="J29" i="20"/>
  <c r="J21" i="20"/>
  <c r="J13" i="20"/>
  <c r="J51" i="20"/>
  <c r="J40" i="20"/>
  <c r="J32" i="20"/>
  <c r="J24" i="20"/>
  <c r="J16" i="20"/>
  <c r="J43" i="20"/>
  <c r="J35" i="20"/>
  <c r="J27" i="20"/>
  <c r="J19" i="20"/>
  <c r="E23" i="41"/>
  <c r="E23" i="16"/>
  <c r="E19" i="41"/>
  <c r="E19" i="16"/>
  <c r="E46" i="41"/>
  <c r="E46" i="16"/>
  <c r="E22" i="41"/>
  <c r="E22" i="16"/>
  <c r="E21" i="16" s="1"/>
  <c r="E18" i="16"/>
  <c r="E18" i="41"/>
  <c r="E48" i="7"/>
  <c r="H11" i="7"/>
  <c r="G11" i="7"/>
  <c r="D11" i="7"/>
  <c r="F11" i="7"/>
  <c r="I11" i="7"/>
  <c r="J42" i="20"/>
  <c r="J34" i="20"/>
  <c r="J26" i="20"/>
  <c r="J18" i="20"/>
  <c r="J41" i="20"/>
  <c r="J33" i="20"/>
  <c r="J25" i="20"/>
  <c r="J17" i="20"/>
  <c r="J44" i="20"/>
  <c r="J28" i="20"/>
  <c r="J20" i="20"/>
  <c r="E14" i="41"/>
  <c r="E14" i="16"/>
  <c r="J50" i="20"/>
  <c r="J39" i="20"/>
  <c r="J31" i="20"/>
  <c r="J23" i="20"/>
  <c r="J15" i="20"/>
  <c r="E41" i="16"/>
  <c r="E41" i="41"/>
  <c r="H12" i="20"/>
  <c r="H48" i="20" s="1"/>
  <c r="C48" i="15"/>
  <c r="H52" i="20" l="1"/>
  <c r="E11" i="16"/>
  <c r="E48" i="16" s="1"/>
  <c r="E11" i="41"/>
  <c r="E48" i="15"/>
  <c r="J48" i="20" s="1"/>
  <c r="J11" i="20"/>
  <c r="J12" i="20"/>
  <c r="F48" i="7"/>
  <c r="H48" i="7"/>
  <c r="I48" i="7"/>
  <c r="G48" i="7"/>
  <c r="E48" i="41" l="1"/>
  <c r="V14" i="2"/>
  <c r="F50" i="46" l="1"/>
  <c r="F45" i="46"/>
  <c r="F38" i="46"/>
  <c r="F35" i="46"/>
  <c r="F25" i="46"/>
  <c r="F23" i="46"/>
  <c r="F15" i="46"/>
  <c r="F33" i="46"/>
  <c r="F27" i="46"/>
  <c r="F51" i="46"/>
  <c r="F50" i="52" l="1"/>
  <c r="B50" i="43" s="1"/>
  <c r="F50" i="43" s="1"/>
  <c r="H50" i="43" s="1"/>
  <c r="G45" i="8"/>
  <c r="F22" i="46"/>
  <c r="F31" i="46"/>
  <c r="F39" i="46"/>
  <c r="F44" i="46"/>
  <c r="F17" i="46"/>
  <c r="F46" i="46"/>
  <c r="F43" i="46"/>
  <c r="F24" i="46"/>
  <c r="F26" i="46"/>
  <c r="F28" i="46"/>
  <c r="F29" i="46"/>
  <c r="F30" i="46"/>
  <c r="F32" i="46"/>
  <c r="F34" i="46"/>
  <c r="F36" i="46"/>
  <c r="F37" i="46"/>
  <c r="G44" i="9"/>
  <c r="G29" i="10"/>
  <c r="H43" i="18"/>
  <c r="F42" i="46"/>
  <c r="F14" i="46"/>
  <c r="F21" i="46"/>
  <c r="B35" i="20"/>
  <c r="F12" i="46"/>
  <c r="F13" i="46"/>
  <c r="F16" i="46"/>
  <c r="F18" i="46"/>
  <c r="J37" i="9"/>
  <c r="G38" i="11"/>
  <c r="E33" i="18" l="1"/>
  <c r="D33" i="10"/>
  <c r="D42" i="9"/>
  <c r="G20" i="8"/>
  <c r="D11" i="10"/>
  <c r="G50" i="10"/>
  <c r="D44" i="10"/>
  <c r="J22" i="11"/>
  <c r="F21" i="41"/>
  <c r="G21" i="41" s="1"/>
  <c r="J17" i="11"/>
  <c r="G40" i="11"/>
  <c r="G36" i="11"/>
  <c r="G32" i="11"/>
  <c r="G27" i="11"/>
  <c r="G22" i="11"/>
  <c r="J13" i="11"/>
  <c r="G43" i="11"/>
  <c r="B20" i="76"/>
  <c r="D20" i="27"/>
  <c r="D20" i="76" s="1"/>
  <c r="D27" i="7"/>
  <c r="D18" i="9"/>
  <c r="D40" i="9"/>
  <c r="G25" i="8"/>
  <c r="B18" i="18"/>
  <c r="D18" i="8"/>
  <c r="B27" i="18"/>
  <c r="D27" i="8"/>
  <c r="B31" i="39"/>
  <c r="D16" i="11"/>
  <c r="B15" i="18"/>
  <c r="D15" i="8"/>
  <c r="G51" i="26"/>
  <c r="B51" i="18"/>
  <c r="D51" i="8"/>
  <c r="G28" i="29"/>
  <c r="G34" i="8"/>
  <c r="D35" i="20"/>
  <c r="B19" i="39"/>
  <c r="B43" i="76"/>
  <c r="D43" i="27"/>
  <c r="D43" i="76" s="1"/>
  <c r="G30" i="26"/>
  <c r="D13" i="7"/>
  <c r="G24" i="8"/>
  <c r="G40" i="10"/>
  <c r="G36" i="10"/>
  <c r="D15" i="11"/>
  <c r="J33" i="11"/>
  <c r="J31" i="26"/>
  <c r="B11" i="40"/>
  <c r="G25" i="28"/>
  <c r="G12" i="28"/>
  <c r="D17" i="28"/>
  <c r="G44" i="28"/>
  <c r="G40" i="28"/>
  <c r="G20" i="28"/>
  <c r="D13" i="11"/>
  <c r="E18" i="18"/>
  <c r="D18" i="10"/>
  <c r="D20" i="8"/>
  <c r="B28" i="39"/>
  <c r="J32" i="26"/>
  <c r="J42" i="26"/>
  <c r="D13" i="9"/>
  <c r="D12" i="8"/>
  <c r="D43" i="8"/>
  <c r="H41" i="18"/>
  <c r="G31" i="26"/>
  <c r="B37" i="76"/>
  <c r="D37" i="27"/>
  <c r="D37" i="76" s="1"/>
  <c r="B21" i="76"/>
  <c r="D21" i="27"/>
  <c r="D21" i="76" s="1"/>
  <c r="B27" i="19"/>
  <c r="B45" i="39"/>
  <c r="B35" i="39"/>
  <c r="B33" i="39"/>
  <c r="B21" i="39"/>
  <c r="B12" i="39"/>
  <c r="J46" i="26"/>
  <c r="J24" i="26"/>
  <c r="J13" i="26"/>
  <c r="D37" i="9"/>
  <c r="D27" i="9"/>
  <c r="B17" i="18"/>
  <c r="D17" i="8"/>
  <c r="B26" i="18"/>
  <c r="D26" i="8"/>
  <c r="J12" i="26"/>
  <c r="B27" i="20"/>
  <c r="B19" i="20"/>
  <c r="B40" i="39"/>
  <c r="B29" i="39"/>
  <c r="B20" i="39"/>
  <c r="G42" i="28"/>
  <c r="J45" i="26"/>
  <c r="B28" i="76"/>
  <c r="D28" i="27"/>
  <c r="D28" i="76" s="1"/>
  <c r="J25" i="26"/>
  <c r="J22" i="26"/>
  <c r="J44" i="26"/>
  <c r="J33" i="26"/>
  <c r="J28" i="26"/>
  <c r="G17" i="26"/>
  <c r="G43" i="26"/>
  <c r="G37" i="26"/>
  <c r="G32" i="26"/>
  <c r="G19" i="26"/>
  <c r="B37" i="19"/>
  <c r="D39" i="11"/>
  <c r="D19" i="11"/>
  <c r="D33" i="11"/>
  <c r="D18" i="11"/>
  <c r="G21" i="10"/>
  <c r="G13" i="10"/>
  <c r="G34" i="10"/>
  <c r="G26" i="10"/>
  <c r="G17" i="10"/>
  <c r="D32" i="7"/>
  <c r="J24" i="9"/>
  <c r="J40" i="9"/>
  <c r="J34" i="9"/>
  <c r="J26" i="9"/>
  <c r="B22" i="19"/>
  <c r="F41" i="46"/>
  <c r="D25" i="11"/>
  <c r="F20" i="46"/>
  <c r="B38" i="20"/>
  <c r="D38" i="7"/>
  <c r="J21" i="26"/>
  <c r="G45" i="10"/>
  <c r="D11" i="26"/>
  <c r="B41" i="19"/>
  <c r="B16" i="19"/>
  <c r="G33" i="10"/>
  <c r="H11" i="18"/>
  <c r="D38" i="10"/>
  <c r="D51" i="10"/>
  <c r="G41" i="11"/>
  <c r="G11" i="11"/>
  <c r="B38" i="18"/>
  <c r="D38" i="8"/>
  <c r="D28" i="11"/>
  <c r="B39" i="39"/>
  <c r="B35" i="19"/>
  <c r="E48" i="43"/>
  <c r="D32" i="10"/>
  <c r="D46" i="10"/>
  <c r="J36" i="11"/>
  <c r="D31" i="11"/>
  <c r="G37" i="11"/>
  <c r="G33" i="11"/>
  <c r="G28" i="11"/>
  <c r="G24" i="11"/>
  <c r="G18" i="11"/>
  <c r="G14" i="11"/>
  <c r="G44" i="11"/>
  <c r="F13" i="41"/>
  <c r="G13" i="41" s="1"/>
  <c r="D36" i="9"/>
  <c r="G18" i="8"/>
  <c r="G35" i="8"/>
  <c r="B16" i="18"/>
  <c r="D16" i="8"/>
  <c r="D25" i="8"/>
  <c r="B40" i="18"/>
  <c r="D40" i="8"/>
  <c r="H16" i="18"/>
  <c r="G14" i="9"/>
  <c r="G51" i="11"/>
  <c r="G16" i="26"/>
  <c r="B14" i="76"/>
  <c r="D14" i="27"/>
  <c r="D14" i="76" s="1"/>
  <c r="G14" i="10"/>
  <c r="J11" i="26"/>
  <c r="G20" i="11"/>
  <c r="G26" i="8"/>
  <c r="G16" i="8"/>
  <c r="B33" i="20"/>
  <c r="D33" i="20" s="1"/>
  <c r="B17" i="39"/>
  <c r="B42" i="39"/>
  <c r="G24" i="26"/>
  <c r="G46" i="26"/>
  <c r="D35" i="7"/>
  <c r="J35" i="9"/>
  <c r="D44" i="9"/>
  <c r="G50" i="26"/>
  <c r="D41" i="11"/>
  <c r="G39" i="10"/>
  <c r="D22" i="11"/>
  <c r="D31" i="7"/>
  <c r="J18" i="11"/>
  <c r="G23" i="8"/>
  <c r="G41" i="28"/>
  <c r="G34" i="28"/>
  <c r="D43" i="28"/>
  <c r="D26" i="28"/>
  <c r="D29" i="7"/>
  <c r="D22" i="9"/>
  <c r="B31" i="19"/>
  <c r="D22" i="10"/>
  <c r="B37" i="18"/>
  <c r="D37" i="8"/>
  <c r="B33" i="18"/>
  <c r="D33" i="8"/>
  <c r="H36" i="18"/>
  <c r="J40" i="26"/>
  <c r="G17" i="28"/>
  <c r="H27" i="18"/>
  <c r="B23" i="76"/>
  <c r="D23" i="27"/>
  <c r="D23" i="76" s="1"/>
  <c r="B15" i="76"/>
  <c r="D15" i="27"/>
  <c r="D15" i="76" s="1"/>
  <c r="G18" i="26"/>
  <c r="G17" i="8"/>
  <c r="G31" i="8"/>
  <c r="H30" i="18"/>
  <c r="D15" i="19"/>
  <c r="D15" i="26"/>
  <c r="D13" i="26"/>
  <c r="B20" i="19"/>
  <c r="H20" i="18"/>
  <c r="H15" i="18"/>
  <c r="B30" i="18"/>
  <c r="D30" i="8"/>
  <c r="B44" i="20"/>
  <c r="B29" i="20"/>
  <c r="B21" i="20"/>
  <c r="B34" i="40"/>
  <c r="D34" i="40" s="1"/>
  <c r="B24" i="39"/>
  <c r="B44" i="40"/>
  <c r="D44" i="40" s="1"/>
  <c r="B33" i="40"/>
  <c r="D33" i="40" s="1"/>
  <c r="B17" i="40"/>
  <c r="D17" i="40" s="1"/>
  <c r="B25" i="76"/>
  <c r="D25" i="27"/>
  <c r="D25" i="76" s="1"/>
  <c r="B32" i="76"/>
  <c r="D32" i="27"/>
  <c r="D32" i="76" s="1"/>
  <c r="B46" i="76"/>
  <c r="D46" i="27"/>
  <c r="D46" i="76" s="1"/>
  <c r="B36" i="76"/>
  <c r="D36" i="27"/>
  <c r="D36" i="76" s="1"/>
  <c r="J29" i="26"/>
  <c r="J23" i="26"/>
  <c r="J18" i="26"/>
  <c r="J41" i="26"/>
  <c r="J17" i="26"/>
  <c r="G39" i="26"/>
  <c r="G33" i="26"/>
  <c r="G25" i="26"/>
  <c r="B39" i="19"/>
  <c r="D43" i="11"/>
  <c r="D34" i="11"/>
  <c r="D37" i="11"/>
  <c r="D24" i="11"/>
  <c r="G35" i="10"/>
  <c r="G27" i="10"/>
  <c r="G23" i="10"/>
  <c r="D34" i="7"/>
  <c r="J29" i="9"/>
  <c r="D24" i="7"/>
  <c r="D16" i="7"/>
  <c r="D15" i="9"/>
  <c r="D11" i="9"/>
  <c r="F40" i="46"/>
  <c r="F26" i="45"/>
  <c r="F43" i="45"/>
  <c r="B38" i="19"/>
  <c r="D11" i="11"/>
  <c r="B50" i="39"/>
  <c r="D51" i="9"/>
  <c r="B16" i="39"/>
  <c r="J38" i="26"/>
  <c r="F20" i="45"/>
  <c r="D26" i="9"/>
  <c r="B11" i="18"/>
  <c r="D11" i="8"/>
  <c r="G13" i="8"/>
  <c r="G19" i="10"/>
  <c r="B13" i="19"/>
  <c r="H35" i="18"/>
  <c r="D45" i="9"/>
  <c r="B51" i="19"/>
  <c r="H40" i="18"/>
  <c r="H33" i="18"/>
  <c r="D37" i="10"/>
  <c r="D45" i="10"/>
  <c r="G40" i="8"/>
  <c r="B50" i="19"/>
  <c r="B18" i="76"/>
  <c r="D18" i="27"/>
  <c r="D18" i="76" s="1"/>
  <c r="G23" i="26"/>
  <c r="B34" i="76"/>
  <c r="D34" i="27"/>
  <c r="D34" i="76" s="1"/>
  <c r="D28" i="10"/>
  <c r="D17" i="10"/>
  <c r="D12" i="9"/>
  <c r="B26" i="76"/>
  <c r="D26" i="27"/>
  <c r="D26" i="76" s="1"/>
  <c r="D14" i="10"/>
  <c r="B44" i="76"/>
  <c r="D44" i="27"/>
  <c r="D44" i="76" s="1"/>
  <c r="E23" i="18"/>
  <c r="D23" i="10"/>
  <c r="D31" i="10"/>
  <c r="D50" i="10"/>
  <c r="G23" i="11"/>
  <c r="G34" i="11"/>
  <c r="G29" i="11"/>
  <c r="G25" i="11"/>
  <c r="G19" i="11"/>
  <c r="G15" i="11"/>
  <c r="G45" i="11"/>
  <c r="J50" i="26"/>
  <c r="D41" i="7"/>
  <c r="D32" i="9"/>
  <c r="G33" i="8"/>
  <c r="B14" i="18"/>
  <c r="D14" i="8"/>
  <c r="B22" i="18"/>
  <c r="D22" i="8"/>
  <c r="B36" i="18"/>
  <c r="D36" i="8"/>
  <c r="G51" i="10"/>
  <c r="B16" i="76"/>
  <c r="D16" i="27"/>
  <c r="D16" i="76" s="1"/>
  <c r="J15" i="26"/>
  <c r="D14" i="11"/>
  <c r="D51" i="11"/>
  <c r="G38" i="8"/>
  <c r="B11" i="39"/>
  <c r="B22" i="20"/>
  <c r="B30" i="20"/>
  <c r="B39" i="20"/>
  <c r="B15" i="39"/>
  <c r="B36" i="39"/>
  <c r="G20" i="26"/>
  <c r="G38" i="26"/>
  <c r="J25" i="9"/>
  <c r="D34" i="9"/>
  <c r="B28" i="18"/>
  <c r="D28" i="8"/>
  <c r="D40" i="11"/>
  <c r="G22" i="10"/>
  <c r="B23" i="19"/>
  <c r="J23" i="11"/>
  <c r="B27" i="40"/>
  <c r="D42" i="8"/>
  <c r="G24" i="28"/>
  <c r="D23" i="28"/>
  <c r="D24" i="28"/>
  <c r="D25" i="10"/>
  <c r="B32" i="19"/>
  <c r="H18" i="18"/>
  <c r="D39" i="8"/>
  <c r="B22" i="39"/>
  <c r="J36" i="26"/>
  <c r="D28" i="9"/>
  <c r="H23" i="18"/>
  <c r="D31" i="9"/>
  <c r="B14" i="39"/>
  <c r="B41" i="76"/>
  <c r="D41" i="27"/>
  <c r="D41" i="76" s="1"/>
  <c r="B33" i="76"/>
  <c r="D33" i="27"/>
  <c r="D33" i="76" s="1"/>
  <c r="G26" i="26"/>
  <c r="D33" i="7"/>
  <c r="D38" i="9"/>
  <c r="G27" i="28"/>
  <c r="B44" i="39"/>
  <c r="B37" i="39"/>
  <c r="B32" i="39"/>
  <c r="B45" i="76"/>
  <c r="D45" i="27"/>
  <c r="D45" i="76" s="1"/>
  <c r="J26" i="26"/>
  <c r="J20" i="26"/>
  <c r="D31" i="19"/>
  <c r="D31" i="26"/>
  <c r="D12" i="26"/>
  <c r="D33" i="9"/>
  <c r="D19" i="9"/>
  <c r="G30" i="28"/>
  <c r="B37" i="40"/>
  <c r="D37" i="40" s="1"/>
  <c r="B25" i="40"/>
  <c r="D25" i="40" s="1"/>
  <c r="B35" i="40"/>
  <c r="D35" i="40" s="1"/>
  <c r="B22" i="40"/>
  <c r="D22" i="40" s="1"/>
  <c r="B30" i="76"/>
  <c r="D30" i="27"/>
  <c r="D30" i="76" s="1"/>
  <c r="J43" i="26"/>
  <c r="J27" i="26"/>
  <c r="G45" i="26"/>
  <c r="J37" i="26"/>
  <c r="J30" i="26"/>
  <c r="G27" i="26"/>
  <c r="J19" i="26"/>
  <c r="G13" i="26"/>
  <c r="G40" i="26"/>
  <c r="G35" i="26"/>
  <c r="G29" i="26"/>
  <c r="B43" i="19"/>
  <c r="B15" i="19"/>
  <c r="D35" i="11"/>
  <c r="D44" i="11"/>
  <c r="D29" i="11"/>
  <c r="G28" i="10"/>
  <c r="G41" i="10"/>
  <c r="G24" i="10"/>
  <c r="D45" i="7"/>
  <c r="D26" i="7"/>
  <c r="D17" i="9"/>
  <c r="G43" i="10"/>
  <c r="B42" i="19"/>
  <c r="J51" i="26"/>
  <c r="G50" i="11"/>
  <c r="D38" i="11"/>
  <c r="B38" i="40"/>
  <c r="D38" i="40" s="1"/>
  <c r="D50" i="11"/>
  <c r="B28" i="19"/>
  <c r="F19" i="46"/>
  <c r="D35" i="9"/>
  <c r="F35" i="45"/>
  <c r="B27" i="39"/>
  <c r="D23" i="11"/>
  <c r="B11" i="19"/>
  <c r="D50" i="9"/>
  <c r="D16" i="19"/>
  <c r="D16" i="26"/>
  <c r="H22" i="18"/>
  <c r="D30" i="10"/>
  <c r="D43" i="10"/>
  <c r="H42" i="18"/>
  <c r="B50" i="18"/>
  <c r="D50" i="8"/>
  <c r="B23" i="39"/>
  <c r="G44" i="10"/>
  <c r="H37" i="18"/>
  <c r="B43" i="39"/>
  <c r="D27" i="11"/>
  <c r="F44" i="45"/>
  <c r="G42" i="8"/>
  <c r="D42" i="10"/>
  <c r="D35" i="10"/>
  <c r="D15" i="10"/>
  <c r="B30" i="19"/>
  <c r="D27" i="10"/>
  <c r="D39" i="10"/>
  <c r="D41" i="10"/>
  <c r="J50" i="28"/>
  <c r="J21" i="11"/>
  <c r="G39" i="11"/>
  <c r="G35" i="11"/>
  <c r="G30" i="11"/>
  <c r="G26" i="11"/>
  <c r="G21" i="11"/>
  <c r="G16" i="11"/>
  <c r="G42" i="11"/>
  <c r="G31" i="11"/>
  <c r="B51" i="41"/>
  <c r="C51" i="41" s="1"/>
  <c r="D18" i="28"/>
  <c r="D37" i="7"/>
  <c r="D24" i="9"/>
  <c r="G27" i="8"/>
  <c r="G43" i="8"/>
  <c r="B19" i="18"/>
  <c r="D19" i="8"/>
  <c r="B34" i="18"/>
  <c r="D34" i="8"/>
  <c r="B51" i="39"/>
  <c r="H14" i="18"/>
  <c r="B22" i="76"/>
  <c r="D22" i="27"/>
  <c r="D22" i="76" s="1"/>
  <c r="G16" i="10"/>
  <c r="B51" i="76"/>
  <c r="D51" i="27"/>
  <c r="D51" i="76" s="1"/>
  <c r="G51" i="8"/>
  <c r="F15" i="45"/>
  <c r="F13" i="45"/>
  <c r="G19" i="8"/>
  <c r="G36" i="8"/>
  <c r="B11" i="20"/>
  <c r="B37" i="20"/>
  <c r="B34" i="39"/>
  <c r="G14" i="26"/>
  <c r="G34" i="26"/>
  <c r="J13" i="9"/>
  <c r="D16" i="9"/>
  <c r="B24" i="18"/>
  <c r="D24" i="8"/>
  <c r="D45" i="11"/>
  <c r="D32" i="11"/>
  <c r="D21" i="11"/>
  <c r="G11" i="10"/>
  <c r="G42" i="26"/>
  <c r="G39" i="8"/>
  <c r="G31" i="10"/>
  <c r="B30" i="40"/>
  <c r="D30" i="40" s="1"/>
  <c r="G51" i="28"/>
  <c r="D13" i="28"/>
  <c r="G40" i="29"/>
  <c r="G11" i="28"/>
  <c r="D33" i="29"/>
  <c r="J43" i="28"/>
  <c r="G39" i="28"/>
  <c r="G28" i="28"/>
  <c r="G23" i="28"/>
  <c r="G14" i="28"/>
  <c r="G21" i="28"/>
  <c r="H32" i="18"/>
  <c r="H39" i="18"/>
  <c r="H26" i="18"/>
  <c r="D34" i="10"/>
  <c r="D23" i="8"/>
  <c r="B35" i="18"/>
  <c r="D35" i="8"/>
  <c r="B30" i="39"/>
  <c r="J34" i="26"/>
  <c r="D21" i="9"/>
  <c r="B32" i="18"/>
  <c r="D32" i="8"/>
  <c r="H25" i="18"/>
  <c r="E21" i="18"/>
  <c r="D21" i="10"/>
  <c r="B34" i="20"/>
  <c r="D34" i="20" s="1"/>
  <c r="B35" i="76"/>
  <c r="D35" i="27"/>
  <c r="D35" i="76" s="1"/>
  <c r="G44" i="26"/>
  <c r="B19" i="40"/>
  <c r="D19" i="40" s="1"/>
  <c r="D14" i="19"/>
  <c r="D14" i="26"/>
  <c r="H17" i="18"/>
  <c r="D41" i="9"/>
  <c r="B25" i="20"/>
  <c r="B17" i="20"/>
  <c r="B39" i="40"/>
  <c r="D39" i="40" s="1"/>
  <c r="B25" i="39"/>
  <c r="B29" i="40"/>
  <c r="D29" i="40" s="1"/>
  <c r="B31" i="76"/>
  <c r="D31" i="27"/>
  <c r="D31" i="76" s="1"/>
  <c r="B24" i="76"/>
  <c r="D24" i="27"/>
  <c r="D24" i="76" s="1"/>
  <c r="J16" i="26"/>
  <c r="J39" i="26"/>
  <c r="J35" i="26"/>
  <c r="G28" i="26"/>
  <c r="G21" i="26"/>
  <c r="J14" i="26"/>
  <c r="G41" i="26"/>
  <c r="G36" i="26"/>
  <c r="G15" i="26"/>
  <c r="B44" i="19"/>
  <c r="B26" i="19"/>
  <c r="B19" i="19"/>
  <c r="D36" i="11"/>
  <c r="D17" i="11"/>
  <c r="D30" i="11"/>
  <c r="D26" i="11"/>
  <c r="G30" i="10"/>
  <c r="G20" i="10"/>
  <c r="G15" i="10"/>
  <c r="G42" i="10"/>
  <c r="G32" i="10"/>
  <c r="G25" i="10"/>
  <c r="D40" i="7"/>
  <c r="D22" i="7"/>
  <c r="J32" i="9"/>
  <c r="D30" i="9"/>
  <c r="G11" i="26"/>
  <c r="B21" i="19"/>
  <c r="B36" i="19"/>
  <c r="G38" i="28"/>
  <c r="F41" i="45"/>
  <c r="F24" i="45"/>
  <c r="J38" i="9"/>
  <c r="G22" i="26"/>
  <c r="B38" i="39"/>
  <c r="G37" i="10"/>
  <c r="G38" i="10"/>
  <c r="D51" i="19"/>
  <c r="D51" i="26"/>
  <c r="H38" i="18"/>
  <c r="E48" i="46"/>
  <c r="F11" i="46"/>
  <c r="F51" i="52"/>
  <c r="B51" i="43" s="1"/>
  <c r="F51" i="43" s="1"/>
  <c r="H51" i="43" s="1"/>
  <c r="F50" i="45"/>
  <c r="B48" i="44"/>
  <c r="B17" i="19"/>
  <c r="G18" i="10"/>
  <c r="B21" i="40"/>
  <c r="D21" i="40" s="1"/>
  <c r="B27" i="76"/>
  <c r="D27" i="27"/>
  <c r="D27" i="76" s="1"/>
  <c r="H44" i="18"/>
  <c r="H24" i="18"/>
  <c r="D40" i="10"/>
  <c r="H50" i="18"/>
  <c r="G15" i="8"/>
  <c r="D42" i="11"/>
  <c r="B38" i="76"/>
  <c r="D38" i="27"/>
  <c r="D38" i="76" s="1"/>
  <c r="G30" i="8"/>
  <c r="G32" i="8"/>
  <c r="B29" i="19"/>
  <c r="B23" i="18"/>
  <c r="H45" i="18"/>
  <c r="H19" i="18"/>
  <c r="H29" i="18"/>
  <c r="B43" i="18"/>
  <c r="E31" i="20"/>
  <c r="J41" i="11"/>
  <c r="E40" i="18"/>
  <c r="E30" i="18"/>
  <c r="E37" i="18"/>
  <c r="E32" i="18"/>
  <c r="B14" i="19"/>
  <c r="E14" i="18"/>
  <c r="E42" i="18"/>
  <c r="E38" i="18"/>
  <c r="E27" i="20"/>
  <c r="B32" i="20"/>
  <c r="B16" i="20"/>
  <c r="B14" i="20"/>
  <c r="E43" i="18"/>
  <c r="F14" i="45"/>
  <c r="E34" i="18"/>
  <c r="E17" i="18"/>
  <c r="H31" i="18"/>
  <c r="D21" i="7"/>
  <c r="G17" i="18" l="1"/>
  <c r="G34" i="18"/>
  <c r="D48" i="9"/>
  <c r="E31" i="5"/>
  <c r="G48" i="26"/>
  <c r="G43" i="18"/>
  <c r="D16" i="20"/>
  <c r="G42" i="18"/>
  <c r="G40" i="18"/>
  <c r="D14" i="20"/>
  <c r="D32" i="20"/>
  <c r="G38" i="18"/>
  <c r="G14" i="18"/>
  <c r="D48" i="7"/>
  <c r="G32" i="18"/>
  <c r="G37" i="18"/>
  <c r="G30" i="18"/>
  <c r="G31" i="20"/>
  <c r="D43" i="18"/>
  <c r="E29" i="5"/>
  <c r="E19" i="5"/>
  <c r="D23" i="18"/>
  <c r="G11" i="29"/>
  <c r="G17" i="29"/>
  <c r="H21" i="18"/>
  <c r="J51" i="11"/>
  <c r="B18" i="41"/>
  <c r="B31" i="41"/>
  <c r="F11" i="41"/>
  <c r="G30" i="29"/>
  <c r="J51" i="28"/>
  <c r="E13" i="20"/>
  <c r="E35" i="20"/>
  <c r="J46" i="11"/>
  <c r="D44" i="29"/>
  <c r="J24" i="28"/>
  <c r="B24" i="40"/>
  <c r="D24" i="40" s="1"/>
  <c r="B51" i="40"/>
  <c r="E29" i="20"/>
  <c r="F16" i="41"/>
  <c r="G16" i="41" s="1"/>
  <c r="F39" i="41"/>
  <c r="G39" i="41" s="1"/>
  <c r="F46" i="41"/>
  <c r="G46" i="41" s="1"/>
  <c r="D17" i="29"/>
  <c r="J12" i="28"/>
  <c r="J28" i="11"/>
  <c r="D36" i="29"/>
  <c r="D14" i="29"/>
  <c r="J40" i="28"/>
  <c r="F25" i="41"/>
  <c r="G25" i="41" s="1"/>
  <c r="D24" i="19"/>
  <c r="D24" i="26"/>
  <c r="D28" i="19"/>
  <c r="D28" i="26"/>
  <c r="D33" i="19"/>
  <c r="D33" i="26"/>
  <c r="D37" i="19"/>
  <c r="D37" i="26"/>
  <c r="D45" i="19"/>
  <c r="D45" i="26"/>
  <c r="D43" i="19"/>
  <c r="D43" i="26"/>
  <c r="B36" i="40"/>
  <c r="D36" i="40" s="1"/>
  <c r="G37" i="29"/>
  <c r="D32" i="28"/>
  <c r="J24" i="11"/>
  <c r="J12" i="11"/>
  <c r="J30" i="28"/>
  <c r="G16" i="29"/>
  <c r="G32" i="28"/>
  <c r="G37" i="28"/>
  <c r="E50" i="20"/>
  <c r="B12" i="41"/>
  <c r="B17" i="41"/>
  <c r="B41" i="41"/>
  <c r="F28" i="41"/>
  <c r="G28" i="41" s="1"/>
  <c r="J19" i="28"/>
  <c r="G13" i="28"/>
  <c r="G31" i="29"/>
  <c r="F27" i="41"/>
  <c r="G27" i="41" s="1"/>
  <c r="F35" i="41"/>
  <c r="G35" i="41" s="1"/>
  <c r="E12" i="20"/>
  <c r="D18" i="19"/>
  <c r="D18" i="26"/>
  <c r="B13" i="39"/>
  <c r="F23" i="41"/>
  <c r="G23" i="41" s="1"/>
  <c r="D28" i="29"/>
  <c r="J26" i="28"/>
  <c r="G19" i="28"/>
  <c r="G16" i="19"/>
  <c r="D16" i="28"/>
  <c r="G36" i="28"/>
  <c r="E30" i="20"/>
  <c r="J33" i="28"/>
  <c r="J44" i="28"/>
  <c r="G41" i="19"/>
  <c r="D41" i="28"/>
  <c r="H13" i="18"/>
  <c r="D25" i="9"/>
  <c r="B42" i="40"/>
  <c r="D42" i="40" s="1"/>
  <c r="D20" i="28"/>
  <c r="B37" i="41"/>
  <c r="J46" i="9"/>
  <c r="E17" i="20"/>
  <c r="E26" i="18"/>
  <c r="G26" i="18" s="1"/>
  <c r="D26" i="10"/>
  <c r="G46" i="8"/>
  <c r="D39" i="9"/>
  <c r="B29" i="18"/>
  <c r="D29" i="8"/>
  <c r="E46" i="20"/>
  <c r="D34" i="28"/>
  <c r="E44" i="5"/>
  <c r="F45" i="45"/>
  <c r="F48" i="46"/>
  <c r="F38" i="39"/>
  <c r="D38" i="39"/>
  <c r="H38" i="39"/>
  <c r="F14" i="19"/>
  <c r="G21" i="18"/>
  <c r="D32" i="18"/>
  <c r="D11" i="20"/>
  <c r="B18" i="19"/>
  <c r="E18" i="5" s="1"/>
  <c r="E42" i="5"/>
  <c r="E22" i="5"/>
  <c r="G35" i="28"/>
  <c r="F37" i="39"/>
  <c r="D37" i="39"/>
  <c r="H37" i="39"/>
  <c r="F22" i="39"/>
  <c r="D22" i="39"/>
  <c r="H22" i="39"/>
  <c r="D14" i="18"/>
  <c r="D11" i="18"/>
  <c r="F16" i="39"/>
  <c r="H16" i="39"/>
  <c r="D16" i="39"/>
  <c r="F37" i="45"/>
  <c r="F42" i="45"/>
  <c r="F24" i="39"/>
  <c r="H24" i="39"/>
  <c r="D24" i="39"/>
  <c r="D21" i="20"/>
  <c r="D44" i="20"/>
  <c r="E15" i="5"/>
  <c r="F15" i="19"/>
  <c r="E27" i="5"/>
  <c r="E36" i="5"/>
  <c r="J48" i="26"/>
  <c r="D40" i="18"/>
  <c r="D38" i="18"/>
  <c r="E11" i="5"/>
  <c r="D38" i="20"/>
  <c r="D26" i="18"/>
  <c r="B33" i="19"/>
  <c r="E33" i="5" s="1"/>
  <c r="B34" i="19"/>
  <c r="B42" i="18"/>
  <c r="B51" i="20"/>
  <c r="F29" i="45"/>
  <c r="B45" i="19"/>
  <c r="H28" i="18"/>
  <c r="F23" i="45"/>
  <c r="E51" i="18"/>
  <c r="F19" i="45"/>
  <c r="B20" i="18"/>
  <c r="G12" i="8"/>
  <c r="B18" i="39"/>
  <c r="D20" i="11"/>
  <c r="G32" i="29"/>
  <c r="J29" i="11"/>
  <c r="B14" i="41"/>
  <c r="B29" i="41"/>
  <c r="D19" i="29"/>
  <c r="G12" i="10"/>
  <c r="F24" i="41"/>
  <c r="G24" i="41" s="1"/>
  <c r="G19" i="29"/>
  <c r="E22" i="20"/>
  <c r="E25" i="20"/>
  <c r="B19" i="41"/>
  <c r="D38" i="29"/>
  <c r="D35" i="29"/>
  <c r="J23" i="28"/>
  <c r="F15" i="41"/>
  <c r="G15" i="41" s="1"/>
  <c r="F43" i="41"/>
  <c r="G43" i="41" s="1"/>
  <c r="B40" i="40"/>
  <c r="D40" i="40" s="1"/>
  <c r="B50" i="40"/>
  <c r="G27" i="20"/>
  <c r="E41" i="20"/>
  <c r="B39" i="41"/>
  <c r="B45" i="41"/>
  <c r="J39" i="28"/>
  <c r="D13" i="29"/>
  <c r="J39" i="11"/>
  <c r="J38" i="28"/>
  <c r="B13" i="76"/>
  <c r="D13" i="27"/>
  <c r="D13" i="76" s="1"/>
  <c r="F20" i="41"/>
  <c r="G20" i="41" s="1"/>
  <c r="D12" i="11"/>
  <c r="D20" i="19"/>
  <c r="D20" i="26"/>
  <c r="D27" i="19"/>
  <c r="D27" i="26"/>
  <c r="D32" i="19"/>
  <c r="D32" i="26"/>
  <c r="D36" i="19"/>
  <c r="D36" i="26"/>
  <c r="D42" i="19"/>
  <c r="D42" i="26"/>
  <c r="B13" i="18"/>
  <c r="D13" i="8"/>
  <c r="B46" i="39"/>
  <c r="B28" i="40"/>
  <c r="D28" i="40" s="1"/>
  <c r="G33" i="28"/>
  <c r="G40" i="19"/>
  <c r="D40" i="28"/>
  <c r="J11" i="11"/>
  <c r="D30" i="29"/>
  <c r="D41" i="29"/>
  <c r="B31" i="18"/>
  <c r="D31" i="8"/>
  <c r="B41" i="18"/>
  <c r="D41" i="8"/>
  <c r="G31" i="19"/>
  <c r="D31" i="28"/>
  <c r="G27" i="29"/>
  <c r="D28" i="28"/>
  <c r="E51" i="20"/>
  <c r="E26" i="20"/>
  <c r="B16" i="41"/>
  <c r="B34" i="41"/>
  <c r="F14" i="41"/>
  <c r="G14" i="41" s="1"/>
  <c r="D42" i="7"/>
  <c r="J27" i="28"/>
  <c r="G12" i="11"/>
  <c r="D37" i="28"/>
  <c r="G29" i="29"/>
  <c r="F41" i="41"/>
  <c r="G41" i="41" s="1"/>
  <c r="F34" i="41"/>
  <c r="G34" i="41" s="1"/>
  <c r="B20" i="41"/>
  <c r="B26" i="39"/>
  <c r="G15" i="29"/>
  <c r="E36" i="18"/>
  <c r="D36" i="10"/>
  <c r="J36" i="28"/>
  <c r="B21" i="41"/>
  <c r="G26" i="29"/>
  <c r="B27" i="41"/>
  <c r="J44" i="11"/>
  <c r="J20" i="11"/>
  <c r="B50" i="41"/>
  <c r="G18" i="28"/>
  <c r="D29" i="9"/>
  <c r="B26" i="41"/>
  <c r="J46" i="28"/>
  <c r="E29" i="18"/>
  <c r="D29" i="10"/>
  <c r="D46" i="11"/>
  <c r="D46" i="9"/>
  <c r="F30" i="41"/>
  <c r="G30" i="41" s="1"/>
  <c r="H46" i="18"/>
  <c r="G22" i="29"/>
  <c r="B41" i="39"/>
  <c r="G50" i="29"/>
  <c r="B21" i="18"/>
  <c r="D21" i="8"/>
  <c r="D23" i="29"/>
  <c r="D50" i="19"/>
  <c r="D50" i="26"/>
  <c r="B39" i="76"/>
  <c r="D39" i="27"/>
  <c r="D39" i="76" s="1"/>
  <c r="D23" i="9"/>
  <c r="E24" i="20"/>
  <c r="B45" i="40"/>
  <c r="D45" i="40" s="1"/>
  <c r="G45" i="28"/>
  <c r="B46" i="19"/>
  <c r="E14" i="20"/>
  <c r="E38" i="5"/>
  <c r="H25" i="39"/>
  <c r="F25" i="39"/>
  <c r="D25" i="39"/>
  <c r="D25" i="20"/>
  <c r="E39" i="5"/>
  <c r="F34" i="39"/>
  <c r="H34" i="39"/>
  <c r="D34" i="39"/>
  <c r="E14" i="5"/>
  <c r="E37" i="5"/>
  <c r="F23" i="39"/>
  <c r="H23" i="39"/>
  <c r="D23" i="39"/>
  <c r="F16" i="19"/>
  <c r="D11" i="27"/>
  <c r="D11" i="76" s="1"/>
  <c r="B11" i="76"/>
  <c r="D28" i="18"/>
  <c r="F15" i="39"/>
  <c r="H15" i="39"/>
  <c r="D15" i="39"/>
  <c r="D30" i="20"/>
  <c r="B12" i="76"/>
  <c r="D12" i="27"/>
  <c r="D12" i="76" s="1"/>
  <c r="D33" i="18"/>
  <c r="F42" i="39"/>
  <c r="D42" i="39"/>
  <c r="H42" i="39"/>
  <c r="F39" i="39"/>
  <c r="D39" i="39"/>
  <c r="H39" i="39"/>
  <c r="F39" i="45"/>
  <c r="F29" i="39"/>
  <c r="H29" i="39"/>
  <c r="D29" i="39"/>
  <c r="D27" i="20"/>
  <c r="D17" i="18"/>
  <c r="F12" i="39"/>
  <c r="D12" i="39"/>
  <c r="H12" i="39"/>
  <c r="F33" i="39"/>
  <c r="D33" i="39"/>
  <c r="H33" i="39"/>
  <c r="F45" i="39"/>
  <c r="D45" i="39"/>
  <c r="H45" i="39"/>
  <c r="G18" i="18"/>
  <c r="D11" i="40"/>
  <c r="F19" i="39"/>
  <c r="D19" i="39"/>
  <c r="H19" i="39"/>
  <c r="D15" i="18"/>
  <c r="F31" i="39"/>
  <c r="D31" i="39"/>
  <c r="H31" i="39"/>
  <c r="B28" i="20"/>
  <c r="E41" i="18"/>
  <c r="B46" i="40"/>
  <c r="D46" i="40" s="1"/>
  <c r="B39" i="18"/>
  <c r="G23" i="19"/>
  <c r="B24" i="19"/>
  <c r="E24" i="5" s="1"/>
  <c r="E42" i="20"/>
  <c r="B41" i="20"/>
  <c r="B24" i="20"/>
  <c r="F16" i="45"/>
  <c r="B25" i="18"/>
  <c r="D11" i="19"/>
  <c r="B12" i="20"/>
  <c r="B18" i="20"/>
  <c r="E45" i="20"/>
  <c r="D20" i="9"/>
  <c r="E20" i="18"/>
  <c r="D20" i="10"/>
  <c r="J26" i="11"/>
  <c r="J31" i="11"/>
  <c r="F31" i="41"/>
  <c r="G31" i="41" s="1"/>
  <c r="B24" i="41"/>
  <c r="B43" i="41"/>
  <c r="D40" i="29"/>
  <c r="J25" i="11"/>
  <c r="J16" i="28"/>
  <c r="D11" i="29"/>
  <c r="G12" i="26"/>
  <c r="F18" i="41"/>
  <c r="G18" i="41" s="1"/>
  <c r="F38" i="41"/>
  <c r="G38" i="41" s="1"/>
  <c r="E16" i="20"/>
  <c r="E21" i="20"/>
  <c r="D34" i="29"/>
  <c r="J43" i="11"/>
  <c r="J42" i="28"/>
  <c r="B38" i="41"/>
  <c r="F22" i="41"/>
  <c r="G22" i="41" s="1"/>
  <c r="E39" i="20"/>
  <c r="F29" i="41"/>
  <c r="G29" i="41" s="1"/>
  <c r="B31" i="40"/>
  <c r="D31" i="40" s="1"/>
  <c r="B16" i="40"/>
  <c r="D16" i="40" s="1"/>
  <c r="B15" i="40"/>
  <c r="D15" i="40" s="1"/>
  <c r="E20" i="20"/>
  <c r="E40" i="20"/>
  <c r="F36" i="41"/>
  <c r="G36" i="41" s="1"/>
  <c r="B42" i="41"/>
  <c r="F45" i="41"/>
  <c r="G45" i="41" s="1"/>
  <c r="D25" i="29"/>
  <c r="J37" i="28"/>
  <c r="J42" i="11"/>
  <c r="J35" i="11"/>
  <c r="J11" i="28"/>
  <c r="E28" i="20"/>
  <c r="G41" i="29"/>
  <c r="D45" i="28"/>
  <c r="F17" i="41"/>
  <c r="G17" i="41" s="1"/>
  <c r="F37" i="41"/>
  <c r="G37" i="41" s="1"/>
  <c r="B12" i="19"/>
  <c r="D19" i="19"/>
  <c r="D19" i="26"/>
  <c r="D26" i="19"/>
  <c r="D26" i="26"/>
  <c r="D30" i="19"/>
  <c r="D30" i="26"/>
  <c r="D35" i="19"/>
  <c r="D35" i="26"/>
  <c r="D41" i="19"/>
  <c r="D41" i="26"/>
  <c r="D23" i="19"/>
  <c r="D23" i="26"/>
  <c r="B19" i="76"/>
  <c r="D19" i="27"/>
  <c r="D19" i="76" s="1"/>
  <c r="D14" i="28"/>
  <c r="G50" i="28"/>
  <c r="B44" i="41"/>
  <c r="D11" i="28"/>
  <c r="G11" i="19"/>
  <c r="B29" i="76"/>
  <c r="D29" i="27"/>
  <c r="D29" i="76" s="1"/>
  <c r="G26" i="28"/>
  <c r="B36" i="41"/>
  <c r="D20" i="29"/>
  <c r="D31" i="29"/>
  <c r="G23" i="29"/>
  <c r="G45" i="29"/>
  <c r="G31" i="28"/>
  <c r="G22" i="28"/>
  <c r="D39" i="28"/>
  <c r="E18" i="20"/>
  <c r="B15" i="41"/>
  <c r="B25" i="41"/>
  <c r="D16" i="29"/>
  <c r="G42" i="19"/>
  <c r="D42" i="28"/>
  <c r="J40" i="11"/>
  <c r="E12" i="18"/>
  <c r="D12" i="10"/>
  <c r="E24" i="18"/>
  <c r="D24" i="10"/>
  <c r="J31" i="28"/>
  <c r="D35" i="28"/>
  <c r="B11" i="41"/>
  <c r="E23" i="20"/>
  <c r="J15" i="11"/>
  <c r="F50" i="41"/>
  <c r="D32" i="29"/>
  <c r="D39" i="19"/>
  <c r="F39" i="19" s="1"/>
  <c r="D39" i="26"/>
  <c r="E43" i="20"/>
  <c r="G13" i="11"/>
  <c r="D17" i="19"/>
  <c r="D17" i="26"/>
  <c r="F33" i="41"/>
  <c r="G33" i="41" s="1"/>
  <c r="J19" i="11"/>
  <c r="F31" i="45"/>
  <c r="B45" i="18"/>
  <c r="D45" i="8"/>
  <c r="F51" i="41"/>
  <c r="B46" i="18"/>
  <c r="D46" i="8"/>
  <c r="D46" i="7"/>
  <c r="G46" i="11"/>
  <c r="J50" i="11"/>
  <c r="B44" i="18"/>
  <c r="D44" i="8"/>
  <c r="D36" i="28"/>
  <c r="H34" i="18"/>
  <c r="D22" i="19"/>
  <c r="D22" i="26"/>
  <c r="D21" i="19"/>
  <c r="D21" i="26"/>
  <c r="F42" i="41"/>
  <c r="G42" i="41" s="1"/>
  <c r="D24" i="29"/>
  <c r="F21" i="45"/>
  <c r="F40" i="45"/>
  <c r="F22" i="45"/>
  <c r="F51" i="19"/>
  <c r="F30" i="39"/>
  <c r="D30" i="39"/>
  <c r="H30" i="39"/>
  <c r="D34" i="18"/>
  <c r="D50" i="18"/>
  <c r="F32" i="39"/>
  <c r="H32" i="39"/>
  <c r="D32" i="39"/>
  <c r="F44" i="39"/>
  <c r="D44" i="39"/>
  <c r="H44" i="39"/>
  <c r="F14" i="39"/>
  <c r="D14" i="39"/>
  <c r="H14" i="39"/>
  <c r="E23" i="5"/>
  <c r="D36" i="18"/>
  <c r="G23" i="18"/>
  <c r="E35" i="5"/>
  <c r="D29" i="20"/>
  <c r="D30" i="18"/>
  <c r="E20" i="5"/>
  <c r="E30" i="5"/>
  <c r="D37" i="18"/>
  <c r="D16" i="18"/>
  <c r="B42" i="76"/>
  <c r="D42" i="27"/>
  <c r="D42" i="76" s="1"/>
  <c r="D51" i="18"/>
  <c r="D27" i="18"/>
  <c r="G33" i="18"/>
  <c r="F27" i="45"/>
  <c r="E39" i="18"/>
  <c r="E15" i="18"/>
  <c r="F30" i="45"/>
  <c r="B25" i="19"/>
  <c r="E25" i="5" s="1"/>
  <c r="D12" i="19"/>
  <c r="E25" i="18"/>
  <c r="E50" i="18"/>
  <c r="I50" i="45"/>
  <c r="I50" i="44" s="1"/>
  <c r="F50" i="42" s="1"/>
  <c r="E43" i="5"/>
  <c r="B26" i="40"/>
  <c r="D26" i="40" s="1"/>
  <c r="F12" i="45"/>
  <c r="E34" i="20"/>
  <c r="F36" i="45"/>
  <c r="B50" i="20"/>
  <c r="E44" i="18"/>
  <c r="E11" i="18"/>
  <c r="F51" i="45"/>
  <c r="F38" i="45"/>
  <c r="G17" i="11"/>
  <c r="J27" i="11"/>
  <c r="B22" i="41"/>
  <c r="B33" i="41"/>
  <c r="D21" i="29"/>
  <c r="J34" i="11"/>
  <c r="G51" i="29"/>
  <c r="E44" i="20"/>
  <c r="E32" i="20"/>
  <c r="E37" i="20"/>
  <c r="D15" i="29"/>
  <c r="J16" i="11"/>
  <c r="J29" i="28"/>
  <c r="B30" i="41"/>
  <c r="B14" i="40"/>
  <c r="B32" i="40"/>
  <c r="D32" i="40" s="1"/>
  <c r="E15" i="20"/>
  <c r="E33" i="20"/>
  <c r="B35" i="41"/>
  <c r="F40" i="41"/>
  <c r="G40" i="41" s="1"/>
  <c r="B46" i="41"/>
  <c r="D42" i="29"/>
  <c r="J18" i="28"/>
  <c r="J38" i="11"/>
  <c r="J14" i="11"/>
  <c r="D18" i="29"/>
  <c r="J14" i="28"/>
  <c r="B40" i="41"/>
  <c r="F12" i="41"/>
  <c r="G12" i="41" s="1"/>
  <c r="F32" i="41"/>
  <c r="G32" i="41" s="1"/>
  <c r="B17" i="76"/>
  <c r="D17" i="27"/>
  <c r="D17" i="76" s="1"/>
  <c r="H12" i="18"/>
  <c r="D25" i="26"/>
  <c r="D25" i="19"/>
  <c r="D29" i="19"/>
  <c r="D29" i="26"/>
  <c r="D34" i="19"/>
  <c r="D34" i="26"/>
  <c r="D40" i="19"/>
  <c r="D40" i="26"/>
  <c r="D46" i="19"/>
  <c r="D46" i="26"/>
  <c r="D51" i="29"/>
  <c r="D44" i="19"/>
  <c r="D44" i="26"/>
  <c r="G46" i="28"/>
  <c r="B28" i="41"/>
  <c r="B20" i="40"/>
  <c r="D20" i="40" s="1"/>
  <c r="B12" i="40"/>
  <c r="D12" i="40" s="1"/>
  <c r="G43" i="28"/>
  <c r="G42" i="29"/>
  <c r="J32" i="11"/>
  <c r="J37" i="11"/>
  <c r="J21" i="28"/>
  <c r="F26" i="41"/>
  <c r="G26" i="41" s="1"/>
  <c r="D21" i="28"/>
  <c r="G16" i="28"/>
  <c r="G19" i="19"/>
  <c r="D19" i="28"/>
  <c r="G30" i="19"/>
  <c r="D30" i="28"/>
  <c r="B13" i="41"/>
  <c r="B23" i="41"/>
  <c r="J22" i="28"/>
  <c r="D12" i="28"/>
  <c r="D22" i="28"/>
  <c r="D44" i="28"/>
  <c r="J30" i="11"/>
  <c r="D12" i="29"/>
  <c r="J25" i="28"/>
  <c r="B32" i="41"/>
  <c r="F44" i="41"/>
  <c r="G44" i="41" s="1"/>
  <c r="J41" i="28"/>
  <c r="E16" i="18"/>
  <c r="D16" i="10"/>
  <c r="D43" i="9"/>
  <c r="E38" i="20"/>
  <c r="E19" i="18"/>
  <c r="D19" i="10"/>
  <c r="G46" i="10"/>
  <c r="D38" i="19"/>
  <c r="D38" i="26"/>
  <c r="B46" i="20"/>
  <c r="E50" i="5"/>
  <c r="D17" i="20"/>
  <c r="E17" i="5"/>
  <c r="D35" i="18"/>
  <c r="E26" i="5"/>
  <c r="E32" i="5"/>
  <c r="D24" i="18"/>
  <c r="D37" i="20"/>
  <c r="D19" i="18"/>
  <c r="F43" i="39"/>
  <c r="H43" i="39"/>
  <c r="D43" i="39"/>
  <c r="F33" i="45"/>
  <c r="F34" i="45"/>
  <c r="B40" i="76"/>
  <c r="D40" i="27"/>
  <c r="D40" i="76" s="1"/>
  <c r="F31" i="19"/>
  <c r="F36" i="39"/>
  <c r="D36" i="39"/>
  <c r="H36" i="39"/>
  <c r="D39" i="20"/>
  <c r="D22" i="20"/>
  <c r="H11" i="39"/>
  <c r="D11" i="39"/>
  <c r="F11" i="39"/>
  <c r="D22" i="18"/>
  <c r="F28" i="45"/>
  <c r="F17" i="39"/>
  <c r="H17" i="39"/>
  <c r="D17" i="39"/>
  <c r="E16" i="5"/>
  <c r="F17" i="45"/>
  <c r="F20" i="39"/>
  <c r="D20" i="39"/>
  <c r="H20" i="39"/>
  <c r="F40" i="39"/>
  <c r="H40" i="39"/>
  <c r="D40" i="39"/>
  <c r="D19" i="20"/>
  <c r="F21" i="39"/>
  <c r="D21" i="39"/>
  <c r="H21" i="39"/>
  <c r="F35" i="39"/>
  <c r="D35" i="39"/>
  <c r="H35" i="39"/>
  <c r="E41" i="5"/>
  <c r="F28" i="39"/>
  <c r="D28" i="39"/>
  <c r="H28" i="39"/>
  <c r="D18" i="18"/>
  <c r="B41" i="40"/>
  <c r="D41" i="40" s="1"/>
  <c r="B40" i="20"/>
  <c r="B31" i="20"/>
  <c r="D31" i="20" s="1"/>
  <c r="B20" i="20"/>
  <c r="F11" i="45"/>
  <c r="E27" i="18"/>
  <c r="E35" i="18"/>
  <c r="B36" i="20"/>
  <c r="E31" i="18"/>
  <c r="E28" i="18"/>
  <c r="D13" i="19"/>
  <c r="E22" i="18"/>
  <c r="B40" i="19"/>
  <c r="B15" i="20"/>
  <c r="E46" i="18"/>
  <c r="H51" i="18"/>
  <c r="B42" i="20"/>
  <c r="B12" i="18"/>
  <c r="B18" i="40"/>
  <c r="D18" i="40" s="1"/>
  <c r="B45" i="20"/>
  <c r="B26" i="20"/>
  <c r="F18" i="45"/>
  <c r="E36" i="20"/>
  <c r="G21" i="19"/>
  <c r="G45" i="19"/>
  <c r="G24" i="19"/>
  <c r="G43" i="19"/>
  <c r="G20" i="19"/>
  <c r="G39" i="19"/>
  <c r="G18" i="19"/>
  <c r="E11" i="20"/>
  <c r="B48" i="39" l="1"/>
  <c r="H48" i="39" s="1"/>
  <c r="H48" i="18"/>
  <c r="G50" i="44"/>
  <c r="E50" i="42" s="1"/>
  <c r="B48" i="19"/>
  <c r="G11" i="20"/>
  <c r="I18" i="19"/>
  <c r="I20" i="19"/>
  <c r="I24" i="19"/>
  <c r="I45" i="19"/>
  <c r="I21" i="19"/>
  <c r="I39" i="19"/>
  <c r="I43" i="19"/>
  <c r="F19" i="41"/>
  <c r="G19" i="41" s="1"/>
  <c r="E13" i="18"/>
  <c r="D13" i="10"/>
  <c r="D29" i="29"/>
  <c r="D26" i="29"/>
  <c r="G33" i="29"/>
  <c r="G13" i="29"/>
  <c r="G44" i="29"/>
  <c r="J45" i="11"/>
  <c r="E45" i="18"/>
  <c r="J35" i="28"/>
  <c r="D26" i="20"/>
  <c r="D12" i="18"/>
  <c r="G46" i="18"/>
  <c r="G27" i="18"/>
  <c r="D20" i="20"/>
  <c r="G19" i="18"/>
  <c r="D25" i="28"/>
  <c r="G25" i="19"/>
  <c r="D13" i="41"/>
  <c r="C13" i="41"/>
  <c r="F44" i="19"/>
  <c r="F40" i="19"/>
  <c r="D48" i="19"/>
  <c r="F25" i="19"/>
  <c r="D40" i="41"/>
  <c r="C40" i="41"/>
  <c r="G33" i="20"/>
  <c r="D30" i="41"/>
  <c r="C30" i="41"/>
  <c r="G37" i="20"/>
  <c r="G44" i="20"/>
  <c r="D22" i="41"/>
  <c r="C22" i="41"/>
  <c r="F12" i="19"/>
  <c r="G39" i="18"/>
  <c r="F22" i="19"/>
  <c r="D44" i="18"/>
  <c r="G23" i="20"/>
  <c r="D36" i="41"/>
  <c r="C36" i="41"/>
  <c r="F23" i="19"/>
  <c r="F26" i="19"/>
  <c r="G28" i="20"/>
  <c r="G20" i="18"/>
  <c r="D18" i="20"/>
  <c r="D41" i="20"/>
  <c r="G41" i="18"/>
  <c r="G48" i="10"/>
  <c r="G14" i="20"/>
  <c r="G33" i="19"/>
  <c r="D33" i="28"/>
  <c r="G46" i="19"/>
  <c r="D46" i="28"/>
  <c r="G15" i="28"/>
  <c r="G36" i="18"/>
  <c r="F26" i="39"/>
  <c r="D26" i="39"/>
  <c r="H26" i="39"/>
  <c r="D13" i="18"/>
  <c r="F27" i="19"/>
  <c r="D45" i="41"/>
  <c r="C45" i="41"/>
  <c r="G41" i="20"/>
  <c r="G25" i="20"/>
  <c r="D29" i="41"/>
  <c r="C29" i="41"/>
  <c r="F18" i="39"/>
  <c r="D18" i="39"/>
  <c r="H18" i="39"/>
  <c r="D42" i="18"/>
  <c r="G46" i="20"/>
  <c r="D29" i="18"/>
  <c r="G12" i="20"/>
  <c r="D41" i="41"/>
  <c r="C41" i="41"/>
  <c r="D12" i="41"/>
  <c r="C12" i="41"/>
  <c r="F43" i="19"/>
  <c r="F28" i="19"/>
  <c r="E21" i="5"/>
  <c r="G50" i="45"/>
  <c r="E19" i="20"/>
  <c r="E48" i="20" s="1"/>
  <c r="G18" i="29"/>
  <c r="D46" i="29"/>
  <c r="J34" i="28"/>
  <c r="G39" i="29"/>
  <c r="G36" i="29"/>
  <c r="J32" i="28"/>
  <c r="D37" i="29"/>
  <c r="J20" i="28"/>
  <c r="D45" i="29"/>
  <c r="G24" i="29"/>
  <c r="D22" i="29"/>
  <c r="F13" i="19"/>
  <c r="G28" i="18"/>
  <c r="D36" i="20"/>
  <c r="G35" i="18"/>
  <c r="D40" i="20"/>
  <c r="D46" i="20"/>
  <c r="G16" i="18"/>
  <c r="D32" i="41"/>
  <c r="C32" i="41"/>
  <c r="I30" i="19"/>
  <c r="D28" i="41"/>
  <c r="C28" i="41"/>
  <c r="F34" i="19"/>
  <c r="E12" i="5"/>
  <c r="G44" i="18"/>
  <c r="D50" i="20"/>
  <c r="G50" i="18"/>
  <c r="G25" i="18"/>
  <c r="G15" i="18"/>
  <c r="F32" i="45"/>
  <c r="G15" i="19"/>
  <c r="D15" i="28"/>
  <c r="F17" i="19"/>
  <c r="G43" i="20"/>
  <c r="B48" i="41"/>
  <c r="C25" i="41"/>
  <c r="D25" i="41"/>
  <c r="G18" i="20"/>
  <c r="G29" i="19"/>
  <c r="D29" i="28"/>
  <c r="F41" i="19"/>
  <c r="F19" i="19"/>
  <c r="D42" i="41"/>
  <c r="C42" i="41"/>
  <c r="G40" i="20"/>
  <c r="G39" i="20"/>
  <c r="D38" i="41"/>
  <c r="C38" i="41"/>
  <c r="G21" i="20"/>
  <c r="D24" i="41"/>
  <c r="C24" i="41"/>
  <c r="G45" i="20"/>
  <c r="D24" i="20"/>
  <c r="D48" i="11"/>
  <c r="D48" i="8"/>
  <c r="I23" i="19"/>
  <c r="D28" i="20"/>
  <c r="G29" i="18"/>
  <c r="D26" i="41"/>
  <c r="C26" i="41"/>
  <c r="D50" i="41"/>
  <c r="C50" i="41"/>
  <c r="D27" i="41"/>
  <c r="C27" i="41"/>
  <c r="D21" i="41"/>
  <c r="C21" i="41"/>
  <c r="G50" i="19"/>
  <c r="D50" i="28"/>
  <c r="D16" i="41"/>
  <c r="C16" i="41"/>
  <c r="G51" i="20"/>
  <c r="I31" i="19"/>
  <c r="I40" i="19"/>
  <c r="F42" i="19"/>
  <c r="F20" i="19"/>
  <c r="D20" i="18"/>
  <c r="G51" i="18"/>
  <c r="E28" i="5"/>
  <c r="G30" i="20"/>
  <c r="I16" i="19"/>
  <c r="F13" i="39"/>
  <c r="D13" i="39"/>
  <c r="H13" i="39"/>
  <c r="F45" i="19"/>
  <c r="F24" i="19"/>
  <c r="G13" i="20"/>
  <c r="D18" i="41"/>
  <c r="C18" i="41"/>
  <c r="G22" i="19"/>
  <c r="G36" i="19"/>
  <c r="F46" i="45"/>
  <c r="G37" i="19"/>
  <c r="B13" i="40"/>
  <c r="D13" i="40" s="1"/>
  <c r="J17" i="28"/>
  <c r="G17" i="19"/>
  <c r="G38" i="29"/>
  <c r="G35" i="29"/>
  <c r="J28" i="28"/>
  <c r="D50" i="29"/>
  <c r="J13" i="28"/>
  <c r="G12" i="29"/>
  <c r="G14" i="29"/>
  <c r="J45" i="28"/>
  <c r="G21" i="29"/>
  <c r="G25" i="29"/>
  <c r="D15" i="20"/>
  <c r="G22" i="18"/>
  <c r="G48" i="28"/>
  <c r="F38" i="19"/>
  <c r="B43" i="20"/>
  <c r="B43" i="40"/>
  <c r="D43" i="40" s="1"/>
  <c r="G38" i="20"/>
  <c r="D23" i="41"/>
  <c r="C23" i="41"/>
  <c r="I19" i="19"/>
  <c r="F29" i="19"/>
  <c r="D46" i="41"/>
  <c r="C46" i="41"/>
  <c r="D35" i="41"/>
  <c r="C35" i="41"/>
  <c r="G15" i="20"/>
  <c r="G32" i="20"/>
  <c r="D33" i="41"/>
  <c r="C33" i="41"/>
  <c r="G11" i="18"/>
  <c r="D48" i="26"/>
  <c r="G34" i="20"/>
  <c r="E34" i="5"/>
  <c r="D45" i="18"/>
  <c r="C11" i="41"/>
  <c r="D11" i="41"/>
  <c r="G24" i="18"/>
  <c r="I42" i="19"/>
  <c r="F35" i="19"/>
  <c r="D12" i="20"/>
  <c r="F11" i="19"/>
  <c r="G42" i="20"/>
  <c r="D39" i="18"/>
  <c r="D48" i="27"/>
  <c r="D48" i="76" s="1"/>
  <c r="G24" i="20"/>
  <c r="D21" i="18"/>
  <c r="F41" i="39"/>
  <c r="H41" i="39"/>
  <c r="D41" i="39"/>
  <c r="E46" i="5"/>
  <c r="G27" i="19"/>
  <c r="D27" i="28"/>
  <c r="D20" i="41"/>
  <c r="C20" i="41"/>
  <c r="D41" i="18"/>
  <c r="F36" i="19"/>
  <c r="D39" i="41"/>
  <c r="C39" i="41"/>
  <c r="D19" i="41"/>
  <c r="C19" i="41"/>
  <c r="G22" i="20"/>
  <c r="D14" i="41"/>
  <c r="C14" i="41"/>
  <c r="D51" i="20"/>
  <c r="G48" i="9"/>
  <c r="E13" i="5"/>
  <c r="F18" i="19"/>
  <c r="D17" i="41"/>
  <c r="C17" i="41"/>
  <c r="G50" i="20"/>
  <c r="F37" i="19"/>
  <c r="G11" i="41"/>
  <c r="G12" i="19"/>
  <c r="G35" i="19"/>
  <c r="G14" i="19"/>
  <c r="B13" i="20"/>
  <c r="G28" i="19"/>
  <c r="B48" i="18"/>
  <c r="G34" i="19"/>
  <c r="E45" i="5"/>
  <c r="G34" i="29"/>
  <c r="B23" i="40"/>
  <c r="D23" i="40" s="1"/>
  <c r="D39" i="29"/>
  <c r="D27" i="29"/>
  <c r="G43" i="29"/>
  <c r="J15" i="28"/>
  <c r="D43" i="29"/>
  <c r="G20" i="29"/>
  <c r="G46" i="29"/>
  <c r="G36" i="20"/>
  <c r="D45" i="20"/>
  <c r="D42" i="20"/>
  <c r="E51" i="5"/>
  <c r="G31" i="18"/>
  <c r="J48" i="9"/>
  <c r="G29" i="28"/>
  <c r="G38" i="19"/>
  <c r="D38" i="28"/>
  <c r="F46" i="19"/>
  <c r="G48" i="11"/>
  <c r="C50" i="45"/>
  <c r="G50" i="42" s="1"/>
  <c r="E50" i="45"/>
  <c r="H50" i="42" s="1"/>
  <c r="I50" i="43"/>
  <c r="B50" i="42" s="1"/>
  <c r="C50" i="44"/>
  <c r="C50" i="42" s="1"/>
  <c r="E50" i="44"/>
  <c r="D50" i="42" s="1"/>
  <c r="F21" i="19"/>
  <c r="D46" i="18"/>
  <c r="G12" i="18"/>
  <c r="D15" i="41"/>
  <c r="C15" i="41"/>
  <c r="I11" i="19"/>
  <c r="D44" i="41"/>
  <c r="C44" i="41"/>
  <c r="F30" i="19"/>
  <c r="G20" i="20"/>
  <c r="G16" i="20"/>
  <c r="D43" i="41"/>
  <c r="C43" i="41"/>
  <c r="D25" i="18"/>
  <c r="G48" i="8"/>
  <c r="F50" i="19"/>
  <c r="F25" i="45"/>
  <c r="D34" i="41"/>
  <c r="C34" i="41"/>
  <c r="G26" i="20"/>
  <c r="D31" i="18"/>
  <c r="F46" i="39"/>
  <c r="D46" i="39"/>
  <c r="H46" i="39"/>
  <c r="F32" i="19"/>
  <c r="B50" i="76"/>
  <c r="D50" i="27"/>
  <c r="D50" i="76" s="1"/>
  <c r="G17" i="20"/>
  <c r="D37" i="41"/>
  <c r="C37" i="41"/>
  <c r="I41" i="19"/>
  <c r="G51" i="19"/>
  <c r="D51" i="28"/>
  <c r="F33" i="19"/>
  <c r="G29" i="20"/>
  <c r="G35" i="20"/>
  <c r="D31" i="41"/>
  <c r="C31" i="41"/>
  <c r="G44" i="19"/>
  <c r="G26" i="19"/>
  <c r="G13" i="19"/>
  <c r="B48" i="76"/>
  <c r="I51" i="45"/>
  <c r="E40" i="5"/>
  <c r="G32" i="19"/>
  <c r="B23" i="20"/>
  <c r="B43" i="85"/>
  <c r="E43" i="85" s="1"/>
  <c r="B24" i="85"/>
  <c r="E24" i="85" s="1"/>
  <c r="B29" i="85"/>
  <c r="E29" i="85" s="1"/>
  <c r="F48" i="41" l="1"/>
  <c r="G48" i="41" s="1"/>
  <c r="E48" i="18"/>
  <c r="G48" i="18" s="1"/>
  <c r="D48" i="39"/>
  <c r="F48" i="39"/>
  <c r="B48" i="40"/>
  <c r="D48" i="40" s="1"/>
  <c r="E48" i="5"/>
  <c r="G48" i="20"/>
  <c r="G24" i="85"/>
  <c r="K24" i="85"/>
  <c r="B26" i="85"/>
  <c r="E26" i="85" s="1"/>
  <c r="I51" i="19"/>
  <c r="I38" i="19"/>
  <c r="I34" i="19"/>
  <c r="I28" i="19"/>
  <c r="D13" i="20"/>
  <c r="I14" i="19"/>
  <c r="I27" i="19"/>
  <c r="D43" i="20"/>
  <c r="I17" i="19"/>
  <c r="I37" i="19"/>
  <c r="I36" i="19"/>
  <c r="I50" i="19"/>
  <c r="I15" i="19"/>
  <c r="G13" i="18"/>
  <c r="B21" i="85"/>
  <c r="E21" i="85" s="1"/>
  <c r="B45" i="85"/>
  <c r="E45" i="85" s="1"/>
  <c r="B34" i="85"/>
  <c r="E34" i="85" s="1"/>
  <c r="G43" i="85"/>
  <c r="K43" i="85"/>
  <c r="D23" i="20"/>
  <c r="I13" i="19"/>
  <c r="I26" i="19"/>
  <c r="J48" i="28"/>
  <c r="I12" i="19"/>
  <c r="I46" i="19"/>
  <c r="G45" i="18"/>
  <c r="B22" i="85"/>
  <c r="E22" i="85" s="1"/>
  <c r="B14" i="85"/>
  <c r="E14" i="85" s="1"/>
  <c r="I32" i="19"/>
  <c r="I51" i="43"/>
  <c r="B51" i="42" s="1"/>
  <c r="C51" i="44"/>
  <c r="C51" i="42" s="1"/>
  <c r="E51" i="45"/>
  <c r="H51" i="42" s="1"/>
  <c r="C51" i="45"/>
  <c r="G51" i="42" s="1"/>
  <c r="E51" i="44"/>
  <c r="D51" i="42" s="1"/>
  <c r="G51" i="44"/>
  <c r="E51" i="42" s="1"/>
  <c r="I51" i="44"/>
  <c r="F51" i="42" s="1"/>
  <c r="D48" i="41"/>
  <c r="C48" i="41"/>
  <c r="G19" i="20"/>
  <c r="I33" i="19"/>
  <c r="F48" i="19"/>
  <c r="I25" i="19"/>
  <c r="F48" i="45"/>
  <c r="G51" i="45"/>
  <c r="G29" i="85"/>
  <c r="K29" i="85"/>
  <c r="B46" i="85"/>
  <c r="E46" i="85" s="1"/>
  <c r="B17" i="85"/>
  <c r="E17" i="85" s="1"/>
  <c r="G48" i="29"/>
  <c r="D48" i="29"/>
  <c r="I44" i="19"/>
  <c r="D48" i="18"/>
  <c r="I35" i="19"/>
  <c r="D48" i="28"/>
  <c r="I22" i="19"/>
  <c r="I29" i="19"/>
  <c r="J48" i="11"/>
  <c r="D48" i="10"/>
  <c r="G48" i="19"/>
  <c r="J50" i="42"/>
  <c r="B48" i="20"/>
  <c r="B31" i="85" l="1"/>
  <c r="E31" i="85" s="1"/>
  <c r="I48" i="19"/>
  <c r="B38" i="85"/>
  <c r="E38" i="85" s="1"/>
  <c r="B42" i="85"/>
  <c r="E42" i="85" s="1"/>
  <c r="G14" i="85"/>
  <c r="K14" i="85"/>
  <c r="G22" i="85"/>
  <c r="K22" i="85"/>
  <c r="K45" i="85"/>
  <c r="G45" i="85"/>
  <c r="B23" i="85"/>
  <c r="E23" i="85" s="1"/>
  <c r="G46" i="85"/>
  <c r="K46" i="85"/>
  <c r="B27" i="85"/>
  <c r="E27" i="85" s="1"/>
  <c r="B40" i="85"/>
  <c r="E40" i="85" s="1"/>
  <c r="B19" i="85"/>
  <c r="E19" i="85" s="1"/>
  <c r="B48" i="85"/>
  <c r="E48" i="85" s="1"/>
  <c r="G34" i="85"/>
  <c r="K34" i="85"/>
  <c r="G21" i="85"/>
  <c r="K21" i="85"/>
  <c r="G26" i="85"/>
  <c r="K26" i="85"/>
  <c r="J51" i="42"/>
  <c r="B37" i="85"/>
  <c r="E37" i="85" s="1"/>
  <c r="D48" i="20"/>
  <c r="B52" i="20"/>
  <c r="B53" i="20"/>
  <c r="G17" i="85"/>
  <c r="K17" i="85"/>
  <c r="B32" i="85"/>
  <c r="E32" i="85" s="1"/>
  <c r="B28" i="85"/>
  <c r="E28" i="85" s="1"/>
  <c r="B47" i="85"/>
  <c r="E47" i="85" s="1"/>
  <c r="B33" i="85"/>
  <c r="E33" i="85" s="1"/>
  <c r="B41" i="85"/>
  <c r="E41" i="85" s="1"/>
  <c r="B18" i="85"/>
  <c r="E18" i="85" s="1"/>
  <c r="G18" i="85" l="1"/>
  <c r="K18" i="85"/>
  <c r="G41" i="85"/>
  <c r="K41" i="85"/>
  <c r="G47" i="85"/>
  <c r="K47" i="85"/>
  <c r="G32" i="85"/>
  <c r="K32" i="85"/>
  <c r="B35" i="85"/>
  <c r="E35" i="85" s="1"/>
  <c r="G48" i="85"/>
  <c r="K48" i="85"/>
  <c r="G23" i="85"/>
  <c r="K23" i="85"/>
  <c r="G31" i="85"/>
  <c r="K31" i="85"/>
  <c r="G40" i="85"/>
  <c r="K40" i="85"/>
  <c r="G42" i="85"/>
  <c r="K42" i="85"/>
  <c r="B39" i="85"/>
  <c r="E39" i="85" s="1"/>
  <c r="G28" i="85"/>
  <c r="K28" i="85"/>
  <c r="B15" i="85"/>
  <c r="E15" i="85" s="1"/>
  <c r="G33" i="85"/>
  <c r="K33" i="85"/>
  <c r="G37" i="85"/>
  <c r="K37" i="85"/>
  <c r="G27" i="85"/>
  <c r="K27" i="85"/>
  <c r="B36" i="85"/>
  <c r="E36" i="85" s="1"/>
  <c r="B30" i="85"/>
  <c r="E30" i="85" s="1"/>
  <c r="G19" i="85"/>
  <c r="K19" i="85"/>
  <c r="B25" i="85"/>
  <c r="E25" i="85" s="1"/>
  <c r="G38" i="85"/>
  <c r="K38" i="85"/>
  <c r="B44" i="85"/>
  <c r="E44" i="85" s="1"/>
  <c r="B48" i="5"/>
  <c r="B13" i="85"/>
  <c r="V11" i="2" l="1"/>
  <c r="G15" i="85"/>
  <c r="K15" i="85"/>
  <c r="B50" i="85"/>
  <c r="E13" i="85"/>
  <c r="G44" i="85"/>
  <c r="K44" i="85"/>
  <c r="K25" i="85"/>
  <c r="G25" i="85"/>
  <c r="K30" i="85"/>
  <c r="G30" i="85"/>
  <c r="G36" i="85"/>
  <c r="K36" i="85"/>
  <c r="G39" i="85"/>
  <c r="K39" i="85"/>
  <c r="G35" i="85"/>
  <c r="K35" i="85"/>
  <c r="G13" i="85" l="1"/>
  <c r="K13" i="85"/>
  <c r="E50" i="85"/>
  <c r="G50" i="85" l="1"/>
  <c r="K50" i="85"/>
  <c r="F35" i="52" l="1"/>
  <c r="B35" i="43" s="1"/>
  <c r="F35" i="43" s="1"/>
  <c r="H35" i="43" s="1"/>
  <c r="F15" i="52"/>
  <c r="B15" i="43" s="1"/>
  <c r="F15" i="43" s="1"/>
  <c r="H15" i="43" s="1"/>
  <c r="F20" i="52"/>
  <c r="B20" i="43" s="1"/>
  <c r="F20" i="43" s="1"/>
  <c r="H20" i="43" s="1"/>
  <c r="F28" i="52"/>
  <c r="B28" i="43" s="1"/>
  <c r="F28" i="43" s="1"/>
  <c r="H28" i="43" s="1"/>
  <c r="F13" i="52"/>
  <c r="B13" i="43" s="1"/>
  <c r="F13" i="43" s="1"/>
  <c r="H13" i="43" s="1"/>
  <c r="F41" i="52"/>
  <c r="B41" i="43" s="1"/>
  <c r="F41" i="43" s="1"/>
  <c r="H41" i="43" s="1"/>
  <c r="F40" i="52"/>
  <c r="B40" i="43" s="1"/>
  <c r="F40" i="43" s="1"/>
  <c r="H40" i="43" s="1"/>
  <c r="F19" i="52"/>
  <c r="B19" i="43" s="1"/>
  <c r="F19" i="43" s="1"/>
  <c r="H19" i="43" s="1"/>
  <c r="F42" i="52"/>
  <c r="B42" i="43" s="1"/>
  <c r="F42" i="43" s="1"/>
  <c r="H42" i="43" s="1"/>
  <c r="F21" i="52"/>
  <c r="B21" i="43" s="1"/>
  <c r="F21" i="43" s="1"/>
  <c r="H21" i="43" s="1"/>
  <c r="F39" i="52"/>
  <c r="B39" i="43" s="1"/>
  <c r="F39" i="43" s="1"/>
  <c r="H39" i="43" s="1"/>
  <c r="F44" i="52"/>
  <c r="B44" i="43" s="1"/>
  <c r="F44" i="43" s="1"/>
  <c r="H44" i="43" s="1"/>
  <c r="F26" i="52"/>
  <c r="B26" i="43" s="1"/>
  <c r="F26" i="43" s="1"/>
  <c r="H26" i="43" s="1"/>
  <c r="F22" i="52"/>
  <c r="B22" i="43" s="1"/>
  <c r="F22" i="43" s="1"/>
  <c r="H22" i="43" s="1"/>
  <c r="F43" i="52"/>
  <c r="B43" i="43" s="1"/>
  <c r="F43" i="43" s="1"/>
  <c r="H43" i="43" s="1"/>
  <c r="F14" i="52"/>
  <c r="B14" i="43" s="1"/>
  <c r="F14" i="43" s="1"/>
  <c r="H14" i="43" s="1"/>
  <c r="F31" i="52"/>
  <c r="B31" i="43" s="1"/>
  <c r="F31" i="43" s="1"/>
  <c r="H31" i="43" s="1"/>
  <c r="F24" i="52"/>
  <c r="B24" i="43" s="1"/>
  <c r="F24" i="43" s="1"/>
  <c r="H24" i="43" s="1"/>
  <c r="F27" i="52"/>
  <c r="B27" i="43" s="1"/>
  <c r="F27" i="43" s="1"/>
  <c r="H27" i="43" s="1"/>
  <c r="F12" i="52"/>
  <c r="B12" i="43" s="1"/>
  <c r="F12" i="43" s="1"/>
  <c r="H12" i="43" s="1"/>
  <c r="F18" i="52"/>
  <c r="B18" i="43" s="1"/>
  <c r="F18" i="43" s="1"/>
  <c r="H18" i="43" s="1"/>
  <c r="F30" i="52"/>
  <c r="B30" i="43" s="1"/>
  <c r="F30" i="43" s="1"/>
  <c r="H30" i="43" s="1"/>
  <c r="F36" i="52"/>
  <c r="B36" i="43" s="1"/>
  <c r="F36" i="43" s="1"/>
  <c r="H36" i="43" s="1"/>
  <c r="F38" i="52"/>
  <c r="B38" i="43" s="1"/>
  <c r="F38" i="43" s="1"/>
  <c r="H38" i="43" s="1"/>
  <c r="F37" i="52"/>
  <c r="B37" i="43" s="1"/>
  <c r="F37" i="43" s="1"/>
  <c r="H37" i="43" s="1"/>
  <c r="F17" i="52"/>
  <c r="B17" i="43" s="1"/>
  <c r="F17" i="43" s="1"/>
  <c r="H17" i="43" s="1"/>
  <c r="F33" i="52"/>
  <c r="B33" i="43" s="1"/>
  <c r="F33" i="43" s="1"/>
  <c r="H33" i="43" s="1"/>
  <c r="F29" i="52"/>
  <c r="B29" i="43" s="1"/>
  <c r="F29" i="43" s="1"/>
  <c r="H29" i="43" s="1"/>
  <c r="F23" i="52"/>
  <c r="B23" i="43" s="1"/>
  <c r="F23" i="43" s="1"/>
  <c r="H23" i="43" s="1"/>
  <c r="F16" i="52"/>
  <c r="B16" i="43" s="1"/>
  <c r="F16" i="43" s="1"/>
  <c r="H16" i="43" s="1"/>
  <c r="F45" i="52"/>
  <c r="B45" i="43" s="1"/>
  <c r="F45" i="43" s="1"/>
  <c r="H45" i="43" s="1"/>
  <c r="F34" i="52"/>
  <c r="B34" i="43" s="1"/>
  <c r="F34" i="43" s="1"/>
  <c r="H34" i="43" s="1"/>
  <c r="F25" i="52"/>
  <c r="B25" i="43" s="1"/>
  <c r="F25" i="43" s="1"/>
  <c r="H25" i="43" s="1"/>
  <c r="F32" i="52"/>
  <c r="B32" i="43" s="1"/>
  <c r="F32" i="43" s="1"/>
  <c r="H32" i="43" s="1"/>
  <c r="F46" i="52"/>
  <c r="B46" i="43" s="1"/>
  <c r="F46" i="43" s="1"/>
  <c r="H46" i="43" s="1"/>
  <c r="F11" i="52"/>
  <c r="F48" i="52" l="1"/>
  <c r="B11" i="43"/>
  <c r="I45" i="45"/>
  <c r="I22" i="45"/>
  <c r="I22" i="43" s="1"/>
  <c r="B22" i="42" s="1"/>
  <c r="I21" i="45"/>
  <c r="I21" i="43" s="1"/>
  <c r="B21" i="42" s="1"/>
  <c r="I23" i="45"/>
  <c r="I23" i="43" s="1"/>
  <c r="B23" i="42" s="1"/>
  <c r="I43" i="45"/>
  <c r="I43" i="43" s="1"/>
  <c r="B43" i="42" s="1"/>
  <c r="I39" i="45"/>
  <c r="I46" i="45"/>
  <c r="I46" i="43" s="1"/>
  <c r="B46" i="42" s="1"/>
  <c r="I25" i="45"/>
  <c r="I25" i="43" s="1"/>
  <c r="B25" i="42" s="1"/>
  <c r="I29" i="45"/>
  <c r="I37" i="45"/>
  <c r="I37" i="43" s="1"/>
  <c r="B37" i="42" s="1"/>
  <c r="I18" i="45"/>
  <c r="I18" i="43" s="1"/>
  <c r="B18" i="42" s="1"/>
  <c r="I31" i="45"/>
  <c r="I31" i="43" s="1"/>
  <c r="B31" i="42" s="1"/>
  <c r="I26" i="45"/>
  <c r="I26" i="43" s="1"/>
  <c r="B26" i="42" s="1"/>
  <c r="I42" i="45"/>
  <c r="I42" i="43" s="1"/>
  <c r="B42" i="42" s="1"/>
  <c r="I13" i="45"/>
  <c r="I13" i="43" s="1"/>
  <c r="B13" i="42" s="1"/>
  <c r="I35" i="45"/>
  <c r="I35" i="43" s="1"/>
  <c r="B35" i="42" s="1"/>
  <c r="I17" i="45"/>
  <c r="I41" i="45"/>
  <c r="I41" i="43" s="1"/>
  <c r="B41" i="42" s="1"/>
  <c r="I32" i="45"/>
  <c r="I32" i="43" s="1"/>
  <c r="B32" i="42" s="1"/>
  <c r="I36" i="45"/>
  <c r="I36" i="43" s="1"/>
  <c r="B36" i="42" s="1"/>
  <c r="I20" i="45"/>
  <c r="I19" i="45"/>
  <c r="I19" i="43" s="1"/>
  <c r="B19" i="42" s="1"/>
  <c r="I30" i="45"/>
  <c r="I30" i="43" s="1"/>
  <c r="B30" i="42" s="1"/>
  <c r="I15" i="45"/>
  <c r="I15" i="43" s="1"/>
  <c r="B15" i="42" s="1"/>
  <c r="I34" i="45"/>
  <c r="I34" i="43" s="1"/>
  <c r="B34" i="42" s="1"/>
  <c r="I27" i="45"/>
  <c r="I27" i="43" s="1"/>
  <c r="B27" i="42" s="1"/>
  <c r="I40" i="45"/>
  <c r="I40" i="43" s="1"/>
  <c r="B40" i="42" s="1"/>
  <c r="I16" i="45"/>
  <c r="I16" i="43" s="1"/>
  <c r="B16" i="42" s="1"/>
  <c r="I33" i="45"/>
  <c r="I33" i="43" s="1"/>
  <c r="B33" i="42" s="1"/>
  <c r="I38" i="45"/>
  <c r="I38" i="43" s="1"/>
  <c r="B38" i="42" s="1"/>
  <c r="I12" i="45"/>
  <c r="I12" i="43" s="1"/>
  <c r="B12" i="42" s="1"/>
  <c r="I14" i="45"/>
  <c r="I14" i="43" s="1"/>
  <c r="B14" i="42" s="1"/>
  <c r="I44" i="45"/>
  <c r="I44" i="43" s="1"/>
  <c r="B44" i="42" s="1"/>
  <c r="I28" i="45"/>
  <c r="I28" i="43" s="1"/>
  <c r="B28" i="42" s="1"/>
  <c r="I24" i="45"/>
  <c r="I24" i="43" s="1"/>
  <c r="B24" i="42" s="1"/>
  <c r="G39" i="44" l="1"/>
  <c r="E39" i="42" s="1"/>
  <c r="I39" i="44"/>
  <c r="F39" i="42" s="1"/>
  <c r="C39" i="45"/>
  <c r="G39" i="42" s="1"/>
  <c r="E39" i="44"/>
  <c r="D39" i="42" s="1"/>
  <c r="C39" i="44"/>
  <c r="C39" i="42" s="1"/>
  <c r="G39" i="45"/>
  <c r="E39" i="45"/>
  <c r="H39" i="42" s="1"/>
  <c r="B48" i="43"/>
  <c r="F11" i="43"/>
  <c r="G29" i="45"/>
  <c r="I29" i="44"/>
  <c r="F29" i="42" s="1"/>
  <c r="E29" i="44"/>
  <c r="D29" i="42" s="1"/>
  <c r="C29" i="44"/>
  <c r="C29" i="42" s="1"/>
  <c r="C29" i="45"/>
  <c r="G29" i="42" s="1"/>
  <c r="E29" i="45"/>
  <c r="H29" i="42" s="1"/>
  <c r="G29" i="44"/>
  <c r="E29" i="42" s="1"/>
  <c r="C44" i="44"/>
  <c r="C44" i="42" s="1"/>
  <c r="G44" i="44"/>
  <c r="E44" i="42" s="1"/>
  <c r="C44" i="45"/>
  <c r="G44" i="42" s="1"/>
  <c r="I44" i="44"/>
  <c r="F44" i="42" s="1"/>
  <c r="E44" i="45"/>
  <c r="H44" i="42" s="1"/>
  <c r="E44" i="44"/>
  <c r="D44" i="42" s="1"/>
  <c r="G44" i="45"/>
  <c r="G12" i="45"/>
  <c r="I12" i="44"/>
  <c r="F12" i="42" s="1"/>
  <c r="G12" i="44"/>
  <c r="E12" i="42" s="1"/>
  <c r="C12" i="44"/>
  <c r="C12" i="42" s="1"/>
  <c r="C12" i="45"/>
  <c r="G12" i="42" s="1"/>
  <c r="E12" i="45"/>
  <c r="H12" i="42" s="1"/>
  <c r="E12" i="44"/>
  <c r="D12" i="42" s="1"/>
  <c r="G40" i="45"/>
  <c r="E40" i="44"/>
  <c r="D40" i="42" s="1"/>
  <c r="G40" i="44"/>
  <c r="E40" i="42" s="1"/>
  <c r="I40" i="44"/>
  <c r="F40" i="42" s="1"/>
  <c r="C40" i="45"/>
  <c r="G40" i="42" s="1"/>
  <c r="C40" i="44"/>
  <c r="C40" i="42" s="1"/>
  <c r="E40" i="45"/>
  <c r="H40" i="42" s="1"/>
  <c r="I30" i="44"/>
  <c r="F30" i="42" s="1"/>
  <c r="G30" i="44"/>
  <c r="E30" i="42" s="1"/>
  <c r="C30" i="44"/>
  <c r="C30" i="42" s="1"/>
  <c r="E30" i="45"/>
  <c r="H30" i="42" s="1"/>
  <c r="E30" i="44"/>
  <c r="D30" i="42" s="1"/>
  <c r="C30" i="45"/>
  <c r="G30" i="42" s="1"/>
  <c r="G30" i="45"/>
  <c r="G32" i="45"/>
  <c r="E32" i="44"/>
  <c r="D32" i="42" s="1"/>
  <c r="G32" i="44"/>
  <c r="E32" i="42" s="1"/>
  <c r="I32" i="44"/>
  <c r="F32" i="42" s="1"/>
  <c r="C32" i="45"/>
  <c r="G32" i="42" s="1"/>
  <c r="C32" i="44"/>
  <c r="C32" i="42" s="1"/>
  <c r="E32" i="45"/>
  <c r="H32" i="42" s="1"/>
  <c r="E13" i="45"/>
  <c r="H13" i="42" s="1"/>
  <c r="G13" i="44"/>
  <c r="E13" i="42" s="1"/>
  <c r="E13" i="44"/>
  <c r="D13" i="42" s="1"/>
  <c r="I13" i="44"/>
  <c r="F13" i="42" s="1"/>
  <c r="C13" i="45"/>
  <c r="G13" i="42" s="1"/>
  <c r="C13" i="44"/>
  <c r="C13" i="42" s="1"/>
  <c r="G13" i="45"/>
  <c r="C26" i="45"/>
  <c r="G26" i="42" s="1"/>
  <c r="I26" i="44"/>
  <c r="F26" i="42" s="1"/>
  <c r="G26" i="45"/>
  <c r="E26" i="45"/>
  <c r="H26" i="42" s="1"/>
  <c r="C26" i="44"/>
  <c r="C26" i="42" s="1"/>
  <c r="G26" i="44"/>
  <c r="E26" i="42" s="1"/>
  <c r="E26" i="44"/>
  <c r="D26" i="42" s="1"/>
  <c r="G46" i="45"/>
  <c r="G46" i="44"/>
  <c r="E46" i="42" s="1"/>
  <c r="C46" i="45"/>
  <c r="G46" i="42" s="1"/>
  <c r="E46" i="44"/>
  <c r="D46" i="42" s="1"/>
  <c r="E46" i="45"/>
  <c r="H46" i="42" s="1"/>
  <c r="I46" i="44"/>
  <c r="F46" i="42" s="1"/>
  <c r="C46" i="44"/>
  <c r="C46" i="42" s="1"/>
  <c r="G43" i="45"/>
  <c r="E43" i="44"/>
  <c r="D43" i="42" s="1"/>
  <c r="C43" i="44"/>
  <c r="C43" i="42" s="1"/>
  <c r="I43" i="44"/>
  <c r="F43" i="42" s="1"/>
  <c r="E43" i="45"/>
  <c r="H43" i="42" s="1"/>
  <c r="C43" i="45"/>
  <c r="G43" i="42" s="1"/>
  <c r="G43" i="44"/>
  <c r="E43" i="42" s="1"/>
  <c r="G14" i="45"/>
  <c r="C14" i="45"/>
  <c r="G14" i="42" s="1"/>
  <c r="C14" i="44"/>
  <c r="C14" i="42" s="1"/>
  <c r="I14" i="44"/>
  <c r="F14" i="42" s="1"/>
  <c r="G14" i="44"/>
  <c r="E14" i="42" s="1"/>
  <c r="E14" i="44"/>
  <c r="D14" i="42" s="1"/>
  <c r="E14" i="45"/>
  <c r="H14" i="42" s="1"/>
  <c r="E38" i="45"/>
  <c r="H38" i="42" s="1"/>
  <c r="C38" i="44"/>
  <c r="C38" i="42" s="1"/>
  <c r="E38" i="44"/>
  <c r="D38" i="42" s="1"/>
  <c r="C38" i="45"/>
  <c r="G38" i="42" s="1"/>
  <c r="G38" i="44"/>
  <c r="E38" i="42" s="1"/>
  <c r="I38" i="44"/>
  <c r="F38" i="42" s="1"/>
  <c r="G38" i="45"/>
  <c r="C27" i="44"/>
  <c r="C27" i="42" s="1"/>
  <c r="C27" i="45"/>
  <c r="G27" i="42" s="1"/>
  <c r="G27" i="44"/>
  <c r="E27" i="42" s="1"/>
  <c r="G27" i="45"/>
  <c r="I27" i="44"/>
  <c r="F27" i="42" s="1"/>
  <c r="E27" i="45"/>
  <c r="H27" i="42" s="1"/>
  <c r="E27" i="44"/>
  <c r="D27" i="42" s="1"/>
  <c r="E19" i="44"/>
  <c r="D19" i="42" s="1"/>
  <c r="I19" i="44"/>
  <c r="F19" i="42" s="1"/>
  <c r="C19" i="45"/>
  <c r="G19" i="42" s="1"/>
  <c r="G19" i="44"/>
  <c r="E19" i="42" s="1"/>
  <c r="C19" i="44"/>
  <c r="C19" i="42" s="1"/>
  <c r="E19" i="45"/>
  <c r="H19" i="42" s="1"/>
  <c r="G19" i="45"/>
  <c r="G36" i="44"/>
  <c r="E36" i="42" s="1"/>
  <c r="C36" i="44"/>
  <c r="C36" i="42" s="1"/>
  <c r="E36" i="45"/>
  <c r="H36" i="42" s="1"/>
  <c r="C36" i="45"/>
  <c r="G36" i="42" s="1"/>
  <c r="E36" i="44"/>
  <c r="D36" i="42" s="1"/>
  <c r="I36" i="44"/>
  <c r="F36" i="42" s="1"/>
  <c r="G36" i="45"/>
  <c r="C35" i="44"/>
  <c r="C35" i="42" s="1"/>
  <c r="I35" i="44"/>
  <c r="F35" i="42" s="1"/>
  <c r="G35" i="45"/>
  <c r="E35" i="45"/>
  <c r="H35" i="42" s="1"/>
  <c r="E35" i="44"/>
  <c r="D35" i="42" s="1"/>
  <c r="C35" i="45"/>
  <c r="G35" i="42" s="1"/>
  <c r="G35" i="44"/>
  <c r="E35" i="42" s="1"/>
  <c r="I31" i="44"/>
  <c r="F31" i="42" s="1"/>
  <c r="E31" i="44"/>
  <c r="D31" i="42" s="1"/>
  <c r="G31" i="44"/>
  <c r="E31" i="42" s="1"/>
  <c r="G31" i="45"/>
  <c r="E31" i="45"/>
  <c r="H31" i="42" s="1"/>
  <c r="C31" i="44"/>
  <c r="C31" i="42" s="1"/>
  <c r="C31" i="45"/>
  <c r="G31" i="42" s="1"/>
  <c r="C37" i="45"/>
  <c r="G37" i="42" s="1"/>
  <c r="G37" i="44"/>
  <c r="E37" i="42" s="1"/>
  <c r="G37" i="45"/>
  <c r="E37" i="44"/>
  <c r="D37" i="42" s="1"/>
  <c r="I37" i="44"/>
  <c r="F37" i="42" s="1"/>
  <c r="C37" i="44"/>
  <c r="C37" i="42" s="1"/>
  <c r="E37" i="45"/>
  <c r="H37" i="42" s="1"/>
  <c r="I39" i="43"/>
  <c r="B39" i="42" s="1"/>
  <c r="G15" i="45"/>
  <c r="C15" i="45"/>
  <c r="G15" i="42" s="1"/>
  <c r="C15" i="44"/>
  <c r="C15" i="42" s="1"/>
  <c r="G15" i="44"/>
  <c r="E15" i="42" s="1"/>
  <c r="I15" i="44"/>
  <c r="F15" i="42" s="1"/>
  <c r="E15" i="45"/>
  <c r="H15" i="42" s="1"/>
  <c r="E15" i="44"/>
  <c r="D15" i="42" s="1"/>
  <c r="G41" i="45"/>
  <c r="E41" i="44"/>
  <c r="D41" i="42" s="1"/>
  <c r="E41" i="45"/>
  <c r="H41" i="42" s="1"/>
  <c r="C41" i="44"/>
  <c r="C41" i="42" s="1"/>
  <c r="I41" i="44"/>
  <c r="F41" i="42" s="1"/>
  <c r="C41" i="45"/>
  <c r="G41" i="42" s="1"/>
  <c r="G41" i="44"/>
  <c r="E41" i="42" s="1"/>
  <c r="E23" i="44"/>
  <c r="D23" i="42" s="1"/>
  <c r="I23" i="44"/>
  <c r="F23" i="42" s="1"/>
  <c r="C23" i="45"/>
  <c r="G23" i="42" s="1"/>
  <c r="G23" i="44"/>
  <c r="E23" i="42" s="1"/>
  <c r="E23" i="45"/>
  <c r="H23" i="42" s="1"/>
  <c r="C23" i="44"/>
  <c r="C23" i="42" s="1"/>
  <c r="G23" i="45"/>
  <c r="G24" i="45"/>
  <c r="G24" i="44"/>
  <c r="E24" i="42" s="1"/>
  <c r="E24" i="44"/>
  <c r="D24" i="42" s="1"/>
  <c r="E24" i="45"/>
  <c r="H24" i="42" s="1"/>
  <c r="C24" i="45"/>
  <c r="G24" i="42" s="1"/>
  <c r="C24" i="44"/>
  <c r="C24" i="42" s="1"/>
  <c r="I24" i="44"/>
  <c r="F24" i="42" s="1"/>
  <c r="I20" i="44"/>
  <c r="F20" i="42" s="1"/>
  <c r="C20" i="45"/>
  <c r="G20" i="42" s="1"/>
  <c r="C20" i="44"/>
  <c r="C20" i="42" s="1"/>
  <c r="E20" i="44"/>
  <c r="D20" i="42" s="1"/>
  <c r="G20" i="45"/>
  <c r="E20" i="45"/>
  <c r="H20" i="42" s="1"/>
  <c r="G20" i="44"/>
  <c r="E20" i="42" s="1"/>
  <c r="G17" i="45"/>
  <c r="C17" i="45"/>
  <c r="G17" i="42" s="1"/>
  <c r="G17" i="44"/>
  <c r="E17" i="42" s="1"/>
  <c r="C17" i="44"/>
  <c r="C17" i="42" s="1"/>
  <c r="E17" i="44"/>
  <c r="D17" i="42" s="1"/>
  <c r="E17" i="45"/>
  <c r="H17" i="42" s="1"/>
  <c r="I17" i="44"/>
  <c r="F17" i="42" s="1"/>
  <c r="G18" i="44"/>
  <c r="E18" i="42" s="1"/>
  <c r="I18" i="44"/>
  <c r="F18" i="42" s="1"/>
  <c r="G18" i="45"/>
  <c r="C18" i="45"/>
  <c r="G18" i="42" s="1"/>
  <c r="E18" i="45"/>
  <c r="H18" i="42" s="1"/>
  <c r="E18" i="44"/>
  <c r="D18" i="42" s="1"/>
  <c r="C18" i="44"/>
  <c r="C18" i="42" s="1"/>
  <c r="C21" i="44"/>
  <c r="C21" i="42" s="1"/>
  <c r="G21" i="44"/>
  <c r="E21" i="42" s="1"/>
  <c r="C21" i="45"/>
  <c r="G21" i="42" s="1"/>
  <c r="I21" i="44"/>
  <c r="F21" i="42" s="1"/>
  <c r="E21" i="45"/>
  <c r="H21" i="42" s="1"/>
  <c r="E21" i="44"/>
  <c r="D21" i="42" s="1"/>
  <c r="G21" i="45"/>
  <c r="G45" i="45"/>
  <c r="C45" i="44"/>
  <c r="C45" i="42" s="1"/>
  <c r="E45" i="44"/>
  <c r="D45" i="42" s="1"/>
  <c r="G45" i="44"/>
  <c r="E45" i="42" s="1"/>
  <c r="E45" i="45"/>
  <c r="H45" i="42" s="1"/>
  <c r="C45" i="45"/>
  <c r="G45" i="42" s="1"/>
  <c r="I45" i="44"/>
  <c r="F45" i="42" s="1"/>
  <c r="E28" i="45"/>
  <c r="H28" i="42" s="1"/>
  <c r="C28" i="45"/>
  <c r="G28" i="42" s="1"/>
  <c r="I28" i="44"/>
  <c r="F28" i="42" s="1"/>
  <c r="G28" i="45"/>
  <c r="G28" i="44"/>
  <c r="E28" i="42" s="1"/>
  <c r="C28" i="44"/>
  <c r="C28" i="42" s="1"/>
  <c r="E28" i="44"/>
  <c r="D28" i="42" s="1"/>
  <c r="G16" i="45"/>
  <c r="G16" i="44"/>
  <c r="E16" i="42" s="1"/>
  <c r="I16" i="44"/>
  <c r="F16" i="42" s="1"/>
  <c r="E16" i="44"/>
  <c r="D16" i="42" s="1"/>
  <c r="E16" i="45"/>
  <c r="H16" i="42" s="1"/>
  <c r="C16" i="44"/>
  <c r="C16" i="42" s="1"/>
  <c r="C16" i="45"/>
  <c r="G16" i="42" s="1"/>
  <c r="C42" i="45"/>
  <c r="G42" i="42" s="1"/>
  <c r="G42" i="44"/>
  <c r="E42" i="42" s="1"/>
  <c r="E42" i="44"/>
  <c r="D42" i="42" s="1"/>
  <c r="C42" i="44"/>
  <c r="C42" i="42" s="1"/>
  <c r="I42" i="44"/>
  <c r="F42" i="42" s="1"/>
  <c r="E42" i="45"/>
  <c r="H42" i="42" s="1"/>
  <c r="G42" i="45"/>
  <c r="C25" i="44"/>
  <c r="C25" i="42" s="1"/>
  <c r="G25" i="45"/>
  <c r="I25" i="44"/>
  <c r="F25" i="42" s="1"/>
  <c r="G25" i="44"/>
  <c r="E25" i="42" s="1"/>
  <c r="C25" i="45"/>
  <c r="G25" i="42" s="1"/>
  <c r="E25" i="44"/>
  <c r="D25" i="42" s="1"/>
  <c r="E25" i="45"/>
  <c r="H25" i="42" s="1"/>
  <c r="E22" i="45"/>
  <c r="H22" i="42" s="1"/>
  <c r="C22" i="44"/>
  <c r="C22" i="42" s="1"/>
  <c r="C22" i="45"/>
  <c r="G22" i="42" s="1"/>
  <c r="G22" i="44"/>
  <c r="E22" i="42" s="1"/>
  <c r="E22" i="44"/>
  <c r="D22" i="42" s="1"/>
  <c r="I22" i="44"/>
  <c r="F22" i="42" s="1"/>
  <c r="G22" i="45"/>
  <c r="C33" i="44"/>
  <c r="C33" i="42" s="1"/>
  <c r="E33" i="45"/>
  <c r="H33" i="42" s="1"/>
  <c r="G33" i="45"/>
  <c r="G33" i="44"/>
  <c r="E33" i="42" s="1"/>
  <c r="E33" i="44"/>
  <c r="D33" i="42" s="1"/>
  <c r="I33" i="44"/>
  <c r="F33" i="42" s="1"/>
  <c r="C33" i="45"/>
  <c r="G33" i="42" s="1"/>
  <c r="G34" i="45"/>
  <c r="G34" i="44"/>
  <c r="E34" i="42" s="1"/>
  <c r="I34" i="44"/>
  <c r="F34" i="42" s="1"/>
  <c r="C34" i="44"/>
  <c r="C34" i="42" s="1"/>
  <c r="E34" i="44"/>
  <c r="D34" i="42" s="1"/>
  <c r="E34" i="45"/>
  <c r="H34" i="42" s="1"/>
  <c r="C34" i="45"/>
  <c r="G34" i="42" s="1"/>
  <c r="I20" i="43"/>
  <c r="B20" i="42" s="1"/>
  <c r="I17" i="43"/>
  <c r="B17" i="42" s="1"/>
  <c r="I29" i="43"/>
  <c r="B29" i="42" s="1"/>
  <c r="I45" i="43"/>
  <c r="B45" i="42" s="1"/>
  <c r="J13" i="42" l="1"/>
  <c r="J43" i="42"/>
  <c r="J33" i="42"/>
  <c r="J18" i="42"/>
  <c r="J23" i="42"/>
  <c r="J15" i="42"/>
  <c r="J37" i="42"/>
  <c r="J31" i="42"/>
  <c r="J35" i="42"/>
  <c r="J19" i="42"/>
  <c r="J32" i="42"/>
  <c r="J30" i="42"/>
  <c r="J40" i="42"/>
  <c r="J44" i="42"/>
  <c r="J27" i="42"/>
  <c r="J14" i="42"/>
  <c r="J16" i="42"/>
  <c r="J21" i="42"/>
  <c r="J36" i="42"/>
  <c r="J38" i="42"/>
  <c r="J46" i="42"/>
  <c r="J26" i="42"/>
  <c r="J12" i="42"/>
  <c r="J34" i="42"/>
  <c r="J45" i="42"/>
  <c r="J22" i="42"/>
  <c r="J25" i="42"/>
  <c r="J42" i="42"/>
  <c r="J28" i="42"/>
  <c r="J24" i="42"/>
  <c r="J41" i="42"/>
  <c r="H11" i="43"/>
  <c r="F48" i="43"/>
  <c r="J29" i="42"/>
  <c r="J39" i="42"/>
  <c r="J20" i="42"/>
  <c r="J17" i="42"/>
  <c r="H48" i="43" l="1"/>
  <c r="I11" i="45"/>
  <c r="C11" i="44" l="1"/>
  <c r="C11" i="42" s="1"/>
  <c r="E11" i="44"/>
  <c r="D11" i="42" s="1"/>
  <c r="G11" i="44"/>
  <c r="E11" i="42" s="1"/>
  <c r="I48" i="45"/>
  <c r="I11" i="44"/>
  <c r="F11" i="42" s="1"/>
  <c r="C11" i="45"/>
  <c r="G11" i="42" s="1"/>
  <c r="G11" i="45"/>
  <c r="E11" i="45"/>
  <c r="H11" i="42" s="1"/>
  <c r="I11" i="43"/>
  <c r="B11" i="42" s="1"/>
  <c r="J11" i="42" l="1"/>
  <c r="G48" i="45"/>
  <c r="E48" i="44"/>
  <c r="D48" i="42" s="1"/>
  <c r="L13" i="42" s="1"/>
  <c r="C48" i="45"/>
  <c r="G48" i="42" s="1"/>
  <c r="L16" i="42" s="1"/>
  <c r="E48" i="45"/>
  <c r="H48" i="42" s="1"/>
  <c r="L17" i="42" s="1"/>
  <c r="C48" i="44"/>
  <c r="C48" i="42" s="1"/>
  <c r="L12" i="42" s="1"/>
  <c r="V12" i="2"/>
  <c r="G48" i="44"/>
  <c r="E48" i="42" s="1"/>
  <c r="L14" i="42" s="1"/>
  <c r="I48" i="44"/>
  <c r="F48" i="42" s="1"/>
  <c r="L15" i="42" s="1"/>
  <c r="I48" i="43"/>
  <c r="B48" i="42" s="1"/>
  <c r="J48" i="42" l="1"/>
  <c r="L11" i="42"/>
  <c r="L19" i="42" s="1"/>
  <c r="B26" i="88" l="1"/>
  <c r="B18" i="88" l="1"/>
  <c r="B20" i="88"/>
  <c r="B34" i="88"/>
  <c r="B22" i="88"/>
  <c r="B28" i="88"/>
  <c r="B17" i="88"/>
  <c r="B14" i="88"/>
  <c r="B19" i="88"/>
  <c r="E31" i="78"/>
  <c r="X11" i="2"/>
  <c r="E38" i="78"/>
  <c r="B43" i="88"/>
  <c r="B24" i="88"/>
  <c r="B31" i="88"/>
  <c r="B33" i="88"/>
  <c r="B35" i="88"/>
  <c r="B39" i="88"/>
  <c r="E45" i="78"/>
  <c r="B45" i="88"/>
  <c r="B41" i="88"/>
  <c r="B44" i="88"/>
  <c r="B37" i="88"/>
  <c r="X12" i="2"/>
  <c r="E40" i="78"/>
  <c r="B36" i="88"/>
  <c r="E34" i="78"/>
  <c r="X13" i="2"/>
  <c r="B15" i="88"/>
  <c r="E39" i="78"/>
  <c r="B42" i="88"/>
  <c r="B21" i="88" l="1"/>
  <c r="B40" i="88"/>
  <c r="B30" i="88"/>
  <c r="B12" i="88"/>
  <c r="B25" i="88"/>
  <c r="B38" i="88"/>
  <c r="B29" i="88"/>
  <c r="L15" i="2"/>
  <c r="C15" i="5" s="1"/>
  <c r="D15" i="5" s="1"/>
  <c r="C15" i="26" s="1"/>
  <c r="K48" i="2"/>
  <c r="L31" i="2"/>
  <c r="C31" i="5" s="1"/>
  <c r="D31" i="5" s="1"/>
  <c r="G31" i="34" s="1"/>
  <c r="L22" i="2"/>
  <c r="C22" i="5" s="1"/>
  <c r="D22" i="5" s="1"/>
  <c r="I22" i="11" s="1"/>
  <c r="L38" i="2"/>
  <c r="C38" i="5" s="1"/>
  <c r="D38" i="5" s="1"/>
  <c r="E38" i="38" s="1"/>
  <c r="L51" i="2"/>
  <c r="C51" i="5" s="1"/>
  <c r="D51" i="5" s="1"/>
  <c r="F51" i="18" s="1"/>
  <c r="L11" i="2"/>
  <c r="C11" i="5" s="1"/>
  <c r="J35" i="54"/>
  <c r="G27" i="54"/>
  <c r="G23" i="54"/>
  <c r="J19" i="54"/>
  <c r="J17" i="54"/>
  <c r="G15" i="54"/>
  <c r="D16" i="54"/>
  <c r="E16" i="76"/>
  <c r="G14" i="54"/>
  <c r="D24" i="54"/>
  <c r="D30" i="54"/>
  <c r="E30" i="76"/>
  <c r="D12" i="54"/>
  <c r="J44" i="54"/>
  <c r="J36" i="54"/>
  <c r="J34" i="54"/>
  <c r="J32" i="54"/>
  <c r="J30" i="54"/>
  <c r="J16" i="54"/>
  <c r="D11" i="54"/>
  <c r="C48" i="88"/>
  <c r="B16" i="88"/>
  <c r="B13" i="88"/>
  <c r="B46" i="88"/>
  <c r="B27" i="88"/>
  <c r="B11" i="88"/>
  <c r="G17" i="54"/>
  <c r="J50" i="54"/>
  <c r="G39" i="54"/>
  <c r="J33" i="54"/>
  <c r="G25" i="54"/>
  <c r="J15" i="54"/>
  <c r="G24" i="54"/>
  <c r="G26" i="54"/>
  <c r="G18" i="54"/>
  <c r="D27" i="54"/>
  <c r="E27" i="76"/>
  <c r="J46" i="54"/>
  <c r="G40" i="54"/>
  <c r="G22" i="54"/>
  <c r="G46" i="54"/>
  <c r="B32" i="88"/>
  <c r="B23" i="88"/>
  <c r="F48" i="2"/>
  <c r="D48" i="88"/>
  <c r="G31" i="54"/>
  <c r="J38" i="54"/>
  <c r="G28" i="54"/>
  <c r="J37" i="54"/>
  <c r="G43" i="54"/>
  <c r="G33" i="54"/>
  <c r="J41" i="54"/>
  <c r="D18" i="54"/>
  <c r="E18" i="76"/>
  <c r="J51" i="54"/>
  <c r="J14" i="54"/>
  <c r="G38" i="54"/>
  <c r="G16" i="54"/>
  <c r="D42" i="54"/>
  <c r="E42" i="76"/>
  <c r="J21" i="54"/>
  <c r="G30" i="54"/>
  <c r="J42" i="54"/>
  <c r="G50" i="54"/>
  <c r="G45" i="54"/>
  <c r="G41" i="54"/>
  <c r="J31" i="54"/>
  <c r="J23" i="54"/>
  <c r="G21" i="54"/>
  <c r="G29" i="54"/>
  <c r="G42" i="54"/>
  <c r="J40" i="54"/>
  <c r="J26" i="54"/>
  <c r="L25" i="2"/>
  <c r="C25" i="5" s="1"/>
  <c r="D25" i="5" s="1"/>
  <c r="F25" i="54" s="1"/>
  <c r="L13" i="2"/>
  <c r="C13" i="5" s="1"/>
  <c r="D13" i="5" s="1"/>
  <c r="J48" i="2"/>
  <c r="J28" i="54"/>
  <c r="J20" i="54"/>
  <c r="J45" i="54"/>
  <c r="J43" i="54"/>
  <c r="G37" i="54"/>
  <c r="G35" i="54"/>
  <c r="G19" i="54"/>
  <c r="J39" i="54"/>
  <c r="D38" i="54"/>
  <c r="E38" i="76"/>
  <c r="D22" i="54"/>
  <c r="J27" i="54"/>
  <c r="J18" i="54"/>
  <c r="L34" i="2"/>
  <c r="C34" i="5" s="1"/>
  <c r="D34" i="5" s="1"/>
  <c r="G44" i="54"/>
  <c r="G36" i="54"/>
  <c r="G34" i="54"/>
  <c r="G32" i="54"/>
  <c r="G20" i="54"/>
  <c r="G51" i="54"/>
  <c r="D50" i="54"/>
  <c r="E50" i="76"/>
  <c r="L17" i="2"/>
  <c r="C17" i="5" s="1"/>
  <c r="D17" i="5" s="1"/>
  <c r="L44" i="2"/>
  <c r="C44" i="5" s="1"/>
  <c r="D44" i="5" s="1"/>
  <c r="L14" i="2"/>
  <c r="C14" i="5" s="1"/>
  <c r="D14" i="5" s="1"/>
  <c r="L26" i="2"/>
  <c r="C26" i="5" s="1"/>
  <c r="D26" i="5" s="1"/>
  <c r="L30" i="2"/>
  <c r="C30" i="5" s="1"/>
  <c r="D30" i="5" s="1"/>
  <c r="L28" i="2"/>
  <c r="C28" i="5" s="1"/>
  <c r="D28" i="5" s="1"/>
  <c r="F28" i="54" s="1"/>
  <c r="L35" i="2"/>
  <c r="C35" i="5" s="1"/>
  <c r="D35" i="5" s="1"/>
  <c r="L24" i="2"/>
  <c r="C24" i="5" s="1"/>
  <c r="D24" i="5" s="1"/>
  <c r="E48" i="2"/>
  <c r="E14" i="78"/>
  <c r="E21" i="78"/>
  <c r="E19" i="78"/>
  <c r="E30" i="78"/>
  <c r="E33" i="78"/>
  <c r="E15" i="78"/>
  <c r="E17" i="78"/>
  <c r="E37" i="78"/>
  <c r="E25" i="78"/>
  <c r="E44" i="78"/>
  <c r="E50" i="78"/>
  <c r="E35" i="78"/>
  <c r="E24" i="78"/>
  <c r="E29" i="78"/>
  <c r="E13" i="78"/>
  <c r="E41" i="78"/>
  <c r="E27" i="78"/>
  <c r="E28" i="78"/>
  <c r="E43" i="78"/>
  <c r="E46" i="78"/>
  <c r="E23" i="78"/>
  <c r="E22" i="78"/>
  <c r="L27" i="2"/>
  <c r="C27" i="5" s="1"/>
  <c r="D27" i="5" s="1"/>
  <c r="E26" i="78"/>
  <c r="L19" i="2"/>
  <c r="C19" i="5" s="1"/>
  <c r="D19" i="5" s="1"/>
  <c r="H48" i="2"/>
  <c r="E18" i="78"/>
  <c r="E12" i="78"/>
  <c r="F31" i="54" l="1"/>
  <c r="L50" i="2"/>
  <c r="C50" i="5" s="1"/>
  <c r="D50" i="5" s="1"/>
  <c r="I31" i="54"/>
  <c r="F31" i="10"/>
  <c r="I31" i="26"/>
  <c r="C51" i="82"/>
  <c r="F15" i="18"/>
  <c r="I15" i="54"/>
  <c r="I15" i="25"/>
  <c r="E15" i="37"/>
  <c r="F51" i="11"/>
  <c r="C31" i="37"/>
  <c r="E31" i="37"/>
  <c r="C31" i="34"/>
  <c r="F31" i="26"/>
  <c r="C31" i="20"/>
  <c r="I31" i="11"/>
  <c r="I22" i="9"/>
  <c r="C31" i="26"/>
  <c r="E31" i="35"/>
  <c r="F31" i="8"/>
  <c r="C31" i="35"/>
  <c r="F31" i="20"/>
  <c r="C31" i="19"/>
  <c r="C31" i="38"/>
  <c r="F15" i="54"/>
  <c r="G15" i="34"/>
  <c r="C15" i="38"/>
  <c r="F15" i="10"/>
  <c r="L41" i="2"/>
  <c r="C41" i="5" s="1"/>
  <c r="D41" i="5" s="1"/>
  <c r="F41" i="26" s="1"/>
  <c r="I38" i="54"/>
  <c r="C15" i="35"/>
  <c r="C15" i="29"/>
  <c r="F22" i="20"/>
  <c r="L16" i="2"/>
  <c r="C16" i="5" s="1"/>
  <c r="D16" i="5" s="1"/>
  <c r="I16" i="26" s="1"/>
  <c r="L46" i="2"/>
  <c r="C46" i="5" s="1"/>
  <c r="D46" i="5" s="1"/>
  <c r="I46" i="25" s="1"/>
  <c r="C38" i="54"/>
  <c r="F38" i="54"/>
  <c r="F15" i="20"/>
  <c r="C15" i="82"/>
  <c r="C22" i="37"/>
  <c r="I38" i="9"/>
  <c r="C15" i="37"/>
  <c r="F15" i="11"/>
  <c r="E15" i="38"/>
  <c r="I15" i="11"/>
  <c r="E15" i="34"/>
  <c r="C15" i="36"/>
  <c r="F15" i="8"/>
  <c r="F15" i="28"/>
  <c r="C15" i="11"/>
  <c r="C15" i="8"/>
  <c r="C15" i="18"/>
  <c r="C15" i="7"/>
  <c r="C15" i="27"/>
  <c r="C15" i="76" s="1"/>
  <c r="C15" i="34"/>
  <c r="G15" i="25"/>
  <c r="I15" i="28"/>
  <c r="I15" i="9"/>
  <c r="I15" i="20"/>
  <c r="G15" i="36"/>
  <c r="I15" i="26"/>
  <c r="C38" i="8"/>
  <c r="L39" i="2"/>
  <c r="C39" i="5" s="1"/>
  <c r="D39" i="5" s="1"/>
  <c r="E39" i="38" s="1"/>
  <c r="F15" i="29"/>
  <c r="C15" i="25"/>
  <c r="H15" i="19"/>
  <c r="C15" i="10"/>
  <c r="C15" i="9"/>
  <c r="E15" i="19"/>
  <c r="F15" i="26"/>
  <c r="C15" i="19"/>
  <c r="E15" i="82"/>
  <c r="F15" i="5"/>
  <c r="D15" i="6" s="1"/>
  <c r="F22" i="18"/>
  <c r="I22" i="10"/>
  <c r="C22" i="11"/>
  <c r="C22" i="28"/>
  <c r="F22" i="26"/>
  <c r="C22" i="38"/>
  <c r="E22" i="37"/>
  <c r="C22" i="19"/>
  <c r="I22" i="26"/>
  <c r="E22" i="38"/>
  <c r="L36" i="2"/>
  <c r="C36" i="5" s="1"/>
  <c r="D36" i="5" s="1"/>
  <c r="C36" i="25" s="1"/>
  <c r="C15" i="28"/>
  <c r="E15" i="35"/>
  <c r="F15" i="9"/>
  <c r="C15" i="20"/>
  <c r="I15" i="18"/>
  <c r="E15" i="25"/>
  <c r="E15" i="36"/>
  <c r="I15" i="10"/>
  <c r="I31" i="28"/>
  <c r="E31" i="36"/>
  <c r="F31" i="18"/>
  <c r="I51" i="10"/>
  <c r="C38" i="25"/>
  <c r="I38" i="25"/>
  <c r="E38" i="19"/>
  <c r="G38" i="34"/>
  <c r="C38" i="20"/>
  <c r="C31" i="28"/>
  <c r="C31" i="25"/>
  <c r="C31" i="18"/>
  <c r="F31" i="28"/>
  <c r="E31" i="82"/>
  <c r="E31" i="19"/>
  <c r="C31" i="10"/>
  <c r="C31" i="36"/>
  <c r="E31" i="34"/>
  <c r="C31" i="9"/>
  <c r="C31" i="8"/>
  <c r="C31" i="11"/>
  <c r="I31" i="20"/>
  <c r="C31" i="29"/>
  <c r="I31" i="25"/>
  <c r="H31" i="19"/>
  <c r="I31" i="18"/>
  <c r="E31" i="38"/>
  <c r="G31" i="25"/>
  <c r="C38" i="28"/>
  <c r="F38" i="18"/>
  <c r="G38" i="25"/>
  <c r="I38" i="26"/>
  <c r="E38" i="37"/>
  <c r="C38" i="7"/>
  <c r="C38" i="37"/>
  <c r="C38" i="27"/>
  <c r="C38" i="76" s="1"/>
  <c r="C38" i="82"/>
  <c r="H38" i="19"/>
  <c r="I38" i="18"/>
  <c r="C38" i="11"/>
  <c r="F38" i="29"/>
  <c r="F38" i="8"/>
  <c r="F38" i="5"/>
  <c r="D38" i="6" s="1"/>
  <c r="E38" i="6" s="1"/>
  <c r="C38" i="78" s="1"/>
  <c r="F38" i="26"/>
  <c r="F38" i="20"/>
  <c r="C38" i="19"/>
  <c r="E38" i="25"/>
  <c r="F38" i="11"/>
  <c r="I38" i="10"/>
  <c r="F38" i="28"/>
  <c r="C38" i="18"/>
  <c r="C38" i="38"/>
  <c r="L42" i="2"/>
  <c r="C42" i="5" s="1"/>
  <c r="D42" i="5" s="1"/>
  <c r="I42" i="54" s="1"/>
  <c r="C22" i="54"/>
  <c r="C22" i="20"/>
  <c r="C22" i="8"/>
  <c r="H22" i="19"/>
  <c r="F22" i="29"/>
  <c r="E22" i="34"/>
  <c r="I22" i="25"/>
  <c r="F22" i="28"/>
  <c r="E22" i="82"/>
  <c r="G22" i="34"/>
  <c r="C22" i="26"/>
  <c r="C22" i="10"/>
  <c r="I22" i="20"/>
  <c r="C31" i="27"/>
  <c r="C31" i="76" s="1"/>
  <c r="F31" i="5"/>
  <c r="D31" i="6" s="1"/>
  <c r="E31" i="6" s="1"/>
  <c r="C31" i="78" s="1"/>
  <c r="F31" i="9"/>
  <c r="I31" i="10"/>
  <c r="F31" i="11"/>
  <c r="C31" i="82"/>
  <c r="I31" i="9"/>
  <c r="E31" i="25"/>
  <c r="F22" i="54"/>
  <c r="I22" i="28"/>
  <c r="C22" i="25"/>
  <c r="F22" i="5"/>
  <c r="D22" i="6" s="1"/>
  <c r="E22" i="6" s="1"/>
  <c r="C22" i="78" s="1"/>
  <c r="I22" i="18"/>
  <c r="C22" i="27"/>
  <c r="C22" i="76" s="1"/>
  <c r="G22" i="25"/>
  <c r="C22" i="36"/>
  <c r="C22" i="7"/>
  <c r="C22" i="82"/>
  <c r="E22" i="36"/>
  <c r="F22" i="8"/>
  <c r="F22" i="10"/>
  <c r="C31" i="7"/>
  <c r="G31" i="36"/>
  <c r="F31" i="29"/>
  <c r="L43" i="2"/>
  <c r="C43" i="5" s="1"/>
  <c r="D43" i="5" s="1"/>
  <c r="C43" i="10" s="1"/>
  <c r="C22" i="18"/>
  <c r="E22" i="35"/>
  <c r="F22" i="11"/>
  <c r="C22" i="29"/>
  <c r="C22" i="35"/>
  <c r="C22" i="34"/>
  <c r="E22" i="19"/>
  <c r="F22" i="9"/>
  <c r="E22" i="25"/>
  <c r="G22" i="36"/>
  <c r="C22" i="9"/>
  <c r="L12" i="2"/>
  <c r="C12" i="5" s="1"/>
  <c r="D12" i="5" s="1"/>
  <c r="E12" i="25" s="1"/>
  <c r="L29" i="2"/>
  <c r="C29" i="5" s="1"/>
  <c r="D29" i="5" s="1"/>
  <c r="E29" i="37" s="1"/>
  <c r="E51" i="36"/>
  <c r="C51" i="34"/>
  <c r="E51" i="82"/>
  <c r="F51" i="54"/>
  <c r="G51" i="36"/>
  <c r="F51" i="8"/>
  <c r="I51" i="25"/>
  <c r="G38" i="36"/>
  <c r="E38" i="82"/>
  <c r="C38" i="10"/>
  <c r="E38" i="36"/>
  <c r="L18" i="2"/>
  <c r="C18" i="5" s="1"/>
  <c r="D18" i="5" s="1"/>
  <c r="F18" i="29" s="1"/>
  <c r="I51" i="54"/>
  <c r="I51" i="11"/>
  <c r="C51" i="36"/>
  <c r="I51" i="26"/>
  <c r="F51" i="9"/>
  <c r="I38" i="20"/>
  <c r="C38" i="29"/>
  <c r="E38" i="34"/>
  <c r="C38" i="9"/>
  <c r="I38" i="28"/>
  <c r="F38" i="10"/>
  <c r="C38" i="34"/>
  <c r="I38" i="11"/>
  <c r="C38" i="35"/>
  <c r="E51" i="25"/>
  <c r="I51" i="20"/>
  <c r="C51" i="37"/>
  <c r="E51" i="35"/>
  <c r="C51" i="9"/>
  <c r="E51" i="19"/>
  <c r="F51" i="26"/>
  <c r="C51" i="38"/>
  <c r="E51" i="37"/>
  <c r="I51" i="9"/>
  <c r="E51" i="38"/>
  <c r="L37" i="2"/>
  <c r="C37" i="5" s="1"/>
  <c r="D37" i="5" s="1"/>
  <c r="F37" i="11" s="1"/>
  <c r="I51" i="18"/>
  <c r="C51" i="25"/>
  <c r="G51" i="25"/>
  <c r="C51" i="18"/>
  <c r="C51" i="27"/>
  <c r="C51" i="76" s="1"/>
  <c r="C51" i="35"/>
  <c r="C51" i="19"/>
  <c r="C51" i="8"/>
  <c r="C51" i="10"/>
  <c r="C51" i="28"/>
  <c r="C51" i="26"/>
  <c r="C51" i="7"/>
  <c r="F38" i="9"/>
  <c r="F51" i="20"/>
  <c r="C51" i="29"/>
  <c r="G51" i="34"/>
  <c r="C51" i="20"/>
  <c r="I51" i="28"/>
  <c r="E51" i="34"/>
  <c r="F51" i="5"/>
  <c r="D51" i="6" s="1"/>
  <c r="F51" i="6" s="1"/>
  <c r="F51" i="28"/>
  <c r="F51" i="10"/>
  <c r="H51" i="19"/>
  <c r="F51" i="29"/>
  <c r="C51" i="11"/>
  <c r="C38" i="26"/>
  <c r="E38" i="35"/>
  <c r="C38" i="36"/>
  <c r="G48" i="2"/>
  <c r="L33" i="2"/>
  <c r="C33" i="5" s="1"/>
  <c r="D33" i="5" s="1"/>
  <c r="C33" i="26" s="1"/>
  <c r="L23" i="2"/>
  <c r="C23" i="5" s="1"/>
  <c r="D23" i="5" s="1"/>
  <c r="I23" i="26" s="1"/>
  <c r="B48" i="88"/>
  <c r="L21" i="2"/>
  <c r="C21" i="5" s="1"/>
  <c r="D21" i="5" s="1"/>
  <c r="G21" i="25" s="1"/>
  <c r="H27" i="19"/>
  <c r="E27" i="38"/>
  <c r="G27" i="34"/>
  <c r="E27" i="34"/>
  <c r="I27" i="10"/>
  <c r="F27" i="26"/>
  <c r="C27" i="8"/>
  <c r="G27" i="25"/>
  <c r="I27" i="18"/>
  <c r="I27" i="28"/>
  <c r="G27" i="36"/>
  <c r="C27" i="20"/>
  <c r="C27" i="28"/>
  <c r="F27" i="5"/>
  <c r="D27" i="6" s="1"/>
  <c r="C27" i="7"/>
  <c r="C27" i="34"/>
  <c r="E27" i="35"/>
  <c r="F27" i="11"/>
  <c r="I27" i="26"/>
  <c r="F27" i="9"/>
  <c r="I27" i="9"/>
  <c r="C27" i="35"/>
  <c r="C27" i="26"/>
  <c r="C27" i="19"/>
  <c r="E27" i="19"/>
  <c r="E27" i="37"/>
  <c r="I27" i="20"/>
  <c r="F27" i="10"/>
  <c r="C27" i="27"/>
  <c r="C27" i="76" s="1"/>
  <c r="C27" i="82"/>
  <c r="F27" i="28"/>
  <c r="C27" i="10"/>
  <c r="C27" i="9"/>
  <c r="I27" i="11"/>
  <c r="C27" i="18"/>
  <c r="F27" i="29"/>
  <c r="F27" i="18"/>
  <c r="C27" i="38"/>
  <c r="E27" i="25"/>
  <c r="F27" i="8"/>
  <c r="E27" i="82"/>
  <c r="C27" i="11"/>
  <c r="I27" i="25"/>
  <c r="C27" i="25"/>
  <c r="F27" i="20"/>
  <c r="E27" i="36"/>
  <c r="C27" i="36"/>
  <c r="C27" i="37"/>
  <c r="C27" i="29"/>
  <c r="F27" i="54"/>
  <c r="I27" i="54"/>
  <c r="C27" i="54"/>
  <c r="F19" i="20"/>
  <c r="E19" i="38"/>
  <c r="I19" i="26"/>
  <c r="I19" i="9"/>
  <c r="F19" i="9"/>
  <c r="C19" i="7"/>
  <c r="I19" i="25"/>
  <c r="C19" i="26"/>
  <c r="C19" i="10"/>
  <c r="C19" i="29"/>
  <c r="C19" i="18"/>
  <c r="C19" i="38"/>
  <c r="F19" i="11"/>
  <c r="C19" i="34"/>
  <c r="E19" i="82"/>
  <c r="E19" i="35"/>
  <c r="C19" i="25"/>
  <c r="E19" i="36"/>
  <c r="I19" i="18"/>
  <c r="C19" i="37"/>
  <c r="I19" i="11"/>
  <c r="G19" i="36"/>
  <c r="F19" i="18"/>
  <c r="F19" i="5"/>
  <c r="D19" i="6" s="1"/>
  <c r="F19" i="10"/>
  <c r="G19" i="34"/>
  <c r="C19" i="11"/>
  <c r="F19" i="26"/>
  <c r="C19" i="8"/>
  <c r="G19" i="25"/>
  <c r="F19" i="29"/>
  <c r="C19" i="82"/>
  <c r="I19" i="28"/>
  <c r="C19" i="27"/>
  <c r="C19" i="76" s="1"/>
  <c r="C19" i="28"/>
  <c r="H19" i="19"/>
  <c r="C19" i="36"/>
  <c r="I19" i="20"/>
  <c r="I19" i="10"/>
  <c r="E19" i="34"/>
  <c r="F19" i="8"/>
  <c r="E19" i="25"/>
  <c r="C19" i="9"/>
  <c r="C19" i="35"/>
  <c r="C19" i="20"/>
  <c r="C19" i="19"/>
  <c r="E19" i="37"/>
  <c r="F19" i="28"/>
  <c r="E19" i="19"/>
  <c r="F19" i="54"/>
  <c r="I19" i="54"/>
  <c r="C24" i="38"/>
  <c r="E24" i="82"/>
  <c r="I24" i="26"/>
  <c r="C24" i="7"/>
  <c r="E24" i="34"/>
  <c r="F24" i="9"/>
  <c r="E24" i="37"/>
  <c r="E24" i="36"/>
  <c r="C24" i="34"/>
  <c r="C24" i="20"/>
  <c r="F24" i="18"/>
  <c r="E24" i="38"/>
  <c r="C24" i="28"/>
  <c r="F24" i="8"/>
  <c r="C24" i="11"/>
  <c r="C24" i="8"/>
  <c r="F24" i="26"/>
  <c r="C24" i="27"/>
  <c r="C24" i="76" s="1"/>
  <c r="G24" i="25"/>
  <c r="C24" i="36"/>
  <c r="C24" i="18"/>
  <c r="C24" i="19"/>
  <c r="H24" i="19"/>
  <c r="F24" i="5"/>
  <c r="D24" i="6" s="1"/>
  <c r="C24" i="82"/>
  <c r="C24" i="35"/>
  <c r="E24" i="35"/>
  <c r="F24" i="11"/>
  <c r="I24" i="10"/>
  <c r="I24" i="9"/>
  <c r="C24" i="9"/>
  <c r="I24" i="11"/>
  <c r="I24" i="28"/>
  <c r="C24" i="29"/>
  <c r="C24" i="37"/>
  <c r="E24" i="19"/>
  <c r="I24" i="25"/>
  <c r="I24" i="20"/>
  <c r="C24" i="25"/>
  <c r="E24" i="25"/>
  <c r="F24" i="10"/>
  <c r="G24" i="34"/>
  <c r="F24" i="28"/>
  <c r="C24" i="26"/>
  <c r="I24" i="18"/>
  <c r="G24" i="36"/>
  <c r="C24" i="10"/>
  <c r="F24" i="29"/>
  <c r="F24" i="20"/>
  <c r="C24" i="54"/>
  <c r="F24" i="54"/>
  <c r="F26" i="18"/>
  <c r="I26" i="20"/>
  <c r="C26" i="9"/>
  <c r="C26" i="11"/>
  <c r="F26" i="9"/>
  <c r="C26" i="82"/>
  <c r="F26" i="28"/>
  <c r="C26" i="19"/>
  <c r="I26" i="18"/>
  <c r="C26" i="37"/>
  <c r="F26" i="20"/>
  <c r="H26" i="19"/>
  <c r="E26" i="38"/>
  <c r="C26" i="34"/>
  <c r="F26" i="11"/>
  <c r="I26" i="25"/>
  <c r="C26" i="35"/>
  <c r="C26" i="28"/>
  <c r="I26" i="10"/>
  <c r="C26" i="10"/>
  <c r="E26" i="36"/>
  <c r="I26" i="11"/>
  <c r="C26" i="20"/>
  <c r="E26" i="19"/>
  <c r="C26" i="38"/>
  <c r="F26" i="8"/>
  <c r="C26" i="25"/>
  <c r="I26" i="9"/>
  <c r="C26" i="27"/>
  <c r="C26" i="76" s="1"/>
  <c r="E26" i="35"/>
  <c r="C26" i="7"/>
  <c r="E26" i="25"/>
  <c r="C26" i="18"/>
  <c r="E26" i="34"/>
  <c r="F26" i="29"/>
  <c r="C26" i="36"/>
  <c r="F26" i="5"/>
  <c r="D26" i="6" s="1"/>
  <c r="F26" i="10"/>
  <c r="F26" i="26"/>
  <c r="C26" i="8"/>
  <c r="G26" i="34"/>
  <c r="G26" i="25"/>
  <c r="I26" i="26"/>
  <c r="E26" i="82"/>
  <c r="I26" i="28"/>
  <c r="C26" i="26"/>
  <c r="E26" i="37"/>
  <c r="G26" i="36"/>
  <c r="C26" i="29"/>
  <c r="F26" i="54"/>
  <c r="I26" i="54"/>
  <c r="F23" i="10"/>
  <c r="E23" i="38"/>
  <c r="C23" i="29"/>
  <c r="F23" i="28"/>
  <c r="G23" i="25"/>
  <c r="G23" i="36"/>
  <c r="C34" i="20"/>
  <c r="I34" i="20"/>
  <c r="C34" i="34"/>
  <c r="C34" i="10"/>
  <c r="C34" i="7"/>
  <c r="F34" i="10"/>
  <c r="I34" i="25"/>
  <c r="C34" i="9"/>
  <c r="F34" i="18"/>
  <c r="C34" i="26"/>
  <c r="C34" i="25"/>
  <c r="E34" i="38"/>
  <c r="E34" i="37"/>
  <c r="C34" i="11"/>
  <c r="F34" i="26"/>
  <c r="F34" i="11"/>
  <c r="I34" i="10"/>
  <c r="E34" i="35"/>
  <c r="I34" i="11"/>
  <c r="E34" i="36"/>
  <c r="F34" i="29"/>
  <c r="F34" i="20"/>
  <c r="C34" i="38"/>
  <c r="F34" i="9"/>
  <c r="C34" i="82"/>
  <c r="F34" i="28"/>
  <c r="E34" i="34"/>
  <c r="E34" i="25"/>
  <c r="I34" i="9"/>
  <c r="C34" i="8"/>
  <c r="E34" i="82"/>
  <c r="C34" i="37"/>
  <c r="C34" i="28"/>
  <c r="I34" i="18"/>
  <c r="I34" i="28"/>
  <c r="F34" i="5"/>
  <c r="D34" i="6" s="1"/>
  <c r="F34" i="8"/>
  <c r="G34" i="25"/>
  <c r="C34" i="35"/>
  <c r="C34" i="27"/>
  <c r="C34" i="76" s="1"/>
  <c r="I34" i="26"/>
  <c r="G34" i="34"/>
  <c r="C34" i="36"/>
  <c r="C34" i="18"/>
  <c r="G34" i="36"/>
  <c r="C34" i="19"/>
  <c r="E34" i="19"/>
  <c r="C34" i="29"/>
  <c r="H34" i="19"/>
  <c r="F34" i="54"/>
  <c r="I34" i="54"/>
  <c r="F14" i="20"/>
  <c r="I14" i="20"/>
  <c r="C14" i="82"/>
  <c r="C14" i="10"/>
  <c r="C14" i="9"/>
  <c r="F14" i="28"/>
  <c r="E14" i="36"/>
  <c r="I14" i="28"/>
  <c r="C14" i="25"/>
  <c r="C14" i="19"/>
  <c r="C14" i="28"/>
  <c r="C14" i="38"/>
  <c r="E14" i="34"/>
  <c r="C14" i="7"/>
  <c r="C14" i="26"/>
  <c r="F14" i="11"/>
  <c r="I14" i="10"/>
  <c r="F14" i="26"/>
  <c r="E14" i="19"/>
  <c r="I14" i="11"/>
  <c r="G14" i="36"/>
  <c r="C14" i="20"/>
  <c r="C14" i="37"/>
  <c r="F14" i="29"/>
  <c r="E14" i="38"/>
  <c r="E14" i="35"/>
  <c r="F14" i="8"/>
  <c r="E14" i="82"/>
  <c r="I14" i="9"/>
  <c r="C14" i="27"/>
  <c r="C14" i="76" s="1"/>
  <c r="C14" i="11"/>
  <c r="C14" i="35"/>
  <c r="C14" i="34"/>
  <c r="E14" i="37"/>
  <c r="C14" i="18"/>
  <c r="H14" i="19"/>
  <c r="F14" i="5"/>
  <c r="D14" i="6" s="1"/>
  <c r="F14" i="10"/>
  <c r="G14" i="34"/>
  <c r="C14" i="8"/>
  <c r="I14" i="25"/>
  <c r="F14" i="9"/>
  <c r="E14" i="25"/>
  <c r="I14" i="26"/>
  <c r="I14" i="18"/>
  <c r="F14" i="18"/>
  <c r="G14" i="25"/>
  <c r="C14" i="29"/>
  <c r="C14" i="36"/>
  <c r="F14" i="54"/>
  <c r="I14" i="54"/>
  <c r="H44" i="19"/>
  <c r="F44" i="5"/>
  <c r="D44" i="6" s="1"/>
  <c r="F44" i="11"/>
  <c r="G44" i="25"/>
  <c r="C44" i="25"/>
  <c r="E44" i="82"/>
  <c r="G44" i="34"/>
  <c r="F44" i="8"/>
  <c r="C44" i="19"/>
  <c r="C44" i="26"/>
  <c r="E44" i="37"/>
  <c r="E44" i="36"/>
  <c r="F44" i="20"/>
  <c r="F44" i="9"/>
  <c r="I44" i="20"/>
  <c r="E44" i="34"/>
  <c r="E44" i="35"/>
  <c r="F44" i="26"/>
  <c r="F44" i="28"/>
  <c r="F44" i="10"/>
  <c r="C44" i="8"/>
  <c r="C44" i="20"/>
  <c r="I44" i="11"/>
  <c r="F44" i="29"/>
  <c r="C44" i="38"/>
  <c r="C44" i="35"/>
  <c r="E44" i="25"/>
  <c r="I44" i="10"/>
  <c r="C44" i="82"/>
  <c r="C44" i="10"/>
  <c r="C44" i="11"/>
  <c r="C44" i="37"/>
  <c r="I44" i="18"/>
  <c r="C44" i="36"/>
  <c r="C44" i="29"/>
  <c r="F44" i="18"/>
  <c r="C44" i="18"/>
  <c r="E44" i="38"/>
  <c r="I44" i="26"/>
  <c r="C44" i="34"/>
  <c r="C44" i="7"/>
  <c r="C44" i="27"/>
  <c r="C44" i="76" s="1"/>
  <c r="I44" i="9"/>
  <c r="C44" i="9"/>
  <c r="I44" i="25"/>
  <c r="I44" i="28"/>
  <c r="G44" i="36"/>
  <c r="C44" i="28"/>
  <c r="E44" i="19"/>
  <c r="F44" i="54"/>
  <c r="I44" i="54"/>
  <c r="I17" i="20"/>
  <c r="F17" i="28"/>
  <c r="I17" i="10"/>
  <c r="F17" i="8"/>
  <c r="F17" i="26"/>
  <c r="E17" i="25"/>
  <c r="C17" i="7"/>
  <c r="I17" i="25"/>
  <c r="C17" i="26"/>
  <c r="F17" i="11"/>
  <c r="E17" i="37"/>
  <c r="C17" i="19"/>
  <c r="E17" i="19"/>
  <c r="C17" i="38"/>
  <c r="C17" i="9"/>
  <c r="C17" i="28"/>
  <c r="I17" i="11"/>
  <c r="I17" i="26"/>
  <c r="C17" i="35"/>
  <c r="E17" i="35"/>
  <c r="C17" i="18"/>
  <c r="F17" i="18"/>
  <c r="C17" i="29"/>
  <c r="C17" i="27"/>
  <c r="C17" i="76" s="1"/>
  <c r="E17" i="38"/>
  <c r="C17" i="8"/>
  <c r="C17" i="25"/>
  <c r="F17" i="9"/>
  <c r="G17" i="25"/>
  <c r="C17" i="82"/>
  <c r="E17" i="82"/>
  <c r="E17" i="36"/>
  <c r="C17" i="37"/>
  <c r="C17" i="36"/>
  <c r="G17" i="36"/>
  <c r="F17" i="20"/>
  <c r="F17" i="5"/>
  <c r="D17" i="6" s="1"/>
  <c r="G17" i="34"/>
  <c r="C17" i="34"/>
  <c r="C17" i="11"/>
  <c r="C17" i="10"/>
  <c r="F17" i="10"/>
  <c r="I17" i="9"/>
  <c r="E17" i="34"/>
  <c r="F17" i="29"/>
  <c r="C17" i="20"/>
  <c r="I17" i="18"/>
  <c r="I17" i="28"/>
  <c r="H17" i="19"/>
  <c r="F17" i="54"/>
  <c r="I17" i="54"/>
  <c r="E20" i="76"/>
  <c r="D20" i="54"/>
  <c r="E32" i="76"/>
  <c r="D32" i="54"/>
  <c r="J29" i="54"/>
  <c r="G12" i="54"/>
  <c r="D45" i="54"/>
  <c r="E45" i="76"/>
  <c r="I16" i="20"/>
  <c r="F16" i="10"/>
  <c r="E16" i="34"/>
  <c r="G16" i="25"/>
  <c r="C16" i="25"/>
  <c r="C16" i="10"/>
  <c r="C16" i="19"/>
  <c r="I16" i="28"/>
  <c r="F16" i="18"/>
  <c r="E16" i="38"/>
  <c r="F16" i="11"/>
  <c r="C16" i="9"/>
  <c r="F16" i="8"/>
  <c r="E16" i="35"/>
  <c r="I16" i="9"/>
  <c r="C16" i="37"/>
  <c r="C16" i="36"/>
  <c r="I16" i="18"/>
  <c r="H16" i="19"/>
  <c r="C16" i="38"/>
  <c r="C16" i="35"/>
  <c r="C16" i="82"/>
  <c r="E16" i="82"/>
  <c r="C16" i="18"/>
  <c r="G16" i="36"/>
  <c r="C16" i="20"/>
  <c r="C16" i="34"/>
  <c r="F16" i="5"/>
  <c r="D16" i="6" s="1"/>
  <c r="C16" i="11"/>
  <c r="F16" i="26"/>
  <c r="I16" i="25"/>
  <c r="C16" i="27"/>
  <c r="C16" i="76" s="1"/>
  <c r="F16" i="9"/>
  <c r="C16" i="29"/>
  <c r="E16" i="36"/>
  <c r="E16" i="37"/>
  <c r="F16" i="20"/>
  <c r="H50" i="19"/>
  <c r="C50" i="38"/>
  <c r="F50" i="9"/>
  <c r="C50" i="82"/>
  <c r="F50" i="10"/>
  <c r="I50" i="28"/>
  <c r="C50" i="10"/>
  <c r="E50" i="82"/>
  <c r="I50" i="11"/>
  <c r="F50" i="29"/>
  <c r="C50" i="36"/>
  <c r="F50" i="20"/>
  <c r="C50" i="29"/>
  <c r="E50" i="38"/>
  <c r="C50" i="25"/>
  <c r="G50" i="34"/>
  <c r="C50" i="35"/>
  <c r="C50" i="7"/>
  <c r="I50" i="26"/>
  <c r="I50" i="9"/>
  <c r="C50" i="8"/>
  <c r="G50" i="36"/>
  <c r="C50" i="34"/>
  <c r="C50" i="37"/>
  <c r="C50" i="28"/>
  <c r="C50" i="27"/>
  <c r="C50" i="76" s="1"/>
  <c r="F50" i="5"/>
  <c r="D50" i="6" s="1"/>
  <c r="E50" i="35"/>
  <c r="E50" i="25"/>
  <c r="F50" i="26"/>
  <c r="G50" i="25"/>
  <c r="I50" i="25"/>
  <c r="I50" i="10"/>
  <c r="C50" i="9"/>
  <c r="C50" i="19"/>
  <c r="F50" i="28"/>
  <c r="I50" i="18"/>
  <c r="E50" i="19"/>
  <c r="F50" i="18"/>
  <c r="I50" i="20"/>
  <c r="F50" i="11"/>
  <c r="F50" i="8"/>
  <c r="E50" i="34"/>
  <c r="C50" i="11"/>
  <c r="E50" i="37"/>
  <c r="E50" i="36"/>
  <c r="C50" i="26"/>
  <c r="C50" i="18"/>
  <c r="C50" i="20"/>
  <c r="E35" i="35"/>
  <c r="I35" i="20"/>
  <c r="E35" i="82"/>
  <c r="C35" i="20"/>
  <c r="E35" i="25"/>
  <c r="I35" i="9"/>
  <c r="C35" i="10"/>
  <c r="E35" i="34"/>
  <c r="G35" i="36"/>
  <c r="C35" i="18"/>
  <c r="F35" i="28"/>
  <c r="C35" i="26"/>
  <c r="F35" i="18"/>
  <c r="H35" i="19"/>
  <c r="E35" i="38"/>
  <c r="C35" i="7"/>
  <c r="C35" i="27"/>
  <c r="C35" i="76" s="1"/>
  <c r="G35" i="25"/>
  <c r="C35" i="25"/>
  <c r="C35" i="9"/>
  <c r="C35" i="34"/>
  <c r="E35" i="36"/>
  <c r="E35" i="37"/>
  <c r="I35" i="11"/>
  <c r="F35" i="20"/>
  <c r="C35" i="38"/>
  <c r="F35" i="11"/>
  <c r="C35" i="11"/>
  <c r="G35" i="34"/>
  <c r="F35" i="26"/>
  <c r="I35" i="10"/>
  <c r="F35" i="8"/>
  <c r="I35" i="18"/>
  <c r="C35" i="19"/>
  <c r="C35" i="37"/>
  <c r="I35" i="28"/>
  <c r="E35" i="19"/>
  <c r="F35" i="5"/>
  <c r="D35" i="6" s="1"/>
  <c r="C35" i="35"/>
  <c r="F35" i="9"/>
  <c r="C35" i="82"/>
  <c r="I35" i="26"/>
  <c r="F35" i="10"/>
  <c r="C35" i="8"/>
  <c r="I35" i="25"/>
  <c r="C35" i="29"/>
  <c r="C35" i="36"/>
  <c r="C35" i="28"/>
  <c r="F35" i="29"/>
  <c r="D21" i="54"/>
  <c r="E21" i="76"/>
  <c r="F30" i="5"/>
  <c r="D30" i="6" s="1"/>
  <c r="F30" i="26"/>
  <c r="E30" i="34"/>
  <c r="F30" i="28"/>
  <c r="F30" i="10"/>
  <c r="F30" i="11"/>
  <c r="F30" i="9"/>
  <c r="I30" i="28"/>
  <c r="I30" i="18"/>
  <c r="E30" i="37"/>
  <c r="G30" i="36"/>
  <c r="E30" i="36"/>
  <c r="C30" i="8"/>
  <c r="I30" i="20"/>
  <c r="I30" i="26"/>
  <c r="E30" i="35"/>
  <c r="I30" i="25"/>
  <c r="E30" i="25"/>
  <c r="C30" i="10"/>
  <c r="F30" i="8"/>
  <c r="C30" i="18"/>
  <c r="F30" i="18"/>
  <c r="F30" i="29"/>
  <c r="C30" i="26"/>
  <c r="E30" i="19"/>
  <c r="C30" i="38"/>
  <c r="C30" i="27"/>
  <c r="C30" i="76" s="1"/>
  <c r="I30" i="9"/>
  <c r="G30" i="34"/>
  <c r="C30" i="7"/>
  <c r="C30" i="35"/>
  <c r="C30" i="34"/>
  <c r="C30" i="36"/>
  <c r="C30" i="37"/>
  <c r="C30" i="19"/>
  <c r="H30" i="19"/>
  <c r="E30" i="38"/>
  <c r="E30" i="82"/>
  <c r="C30" i="82"/>
  <c r="G30" i="25"/>
  <c r="C30" i="9"/>
  <c r="C30" i="11"/>
  <c r="I30" i="10"/>
  <c r="C30" i="25"/>
  <c r="C30" i="29"/>
  <c r="C30" i="28"/>
  <c r="I30" i="11"/>
  <c r="C30" i="20"/>
  <c r="F30" i="20"/>
  <c r="D39" i="54"/>
  <c r="E39" i="76"/>
  <c r="D43" i="54"/>
  <c r="E43" i="76"/>
  <c r="J24" i="54"/>
  <c r="I24" i="54"/>
  <c r="G30" i="76"/>
  <c r="F30" i="76"/>
  <c r="G16" i="76"/>
  <c r="F16" i="76"/>
  <c r="F15" i="6"/>
  <c r="E15" i="6"/>
  <c r="C15" i="78" s="1"/>
  <c r="L45" i="2"/>
  <c r="C45" i="5" s="1"/>
  <c r="D45" i="5" s="1"/>
  <c r="C50" i="54"/>
  <c r="C48" i="2"/>
  <c r="F42" i="54"/>
  <c r="D48" i="2"/>
  <c r="I35" i="54"/>
  <c r="D25" i="54"/>
  <c r="E25" i="76"/>
  <c r="C25" i="54"/>
  <c r="D46" i="54"/>
  <c r="E46" i="76"/>
  <c r="E44" i="76"/>
  <c r="D44" i="54"/>
  <c r="C44" i="54"/>
  <c r="D14" i="54"/>
  <c r="E14" i="76"/>
  <c r="C14" i="54"/>
  <c r="J25" i="54"/>
  <c r="I25" i="54"/>
  <c r="D31" i="54"/>
  <c r="E31" i="76"/>
  <c r="C31" i="54"/>
  <c r="G13" i="54"/>
  <c r="F13" i="54"/>
  <c r="F42" i="5"/>
  <c r="D42" i="6" s="1"/>
  <c r="F42" i="28"/>
  <c r="C42" i="35"/>
  <c r="F42" i="8"/>
  <c r="C42" i="9"/>
  <c r="F42" i="11"/>
  <c r="G42" i="34"/>
  <c r="C42" i="26"/>
  <c r="C42" i="37"/>
  <c r="F42" i="29"/>
  <c r="C42" i="29"/>
  <c r="C42" i="18"/>
  <c r="C42" i="20"/>
  <c r="I42" i="20"/>
  <c r="C42" i="11"/>
  <c r="C42" i="82"/>
  <c r="C42" i="25"/>
  <c r="F42" i="26"/>
  <c r="I42" i="10"/>
  <c r="I42" i="9"/>
  <c r="C42" i="34"/>
  <c r="I42" i="18"/>
  <c r="C42" i="27"/>
  <c r="C42" i="76" s="1"/>
  <c r="C42" i="19"/>
  <c r="F42" i="20"/>
  <c r="E42" i="38"/>
  <c r="E42" i="37"/>
  <c r="C42" i="8"/>
  <c r="E42" i="82"/>
  <c r="E42" i="35"/>
  <c r="F42" i="18"/>
  <c r="G42" i="36"/>
  <c r="I42" i="11"/>
  <c r="C42" i="36"/>
  <c r="C42" i="28"/>
  <c r="H42" i="19"/>
  <c r="C42" i="38"/>
  <c r="I42" i="25"/>
  <c r="E42" i="34"/>
  <c r="E42" i="25"/>
  <c r="C42" i="10"/>
  <c r="G42" i="25"/>
  <c r="I42" i="26"/>
  <c r="F42" i="10"/>
  <c r="C42" i="7"/>
  <c r="E42" i="36"/>
  <c r="F42" i="9"/>
  <c r="I42" i="28"/>
  <c r="E42" i="19"/>
  <c r="E28" i="76"/>
  <c r="D28" i="54"/>
  <c r="C28" i="54"/>
  <c r="E26" i="76"/>
  <c r="D26" i="54"/>
  <c r="C26" i="54"/>
  <c r="D40" i="54"/>
  <c r="E40" i="76"/>
  <c r="C13" i="38"/>
  <c r="G13" i="36"/>
  <c r="C13" i="28"/>
  <c r="E13" i="35"/>
  <c r="I13" i="10"/>
  <c r="I13" i="26"/>
  <c r="E13" i="37"/>
  <c r="E13" i="36"/>
  <c r="C13" i="27"/>
  <c r="C13" i="76" s="1"/>
  <c r="F13" i="20"/>
  <c r="F13" i="18"/>
  <c r="E13" i="38"/>
  <c r="F13" i="10"/>
  <c r="I13" i="9"/>
  <c r="F13" i="9"/>
  <c r="I13" i="11"/>
  <c r="C13" i="7"/>
  <c r="E13" i="82"/>
  <c r="C13" i="82"/>
  <c r="C13" i="19"/>
  <c r="C13" i="35"/>
  <c r="E13" i="19"/>
  <c r="I13" i="28"/>
  <c r="I13" i="18"/>
  <c r="F13" i="5"/>
  <c r="D13" i="6" s="1"/>
  <c r="C13" i="11"/>
  <c r="E13" i="25"/>
  <c r="C13" i="25"/>
  <c r="F13" i="26"/>
  <c r="G13" i="25"/>
  <c r="C13" i="8"/>
  <c r="C13" i="29"/>
  <c r="C13" i="37"/>
  <c r="C13" i="36"/>
  <c r="C13" i="34"/>
  <c r="C13" i="18"/>
  <c r="C13" i="20"/>
  <c r="I13" i="20"/>
  <c r="I13" i="25"/>
  <c r="C13" i="9"/>
  <c r="G13" i="34"/>
  <c r="C13" i="26"/>
  <c r="F13" i="8"/>
  <c r="E13" i="34"/>
  <c r="F13" i="28"/>
  <c r="F13" i="11"/>
  <c r="C13" i="10"/>
  <c r="F13" i="29"/>
  <c r="H13" i="19"/>
  <c r="G42" i="76"/>
  <c r="F42" i="76"/>
  <c r="F22" i="6"/>
  <c r="E51" i="6"/>
  <c r="F35" i="54"/>
  <c r="F55" i="2"/>
  <c r="C30" i="54"/>
  <c r="E24" i="76"/>
  <c r="D36" i="54"/>
  <c r="E36" i="76"/>
  <c r="D34" i="54"/>
  <c r="E34" i="76"/>
  <c r="C34" i="54"/>
  <c r="J12" i="54"/>
  <c r="D51" i="54"/>
  <c r="E51" i="76"/>
  <c r="C51" i="54"/>
  <c r="D13" i="54"/>
  <c r="E13" i="76"/>
  <c r="C13" i="54"/>
  <c r="G18" i="76"/>
  <c r="D11" i="5"/>
  <c r="L20" i="2"/>
  <c r="C20" i="5" s="1"/>
  <c r="D20" i="5" s="1"/>
  <c r="C20" i="54" s="1"/>
  <c r="L32" i="2"/>
  <c r="C32" i="5" s="1"/>
  <c r="D32" i="5" s="1"/>
  <c r="L40" i="2"/>
  <c r="C40" i="5" s="1"/>
  <c r="D40" i="5" s="1"/>
  <c r="C40" i="54" s="1"/>
  <c r="F50" i="54"/>
  <c r="F30" i="54"/>
  <c r="C42" i="54"/>
  <c r="I30" i="54"/>
  <c r="I48" i="2"/>
  <c r="D41" i="54"/>
  <c r="E41" i="76"/>
  <c r="D23" i="54"/>
  <c r="E23" i="76"/>
  <c r="D35" i="54"/>
  <c r="E35" i="76"/>
  <c r="C35" i="54"/>
  <c r="J13" i="54"/>
  <c r="I13" i="54"/>
  <c r="D15" i="54"/>
  <c r="E15" i="76"/>
  <c r="C15" i="54"/>
  <c r="E33" i="76"/>
  <c r="D33" i="54"/>
  <c r="C28" i="38"/>
  <c r="C28" i="7"/>
  <c r="E28" i="25"/>
  <c r="E28" i="35"/>
  <c r="C28" i="27"/>
  <c r="C28" i="76" s="1"/>
  <c r="F28" i="28"/>
  <c r="C28" i="82"/>
  <c r="E28" i="36"/>
  <c r="C28" i="28"/>
  <c r="C28" i="19"/>
  <c r="I28" i="18"/>
  <c r="H28" i="19"/>
  <c r="E28" i="38"/>
  <c r="C28" i="11"/>
  <c r="I28" i="25"/>
  <c r="G28" i="34"/>
  <c r="C28" i="10"/>
  <c r="E28" i="34"/>
  <c r="G28" i="36"/>
  <c r="C28" i="34"/>
  <c r="C28" i="29"/>
  <c r="C28" i="36"/>
  <c r="F28" i="20"/>
  <c r="F28" i="5"/>
  <c r="D28" i="6" s="1"/>
  <c r="I28" i="26"/>
  <c r="C28" i="8"/>
  <c r="F28" i="29"/>
  <c r="G28" i="25"/>
  <c r="C28" i="35"/>
  <c r="F28" i="10"/>
  <c r="C28" i="25"/>
  <c r="C28" i="26"/>
  <c r="I28" i="11"/>
  <c r="C28" i="37"/>
  <c r="C28" i="20"/>
  <c r="F28" i="18"/>
  <c r="F28" i="9"/>
  <c r="I28" i="20"/>
  <c r="F28" i="11"/>
  <c r="I28" i="9"/>
  <c r="F28" i="8"/>
  <c r="E28" i="82"/>
  <c r="C28" i="9"/>
  <c r="F28" i="26"/>
  <c r="I28" i="10"/>
  <c r="E28" i="37"/>
  <c r="C28" i="18"/>
  <c r="E28" i="19"/>
  <c r="I28" i="28"/>
  <c r="D17" i="54"/>
  <c r="E17" i="76"/>
  <c r="C17" i="54"/>
  <c r="J55" i="2"/>
  <c r="D37" i="54"/>
  <c r="E37" i="76"/>
  <c r="C37" i="54"/>
  <c r="D29" i="54"/>
  <c r="E29" i="76"/>
  <c r="G50" i="76"/>
  <c r="F50" i="76"/>
  <c r="G38" i="76"/>
  <c r="F38" i="76"/>
  <c r="F25" i="5"/>
  <c r="D25" i="6" s="1"/>
  <c r="I25" i="26"/>
  <c r="G25" i="34"/>
  <c r="C25" i="7"/>
  <c r="F25" i="8"/>
  <c r="I25" i="9"/>
  <c r="C25" i="10"/>
  <c r="G25" i="25"/>
  <c r="C25" i="29"/>
  <c r="C25" i="9"/>
  <c r="C25" i="26"/>
  <c r="C25" i="28"/>
  <c r="C25" i="18"/>
  <c r="H25" i="19"/>
  <c r="I25" i="20"/>
  <c r="F25" i="26"/>
  <c r="C25" i="27"/>
  <c r="C25" i="76" s="1"/>
  <c r="E25" i="25"/>
  <c r="F25" i="11"/>
  <c r="F25" i="10"/>
  <c r="I25" i="11"/>
  <c r="I25" i="18"/>
  <c r="C25" i="20"/>
  <c r="F25" i="29"/>
  <c r="C25" i="38"/>
  <c r="C25" i="8"/>
  <c r="E25" i="82"/>
  <c r="E25" i="34"/>
  <c r="C25" i="35"/>
  <c r="I25" i="10"/>
  <c r="C25" i="82"/>
  <c r="C25" i="36"/>
  <c r="I25" i="28"/>
  <c r="E25" i="37"/>
  <c r="G25" i="36"/>
  <c r="C25" i="19"/>
  <c r="F25" i="20"/>
  <c r="E25" i="38"/>
  <c r="F25" i="9"/>
  <c r="I25" i="25"/>
  <c r="E25" i="35"/>
  <c r="F25" i="28"/>
  <c r="C25" i="11"/>
  <c r="C25" i="34"/>
  <c r="C25" i="37"/>
  <c r="E25" i="36"/>
  <c r="C25" i="25"/>
  <c r="F25" i="18"/>
  <c r="E25" i="19"/>
  <c r="G27" i="76"/>
  <c r="F27" i="76"/>
  <c r="I28" i="54"/>
  <c r="F16" i="54"/>
  <c r="I50" i="54"/>
  <c r="E12" i="76"/>
  <c r="E55" i="2"/>
  <c r="H55" i="2"/>
  <c r="E11" i="78"/>
  <c r="E36" i="78"/>
  <c r="E32" i="78"/>
  <c r="E20" i="78"/>
  <c r="E42" i="78"/>
  <c r="E16" i="78"/>
  <c r="K55" i="2"/>
  <c r="X14" i="2"/>
  <c r="C41" i="36" l="1"/>
  <c r="C41" i="10"/>
  <c r="C41" i="37"/>
  <c r="E41" i="37"/>
  <c r="F41" i="9"/>
  <c r="I41" i="10"/>
  <c r="F41" i="29"/>
  <c r="C41" i="25"/>
  <c r="C41" i="54"/>
  <c r="E41" i="82"/>
  <c r="C41" i="38"/>
  <c r="C41" i="19"/>
  <c r="I41" i="26"/>
  <c r="C41" i="26"/>
  <c r="C41" i="35"/>
  <c r="I41" i="18"/>
  <c r="F41" i="8"/>
  <c r="I41" i="25"/>
  <c r="F41" i="18"/>
  <c r="F41" i="11"/>
  <c r="I41" i="20"/>
  <c r="G41" i="36"/>
  <c r="G41" i="34"/>
  <c r="E41" i="34"/>
  <c r="F41" i="10"/>
  <c r="C41" i="20"/>
  <c r="C41" i="7"/>
  <c r="H41" i="19"/>
  <c r="C41" i="11"/>
  <c r="I41" i="11"/>
  <c r="F41" i="28"/>
  <c r="F41" i="5"/>
  <c r="D41" i="6" s="1"/>
  <c r="E41" i="6" s="1"/>
  <c r="C41" i="78" s="1"/>
  <c r="C41" i="34"/>
  <c r="E41" i="38"/>
  <c r="F41" i="54"/>
  <c r="C41" i="29"/>
  <c r="G41" i="25"/>
  <c r="C41" i="8"/>
  <c r="C41" i="27"/>
  <c r="C41" i="76" s="1"/>
  <c r="F41" i="20"/>
  <c r="C41" i="9"/>
  <c r="C41" i="18"/>
  <c r="C41" i="82"/>
  <c r="I41" i="54"/>
  <c r="E41" i="36"/>
  <c r="I41" i="9"/>
  <c r="C41" i="28"/>
  <c r="E41" i="25"/>
  <c r="I41" i="28"/>
  <c r="E41" i="35"/>
  <c r="E41" i="19"/>
  <c r="I37" i="26"/>
  <c r="C12" i="25"/>
  <c r="C46" i="29"/>
  <c r="C16" i="54"/>
  <c r="I16" i="54"/>
  <c r="C39" i="7"/>
  <c r="I16" i="11"/>
  <c r="C16" i="8"/>
  <c r="E16" i="25"/>
  <c r="F16" i="28"/>
  <c r="I16" i="10"/>
  <c r="C16" i="26"/>
  <c r="F16" i="29"/>
  <c r="C16" i="7"/>
  <c r="G16" i="34"/>
  <c r="E16" i="19"/>
  <c r="C16" i="28"/>
  <c r="G37" i="36"/>
  <c r="I43" i="54"/>
  <c r="C21" i="36"/>
  <c r="I46" i="9"/>
  <c r="I39" i="25"/>
  <c r="I12" i="25"/>
  <c r="F37" i="20"/>
  <c r="F43" i="18"/>
  <c r="C43" i="38"/>
  <c r="F36" i="20"/>
  <c r="G36" i="36"/>
  <c r="H36" i="19"/>
  <c r="F31" i="6"/>
  <c r="C29" i="54"/>
  <c r="C29" i="18"/>
  <c r="I36" i="10"/>
  <c r="C18" i="37"/>
  <c r="I29" i="10"/>
  <c r="C36" i="7"/>
  <c r="C39" i="28"/>
  <c r="E39" i="25"/>
  <c r="F12" i="8"/>
  <c r="I12" i="18"/>
  <c r="C43" i="27"/>
  <c r="C43" i="76" s="1"/>
  <c r="C43" i="36"/>
  <c r="I21" i="18"/>
  <c r="F46" i="11"/>
  <c r="C46" i="10"/>
  <c r="I12" i="54"/>
  <c r="C39" i="35"/>
  <c r="I12" i="20"/>
  <c r="F43" i="5"/>
  <c r="D43" i="6" s="1"/>
  <c r="F43" i="6" s="1"/>
  <c r="G46" i="36"/>
  <c r="C39" i="19"/>
  <c r="I12" i="9"/>
  <c r="C43" i="20"/>
  <c r="C43" i="25"/>
  <c r="F21" i="26"/>
  <c r="F46" i="10"/>
  <c r="C18" i="25"/>
  <c r="C18" i="34"/>
  <c r="F29" i="5"/>
  <c r="D29" i="6" s="1"/>
  <c r="F29" i="6" s="1"/>
  <c r="G29" i="34"/>
  <c r="C36" i="34"/>
  <c r="G36" i="25"/>
  <c r="I36" i="9"/>
  <c r="C36" i="20"/>
  <c r="C36" i="36"/>
  <c r="F18" i="28"/>
  <c r="C18" i="35"/>
  <c r="C36" i="54"/>
  <c r="I29" i="11"/>
  <c r="F29" i="10"/>
  <c r="E36" i="35"/>
  <c r="F36" i="18"/>
  <c r="E36" i="25"/>
  <c r="I36" i="18"/>
  <c r="G36" i="34"/>
  <c r="F36" i="54"/>
  <c r="I36" i="25"/>
  <c r="F36" i="28"/>
  <c r="I36" i="26"/>
  <c r="F37" i="18"/>
  <c r="F38" i="6"/>
  <c r="C39" i="10"/>
  <c r="C39" i="37"/>
  <c r="E39" i="19"/>
  <c r="C39" i="11"/>
  <c r="C39" i="36"/>
  <c r="F39" i="8"/>
  <c r="C12" i="27"/>
  <c r="C12" i="76" s="1"/>
  <c r="E12" i="34"/>
  <c r="I12" i="28"/>
  <c r="F12" i="9"/>
  <c r="F12" i="28"/>
  <c r="I12" i="11"/>
  <c r="C43" i="18"/>
  <c r="C43" i="29"/>
  <c r="G43" i="34"/>
  <c r="C43" i="37"/>
  <c r="E43" i="35"/>
  <c r="C43" i="34"/>
  <c r="C21" i="18"/>
  <c r="E21" i="36"/>
  <c r="C21" i="27"/>
  <c r="C21" i="76" s="1"/>
  <c r="F21" i="5"/>
  <c r="D21" i="6" s="1"/>
  <c r="E21" i="6" s="1"/>
  <c r="C21" i="78" s="1"/>
  <c r="E46" i="19"/>
  <c r="E46" i="25"/>
  <c r="I46" i="28"/>
  <c r="I46" i="20"/>
  <c r="C46" i="82"/>
  <c r="C46" i="28"/>
  <c r="E46" i="38"/>
  <c r="C37" i="20"/>
  <c r="C37" i="8"/>
  <c r="F39" i="29"/>
  <c r="E39" i="34"/>
  <c r="C39" i="34"/>
  <c r="G39" i="36"/>
  <c r="C39" i="8"/>
  <c r="C39" i="82"/>
  <c r="E12" i="82"/>
  <c r="C12" i="18"/>
  <c r="E12" i="35"/>
  <c r="C12" i="37"/>
  <c r="C12" i="19"/>
  <c r="C12" i="9"/>
  <c r="I43" i="26"/>
  <c r="C43" i="26"/>
  <c r="F43" i="11"/>
  <c r="C43" i="28"/>
  <c r="I43" i="11"/>
  <c r="E43" i="25"/>
  <c r="C21" i="29"/>
  <c r="G21" i="36"/>
  <c r="I21" i="20"/>
  <c r="E46" i="34"/>
  <c r="C46" i="38"/>
  <c r="E46" i="35"/>
  <c r="C46" i="19"/>
  <c r="E46" i="82"/>
  <c r="C46" i="8"/>
  <c r="C37" i="26"/>
  <c r="F37" i="9"/>
  <c r="E37" i="36"/>
  <c r="C39" i="25"/>
  <c r="C39" i="26"/>
  <c r="I39" i="20"/>
  <c r="E39" i="35"/>
  <c r="F39" i="20"/>
  <c r="F39" i="28"/>
  <c r="C12" i="36"/>
  <c r="C12" i="35"/>
  <c r="C12" i="34"/>
  <c r="C12" i="28"/>
  <c r="G12" i="34"/>
  <c r="C12" i="10"/>
  <c r="E43" i="37"/>
  <c r="E43" i="82"/>
  <c r="I43" i="25"/>
  <c r="C43" i="19"/>
  <c r="E43" i="38"/>
  <c r="C43" i="35"/>
  <c r="I21" i="25"/>
  <c r="C21" i="26"/>
  <c r="F21" i="11"/>
  <c r="I46" i="54"/>
  <c r="I46" i="11"/>
  <c r="F46" i="28"/>
  <c r="C46" i="34"/>
  <c r="C46" i="35"/>
  <c r="F46" i="29"/>
  <c r="I46" i="26"/>
  <c r="I37" i="54"/>
  <c r="C37" i="18"/>
  <c r="C37" i="11"/>
  <c r="I37" i="28"/>
  <c r="G37" i="34"/>
  <c r="C37" i="27"/>
  <c r="C37" i="76" s="1"/>
  <c r="F37" i="28"/>
  <c r="F37" i="26"/>
  <c r="C37" i="35"/>
  <c r="E37" i="82"/>
  <c r="F37" i="54"/>
  <c r="C37" i="29"/>
  <c r="C37" i="7"/>
  <c r="E37" i="37"/>
  <c r="E37" i="34"/>
  <c r="C37" i="38"/>
  <c r="F37" i="29"/>
  <c r="I37" i="25"/>
  <c r="C37" i="9"/>
  <c r="F37" i="5"/>
  <c r="D37" i="6" s="1"/>
  <c r="E37" i="6" s="1"/>
  <c r="C37" i="78" s="1"/>
  <c r="H37" i="19"/>
  <c r="C37" i="37"/>
  <c r="F37" i="8"/>
  <c r="C37" i="36"/>
  <c r="C37" i="82"/>
  <c r="E37" i="19"/>
  <c r="E37" i="25"/>
  <c r="I37" i="11"/>
  <c r="I37" i="20"/>
  <c r="I33" i="20"/>
  <c r="E37" i="38"/>
  <c r="C37" i="25"/>
  <c r="I37" i="10"/>
  <c r="I37" i="18"/>
  <c r="G37" i="25"/>
  <c r="F37" i="10"/>
  <c r="C37" i="19"/>
  <c r="E37" i="35"/>
  <c r="C37" i="10"/>
  <c r="C37" i="28"/>
  <c r="C37" i="34"/>
  <c r="I37" i="9"/>
  <c r="F33" i="10"/>
  <c r="E33" i="36"/>
  <c r="F33" i="26"/>
  <c r="E33" i="34"/>
  <c r="F33" i="5"/>
  <c r="D33" i="6" s="1"/>
  <c r="F33" i="6" s="1"/>
  <c r="C33" i="37"/>
  <c r="C33" i="27"/>
  <c r="C33" i="76" s="1"/>
  <c r="F18" i="54"/>
  <c r="C18" i="18"/>
  <c r="E18" i="35"/>
  <c r="I18" i="26"/>
  <c r="I18" i="9"/>
  <c r="C18" i="27"/>
  <c r="C18" i="76" s="1"/>
  <c r="I18" i="25"/>
  <c r="F29" i="26"/>
  <c r="C29" i="9"/>
  <c r="E29" i="38"/>
  <c r="C29" i="7"/>
  <c r="H29" i="19"/>
  <c r="I29" i="26"/>
  <c r="C29" i="82"/>
  <c r="I36" i="20"/>
  <c r="C36" i="9"/>
  <c r="C36" i="19"/>
  <c r="C36" i="38"/>
  <c r="C36" i="8"/>
  <c r="C36" i="18"/>
  <c r="E36" i="38"/>
  <c r="F36" i="9"/>
  <c r="C36" i="10"/>
  <c r="E36" i="19"/>
  <c r="F36" i="11"/>
  <c r="F36" i="26"/>
  <c r="F36" i="29"/>
  <c r="I36" i="54"/>
  <c r="E36" i="34"/>
  <c r="C36" i="28"/>
  <c r="F36" i="10"/>
  <c r="C36" i="11"/>
  <c r="C36" i="37"/>
  <c r="C36" i="27"/>
  <c r="C36" i="76" s="1"/>
  <c r="F36" i="8"/>
  <c r="C36" i="26"/>
  <c r="I36" i="11"/>
  <c r="E36" i="37"/>
  <c r="E36" i="36"/>
  <c r="F36" i="5"/>
  <c r="D36" i="6" s="1"/>
  <c r="E36" i="6" s="1"/>
  <c r="C36" i="78" s="1"/>
  <c r="E36" i="82"/>
  <c r="C36" i="29"/>
  <c r="C36" i="82"/>
  <c r="I36" i="28"/>
  <c r="C36" i="35"/>
  <c r="C12" i="54"/>
  <c r="F43" i="54"/>
  <c r="C43" i="54"/>
  <c r="C39" i="54"/>
  <c r="C21" i="54"/>
  <c r="E39" i="37"/>
  <c r="F39" i="11"/>
  <c r="C39" i="38"/>
  <c r="C39" i="27"/>
  <c r="C39" i="76" s="1"/>
  <c r="G39" i="25"/>
  <c r="C39" i="29"/>
  <c r="E39" i="36"/>
  <c r="I39" i="9"/>
  <c r="F39" i="5"/>
  <c r="D39" i="6" s="1"/>
  <c r="E39" i="6" s="1"/>
  <c r="C39" i="78" s="1"/>
  <c r="I39" i="18"/>
  <c r="F39" i="10"/>
  <c r="F39" i="26"/>
  <c r="F12" i="29"/>
  <c r="G12" i="25"/>
  <c r="G12" i="36"/>
  <c r="C12" i="38"/>
  <c r="I12" i="10"/>
  <c r="F12" i="10"/>
  <c r="C12" i="20"/>
  <c r="C12" i="82"/>
  <c r="C12" i="11"/>
  <c r="F12" i="5"/>
  <c r="D12" i="6" s="1"/>
  <c r="E12" i="6" s="1"/>
  <c r="C12" i="78" s="1"/>
  <c r="C12" i="29"/>
  <c r="F12" i="26"/>
  <c r="E12" i="38"/>
  <c r="F12" i="54"/>
  <c r="F43" i="29"/>
  <c r="F43" i="9"/>
  <c r="I43" i="10"/>
  <c r="F43" i="28"/>
  <c r="C43" i="11"/>
  <c r="C43" i="7"/>
  <c r="E43" i="19"/>
  <c r="E43" i="34"/>
  <c r="G43" i="25"/>
  <c r="F43" i="20"/>
  <c r="I43" i="28"/>
  <c r="C43" i="82"/>
  <c r="C21" i="28"/>
  <c r="C21" i="38"/>
  <c r="F21" i="10"/>
  <c r="C21" i="20"/>
  <c r="F21" i="29"/>
  <c r="C21" i="10"/>
  <c r="C46" i="20"/>
  <c r="E46" i="37"/>
  <c r="C46" i="27"/>
  <c r="C46" i="76" s="1"/>
  <c r="F46" i="18"/>
  <c r="C46" i="26"/>
  <c r="E46" i="36"/>
  <c r="H46" i="19"/>
  <c r="C46" i="11"/>
  <c r="I46" i="10"/>
  <c r="F46" i="5"/>
  <c r="D46" i="6" s="1"/>
  <c r="F46" i="6" s="1"/>
  <c r="C46" i="37"/>
  <c r="C46" i="7"/>
  <c r="F39" i="54"/>
  <c r="I39" i="54"/>
  <c r="C46" i="54"/>
  <c r="F39" i="18"/>
  <c r="I39" i="11"/>
  <c r="E39" i="82"/>
  <c r="C39" i="18"/>
  <c r="C39" i="9"/>
  <c r="F39" i="9"/>
  <c r="C39" i="20"/>
  <c r="I39" i="26"/>
  <c r="G39" i="34"/>
  <c r="H39" i="19"/>
  <c r="I39" i="28"/>
  <c r="I39" i="10"/>
  <c r="F12" i="18"/>
  <c r="E12" i="36"/>
  <c r="C12" i="26"/>
  <c r="E12" i="19"/>
  <c r="E12" i="37"/>
  <c r="C12" i="8"/>
  <c r="F12" i="20"/>
  <c r="C12" i="7"/>
  <c r="I12" i="26"/>
  <c r="H12" i="19"/>
  <c r="F12" i="11"/>
  <c r="E43" i="36"/>
  <c r="I43" i="9"/>
  <c r="I43" i="20"/>
  <c r="G43" i="36"/>
  <c r="F43" i="8"/>
  <c r="I43" i="18"/>
  <c r="H43" i="19"/>
  <c r="F43" i="10"/>
  <c r="F43" i="26"/>
  <c r="C43" i="9"/>
  <c r="C43" i="8"/>
  <c r="F21" i="54"/>
  <c r="G21" i="34"/>
  <c r="E21" i="19"/>
  <c r="F21" i="9"/>
  <c r="E21" i="35"/>
  <c r="C21" i="19"/>
  <c r="C21" i="9"/>
  <c r="F46" i="54"/>
  <c r="C46" i="36"/>
  <c r="C46" i="25"/>
  <c r="F46" i="26"/>
  <c r="I46" i="18"/>
  <c r="C46" i="9"/>
  <c r="G46" i="34"/>
  <c r="F46" i="20"/>
  <c r="F46" i="9"/>
  <c r="G46" i="25"/>
  <c r="C46" i="18"/>
  <c r="F46" i="8"/>
  <c r="E33" i="38"/>
  <c r="C23" i="37"/>
  <c r="I23" i="9"/>
  <c r="I23" i="10"/>
  <c r="G23" i="34"/>
  <c r="E23" i="35"/>
  <c r="F23" i="8"/>
  <c r="H33" i="19"/>
  <c r="E33" i="37"/>
  <c r="F33" i="11"/>
  <c r="C23" i="20"/>
  <c r="I23" i="25"/>
  <c r="I23" i="18"/>
  <c r="F23" i="5"/>
  <c r="D23" i="6" s="1"/>
  <c r="E23" i="6" s="1"/>
  <c r="C23" i="78" s="1"/>
  <c r="C23" i="7"/>
  <c r="E23" i="36"/>
  <c r="C23" i="38"/>
  <c r="F23" i="54"/>
  <c r="C23" i="27"/>
  <c r="C23" i="76" s="1"/>
  <c r="E23" i="37"/>
  <c r="F23" i="11"/>
  <c r="C23" i="82"/>
  <c r="C23" i="9"/>
  <c r="E23" i="82"/>
  <c r="E18" i="37"/>
  <c r="F18" i="10"/>
  <c r="E18" i="38"/>
  <c r="E18" i="34"/>
  <c r="G18" i="25"/>
  <c r="G18" i="34"/>
  <c r="G18" i="36"/>
  <c r="E18" i="82"/>
  <c r="C18" i="10"/>
  <c r="C18" i="26"/>
  <c r="F18" i="26"/>
  <c r="F18" i="11"/>
  <c r="E29" i="19"/>
  <c r="C29" i="36"/>
  <c r="C29" i="11"/>
  <c r="C29" i="28"/>
  <c r="I29" i="28"/>
  <c r="C29" i="34"/>
  <c r="F29" i="20"/>
  <c r="E29" i="36"/>
  <c r="E29" i="25"/>
  <c r="F29" i="18"/>
  <c r="C29" i="27"/>
  <c r="C29" i="76" s="1"/>
  <c r="E29" i="82"/>
  <c r="F33" i="20"/>
  <c r="G33" i="34"/>
  <c r="I33" i="9"/>
  <c r="C33" i="20"/>
  <c r="C33" i="18"/>
  <c r="C33" i="35"/>
  <c r="F33" i="29"/>
  <c r="C33" i="7"/>
  <c r="I33" i="26"/>
  <c r="C33" i="19"/>
  <c r="F33" i="9"/>
  <c r="C33" i="38"/>
  <c r="C18" i="54"/>
  <c r="C33" i="54"/>
  <c r="C18" i="36"/>
  <c r="F18" i="9"/>
  <c r="C18" i="9"/>
  <c r="C18" i="20"/>
  <c r="C18" i="7"/>
  <c r="F18" i="8"/>
  <c r="H18" i="19"/>
  <c r="E18" i="36"/>
  <c r="I18" i="10"/>
  <c r="F18" i="20"/>
  <c r="E18" i="25"/>
  <c r="C18" i="11"/>
  <c r="F18" i="76"/>
  <c r="C29" i="20"/>
  <c r="F29" i="8"/>
  <c r="E29" i="35"/>
  <c r="I29" i="18"/>
  <c r="I29" i="25"/>
  <c r="G29" i="25"/>
  <c r="C29" i="37"/>
  <c r="C29" i="10"/>
  <c r="C29" i="38"/>
  <c r="F29" i="29"/>
  <c r="C29" i="35"/>
  <c r="I29" i="20"/>
  <c r="I29" i="54"/>
  <c r="I33" i="54"/>
  <c r="I33" i="18"/>
  <c r="C33" i="10"/>
  <c r="G33" i="25"/>
  <c r="F33" i="18"/>
  <c r="I33" i="11"/>
  <c r="C33" i="8"/>
  <c r="C33" i="36"/>
  <c r="I33" i="25"/>
  <c r="E33" i="82"/>
  <c r="C33" i="25"/>
  <c r="C33" i="34"/>
  <c r="I18" i="54"/>
  <c r="E18" i="19"/>
  <c r="I18" i="28"/>
  <c r="C18" i="82"/>
  <c r="C18" i="19"/>
  <c r="I18" i="18"/>
  <c r="C18" i="8"/>
  <c r="I18" i="20"/>
  <c r="C18" i="29"/>
  <c r="I18" i="11"/>
  <c r="F18" i="5"/>
  <c r="D18" i="6" s="1"/>
  <c r="F18" i="6" s="1"/>
  <c r="F18" i="18"/>
  <c r="C18" i="28"/>
  <c r="C18" i="38"/>
  <c r="F29" i="54"/>
  <c r="C29" i="26"/>
  <c r="F29" i="9"/>
  <c r="C29" i="25"/>
  <c r="F29" i="28"/>
  <c r="C29" i="19"/>
  <c r="E29" i="34"/>
  <c r="C29" i="29"/>
  <c r="C29" i="8"/>
  <c r="F29" i="11"/>
  <c r="G29" i="36"/>
  <c r="I29" i="9"/>
  <c r="F33" i="54"/>
  <c r="F33" i="28"/>
  <c r="E33" i="35"/>
  <c r="I33" i="10"/>
  <c r="C33" i="28"/>
  <c r="G33" i="36"/>
  <c r="C33" i="29"/>
  <c r="I33" i="28"/>
  <c r="C33" i="11"/>
  <c r="F33" i="8"/>
  <c r="E33" i="19"/>
  <c r="C33" i="82"/>
  <c r="G55" i="2"/>
  <c r="I55" i="2"/>
  <c r="I21" i="54"/>
  <c r="E21" i="82"/>
  <c r="C21" i="82"/>
  <c r="E21" i="25"/>
  <c r="F21" i="18"/>
  <c r="F21" i="8"/>
  <c r="E21" i="38"/>
  <c r="E21" i="37"/>
  <c r="F21" i="28"/>
  <c r="C21" i="7"/>
  <c r="I21" i="28"/>
  <c r="C21" i="35"/>
  <c r="I21" i="26"/>
  <c r="F23" i="20"/>
  <c r="F23" i="29"/>
  <c r="E23" i="34"/>
  <c r="E23" i="19"/>
  <c r="C23" i="10"/>
  <c r="F23" i="26"/>
  <c r="H23" i="19"/>
  <c r="F23" i="18"/>
  <c r="C23" i="8"/>
  <c r="C23" i="34"/>
  <c r="C23" i="18"/>
  <c r="C23" i="11"/>
  <c r="C23" i="54"/>
  <c r="F21" i="20"/>
  <c r="C21" i="25"/>
  <c r="I21" i="9"/>
  <c r="H21" i="19"/>
  <c r="C21" i="34"/>
  <c r="C21" i="11"/>
  <c r="C21" i="37"/>
  <c r="E21" i="34"/>
  <c r="I21" i="11"/>
  <c r="C21" i="8"/>
  <c r="I21" i="10"/>
  <c r="I23" i="54"/>
  <c r="C23" i="19"/>
  <c r="C23" i="35"/>
  <c r="I23" i="20"/>
  <c r="C23" i="36"/>
  <c r="I23" i="11"/>
  <c r="C23" i="25"/>
  <c r="I23" i="28"/>
  <c r="E23" i="25"/>
  <c r="C23" i="28"/>
  <c r="C23" i="26"/>
  <c r="F23" i="9"/>
  <c r="E33" i="25"/>
  <c r="C33" i="9"/>
  <c r="G27" i="90"/>
  <c r="I27" i="90"/>
  <c r="E27" i="90"/>
  <c r="I22" i="90"/>
  <c r="G22" i="90"/>
  <c r="E22" i="90"/>
  <c r="E19" i="76"/>
  <c r="D19" i="54"/>
  <c r="C19" i="54"/>
  <c r="G29" i="76"/>
  <c r="F29" i="76"/>
  <c r="G17" i="76"/>
  <c r="F17" i="76"/>
  <c r="G15" i="76"/>
  <c r="F15" i="76"/>
  <c r="G23" i="76"/>
  <c r="F23" i="76"/>
  <c r="F40" i="9"/>
  <c r="I40" i="20"/>
  <c r="C40" i="35"/>
  <c r="C40" i="82"/>
  <c r="E40" i="25"/>
  <c r="F40" i="10"/>
  <c r="I40" i="10"/>
  <c r="C40" i="11"/>
  <c r="C40" i="28"/>
  <c r="I40" i="11"/>
  <c r="C40" i="29"/>
  <c r="G40" i="36"/>
  <c r="E40" i="19"/>
  <c r="C40" i="19"/>
  <c r="C40" i="38"/>
  <c r="F40" i="26"/>
  <c r="I40" i="9"/>
  <c r="G40" i="34"/>
  <c r="G40" i="25"/>
  <c r="F40" i="29"/>
  <c r="I40" i="25"/>
  <c r="C40" i="34"/>
  <c r="E40" i="37"/>
  <c r="C40" i="18"/>
  <c r="C40" i="36"/>
  <c r="H40" i="19"/>
  <c r="E40" i="38"/>
  <c r="F40" i="11"/>
  <c r="F40" i="28"/>
  <c r="F40" i="8"/>
  <c r="C40" i="10"/>
  <c r="E40" i="82"/>
  <c r="E40" i="34"/>
  <c r="E40" i="35"/>
  <c r="I40" i="28"/>
  <c r="F40" i="18"/>
  <c r="C40" i="25"/>
  <c r="I40" i="18"/>
  <c r="F40" i="20"/>
  <c r="F40" i="5"/>
  <c r="D40" i="6" s="1"/>
  <c r="C40" i="7"/>
  <c r="C40" i="8"/>
  <c r="I40" i="26"/>
  <c r="C40" i="9"/>
  <c r="C40" i="27"/>
  <c r="C40" i="76" s="1"/>
  <c r="C40" i="26"/>
  <c r="C40" i="37"/>
  <c r="E40" i="36"/>
  <c r="C40" i="20"/>
  <c r="F40" i="54"/>
  <c r="I40" i="54"/>
  <c r="G13" i="76"/>
  <c r="F13" i="76"/>
  <c r="G34" i="76"/>
  <c r="F34" i="76"/>
  <c r="G40" i="76"/>
  <c r="F40" i="76"/>
  <c r="G26" i="76"/>
  <c r="F26" i="76"/>
  <c r="E42" i="6"/>
  <c r="C42" i="78" s="1"/>
  <c r="F42" i="6"/>
  <c r="G31" i="76"/>
  <c r="F31" i="76"/>
  <c r="G25" i="76"/>
  <c r="F25" i="76"/>
  <c r="E45" i="38"/>
  <c r="E45" i="25"/>
  <c r="E45" i="34"/>
  <c r="I45" i="10"/>
  <c r="I45" i="9"/>
  <c r="G45" i="25"/>
  <c r="C45" i="37"/>
  <c r="C45" i="28"/>
  <c r="H45" i="19"/>
  <c r="I45" i="28"/>
  <c r="F45" i="5"/>
  <c r="D45" i="6" s="1"/>
  <c r="F45" i="10"/>
  <c r="F45" i="9"/>
  <c r="E45" i="82"/>
  <c r="C45" i="11"/>
  <c r="C45" i="10"/>
  <c r="I45" i="26"/>
  <c r="C45" i="26"/>
  <c r="F45" i="28"/>
  <c r="F45" i="29"/>
  <c r="C45" i="8"/>
  <c r="C45" i="20"/>
  <c r="I45" i="11"/>
  <c r="F45" i="8"/>
  <c r="I45" i="20"/>
  <c r="F45" i="26"/>
  <c r="C45" i="7"/>
  <c r="C45" i="9"/>
  <c r="E45" i="35"/>
  <c r="I45" i="18"/>
  <c r="C45" i="36"/>
  <c r="C45" i="34"/>
  <c r="G45" i="36"/>
  <c r="E45" i="19"/>
  <c r="F45" i="20"/>
  <c r="F45" i="18"/>
  <c r="C45" i="38"/>
  <c r="F45" i="11"/>
  <c r="E45" i="37"/>
  <c r="C45" i="27"/>
  <c r="C45" i="76" s="1"/>
  <c r="I45" i="25"/>
  <c r="G45" i="34"/>
  <c r="C45" i="35"/>
  <c r="C45" i="25"/>
  <c r="E45" i="36"/>
  <c r="C45" i="82"/>
  <c r="C45" i="29"/>
  <c r="C45" i="19"/>
  <c r="C45" i="18"/>
  <c r="I45" i="54"/>
  <c r="F45" i="54"/>
  <c r="G43" i="76"/>
  <c r="F43" i="76"/>
  <c r="G39" i="76"/>
  <c r="F39" i="76"/>
  <c r="G21" i="76"/>
  <c r="F21" i="76"/>
  <c r="F26" i="6"/>
  <c r="E26" i="6"/>
  <c r="C26" i="78" s="1"/>
  <c r="E24" i="6"/>
  <c r="C24" i="78" s="1"/>
  <c r="F24" i="6"/>
  <c r="L48" i="2"/>
  <c r="C48" i="5"/>
  <c r="G11" i="54"/>
  <c r="E48" i="54"/>
  <c r="F11" i="54"/>
  <c r="E11" i="76"/>
  <c r="G15" i="90"/>
  <c r="I15" i="90"/>
  <c r="E15" i="90"/>
  <c r="G37" i="76"/>
  <c r="F37" i="76"/>
  <c r="E28" i="6"/>
  <c r="C28" i="78" s="1"/>
  <c r="F28" i="6"/>
  <c r="G41" i="76"/>
  <c r="F41" i="76"/>
  <c r="C11" i="38"/>
  <c r="G11" i="25"/>
  <c r="C11" i="8"/>
  <c r="I11" i="26"/>
  <c r="F11" i="8"/>
  <c r="C11" i="7"/>
  <c r="C11" i="82"/>
  <c r="I11" i="9"/>
  <c r="C11" i="37"/>
  <c r="C11" i="20"/>
  <c r="I11" i="11"/>
  <c r="F11" i="20"/>
  <c r="F11" i="18"/>
  <c r="D48" i="5"/>
  <c r="F11" i="11"/>
  <c r="E11" i="82"/>
  <c r="I11" i="25"/>
  <c r="C11" i="10"/>
  <c r="F11" i="9"/>
  <c r="E11" i="34"/>
  <c r="C11" i="18"/>
  <c r="E11" i="36"/>
  <c r="F11" i="29"/>
  <c r="C11" i="28"/>
  <c r="H11" i="19"/>
  <c r="F11" i="5"/>
  <c r="E11" i="90" s="1"/>
  <c r="I11" i="20"/>
  <c r="C11" i="26"/>
  <c r="C11" i="35"/>
  <c r="C11" i="11"/>
  <c r="F11" i="10"/>
  <c r="E11" i="25"/>
  <c r="C11" i="25"/>
  <c r="G11" i="36"/>
  <c r="I11" i="28"/>
  <c r="I11" i="18"/>
  <c r="C11" i="29"/>
  <c r="C11" i="36"/>
  <c r="E11" i="38"/>
  <c r="C11" i="34"/>
  <c r="I11" i="10"/>
  <c r="C11" i="9"/>
  <c r="E11" i="35"/>
  <c r="G11" i="34"/>
  <c r="F11" i="26"/>
  <c r="F11" i="28"/>
  <c r="E11" i="37"/>
  <c r="C11" i="19"/>
  <c r="C11" i="27"/>
  <c r="C11" i="76" s="1"/>
  <c r="E11" i="19"/>
  <c r="C11" i="54"/>
  <c r="G51" i="76"/>
  <c r="F51" i="76"/>
  <c r="G36" i="76"/>
  <c r="F36" i="76"/>
  <c r="G28" i="76"/>
  <c r="F28" i="76"/>
  <c r="G14" i="76"/>
  <c r="F14" i="76"/>
  <c r="G44" i="76"/>
  <c r="F44" i="76"/>
  <c r="G32" i="76"/>
  <c r="F32" i="76"/>
  <c r="F44" i="6"/>
  <c r="E44" i="6"/>
  <c r="C44" i="78" s="1"/>
  <c r="E14" i="6"/>
  <c r="C14" i="78" s="1"/>
  <c r="F14" i="6"/>
  <c r="F34" i="6"/>
  <c r="E34" i="6"/>
  <c r="C34" i="78" s="1"/>
  <c r="E19" i="6"/>
  <c r="C19" i="78" s="1"/>
  <c r="F19" i="6"/>
  <c r="E27" i="6"/>
  <c r="C27" i="78" s="1"/>
  <c r="F27" i="6"/>
  <c r="J11" i="54"/>
  <c r="H48" i="54"/>
  <c r="I11" i="54"/>
  <c r="J22" i="54"/>
  <c r="I22" i="54"/>
  <c r="E22" i="76"/>
  <c r="E25" i="6"/>
  <c r="C25" i="78" s="1"/>
  <c r="F25" i="6"/>
  <c r="C20" i="38"/>
  <c r="E20" i="82"/>
  <c r="C20" i="27"/>
  <c r="C20" i="76" s="1"/>
  <c r="C20" i="82"/>
  <c r="F20" i="9"/>
  <c r="E20" i="34"/>
  <c r="F20" i="10"/>
  <c r="C20" i="29"/>
  <c r="G20" i="36"/>
  <c r="C20" i="36"/>
  <c r="C20" i="34"/>
  <c r="E20" i="19"/>
  <c r="E20" i="38"/>
  <c r="I20" i="25"/>
  <c r="F20" i="8"/>
  <c r="F20" i="11"/>
  <c r="I20" i="10"/>
  <c r="F20" i="28"/>
  <c r="E20" i="35"/>
  <c r="E20" i="36"/>
  <c r="C20" i="11"/>
  <c r="I20" i="18"/>
  <c r="E20" i="37"/>
  <c r="C20" i="18"/>
  <c r="F20" i="18"/>
  <c r="F20" i="5"/>
  <c r="D20" i="6" s="1"/>
  <c r="G20" i="34"/>
  <c r="C20" i="35"/>
  <c r="I20" i="9"/>
  <c r="I20" i="26"/>
  <c r="C20" i="26"/>
  <c r="C20" i="28"/>
  <c r="C20" i="10"/>
  <c r="C20" i="9"/>
  <c r="H20" i="19"/>
  <c r="I20" i="28"/>
  <c r="C20" i="19"/>
  <c r="I20" i="20"/>
  <c r="C20" i="7"/>
  <c r="C20" i="8"/>
  <c r="F20" i="26"/>
  <c r="C20" i="25"/>
  <c r="E20" i="25"/>
  <c r="G20" i="25"/>
  <c r="C20" i="37"/>
  <c r="I20" i="11"/>
  <c r="F20" i="20"/>
  <c r="C20" i="20"/>
  <c r="F20" i="29"/>
  <c r="F20" i="54"/>
  <c r="I20" i="54"/>
  <c r="G24" i="76"/>
  <c r="F24" i="76"/>
  <c r="F13" i="6"/>
  <c r="E13" i="6"/>
  <c r="C13" i="78" s="1"/>
  <c r="F30" i="6"/>
  <c r="E30" i="6"/>
  <c r="C30" i="78" s="1"/>
  <c r="E16" i="6"/>
  <c r="C16" i="78" s="1"/>
  <c r="F16" i="6"/>
  <c r="G45" i="76"/>
  <c r="F45" i="76"/>
  <c r="G20" i="76"/>
  <c r="F20" i="76"/>
  <c r="B48" i="54"/>
  <c r="D55" i="2"/>
  <c r="C55" i="2"/>
  <c r="G11" i="90"/>
  <c r="I11" i="90"/>
  <c r="G12" i="76"/>
  <c r="F12" i="76"/>
  <c r="G33" i="76"/>
  <c r="F33" i="76"/>
  <c r="G35" i="76"/>
  <c r="F35" i="76"/>
  <c r="H32" i="19"/>
  <c r="F32" i="5"/>
  <c r="D32" i="6" s="1"/>
  <c r="F32" i="11"/>
  <c r="C32" i="82"/>
  <c r="I32" i="9"/>
  <c r="F32" i="10"/>
  <c r="C32" i="9"/>
  <c r="G32" i="25"/>
  <c r="E32" i="82"/>
  <c r="C32" i="19"/>
  <c r="C32" i="20"/>
  <c r="C32" i="28"/>
  <c r="F32" i="20"/>
  <c r="C32" i="8"/>
  <c r="I32" i="20"/>
  <c r="E32" i="25"/>
  <c r="C32" i="35"/>
  <c r="I32" i="25"/>
  <c r="C32" i="27"/>
  <c r="C32" i="76" s="1"/>
  <c r="G32" i="34"/>
  <c r="F32" i="29"/>
  <c r="I32" i="18"/>
  <c r="E32" i="36"/>
  <c r="C32" i="29"/>
  <c r="E32" i="38"/>
  <c r="C32" i="25"/>
  <c r="E32" i="34"/>
  <c r="C32" i="7"/>
  <c r="F32" i="9"/>
  <c r="C32" i="11"/>
  <c r="C32" i="18"/>
  <c r="E32" i="37"/>
  <c r="I32" i="11"/>
  <c r="C32" i="36"/>
  <c r="G32" i="36"/>
  <c r="E32" i="19"/>
  <c r="C32" i="38"/>
  <c r="F32" i="26"/>
  <c r="I32" i="10"/>
  <c r="I32" i="26"/>
  <c r="F32" i="8"/>
  <c r="E32" i="35"/>
  <c r="C32" i="10"/>
  <c r="F32" i="28"/>
  <c r="C32" i="37"/>
  <c r="F32" i="18"/>
  <c r="C32" i="26"/>
  <c r="C32" i="34"/>
  <c r="I32" i="28"/>
  <c r="F32" i="54"/>
  <c r="I32" i="54"/>
  <c r="G46" i="76"/>
  <c r="F46" i="76"/>
  <c r="F35" i="6"/>
  <c r="E35" i="6"/>
  <c r="C35" i="78" s="1"/>
  <c r="F50" i="6"/>
  <c r="E50" i="6"/>
  <c r="C50" i="78" s="1"/>
  <c r="E17" i="6"/>
  <c r="C17" i="78" s="1"/>
  <c r="F17" i="6"/>
  <c r="L54" i="2"/>
  <c r="C45" i="54"/>
  <c r="C32" i="54"/>
  <c r="E48" i="78"/>
  <c r="F37" i="6" l="1"/>
  <c r="F41" i="6"/>
  <c r="E43" i="6"/>
  <c r="C43" i="78" s="1"/>
  <c r="E33" i="6"/>
  <c r="C33" i="78" s="1"/>
  <c r="F39" i="6"/>
  <c r="E46" i="6"/>
  <c r="C46" i="78" s="1"/>
  <c r="F23" i="6"/>
  <c r="E29" i="6"/>
  <c r="C29" i="78" s="1"/>
  <c r="F36" i="6"/>
  <c r="F21" i="6"/>
  <c r="F12" i="6"/>
  <c r="E18" i="6"/>
  <c r="C18" i="78" s="1"/>
  <c r="G20" i="90"/>
  <c r="I20" i="90"/>
  <c r="E20" i="90"/>
  <c r="I12" i="90"/>
  <c r="G12" i="90"/>
  <c r="E12" i="90"/>
  <c r="I28" i="90"/>
  <c r="G28" i="90"/>
  <c r="E28" i="90"/>
  <c r="G24" i="90"/>
  <c r="I24" i="90"/>
  <c r="E24" i="90"/>
  <c r="G45" i="90"/>
  <c r="I45" i="90"/>
  <c r="E45" i="90"/>
  <c r="G34" i="90"/>
  <c r="I34" i="90"/>
  <c r="E34" i="90"/>
  <c r="G14" i="90"/>
  <c r="I14" i="90"/>
  <c r="E14" i="90"/>
  <c r="G18" i="90"/>
  <c r="I18" i="90"/>
  <c r="E18" i="90"/>
  <c r="G21" i="90"/>
  <c r="I21" i="90"/>
  <c r="E21" i="90"/>
  <c r="G36" i="90"/>
  <c r="I36" i="90"/>
  <c r="E36" i="90"/>
  <c r="G42" i="90"/>
  <c r="I42" i="90"/>
  <c r="E42" i="90"/>
  <c r="F32" i="6"/>
  <c r="E32" i="6"/>
  <c r="C32" i="78" s="1"/>
  <c r="I38" i="90"/>
  <c r="G38" i="90"/>
  <c r="E38" i="90"/>
  <c r="D11" i="6"/>
  <c r="F48" i="5"/>
  <c r="C48" i="38"/>
  <c r="I48" i="26"/>
  <c r="I48" i="25"/>
  <c r="C48" i="8"/>
  <c r="F48" i="10"/>
  <c r="C48" i="27"/>
  <c r="C48" i="76" s="1"/>
  <c r="F48" i="28"/>
  <c r="E48" i="19"/>
  <c r="C48" i="36"/>
  <c r="E48" i="38"/>
  <c r="I48" i="10"/>
  <c r="E48" i="82"/>
  <c r="E48" i="25"/>
  <c r="C48" i="19"/>
  <c r="C48" i="26"/>
  <c r="C48" i="11"/>
  <c r="C48" i="35"/>
  <c r="G48" i="36"/>
  <c r="F48" i="18"/>
  <c r="N27" i="21"/>
  <c r="G48" i="25"/>
  <c r="F48" i="26"/>
  <c r="C48" i="82"/>
  <c r="I48" i="18"/>
  <c r="E48" i="36"/>
  <c r="I48" i="9"/>
  <c r="F48" i="8"/>
  <c r="F48" i="11"/>
  <c r="I48" i="11"/>
  <c r="I48" i="28"/>
  <c r="F48" i="20"/>
  <c r="E48" i="35"/>
  <c r="H48" i="19"/>
  <c r="I48" i="20"/>
  <c r="C48" i="9"/>
  <c r="C48" i="7"/>
  <c r="E48" i="34"/>
  <c r="G48" i="34"/>
  <c r="C48" i="25"/>
  <c r="C48" i="37"/>
  <c r="F48" i="9"/>
  <c r="C48" i="18"/>
  <c r="F48" i="29"/>
  <c r="C48" i="10"/>
  <c r="E48" i="37"/>
  <c r="C48" i="34"/>
  <c r="C48" i="28"/>
  <c r="C48" i="20"/>
  <c r="C48" i="29"/>
  <c r="F45" i="6"/>
  <c r="E45" i="6"/>
  <c r="C45" i="78" s="1"/>
  <c r="F40" i="6"/>
  <c r="E40" i="6"/>
  <c r="C40" i="78" s="1"/>
  <c r="L55" i="2"/>
  <c r="G13" i="90"/>
  <c r="I13" i="90"/>
  <c r="E13" i="90"/>
  <c r="G40" i="90"/>
  <c r="I40" i="90"/>
  <c r="E40" i="90"/>
  <c r="I35" i="90"/>
  <c r="G35" i="90"/>
  <c r="E35" i="90"/>
  <c r="G16" i="90"/>
  <c r="I16" i="90"/>
  <c r="E16" i="90"/>
  <c r="G26" i="90"/>
  <c r="I26" i="90"/>
  <c r="E26" i="90"/>
  <c r="G22" i="76"/>
  <c r="F22" i="76"/>
  <c r="J48" i="54"/>
  <c r="I48" i="54"/>
  <c r="G30" i="90"/>
  <c r="I30" i="90"/>
  <c r="E30" i="90"/>
  <c r="E48" i="76"/>
  <c r="G11" i="76"/>
  <c r="F11" i="76"/>
  <c r="D48" i="54"/>
  <c r="C48" i="54"/>
  <c r="G31" i="90"/>
  <c r="I31" i="90"/>
  <c r="E31" i="90"/>
  <c r="I29" i="90"/>
  <c r="G29" i="90"/>
  <c r="E29" i="90"/>
  <c r="G19" i="76"/>
  <c r="F19" i="76"/>
  <c r="G19" i="90"/>
  <c r="I19" i="90"/>
  <c r="E19" i="90"/>
  <c r="G25" i="90"/>
  <c r="I25" i="90"/>
  <c r="E25" i="90"/>
  <c r="F20" i="6"/>
  <c r="E20" i="6"/>
  <c r="C20" i="78" s="1"/>
  <c r="G44" i="90"/>
  <c r="I44" i="90"/>
  <c r="E44" i="90"/>
  <c r="G48" i="54"/>
  <c r="F48" i="54"/>
  <c r="G41" i="90"/>
  <c r="I41" i="90"/>
  <c r="E41" i="90"/>
  <c r="G46" i="90"/>
  <c r="I46" i="90"/>
  <c r="E46" i="90"/>
  <c r="G37" i="90" l="1"/>
  <c r="I37" i="90"/>
  <c r="E37" i="90"/>
  <c r="G39" i="90"/>
  <c r="I39" i="90"/>
  <c r="E39" i="90"/>
  <c r="N19" i="21"/>
  <c r="N16" i="21"/>
  <c r="N21" i="21"/>
  <c r="N17" i="21"/>
  <c r="N15" i="21"/>
  <c r="N13" i="21"/>
  <c r="N22" i="21"/>
  <c r="N18" i="21"/>
  <c r="N23" i="21"/>
  <c r="N24" i="21"/>
  <c r="I17" i="90"/>
  <c r="G17" i="90"/>
  <c r="E17" i="90"/>
  <c r="G43" i="90"/>
  <c r="I43" i="90"/>
  <c r="E43" i="90"/>
  <c r="G23" i="90"/>
  <c r="I23" i="90"/>
  <c r="E23" i="90"/>
  <c r="D48" i="90"/>
  <c r="G48" i="90" s="1"/>
  <c r="I33" i="90"/>
  <c r="G33" i="90"/>
  <c r="E33" i="90"/>
  <c r="G48" i="76"/>
  <c r="F48" i="76"/>
  <c r="I32" i="90"/>
  <c r="G32" i="90"/>
  <c r="E32" i="90"/>
  <c r="D48" i="6"/>
  <c r="E11" i="6"/>
  <c r="C11" i="78" s="1"/>
  <c r="F11" i="6"/>
  <c r="E48" i="90" l="1"/>
  <c r="F48" i="6"/>
  <c r="E48" i="6"/>
  <c r="C48" i="78" s="1"/>
</calcChain>
</file>

<file path=xl/comments1.xml><?xml version="1.0" encoding="utf-8"?>
<comments xmlns="http://schemas.openxmlformats.org/spreadsheetml/2006/main">
  <authors>
    <author>GPizzaro</author>
  </authors>
  <commentList>
    <comment ref="J8" authorId="0" shapeId="0">
      <text>
        <r>
          <rPr>
            <b/>
            <sz val="8"/>
            <color indexed="81"/>
            <rFont val="Tahoma"/>
            <family val="2"/>
          </rPr>
          <t>GPizzaro:</t>
        </r>
        <r>
          <rPr>
            <sz val="8"/>
            <color indexed="81"/>
            <rFont val="Tahoma"/>
            <family val="2"/>
          </rPr>
          <t xml:space="preserve">
Portioned assessment come from W:\Edusfb\Total School Assessment\YYYY F assessment.</t>
        </r>
      </text>
    </comment>
    <comment ref="H16" authorId="0" shapeId="0">
      <text>
        <r>
          <rPr>
            <b/>
            <sz val="8"/>
            <color indexed="81"/>
            <rFont val="Tahoma"/>
            <family val="2"/>
          </rPr>
          <t>GPizzaro:</t>
        </r>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GPizarro</author>
  </authors>
  <commentList>
    <comment ref="N2" authorId="0" shapeId="0">
      <text>
        <r>
          <rPr>
            <b/>
            <sz val="9"/>
            <color indexed="81"/>
            <rFont val="Tahoma"/>
            <family val="2"/>
          </rPr>
          <t>GPizarro: Adj as per Chris email Aug 29, 2017</t>
        </r>
        <r>
          <rPr>
            <sz val="9"/>
            <color indexed="81"/>
            <rFont val="Tahoma"/>
            <family val="2"/>
          </rPr>
          <t xml:space="preserve">
</t>
        </r>
      </text>
    </comment>
  </commentList>
</comments>
</file>

<file path=xl/sharedStrings.xml><?xml version="1.0" encoding="utf-8"?>
<sst xmlns="http://schemas.openxmlformats.org/spreadsheetml/2006/main" count="2922" uniqueCount="619">
  <si>
    <t>PAGE 1 OF 3</t>
  </si>
  <si>
    <t xml:space="preserve"> </t>
  </si>
  <si>
    <t>PAGE 2 OF 3</t>
  </si>
  <si>
    <t>PAGE 3 OF 3</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</si>
  <si>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</si>
  <si>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</si>
  <si>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</si>
  <si>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</si>
  <si>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</si>
  <si>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</si>
  <si>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</si>
  <si>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</si>
  <si>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 REGULAR AND OTHER</t>
  </si>
  <si>
    <t xml:space="preserve">TOTAL </t>
  </si>
  <si>
    <t>ADMINISTRATION</t>
  </si>
  <si>
    <t>ENGLISH LANGUAGE</t>
  </si>
  <si>
    <t>FRANÇAIS</t>
  </si>
  <si>
    <t>FRENCH IMMERSION</t>
  </si>
  <si>
    <t>BOARD OF TRUSTEES</t>
  </si>
  <si>
    <t>OTHER</t>
  </si>
  <si>
    <t>SCHOOL BUILDINGS</t>
  </si>
  <si>
    <t>REGULAR INSTRUCTION</t>
  </si>
  <si>
    <t>COMMUNITY EDUCATION</t>
  </si>
  <si>
    <t>MAINTENANCE</t>
  </si>
  <si>
    <t>FISCAL</t>
  </si>
  <si>
    <t>TOTAL</t>
  </si>
  <si>
    <t>(PROGRAM 720)</t>
  </si>
  <si>
    <t>(PROGRAMS 710, 720 AND 790)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</si>
  <si>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</si>
  <si>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</si>
  <si>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</si>
  <si>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</si>
  <si>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</si>
  <si>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</si>
  <si>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</si>
  <si>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</si>
  <si>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</si>
  <si>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</si>
  <si>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</si>
  <si>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</si>
  <si>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</si>
  <si>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</si>
  <si>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</si>
  <si>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</si>
  <si>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</si>
  <si>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</si>
  <si>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</si>
  <si>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</si>
  <si>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</si>
  <si>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</si>
  <si>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FEDERAL</t>
  </si>
  <si>
    <t>MUNICIPAL</t>
  </si>
  <si>
    <t>GOVERNMENTS</t>
  </si>
  <si>
    <t>PROVINCIAL</t>
  </si>
  <si>
    <t>FIRST NATIONS</t>
  </si>
  <si>
    <t>REVENUE</t>
  </si>
  <si>
    <t>MINING</t>
  </si>
  <si>
    <t>OCCUPANCY</t>
  </si>
  <si>
    <t>SERVICES</t>
  </si>
  <si>
    <t>EQUIPMENT</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</si>
  <si>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</si>
  <si>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</si>
  <si>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</si>
  <si>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</si>
  <si>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</si>
  <si>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</si>
  <si>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</si>
  <si>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</si>
  <si>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</si>
  <si>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</si>
  <si>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</si>
  <si>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</si>
  <si>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</si>
  <si>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</si>
  <si>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</si>
  <si>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</si>
  <si>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</si>
  <si>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</si>
  <si>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</si>
  <si>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FRAME PUPIL / TEACHER RATIOS</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</si>
  <si>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</si>
  <si>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</si>
  <si>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</si>
  <si>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</si>
  <si>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</si>
  <si>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</si>
  <si>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</si>
  <si>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</si>
  <si>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</si>
  <si>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</si>
  <si>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</si>
  <si>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STATISTICAL SUMMARY</t>
  </si>
  <si>
    <t>PAGE 1 OF 5</t>
  </si>
  <si>
    <t>PAGE 2 OF 5</t>
  </si>
  <si>
    <t>PAGE 3 OF 5</t>
  </si>
  <si>
    <t>PAGE 4 OF 5</t>
  </si>
  <si>
    <t>PAGE 5 OF 5</t>
  </si>
  <si>
    <t>PROGRAMS</t>
  </si>
  <si>
    <t>YEAR</t>
  </si>
  <si>
    <t>(Grants-</t>
  </si>
  <si>
    <t>in-Lieu)</t>
  </si>
  <si>
    <t>ADULT LEARNING CENTRES</t>
  </si>
  <si>
    <t>- 13 -</t>
  </si>
  <si>
    <t>- 12 -</t>
  </si>
  <si>
    <t>INSTRUCTIONAL</t>
  </si>
  <si>
    <t>FUNDING OF SCHOOLS PROGRAM (CONT'D)</t>
  </si>
  <si>
    <t>FUNDING OF SCHOOLS PROGRAM</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</si>
  <si>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</si>
  <si>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</si>
  <si>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</si>
  <si>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</si>
  <si>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</si>
  <si>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</si>
  <si>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</si>
  <si>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</si>
  <si>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</si>
  <si>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</si>
  <si>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</si>
  <si>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</si>
  <si>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</si>
  <si>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</si>
  <si>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</si>
  <si>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</si>
  <si>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</si>
  <si>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</si>
  <si>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</si>
  <si>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</si>
  <si>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</si>
  <si>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</si>
  <si>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</si>
  <si>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</si>
  <si>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</si>
  <si>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</si>
  <si>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</si>
  <si>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</si>
  <si>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</si>
  <si>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</si>
  <si>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</si>
  <si>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</si>
  <si>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</si>
  <si>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</si>
  <si>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</si>
  <si>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</si>
  <si>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</si>
  <si>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</si>
  <si>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L.G.D. OF PINAWA</t>
  </si>
  <si>
    <t xml:space="preserve"> NOT IN ANY DIVISION</t>
  </si>
  <si>
    <t xml:space="preserve"> DIVISION/DISTRICT TOTAL</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</si>
  <si>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</si>
  <si>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</si>
  <si>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</si>
  <si>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</si>
  <si>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</si>
  <si>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</si>
  <si>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</si>
  <si>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</si>
  <si>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</si>
  <si>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</si>
  <si>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</si>
  <si>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</si>
  <si>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</si>
  <si>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</si>
  <si>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</si>
  <si>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</si>
  <si>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</si>
  <si>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</si>
  <si>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</si>
  <si>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</si>
  <si>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</si>
  <si>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</si>
  <si>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</si>
  <si>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</si>
  <si>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</si>
  <si>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</si>
  <si>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</si>
  <si>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</si>
  <si>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</si>
  <si>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</si>
  <si>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</si>
  <si>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</si>
  <si>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</si>
  <si>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</si>
  <si>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</si>
  <si>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</si>
  <si>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</si>
  <si>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</si>
  <si>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</si>
  <si>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</si>
  <si>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LIABILITY</t>
  </si>
  <si>
    <t>SELF-FUNDED</t>
  </si>
  <si>
    <t xml:space="preserve"> FUNCTION 300: ADULT LEARNING CENTRES</t>
  </si>
  <si>
    <t>LOCAL TAXATION AND ASSESSMENT PER RESIDENT PUPIL</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</si>
  <si>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</si>
  <si>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</si>
  <si>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</si>
  <si>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</si>
  <si>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</si>
  <si>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</si>
  <si>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</si>
  <si>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</si>
  <si>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</si>
  <si>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</si>
  <si>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</si>
  <si>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</si>
  <si>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</si>
  <si>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</si>
  <si>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</si>
  <si>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</si>
  <si>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</si>
  <si>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</si>
  <si>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</si>
  <si>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</si>
  <si>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</si>
  <si>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</si>
  <si>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</si>
  <si>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</si>
  <si>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</si>
  <si>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</si>
  <si>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</si>
  <si>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</si>
  <si>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</si>
  <si>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</si>
  <si>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</si>
  <si>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</si>
  <si>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</si>
  <si>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ADMIN. COSTS</t>
  </si>
  <si>
    <t>PAGE 1 0F 2</t>
  </si>
  <si>
    <t>PAGE 2 0F 2</t>
  </si>
  <si>
    <t>CALCULATION OF EXPENDITURE BASE AND ADMINISTRATION PERCENTAGE</t>
  </si>
  <si>
    <t>ACTUAL AND ESTIMATES AS OF SEPTEMBER 30</t>
  </si>
  <si>
    <t>(2)</t>
  </si>
  <si>
    <r>
      <t xml:space="preserve">SINGLE TRACK </t>
    </r>
    <r>
      <rPr>
        <b/>
        <vertAlign val="superscript"/>
        <sz val="9"/>
        <rFont val="Arial"/>
        <family val="2"/>
      </rPr>
      <t>(1)</t>
    </r>
  </si>
  <si>
    <r>
      <t xml:space="preserve">DUAL TRACK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</si>
  <si>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</si>
  <si>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</si>
  <si>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</si>
  <si>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t xml:space="preserve"> FUNCTION 800: (CONT'D)</t>
  </si>
  <si>
    <t xml:space="preserve"> FUNCTION 700: TRANSPORTATION (CONT'D)</t>
  </si>
  <si>
    <t xml:space="preserve"> FUNCTION 500: (CONT'D)</t>
  </si>
  <si>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</si>
  <si>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</si>
  <si>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</si>
  <si>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t xml:space="preserve">  TRAVEL AND MEETINGS</t>
  </si>
  <si>
    <t xml:space="preserve"> FUNCTION 200: STUDENT SUPPORT SERVICES</t>
  </si>
  <si>
    <t xml:space="preserve"> FUNCTION 200: STUDENT SUPPORT SERVICES (CONT'D)</t>
  </si>
  <si>
    <t>STUDENT SUPPORT SERVICES</t>
  </si>
  <si>
    <r>
      <t xml:space="preserve">  RECHARGE </t>
    </r>
    <r>
      <rPr>
        <vertAlign val="superscript"/>
        <sz val="9"/>
        <rFont val="Arial"/>
        <family val="2"/>
      </rPr>
      <t>(1)</t>
    </r>
  </si>
  <si>
    <t>Reallocation of school building costs associated with Adult Learning Centre operations to Function 300</t>
  </si>
  <si>
    <t xml:space="preserve">  PROPERTY TAXES</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</si>
  <si>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</si>
  <si>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</si>
  <si>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</si>
  <si>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</si>
  <si>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</si>
  <si>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t>RECONCILIATION  OF  EXPENSES</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</si>
  <si>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</si>
  <si>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</si>
  <si>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</si>
  <si>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</si>
  <si>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</si>
  <si>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</si>
  <si>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</si>
  <si>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</si>
  <si>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EXPENSE BY 2ND LEVEL OBJECT</t>
  </si>
  <si>
    <t>AS A PERCENTAGE OF TOTAL OPERATING FUND EXPENSES</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</si>
  <si>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</si>
  <si>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</si>
  <si>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</si>
  <si>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</si>
  <si>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</si>
  <si>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</si>
  <si>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</si>
  <si>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</si>
  <si>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</si>
  <si>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</si>
  <si>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</si>
  <si>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</si>
  <si>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</si>
  <si>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</si>
  <si>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</si>
  <si>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</si>
  <si>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</si>
  <si>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</si>
  <si>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</si>
  <si>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</si>
  <si>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</si>
  <si>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</si>
  <si>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</si>
  <si>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</si>
  <si>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</si>
  <si>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</si>
  <si>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</si>
  <si>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</si>
  <si>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</si>
  <si>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</si>
  <si>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</si>
  <si>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</si>
  <si>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 xml:space="preserve">  RECHARGE</t>
  </si>
  <si>
    <r>
      <t xml:space="preserve">OTHER </t>
    </r>
    <r>
      <rPr>
        <b/>
        <vertAlign val="superscript"/>
        <sz val="9"/>
        <rFont val="Arial"/>
        <family val="2"/>
      </rPr>
      <t>(1)</t>
    </r>
  </si>
  <si>
    <t>TOTAL PORTIONED ASSESSMENT</t>
  </si>
  <si>
    <t>NET SPECIAL LEVY</t>
  </si>
  <si>
    <t xml:space="preserve">  EXECUTIVE, MANAGERIAL
 AND SUPERVISORY</t>
  </si>
  <si>
    <t xml:space="preserve"> TECHNICAL, 
SPECIALIZED AND SERVICE</t>
  </si>
  <si>
    <t>SECRETARIAL 
CLERICAL
 AND OTHER</t>
  </si>
  <si>
    <r>
      <t xml:space="preserve">  
  IT  </t>
    </r>
    <r>
      <rPr>
        <b/>
        <vertAlign val="superscript"/>
        <sz val="11"/>
        <rFont val="Arial"/>
        <family val="2"/>
      </rPr>
      <t>(3)</t>
    </r>
  </si>
  <si>
    <t>ANALYSIS OF INFORMATION TECHNOLOGY EXPENSES</t>
  </si>
  <si>
    <r>
      <t>PROVINCIAL</t>
    </r>
    <r>
      <rPr>
        <vertAlign val="superscript"/>
        <sz val="9"/>
        <rFont val="Arial"/>
        <family val="2"/>
      </rPr>
      <t>(1)</t>
    </r>
  </si>
  <si>
    <t>DIRECT SUPPORT TO PUPILS</t>
  </si>
  <si>
    <t>PER PUPIL</t>
  </si>
  <si>
    <t xml:space="preserve">% of Total Expense </t>
  </si>
  <si>
    <t>Control</t>
  </si>
  <si>
    <t>Total expenses</t>
  </si>
  <si>
    <t>Frame</t>
  </si>
  <si>
    <t>tables budget</t>
  </si>
  <si>
    <t>Variance</t>
  </si>
  <si>
    <t>Budget Table</t>
  </si>
  <si>
    <t>Total Revenues</t>
  </si>
  <si>
    <t>SENIOR YEARS tech</t>
  </si>
  <si>
    <t>Total Reg. Instruct..</t>
  </si>
  <si>
    <t xml:space="preserve"> DSFM</t>
  </si>
  <si>
    <t>NET TRANSFERS TO/(FROM) CAPITAL FUND</t>
  </si>
  <si>
    <t>(2)  Provided in recognition of the higher costs associated with sparsely populated rural and northern divisions.</t>
  </si>
  <si>
    <t>(1)  Includes vehicle support for school buses.</t>
  </si>
  <si>
    <t>(2)  For a definition of Divisional Administration, see expense definitions, page iii.</t>
  </si>
  <si>
    <t>(3)  Information Technology.</t>
  </si>
  <si>
    <t>(1)  From page 4 (for more information, see page 4).</t>
  </si>
  <si>
    <t>(2)  From page 9 (for more information, see page 9).</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</si>
  <si>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</si>
  <si>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</si>
  <si>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</si>
  <si>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</si>
  <si>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</si>
  <si>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(1)  Includes transfers to bus reserves and other capital reserves.</t>
  </si>
  <si>
    <t>(1)  See appendix for more detail.</t>
  </si>
  <si>
    <t>(5)  Includes revenue from other provincial government departments.</t>
  </si>
  <si>
    <t>(1)  Excludes information technology expenses in Function 300 (Adult Learning Centres) and Function 400 (Community Education and Services).</t>
  </si>
  <si>
    <t>(2)  Square footage (as per note above) divided by total F.T.E. enrolment (from page 7).</t>
  </si>
  <si>
    <t>(1)  No one language program comprises 90% or more of Regular Instruction enrolment.</t>
  </si>
  <si>
    <t>(1)  90% or more of Regular Instruction enrolment is in one language.</t>
  </si>
  <si>
    <t>(1)  Pupils taught in schools, whether or not they are counted for grant purposes.</t>
  </si>
  <si>
    <t>(1)  90% or more of Regular Instruction enrolment is in one language program.</t>
  </si>
  <si>
    <t>(2)  No one language program comprises 90% or more of Regular Instruction enrolment.</t>
  </si>
  <si>
    <r>
      <t xml:space="preserve"> 
 CLINICIAN</t>
    </r>
    <r>
      <rPr>
        <b/>
        <vertAlign val="superscript"/>
        <sz val="11"/>
        <rFont val="Arial"/>
        <family val="2"/>
      </rPr>
      <t xml:space="preserve"> (2)</t>
    </r>
  </si>
  <si>
    <t xml:space="preserve"> TEACHING</t>
  </si>
  <si>
    <r>
      <t xml:space="preserve">REGULAR INSTRUCTION </t>
    </r>
    <r>
      <rPr>
        <b/>
        <vertAlign val="superscript"/>
        <sz val="9"/>
        <rFont val="Arial"/>
        <family val="2"/>
      </rPr>
      <t>(1)</t>
    </r>
  </si>
  <si>
    <t>Replace</t>
  </si>
  <si>
    <t>Before click replace select the range you want.</t>
  </si>
  <si>
    <t>This</t>
  </si>
  <si>
    <t>into</t>
  </si>
  <si>
    <t>Per Funded</t>
  </si>
  <si>
    <t>Resident</t>
  </si>
  <si>
    <t>Pupil &lt; 21</t>
  </si>
  <si>
    <t>N/A</t>
  </si>
  <si>
    <t>(2)  Includes clinicians contracted/outsourced/private or employed by other divisions on a full time equivalent basis.</t>
  </si>
  <si>
    <t xml:space="preserve">      </t>
  </si>
  <si>
    <t>Prev. Year</t>
  </si>
  <si>
    <t>+</t>
  </si>
  <si>
    <t xml:space="preserve">       per pupil costs.</t>
  </si>
  <si>
    <t xml:space="preserve"> MITT</t>
  </si>
  <si>
    <t>Reallocation of administration costs associated with Adult Learning Centre operations from Function 500 to Function 300.</t>
  </si>
  <si>
    <r>
      <t>(1)</t>
    </r>
    <r>
      <rPr>
        <sz val="9"/>
        <rFont val="Arial"/>
        <family val="2"/>
      </rPr>
      <t xml:space="preserve"> Reallocation of administration costs associated with Adult Learning Centre operations from Function 500 to Function 300.</t>
    </r>
  </si>
  <si>
    <t>Select Language</t>
  </si>
  <si>
    <t>English</t>
  </si>
  <si>
    <t>French</t>
  </si>
  <si>
    <r>
      <t xml:space="preserve">LESS 
OPERATING FUND TRANSFERS </t>
    </r>
    <r>
      <rPr>
        <b/>
        <vertAlign val="superscript"/>
        <sz val="9"/>
        <rFont val="Arial"/>
        <family val="2"/>
      </rPr>
      <t>(2)</t>
    </r>
  </si>
  <si>
    <r>
      <t xml:space="preserve">EXPENSES NET OF TRANSFERS </t>
    </r>
    <r>
      <rPr>
        <b/>
        <vertAlign val="superscript"/>
        <sz val="9"/>
        <rFont val="Arial"/>
        <family val="2"/>
      </rPr>
      <t>(3)</t>
    </r>
  </si>
  <si>
    <r>
      <t xml:space="preserve">LESS
 NON K-12 EDUCATION &amp; SERVICES </t>
    </r>
    <r>
      <rPr>
        <b/>
        <vertAlign val="superscript"/>
        <sz val="9"/>
        <rFont val="Arial"/>
        <family val="2"/>
      </rPr>
      <t>(4)</t>
    </r>
  </si>
  <si>
    <r>
      <t xml:space="preserve">TOTAL EXPENSES FOR PER PUPIL COSTS </t>
    </r>
    <r>
      <rPr>
        <b/>
        <vertAlign val="superscript"/>
        <sz val="9"/>
        <rFont val="Arial"/>
        <family val="2"/>
      </rPr>
      <t>(5)</t>
    </r>
  </si>
  <si>
    <r>
      <t xml:space="preserve">TOTAL 
 EXPENSES </t>
    </r>
    <r>
      <rPr>
        <b/>
        <vertAlign val="superscript"/>
        <sz val="9"/>
        <rFont val="Arial"/>
        <family val="2"/>
      </rPr>
      <t>(1)</t>
    </r>
  </si>
  <si>
    <t>CONCILIATION DES DÉPENSES</t>
  </si>
  <si>
    <t>DÉPENSES DU FONDS DE FONCTIONNEMENT PAR ÉLÈVE</t>
  </si>
  <si>
    <t/>
  </si>
  <si>
    <t xml:space="preserve"> FRANÇAIS</t>
  </si>
  <si>
    <t>OTHER BILINGUAL</t>
  </si>
  <si>
    <t xml:space="preserve"> STATISTIQUES SUR LES ÉLÈVES (SYSTÈME COMPTABLE FRAME)</t>
  </si>
  <si>
    <t>SENIOR YEARS TECHNOLOGY</t>
  </si>
  <si>
    <t>K-12  F.T.E. ENROLMENT</t>
  </si>
  <si>
    <t>(2)  The total number of pupils enrolled in schools adjusted for full time equivalence (F.T.E.). Full time equivalent means pupils are counted on the
       basis of time attending school - eg. Kindergarten as 1/2.  This total is the same as reported on page 7.</t>
  </si>
  <si>
    <t>N-12 ENROLMENT</t>
  </si>
  <si>
    <t>NURSERY ENROLMENT</t>
  </si>
  <si>
    <t>K-12 ENROLMENT</t>
  </si>
  <si>
    <t>INSCRIPTIONS – ÉLÈVES PRÉSENTS, SELON LE SYSTÈME COMPTABLE FRAME, ET ADMISSIBLES</t>
  </si>
  <si>
    <t>CHIFFRES RÉELS ET PRÉVISIONS AU 30 SEPTEMBRE</t>
  </si>
  <si>
    <t>RAPPORTS ÉLÈVES-ENSEIGNANT</t>
  </si>
  <si>
    <r>
      <t xml:space="preserve">REGULAR 
 INSTRUCTION </t>
    </r>
    <r>
      <rPr>
        <b/>
        <vertAlign val="superscript"/>
        <sz val="9"/>
        <rFont val="Arial"/>
        <family val="2"/>
      </rPr>
      <t>(1)</t>
    </r>
  </si>
  <si>
    <r>
      <t>EDUCATOR</t>
    </r>
    <r>
      <rPr>
        <b/>
        <vertAlign val="superscript"/>
        <sz val="9"/>
        <rFont val="Arial"/>
        <family val="2"/>
      </rPr>
      <t xml:space="preserve"> (2)</t>
    </r>
  </si>
  <si>
    <t>(1)  Based on object code 330 instructional-teaching personnel and F.T.E. students in Function 100. Included are teachers in physical education, 
       music, EAL, etc. in addition to regular classroom teachers. School-based administrative personnel and Special Placement classroom 
       teachers are excluded.</t>
  </si>
  <si>
    <t>DÉPENSES PAR FONCTION ET PAR OBJET</t>
  </si>
  <si>
    <t>SUPPLIES AND MATERIALS</t>
  </si>
  <si>
    <t>BAD DEBT EXPENSE</t>
  </si>
  <si>
    <t>DÉPENSES PAR OBJET DE DEUXIÈME CATÉGORIE EXPRIMÉES</t>
  </si>
  <si>
    <t xml:space="preserve"> EN POURCENTAGE DU TOTAL DES DÉPENSES DU FONDS DE FONCTIONNEMENT</t>
  </si>
  <si>
    <t>REGULAR
 INSTRUCTION</t>
  </si>
  <si>
    <t>STUDENT SUPPORTSERVICES</t>
  </si>
  <si>
    <t>COMMUNITY 
EDUCATION</t>
  </si>
  <si>
    <t>INSTRUCTIONAL &amp; OTHER SUPPORT SERVICES</t>
  </si>
  <si>
    <t>PER 
PUPIL</t>
  </si>
  <si>
    <t>STUDENT SUPPORT 
SERVICES</t>
  </si>
  <si>
    <t>ANALYSE DES DÉPENSES PAR FONCTION</t>
  </si>
  <si>
    <t>COMMUNITY EDUCATION AND SERVICES</t>
  </si>
  <si>
    <t>DIVISIONAL
 ADMINISTRATION</t>
  </si>
  <si>
    <t>TRANSPORTATION 
OF PUPILS</t>
  </si>
  <si>
    <t>ANALYSE DES DÉPENSES PAR PROGRAMME</t>
  </si>
  <si>
    <t>SENIOR YEARS 
TECHNOLOGY EDUCATION</t>
  </si>
  <si>
    <t>NO. OF F.T.E. PUPILS</t>
  </si>
  <si>
    <t>ADMINISTRATION / COORDINATION</t>
  </si>
  <si>
    <t>CLINICAL AND RELATED
 SERVICES</t>
  </si>
  <si>
    <t>(1)  Expenses shown are extra costs associated with special needs students in regular classes, not the total cost of educating 
       those students.</t>
  </si>
  <si>
    <t>SPECIAL 
PLACEMENT</t>
  </si>
  <si>
    <r>
      <t xml:space="preserve">REGULAR 
PLACEMENT </t>
    </r>
    <r>
      <rPr>
        <b/>
        <vertAlign val="superscript"/>
        <sz val="9"/>
        <rFont val="Arial"/>
        <family val="2"/>
      </rPr>
      <t>(1)</t>
    </r>
  </si>
  <si>
    <t>OTHER RESOURCE
 SERVICES</t>
  </si>
  <si>
    <t>COUNSELLING AND GUIDANCE</t>
  </si>
  <si>
    <t>COUNSELLING 
AND GUIDANCE</t>
  </si>
  <si>
    <t>ADMINISTRATION
 AND OTHER</t>
  </si>
  <si>
    <t>CONTINUING EDUCATION</t>
  </si>
  <si>
    <t>ENGLISH AS AN ADDITIONAL LANGUAGE</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</si>
  <si>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</si>
  <si>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</si>
  <si>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</si>
  <si>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</si>
  <si>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</si>
  <si>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</si>
  <si>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ADMINISTRATION</t>
  </si>
  <si>
    <t>CURRICULUM CONSULTING AND DEVELOPMENT</t>
  </si>
  <si>
    <t>LIBRARY /
 MEDIA CENTRE</t>
  </si>
  <si>
    <t>PROFESSIONAL AND 
STAFF DEVELOPMENT</t>
  </si>
  <si>
    <t>(1)  Includes food services, health services, and other activities related to instructional and other support not included
       in previous programs.</t>
  </si>
  <si>
    <t>ALLOWANCES IN LIEU 
OF TRANSPORTATION</t>
  </si>
  <si>
    <t>BOARDING OF
 STUDENTS</t>
  </si>
  <si>
    <t>FIELD TRIPS
 AND OTHER</t>
  </si>
  <si>
    <t>HEALTH AND 
EDUCATION LEVY</t>
  </si>
  <si>
    <t>TRANSPORTED PUPILS</t>
  </si>
  <si>
    <t>TOTAL KM. (ROUTES)</t>
  </si>
  <si>
    <t>LOADED
 KM.</t>
  </si>
  <si>
    <t>COST 
PER KM.</t>
  </si>
  <si>
    <t>TOTAL KM. 
(LOG BOOK)</t>
  </si>
  <si>
    <t>ANALYSE DES DÉPENSES DE TRANSPORT</t>
  </si>
  <si>
    <t>ANALYSE DES DÉPENSES DE TRANSPORT (SUITE)</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</si>
  <si>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</si>
  <si>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</si>
  <si>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</si>
  <si>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</si>
  <si>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t xml:space="preserve"> ANALYSE DES DÉPENSES DE FONCTIONNEMENT ET D'ENTRETIEN DES BÂTIMENTS SCOLAIRES</t>
  </si>
  <si>
    <t>ANALYSE DES DÉPENSES DE TECHNOLOGIE DE L'INFORMATION</t>
  </si>
  <si>
    <r>
      <t>MANAGEMENT
 INFORMATION SERVICES</t>
    </r>
    <r>
      <rPr>
        <b/>
        <vertAlign val="superscript"/>
        <sz val="9"/>
        <rFont val="Arial"/>
        <family val="2"/>
      </rPr>
      <t xml:space="preserve"> (2)</t>
    </r>
  </si>
  <si>
    <t>OTHER SCHOOL DIVISIONS</t>
  </si>
  <si>
    <t>PRIVATE ORG.'S &amp; INDIVIDUALS</t>
  </si>
  <si>
    <r>
      <t xml:space="preserve">FUNDING OF SCHOOLS PROGRAM </t>
    </r>
    <r>
      <rPr>
        <b/>
        <vertAlign val="superscript"/>
        <sz val="9"/>
        <rFont val="Arial"/>
        <family val="2"/>
      </rPr>
      <t>(1)</t>
    </r>
  </si>
  <si>
    <r>
      <t xml:space="preserve">EDUCATION PROPERTY TAX CREDIT </t>
    </r>
    <r>
      <rPr>
        <b/>
        <vertAlign val="superscript"/>
        <sz val="9"/>
        <rFont val="Arial"/>
        <family val="2"/>
      </rPr>
      <t>(2)</t>
    </r>
  </si>
  <si>
    <r>
      <t>TAX  INCENTIVE GRANT</t>
    </r>
    <r>
      <rPr>
        <b/>
        <vertAlign val="superscript"/>
        <sz val="9"/>
        <rFont val="Arial"/>
        <family val="2"/>
      </rPr>
      <t>(3)</t>
    </r>
  </si>
  <si>
    <r>
      <t xml:space="preserve">OTHER REVENUE </t>
    </r>
    <r>
      <rPr>
        <b/>
        <vertAlign val="superscript"/>
        <sz val="9"/>
        <rFont val="Arial"/>
        <family val="2"/>
      </rPr>
      <t>(4)</t>
    </r>
  </si>
  <si>
    <r>
      <t xml:space="preserve">OTHER PROVINCIAL REVENUE </t>
    </r>
    <r>
      <rPr>
        <b/>
        <vertAlign val="superscript"/>
        <sz val="9"/>
        <rFont val="Arial"/>
        <family val="2"/>
      </rPr>
      <t>(5)</t>
    </r>
  </si>
  <si>
    <t>TOTAL PROVINCIAL REVENUE</t>
  </si>
  <si>
    <r>
      <t>% OPERATING FUND REVENUE</t>
    </r>
    <r>
      <rPr>
        <b/>
        <vertAlign val="superscript"/>
        <sz val="9"/>
        <rFont val="Arial"/>
        <family val="2"/>
      </rPr>
      <t xml:space="preserve"> (6)</t>
    </r>
  </si>
  <si>
    <t>FEDERAL
 GOVERNMENT</t>
  </si>
  <si>
    <r>
      <t>MUNICIPAL GOVERNMENT</t>
    </r>
    <r>
      <rPr>
        <b/>
        <vertAlign val="superscript"/>
        <sz val="9"/>
        <rFont val="Arial"/>
        <family val="2"/>
      </rPr>
      <t xml:space="preserve"> (1)</t>
    </r>
  </si>
  <si>
    <t xml:space="preserve"> PRIVATE 
ORGANIZATIONS &amp; INDIVIDUALS</t>
  </si>
  <si>
    <t>TOTAL 
NON-PROVINCIAL REVENUE</t>
  </si>
  <si>
    <t>TOTAL 
OPERATING 
FUND</t>
  </si>
  <si>
    <t>TRANSFERTS NETS AU (DU) FONDS DE CAPITAL ET D'EMPRUNT</t>
  </si>
  <si>
    <r>
      <t xml:space="preserve">NET TRANSFERS
 TO/(FROM) 
CAPITAL FUND </t>
    </r>
    <r>
      <rPr>
        <b/>
        <vertAlign val="superscript"/>
        <sz val="9"/>
        <rFont val="Arial"/>
        <family val="2"/>
      </rPr>
      <t>(1)</t>
    </r>
  </si>
  <si>
    <t xml:space="preserve">PORTIONED
 ASSESSMENT
 OTHER  </t>
  </si>
  <si>
    <t>EDUCATION 
 SUPPORT LEVY</t>
  </si>
  <si>
    <r>
      <t xml:space="preserve">PORTIONED ASSESSMENT - OTHER AND EDUCATION SUPPORT LEVY   </t>
    </r>
    <r>
      <rPr>
        <vertAlign val="superscript"/>
        <sz val="9"/>
        <rFont val="Arial"/>
        <family val="2"/>
      </rPr>
      <t>(1)</t>
    </r>
  </si>
  <si>
    <t>URBAN 
AND FARM RESIDENTIAL</t>
  </si>
  <si>
    <t>FARM 
LAND AND 
BUILDINGS</t>
  </si>
  <si>
    <r>
      <t xml:space="preserve">SPECIAL
 LEVY </t>
    </r>
    <r>
      <rPr>
        <b/>
        <vertAlign val="superscript"/>
        <sz val="9"/>
        <rFont val="Arial"/>
        <family val="2"/>
      </rPr>
      <t>(1)</t>
    </r>
  </si>
  <si>
    <r>
      <t>SPECIAL 
LEVY 
MILL RATE</t>
    </r>
    <r>
      <rPr>
        <b/>
        <vertAlign val="superscript"/>
        <sz val="9"/>
        <rFont val="Arial"/>
        <family val="2"/>
      </rPr>
      <t xml:space="preserve"> (2)</t>
    </r>
  </si>
  <si>
    <t>TOTAL DE LA VALEUR FRACTIONNÉE, TAXE SPÉCIALE ET TAUX EN MILLIÈMES DE DOLLAR</t>
  </si>
  <si>
    <t>GROSS SPECIAL
 LEVY</t>
  </si>
  <si>
    <r>
      <t xml:space="preserve">TAX INCENTIVE GRANT </t>
    </r>
    <r>
      <rPr>
        <b/>
        <vertAlign val="superscript"/>
        <sz val="9"/>
        <rFont val="Arial"/>
        <family val="2"/>
      </rPr>
      <t>(1)</t>
    </r>
  </si>
  <si>
    <t>NET SPECIAL
 LEVY</t>
  </si>
  <si>
    <t>TAXE SPÉCIALE NETTE</t>
  </si>
  <si>
    <t>IMPÔTS LOCAUX ET ÉVALUATION EN FONCTION DU NOMBRE D'ÉLÈVES RÉSIDENTS</t>
  </si>
  <si>
    <r>
      <t xml:space="preserve">ASSESSMENT
 PER
 RESIDENT PUPIL </t>
    </r>
    <r>
      <rPr>
        <b/>
        <vertAlign val="superscript"/>
        <sz val="9"/>
        <rFont val="Arial"/>
        <family val="2"/>
      </rPr>
      <t>(1)</t>
    </r>
  </si>
  <si>
    <t>EDUCATION
 SUPPORT
 LEVY</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</si>
  <si>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</si>
  <si>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</si>
  <si>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ADD'N  INST. SUPPORT FOR SMALL SCHOOLS</t>
  </si>
  <si>
    <r>
      <t xml:space="preserve">SPARSITY SUPPORT </t>
    </r>
    <r>
      <rPr>
        <b/>
        <vertAlign val="superscript"/>
        <sz val="9"/>
        <rFont val="Arial"/>
        <family val="2"/>
      </rPr>
      <t>(2)</t>
    </r>
  </si>
  <si>
    <t>CURRICULAR MATERIALS</t>
  </si>
  <si>
    <t>INFORMATION TECHNOLOGY</t>
  </si>
  <si>
    <t>LIBRARY SERVICES</t>
  </si>
  <si>
    <t>PROFESSIONAL DEVELOPMENT</t>
  </si>
  <si>
    <t>PHYSICAL EDUCATION</t>
  </si>
  <si>
    <t>TOTAL
BASE
 SUPPORT</t>
  </si>
  <si>
    <r>
      <t xml:space="preserve">TRANSPORTATION </t>
    </r>
    <r>
      <rPr>
        <b/>
        <vertAlign val="superscript"/>
        <sz val="9"/>
        <rFont val="Arial"/>
        <family val="2"/>
      </rPr>
      <t>(1)</t>
    </r>
  </si>
  <si>
    <r>
      <t>SPECIAL
 NEEDS</t>
    </r>
    <r>
      <rPr>
        <b/>
        <vertAlign val="superscript"/>
        <sz val="9"/>
        <rFont val="Arial"/>
        <family val="2"/>
      </rPr>
      <t xml:space="preserve"> (2)</t>
    </r>
  </si>
  <si>
    <t>SENIOR YEARS TECHNOLOGY EDUCATION</t>
  </si>
  <si>
    <t>FRENCH LANGUAGE PROGRAMS</t>
  </si>
  <si>
    <r>
      <t xml:space="preserve">OTHER CATEGORICAL </t>
    </r>
    <r>
      <rPr>
        <b/>
        <vertAlign val="superscript"/>
        <sz val="9"/>
        <rFont val="Arial"/>
        <family val="2"/>
      </rPr>
      <t>(1)</t>
    </r>
  </si>
  <si>
    <t>TOTAL CATEGORICAL SUPPORT</t>
  </si>
  <si>
    <r>
      <t>EQUALIZATION SUPPORT</t>
    </r>
    <r>
      <rPr>
        <b/>
        <vertAlign val="superscript"/>
        <sz val="9"/>
        <rFont val="Arial"/>
        <family val="2"/>
      </rPr>
      <t xml:space="preserve"> (1)</t>
    </r>
  </si>
  <si>
    <r>
      <t xml:space="preserve">ADDITIONAL EQUALIZATION SUPPORT </t>
    </r>
    <r>
      <rPr>
        <b/>
        <vertAlign val="superscript"/>
        <sz val="9"/>
        <rFont val="Arial"/>
        <family val="2"/>
      </rPr>
      <t>(2)</t>
    </r>
  </si>
  <si>
    <r>
      <t xml:space="preserve">FORMULA GUARANTEE </t>
    </r>
    <r>
      <rPr>
        <b/>
        <vertAlign val="superscript"/>
        <sz val="9"/>
        <rFont val="Arial"/>
        <family val="2"/>
      </rPr>
      <t>(3)</t>
    </r>
  </si>
  <si>
    <r>
      <t xml:space="preserve">OTHER 
PROGRAM 
SUPPORT </t>
    </r>
    <r>
      <rPr>
        <b/>
        <vertAlign val="superscript"/>
        <sz val="9"/>
        <rFont val="Arial"/>
        <family val="2"/>
      </rPr>
      <t>(4)</t>
    </r>
  </si>
  <si>
    <t>TOTAL FUNDING
 OF SCHOOLS
 PROGRAM</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</si>
  <si>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</si>
  <si>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Expenditures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</si>
  <si>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</si>
  <si>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</si>
  <si>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</si>
  <si>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</si>
  <si>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(1)  Excludes personnel in Function 300 (Adult Learning Centres) and Function 400 (Community Education and Services) who do not provide 
       educational services to K-12 pupils.</t>
  </si>
  <si>
    <t>FULL TIME EQUIVALENT (FTE) PERSONNEL EMPLOYED (1)</t>
  </si>
  <si>
    <t>PERSONNEL EMPLOYÉ – ÉQUIVALENT TEMPS PLEIN (ETP) (1)</t>
  </si>
  <si>
    <t>(1) Total of Regular Instruction, Student Support Services and Instructional and Other Support Services. See pages 15 and
      16 for details.</t>
  </si>
  <si>
    <t>SOUTIEN DIRECT AUX ÉLÈVES</t>
  </si>
  <si>
    <t>SOMMAIRE STATISTIQUE</t>
  </si>
  <si>
    <t>SPECIAL LEVY
 MILL RATE</t>
  </si>
  <si>
    <t>ASSESSMENT 
PER RESIDENT 
PUPIL</t>
  </si>
  <si>
    <t>PUPIL / EDUCATOR
 RATIO</t>
  </si>
  <si>
    <r>
      <t>OPERATING
 EXPENDITURE 
PER PUPIL</t>
    </r>
    <r>
      <rPr>
        <b/>
        <vertAlign val="superscript"/>
        <sz val="9"/>
        <rFont val="Arial"/>
        <family val="2"/>
      </rPr>
      <t xml:space="preserve"> (1)</t>
    </r>
  </si>
  <si>
    <t xml:space="preserve"> MITT </t>
  </si>
  <si>
    <t>Waywayseecapo Included</t>
  </si>
  <si>
    <t>EARLY
 CHILDHOOD
 DEVELOPMENT INITIATIVE</t>
  </si>
  <si>
    <t xml:space="preserve"> LITERACY
AND
 NUMERACY</t>
  </si>
  <si>
    <t>ASSESSMENT POR RESIDENT PUPIL</t>
  </si>
  <si>
    <t>PAGE Scdatabase COLUMN AC</t>
  </si>
  <si>
    <t>W:\Edusfb\Support\YYYY-YY\Support Files Frozen\DSFYY</t>
  </si>
  <si>
    <t>(1) Special Placement students are not reported separately. They are included in Regular Instruction Enrolment. 
      As a result, total enrolment in Regular Instruction is equal to Total K-12 F.T.E. enrolment.</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</si>
  <si>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</si>
  <si>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PAGE 1 OF 16</t>
  </si>
  <si>
    <t>PAGE 2 OF 16</t>
  </si>
  <si>
    <t>PAGE 3 OF 16</t>
  </si>
  <si>
    <t>PAGE 4 OF 16</t>
  </si>
  <si>
    <t>PAGE 5 OF 16</t>
  </si>
  <si>
    <t>PAGE 7 OF 16</t>
  </si>
  <si>
    <t>PAGE 8 OF 16</t>
  </si>
  <si>
    <t>PAGE 9 OF 16</t>
  </si>
  <si>
    <t>PAGE 10 OF 16</t>
  </si>
  <si>
    <t>PAGE 11 OF 16</t>
  </si>
  <si>
    <t>PAGE 12 OF 16</t>
  </si>
  <si>
    <t>PAGE 13 OF 16</t>
  </si>
  <si>
    <t>PAGE 14 OF 16</t>
  </si>
  <si>
    <t>PAGE 15 OF 16</t>
  </si>
  <si>
    <t>PAGE 16 OF 16</t>
  </si>
  <si>
    <t>PAGE 6 OF 16</t>
  </si>
  <si>
    <t>(1)  Excludes information technology expenses in Function 300 (Adult Learning Centres) and Function 400 (Community Education and Services)
       and Management Information Services in Function 500. Total expenses for Management Information Services are included on page 38 and
       form part of total Information Technology Expenses.</t>
  </si>
  <si>
    <t>(2)  Total Management Information Services expenses in Function 500 (from page 26).</t>
  </si>
  <si>
    <r>
      <t xml:space="preserve">FULL TIME EQUIVALENT (FTE) PERSONNEL EMPLOYED </t>
    </r>
    <r>
      <rPr>
        <b/>
        <vertAlign val="superscript"/>
        <sz val="9"/>
        <rFont val="Arial"/>
        <family val="2"/>
      </rPr>
      <t>(1)</t>
    </r>
  </si>
  <si>
    <t>(3)  From page 50 (for more information, see page 50).</t>
  </si>
  <si>
    <t>(4)  From page 47 (for more information, see page 47).</t>
  </si>
  <si>
    <t>Incremental administration costs related to Waywayseecappo</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</si>
  <si>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</si>
  <si>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</si>
  <si>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</si>
  <si>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DEFINED
ADMINISTRATION
EXPENSES</t>
  </si>
  <si>
    <t>DEFINED 
ADMIN.
EXPENSES 
AS % OF
 EXPENDITURE
 BASE</t>
  </si>
  <si>
    <t xml:space="preserve">
ADMIN.
LIMIT</t>
  </si>
  <si>
    <r>
      <t xml:space="preserve">PORTIONED ASSESSMENT - OTHER AND EDUCATION SUPPORT LEVY  </t>
    </r>
    <r>
      <rPr>
        <b/>
        <vertAlign val="superscript"/>
        <sz val="9"/>
        <rFont val="Arial"/>
        <family val="2"/>
      </rPr>
      <t xml:space="preserve"> (1)</t>
    </r>
  </si>
  <si>
    <t>DEFINED
 ADMIN.
EXPENSES
 (from page 56)</t>
  </si>
  <si>
    <t>Update=&gt;</t>
  </si>
  <si>
    <t>TOTAL OTHER</t>
  </si>
  <si>
    <t>DEPARTMENT OF</t>
  </si>
  <si>
    <t>tig</t>
  </si>
  <si>
    <t>tig dsfm</t>
  </si>
  <si>
    <t>CATEGORICAL</t>
  </si>
  <si>
    <t>SUPPORT</t>
  </si>
  <si>
    <t>Page</t>
  </si>
  <si>
    <t xml:space="preserve"> Function's check</t>
  </si>
  <si>
    <t>Function</t>
  </si>
  <si>
    <t>TRUSTEE</t>
  </si>
  <si>
    <t>ELECTION</t>
  </si>
  <si>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</si>
  <si>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DIRECT SUPPORT
 PER PUPIL</t>
  </si>
  <si>
    <r>
      <t xml:space="preserve">
  DIRECT SUPPORT TO PUPILS
 FUNCTIONS 100 + 200 + 600 </t>
    </r>
    <r>
      <rPr>
        <b/>
        <vertAlign val="superscript"/>
        <sz val="9"/>
        <rFont val="Arial"/>
        <family val="2"/>
      </rPr>
      <t>(1)</t>
    </r>
  </si>
  <si>
    <t>Health and Education Levy.</t>
  </si>
  <si>
    <t>(1)  Support for Function 200 Student Support Services expenses less Counselling and Guidance and Categorical support for Special Needs.</t>
  </si>
  <si>
    <r>
      <t xml:space="preserve">STUDENT SERVICES </t>
    </r>
    <r>
      <rPr>
        <b/>
        <vertAlign val="superscript"/>
        <sz val="9"/>
        <rFont val="Arial"/>
        <family val="2"/>
      </rPr>
      <t>(1)</t>
    </r>
  </si>
  <si>
    <t>(4)  Includes other miscellaneous support (Institutional Programs, Nursing Supports, General Support Grant, Community Schools, etc.).</t>
  </si>
  <si>
    <t xml:space="preserve">PR TIG Adj </t>
  </si>
  <si>
    <t>18b_PROV.xlsm</t>
  </si>
  <si>
    <t>19b_PROV.xlsm</t>
  </si>
  <si>
    <t>(3)  The Tax Incentive Grant (TIG) amounts shown above are after the allocation to the DSFM.  The TIG is being phased out over six years starting in 2018. 
        Please refer to note (1) on page 48 for further information regarding the phase-out.</t>
  </si>
  <si>
    <t>INDIGENOUS ACADEMIC ACHIEVEMENT</t>
  </si>
  <si>
    <t xml:space="preserve">                    </t>
  </si>
  <si>
    <t>(1)  All other categorical support not shown elsewhere (eg. Indigenous and International Languages, Northern Allowance, etc.).</t>
  </si>
  <si>
    <t>(4)  Includes School Buildings "D" Support, Technology Education Equipment Replacement and other minor capital support.</t>
  </si>
  <si>
    <t>(2)  Mill rate for Flin Flon is adjusted for mining revenue.</t>
  </si>
  <si>
    <t>2019 TSA</t>
  </si>
  <si>
    <t>2019/20</t>
  </si>
  <si>
    <t>2019/2020 BUDGET</t>
  </si>
  <si>
    <t>ACTUAL 
SEP. 30, 2018</t>
  </si>
  <si>
    <t xml:space="preserve">(1)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2019/20, school divisions are required to 
       limit the proportion of the budget spent on divisional administration to 2.7% for school divisions with F.T.E enrolment of 5,000 or over; 3.53% 
       for school divisions with F.T.E enrolment of 1,000 or less; and between 2.94% and 3.53% for school divisions with F.T.E enrolment between 
      1,000 and 5,000. Northern school divisions are subject to a 4.25% limit.
</t>
  </si>
  <si>
    <t xml:space="preserve">(2)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Farmland School Tax Rebate nor the income tax portion of the EPTC nor the School Tax  
       Assistance for Tenants and Homeowners (55+) because these are not quantifiable on a school division basis.  For these amounts shown on a 
       provincial basis, see page i. </t>
  </si>
  <si>
    <t>2020/2021 BUDGET</t>
  </si>
  <si>
    <t>(3)  Provincially supported pupils (actual September 30, 2019 for 2020/21 and actual September 30, 2018 for 2019/20).</t>
  </si>
  <si>
    <t xml:space="preserve"> (2020 IS A REASSESSMENT YEAR)</t>
  </si>
  <si>
    <t>(2020 EST UNE ANNÉE DE RÉÉVALUATION)</t>
  </si>
  <si>
    <t>2020/21</t>
  </si>
  <si>
    <r>
      <t xml:space="preserve">2020/21 </t>
    </r>
    <r>
      <rPr>
        <b/>
        <vertAlign val="superscript"/>
        <sz val="9"/>
        <rFont val="Arial"/>
        <family val="2"/>
      </rPr>
      <t>(2)</t>
    </r>
  </si>
  <si>
    <t>2019</t>
  </si>
  <si>
    <r>
      <t xml:space="preserve">2020 </t>
    </r>
    <r>
      <rPr>
        <b/>
        <vertAlign val="superscript"/>
        <sz val="9"/>
        <rFont val="Arial"/>
        <family val="2"/>
      </rPr>
      <t>(3)</t>
    </r>
  </si>
  <si>
    <r>
      <t xml:space="preserve">2020 </t>
    </r>
    <r>
      <rPr>
        <b/>
        <vertAlign val="superscript"/>
        <sz val="9"/>
        <rFont val="Arial"/>
        <family val="2"/>
      </rPr>
      <t>(4)</t>
    </r>
  </si>
  <si>
    <t>2019/20 AND 2020/21 BUDGET</t>
  </si>
  <si>
    <t>ADMINISTRATION EXPENSES 2020/2021 BUDGET</t>
  </si>
  <si>
    <r>
      <t xml:space="preserve">ADMINISTRATION EXPENSES </t>
    </r>
    <r>
      <rPr>
        <b/>
        <vertAlign val="superscript"/>
        <sz val="9"/>
        <rFont val="Arial"/>
        <family val="2"/>
      </rPr>
      <t>(1)</t>
    </r>
    <r>
      <rPr>
        <b/>
        <sz val="9"/>
        <rFont val="Arial"/>
        <family val="2"/>
      </rPr>
      <t xml:space="preserve"> 2020/2021 BUDGET</t>
    </r>
  </si>
  <si>
    <t>(1)  Based on a grant per eligible pupil at September 30, 2019.</t>
  </si>
  <si>
    <t>POUR L'ANNÉE D'IMPOSITION 2020 (2020 EST UNE ANNÉE DE RÉÉVALUATION)</t>
  </si>
  <si>
    <t>(1)  Special levy requisitioned by school divisions for the 2020 tax year. Actual remittance to school divisions by municipalities is reduced by the
       Education Property Tax Credit. See pages 41 and 42 for more detail.</t>
  </si>
  <si>
    <t>Sep 30, 19</t>
  </si>
  <si>
    <t>ACTUAL
 SEP. 30, 2019</t>
  </si>
  <si>
    <t>ESTIMATE 
SEP. 30, 2020</t>
  </si>
  <si>
    <t>ACTUAL 
SEP. 30, 2019</t>
  </si>
  <si>
    <t>2020 TSA</t>
  </si>
  <si>
    <t>(1) Effective 2006, the Education Support Levy is no longer raised on residential property. The mill rate for other property in 2020 is 8.83.</t>
  </si>
  <si>
    <t>(1)  The Tax Incentive Grant (TIG) was a voluntary program intended to assist school divisions that maintained their Special Levy amount 
       adjusted for real growth in property assessment.  Starting in 2018, the $61.4 million TIG is being phased out at 1/6th per year and 
       adjusted (per a TIG Guarantee) to ensure that total operating support including the TIG is at least 98 per cent of last year’s funding. The
       2020 TIG of $37.4 million is a $8.2 million reduction from the 2019 grant of $45.6 million which is comprised of a $10.2 million reduction 
      (1/6th) offset by a $1.9 million TIG guarantee.</t>
  </si>
  <si>
    <t>(3)  Formula Guarantee is provided to ensure that every school division receives at least 98% of the level of funding provided in 2019/20.</t>
  </si>
  <si>
    <t>(1)  Based on area (square footage) of active school buildings as at September 30, 2019. Includes rented and leased space.</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</si>
  <si>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</si>
  <si>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</si>
  <si>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</si>
  <si>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</si>
  <si>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</si>
  <si>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</si>
  <si>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FRAME Report: 2020/21 Budget</t>
  </si>
  <si>
    <t xml:space="preserve">(1)  The portion shown here is comprised of operating support only. The total provincial contribution to K-12 public school education, which also
       includes teachers' retirement allowances, capital support and the education property tax credit, is projected to be 70.7% in 2020/21. See page i 
       for more information. </t>
  </si>
  <si>
    <t>(6)  Total provincial contribution to public education is 70.7%. See page i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</si>
</sst>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 numFmtId="176" formatCode="#,##0;\(#,##0\)"/>
    <numFmt numFmtId="177" formatCode="0_)"/>
    <numFmt numFmtId="178" formatCode="#,##0.00000;\-#,##0.00000"/>
  </numFmts>
  <fonts count="42" x14ac:knownFonts="1">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b/>
      <sz val="12"/>
      <color theme="0"/>
      <name val="Arial"/>
      <family val="2"/>
    </font>
    <font>
      <sz val="9"/>
      <color theme="0"/>
      <name val="Arial"/>
      <family val="2"/>
    </font>
    <font>
      <b/>
      <sz val="9"/>
      <color theme="0"/>
      <name val="Arial"/>
      <family val="2"/>
    </font>
    <font>
      <sz val="11"/>
      <color rgb="FF1F497D"/>
      <name val="Calibri"/>
      <family val="2"/>
    </font>
    <font>
      <sz val="9"/>
      <color rgb="FF000000"/>
      <name val="Times New Roman"/>
      <family val="1"/>
    </font>
    <font>
      <sz val="9"/>
      <color indexed="81"/>
      <name val="Tahoma"/>
      <family val="2"/>
    </font>
    <font>
      <b/>
      <sz val="9"/>
      <color indexed="81"/>
      <name val="Tahoma"/>
      <family val="2"/>
    </font>
    <font>
      <sz val="12"/>
      <name val="Times New Roman"/>
      <family val="1"/>
    </font>
    <font>
      <b/>
      <sz val="12"/>
      <color indexed="9"/>
      <name val="Arial"/>
      <family val="2"/>
    </font>
    <font>
      <sz val="12"/>
      <color indexed="9"/>
      <name val="Arial"/>
      <family val="2"/>
    </font>
    <font>
      <u/>
      <sz val="9"/>
      <color theme="10"/>
      <name val="Times New Roman"/>
      <family val="1"/>
    </font>
    <font>
      <u/>
      <sz val="12"/>
      <color theme="0"/>
      <name val="Arial"/>
      <family val="2"/>
    </font>
  </fonts>
  <fills count="16">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57"/>
        <bgColor indexed="64"/>
      </patternFill>
    </fill>
  </fills>
  <borders count="6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164" fontId="1" fillId="0" borderId="0" applyFont="0" applyFill="0" applyBorder="0" applyAlignment="0" applyProtection="0"/>
    <xf numFmtId="164" fontId="15" fillId="0" borderId="0" applyFont="0" applyFill="0" applyBorder="0" applyAlignment="0" applyProtection="0"/>
    <xf numFmtId="0" fontId="15" fillId="0" borderId="0"/>
    <xf numFmtId="39" fontId="20" fillId="0" borderId="0"/>
    <xf numFmtId="9" fontId="1" fillId="0" borderId="0" applyFont="0" applyFill="0" applyBorder="0" applyAlignment="0" applyProtection="0"/>
    <xf numFmtId="37" fontId="20" fillId="0" borderId="0"/>
    <xf numFmtId="0" fontId="40" fillId="0" borderId="0" applyNumberFormat="0" applyFill="0" applyBorder="0" applyAlignment="0" applyProtection="0">
      <alignment vertical="top"/>
      <protection locked="0"/>
    </xf>
  </cellStyleXfs>
  <cellXfs count="847">
    <xf numFmtId="37" fontId="0" fillId="0" borderId="0" xfId="0"/>
    <xf numFmtId="37" fontId="5" fillId="0" borderId="0" xfId="0" applyFont="1"/>
    <xf numFmtId="49" fontId="5" fillId="0" borderId="0" xfId="0" applyNumberFormat="1" applyFont="1" applyAlignment="1"/>
    <xf numFmtId="165"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1" xfId="0" applyFont="1" applyFill="1" applyBorder="1" applyAlignment="1">
      <alignment horizontal="center"/>
    </xf>
    <xf numFmtId="49" fontId="3" fillId="0" borderId="7" xfId="0" applyNumberFormat="1" applyFont="1" applyBorder="1"/>
    <xf numFmtId="49" fontId="3" fillId="0" borderId="8" xfId="0" applyNumberFormat="1" applyFont="1" applyBorder="1"/>
    <xf numFmtId="49" fontId="3" fillId="0" borderId="0" xfId="0" applyNumberFormat="1" applyFont="1"/>
    <xf numFmtId="49" fontId="5" fillId="0" borderId="1" xfId="0" applyNumberFormat="1" applyFont="1" applyBorder="1" applyAlignment="1">
      <alignment vertical="center"/>
    </xf>
    <xf numFmtId="170" fontId="5" fillId="0" borderId="1" xfId="0" applyNumberFormat="1" applyFont="1" applyBorder="1" applyAlignment="1">
      <alignment vertical="center"/>
    </xf>
    <xf numFmtId="49" fontId="5" fillId="0" borderId="0" xfId="0" applyNumberFormat="1" applyFont="1" applyAlignment="1">
      <alignment vertical="center"/>
    </xf>
    <xf numFmtId="171"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5"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5" fontId="5"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69" fontId="5" fillId="3" borderId="0" xfId="0" applyNumberFormat="1" applyFont="1" applyFill="1" applyProtection="1"/>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8" xfId="0" applyFont="1" applyBorder="1" applyAlignment="1">
      <alignment vertical="center"/>
    </xf>
    <xf numFmtId="37" fontId="5" fillId="0" borderId="0" xfId="0" applyFont="1" applyProtection="1"/>
    <xf numFmtId="173" fontId="5" fillId="0" borderId="1" xfId="0" applyNumberFormat="1" applyFont="1" applyBorder="1" applyAlignment="1">
      <alignment vertical="center"/>
    </xf>
    <xf numFmtId="173" fontId="5" fillId="0" borderId="14" xfId="0" applyNumberFormat="1" applyFont="1" applyBorder="1" applyAlignment="1">
      <alignment vertical="center"/>
    </xf>
    <xf numFmtId="173" fontId="5" fillId="0" borderId="6" xfId="0" applyNumberFormat="1" applyFont="1" applyBorder="1" applyAlignment="1">
      <alignment vertical="center"/>
    </xf>
    <xf numFmtId="173" fontId="5" fillId="0" borderId="0" xfId="0" applyNumberFormat="1" applyFont="1" applyAlignment="1">
      <alignment vertical="center"/>
    </xf>
    <xf numFmtId="37" fontId="5" fillId="0" borderId="11" xfId="0" applyFont="1" applyBorder="1" applyProtection="1"/>
    <xf numFmtId="37" fontId="5" fillId="0" borderId="15" xfId="0" applyFont="1" applyBorder="1"/>
    <xf numFmtId="37" fontId="3" fillId="0" borderId="15"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6" xfId="0" applyFont="1" applyBorder="1"/>
    <xf numFmtId="37" fontId="5" fillId="0" borderId="5" xfId="0" applyFont="1" applyBorder="1"/>
    <xf numFmtId="37" fontId="3" fillId="0" borderId="17" xfId="0" applyFont="1" applyBorder="1"/>
    <xf numFmtId="170" fontId="5" fillId="0" borderId="1" xfId="0" applyNumberFormat="1" applyFont="1" applyBorder="1" applyProtection="1"/>
    <xf numFmtId="170" fontId="5" fillId="0" borderId="6" xfId="0" applyNumberFormat="1" applyFont="1" applyBorder="1" applyProtection="1"/>
    <xf numFmtId="37" fontId="5" fillId="0" borderId="6" xfId="0" applyFont="1" applyBorder="1"/>
    <xf numFmtId="165" fontId="5" fillId="0" borderId="13" xfId="0" applyNumberFormat="1" applyFont="1" applyBorder="1" applyProtection="1"/>
    <xf numFmtId="170" fontId="5" fillId="0" borderId="13"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7" xfId="0" applyFont="1" applyBorder="1" applyAlignment="1">
      <alignment vertical="top"/>
    </xf>
    <xf numFmtId="37" fontId="5" fillId="0" borderId="13" xfId="0" applyFont="1" applyBorder="1" applyAlignment="1">
      <alignment horizontal="right" textRotation="180"/>
    </xf>
    <xf numFmtId="170" fontId="5" fillId="0" borderId="0" xfId="0" applyNumberFormat="1" applyFont="1" applyProtection="1"/>
    <xf numFmtId="49" fontId="9" fillId="0" borderId="0" xfId="0" applyNumberFormat="1" applyFont="1"/>
    <xf numFmtId="37" fontId="5" fillId="0" borderId="13" xfId="0" applyNumberFormat="1" applyFont="1" applyBorder="1" applyProtection="1"/>
    <xf numFmtId="37" fontId="5" fillId="0" borderId="0" xfId="0" applyNumberFormat="1" applyFont="1" applyProtection="1"/>
    <xf numFmtId="37" fontId="5" fillId="0" borderId="18" xfId="0" applyFont="1" applyBorder="1"/>
    <xf numFmtId="37" fontId="3" fillId="0" borderId="19" xfId="0" applyFont="1" applyBorder="1"/>
    <xf numFmtId="170" fontId="3" fillId="0" borderId="20" xfId="0" applyNumberFormat="1" applyFont="1" applyBorder="1" applyProtection="1"/>
    <xf numFmtId="170" fontId="3" fillId="0" borderId="19" xfId="0" applyNumberFormat="1" applyFont="1" applyBorder="1" applyProtection="1"/>
    <xf numFmtId="170" fontId="3" fillId="0" borderId="15" xfId="0" applyNumberFormat="1" applyFont="1" applyBorder="1" applyProtection="1"/>
    <xf numFmtId="170" fontId="5" fillId="0" borderId="15"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5" fillId="0" borderId="0" xfId="0" applyFont="1" applyAlignment="1">
      <alignment horizontal="centerContinuous"/>
    </xf>
    <xf numFmtId="167"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7" fontId="5" fillId="5" borderId="0" xfId="0" applyNumberFormat="1" applyFont="1" applyFill="1" applyBorder="1" applyProtection="1"/>
    <xf numFmtId="167" fontId="3" fillId="5" borderId="0" xfId="0" applyNumberFormat="1" applyFont="1" applyFill="1" applyBorder="1" applyProtection="1"/>
    <xf numFmtId="167" fontId="5" fillId="0" borderId="11" xfId="0" applyNumberFormat="1" applyFont="1" applyBorder="1" applyAlignment="1" applyProtection="1">
      <alignment horizontal="right"/>
    </xf>
    <xf numFmtId="37" fontId="3" fillId="0" borderId="15" xfId="0" applyFont="1" applyBorder="1" applyAlignment="1">
      <alignment horizontal="centerContinuous"/>
    </xf>
    <xf numFmtId="37" fontId="5" fillId="0" borderId="15" xfId="0" applyFont="1" applyBorder="1" applyAlignment="1">
      <alignment horizontal="centerContinuous"/>
    </xf>
    <xf numFmtId="37" fontId="5" fillId="0" borderId="15" xfId="0" applyFont="1" applyBorder="1" applyAlignment="1"/>
    <xf numFmtId="37" fontId="5" fillId="0" borderId="15" xfId="0" applyFont="1" applyBorder="1" applyAlignment="1">
      <alignment horizontal="right"/>
    </xf>
    <xf numFmtId="37" fontId="3" fillId="0" borderId="0" xfId="0" applyFont="1" applyAlignment="1">
      <alignment horizontal="centerContinuous"/>
    </xf>
    <xf numFmtId="37" fontId="3" fillId="0" borderId="18" xfId="0" applyFont="1" applyBorder="1" applyAlignment="1">
      <alignment horizontal="centerContinuous"/>
    </xf>
    <xf numFmtId="37" fontId="5" fillId="0" borderId="19" xfId="0" applyFont="1" applyBorder="1" applyAlignment="1">
      <alignment horizontal="centerContinuous"/>
    </xf>
    <xf numFmtId="37" fontId="3" fillId="3" borderId="23"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0" fontId="5" fillId="3" borderId="7" xfId="0" applyNumberFormat="1" applyFont="1" applyFill="1" applyBorder="1" applyProtection="1"/>
    <xf numFmtId="37" fontId="5" fillId="3" borderId="21" xfId="0" applyFont="1" applyFill="1" applyBorder="1"/>
    <xf numFmtId="170" fontId="5" fillId="3" borderId="21" xfId="0" applyNumberFormat="1" applyFont="1" applyFill="1" applyBorder="1" applyProtection="1"/>
    <xf numFmtId="37" fontId="5" fillId="0" borderId="21" xfId="0" applyFont="1" applyBorder="1"/>
    <xf numFmtId="170" fontId="5" fillId="0" borderId="21" xfId="0" applyNumberFormat="1" applyFont="1" applyBorder="1" applyProtection="1"/>
    <xf numFmtId="170" fontId="5" fillId="0" borderId="21" xfId="0" applyNumberFormat="1" applyFont="1" applyBorder="1"/>
    <xf numFmtId="37" fontId="5" fillId="0" borderId="8" xfId="0" applyFont="1" applyBorder="1" applyAlignment="1">
      <alignment horizontal="left"/>
    </xf>
    <xf numFmtId="170" fontId="5" fillId="0" borderId="8" xfId="0" applyNumberFormat="1" applyFont="1" applyBorder="1" applyProtection="1"/>
    <xf numFmtId="37" fontId="3" fillId="0" borderId="23" xfId="0" applyFont="1" applyFill="1" applyBorder="1"/>
    <xf numFmtId="37" fontId="5" fillId="0" borderId="21" xfId="0" applyNumberFormat="1" applyFont="1" applyBorder="1" applyProtection="1"/>
    <xf numFmtId="37" fontId="5" fillId="0" borderId="21"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0" fontId="3" fillId="0" borderId="23" xfId="0" applyNumberFormat="1" applyFont="1" applyFill="1" applyBorder="1"/>
    <xf numFmtId="166" fontId="5" fillId="0" borderId="0" xfId="0" applyNumberFormat="1" applyFont="1" applyProtection="1"/>
    <xf numFmtId="49" fontId="5"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5" fontId="5" fillId="0" borderId="2" xfId="0" applyNumberFormat="1" applyFont="1" applyBorder="1" applyAlignment="1" applyProtection="1">
      <alignment vertical="center"/>
    </xf>
    <xf numFmtId="37" fontId="5" fillId="0" borderId="24" xfId="0" applyFont="1" applyBorder="1" applyAlignment="1">
      <alignment horizontal="centerContinuous"/>
    </xf>
    <xf numFmtId="37" fontId="6" fillId="0" borderId="2" xfId="0" applyFont="1" applyBorder="1" applyProtection="1">
      <protection locked="0"/>
    </xf>
    <xf numFmtId="165"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6" xfId="0" applyFont="1" applyFill="1" applyBorder="1" applyAlignment="1">
      <alignment horizontal="centerContinuous"/>
    </xf>
    <xf numFmtId="37" fontId="3" fillId="3" borderId="6" xfId="0" applyFont="1" applyFill="1" applyBorder="1"/>
    <xf numFmtId="170" fontId="5" fillId="0" borderId="1" xfId="0" applyNumberFormat="1" applyFont="1" applyBorder="1"/>
    <xf numFmtId="170" fontId="5" fillId="0" borderId="0" xfId="0" applyNumberFormat="1" applyFont="1"/>
    <xf numFmtId="37" fontId="5" fillId="0" borderId="24" xfId="0" applyFont="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9" fontId="5" fillId="0" borderId="0" xfId="0" applyNumberFormat="1" applyFont="1" applyProtection="1"/>
    <xf numFmtId="37" fontId="5" fillId="3" borderId="2" xfId="0" applyFont="1" applyFill="1" applyBorder="1" applyAlignment="1">
      <alignment horizontal="right" vertical="center"/>
    </xf>
    <xf numFmtId="37" fontId="3" fillId="0" borderId="19" xfId="0" applyFont="1" applyBorder="1" applyAlignment="1">
      <alignment horizontal="centerContinuous"/>
    </xf>
    <xf numFmtId="165" fontId="5" fillId="0" borderId="2" xfId="0" applyNumberFormat="1" applyFont="1" applyBorder="1" applyAlignment="1" applyProtection="1">
      <alignment horizontal="centerContinuous"/>
    </xf>
    <xf numFmtId="165" fontId="5" fillId="0" borderId="3" xfId="0" applyNumberFormat="1" applyFont="1" applyBorder="1" applyAlignment="1" applyProtection="1">
      <alignment horizontal="centerContinuous"/>
    </xf>
    <xf numFmtId="37" fontId="3" fillId="0" borderId="20" xfId="0" applyFont="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5" xfId="0" applyFont="1" applyFill="1" applyBorder="1" applyProtection="1"/>
    <xf numFmtId="37" fontId="5" fillId="3" borderId="15" xfId="0" applyFont="1" applyFill="1" applyBorder="1" applyProtection="1"/>
    <xf numFmtId="37" fontId="5" fillId="3" borderId="19"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6" xfId="0" applyFont="1" applyFill="1" applyBorder="1" applyProtection="1"/>
    <xf numFmtId="37" fontId="5" fillId="0" borderId="6" xfId="0" applyFont="1" applyBorder="1" applyProtection="1"/>
    <xf numFmtId="170" fontId="5" fillId="0" borderId="13" xfId="0" applyNumberFormat="1" applyFont="1" applyBorder="1" applyAlignment="1">
      <alignment vertical="center"/>
    </xf>
    <xf numFmtId="174" fontId="5" fillId="0" borderId="25" xfId="0" applyNumberFormat="1" applyFont="1" applyBorder="1" applyAlignment="1">
      <alignment vertical="center"/>
    </xf>
    <xf numFmtId="174" fontId="5" fillId="0" borderId="0" xfId="0" applyNumberFormat="1" applyFont="1" applyAlignment="1">
      <alignment vertical="center"/>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165" fontId="5" fillId="0" borderId="2" xfId="0" applyNumberFormat="1" applyFont="1" applyBorder="1" applyAlignment="1" applyProtection="1">
      <alignment horizontal="centerContinuous" vertical="center"/>
    </xf>
    <xf numFmtId="37" fontId="5" fillId="0" borderId="24" xfId="0" applyFont="1" applyBorder="1" applyAlignment="1">
      <alignment horizontal="centerContinuous" vertical="center"/>
    </xf>
    <xf numFmtId="165" fontId="5" fillId="0" borderId="3" xfId="0" applyNumberFormat="1" applyFont="1" applyBorder="1" applyAlignment="1" applyProtection="1">
      <alignment horizontal="centerContinuous" vertical="center"/>
    </xf>
    <xf numFmtId="165" fontId="5" fillId="0" borderId="0" xfId="0" applyNumberFormat="1" applyFont="1" applyBorder="1" applyProtection="1"/>
    <xf numFmtId="37" fontId="3" fillId="3" borderId="18" xfId="0" applyFont="1" applyFill="1" applyBorder="1" applyAlignment="1">
      <alignment horizontal="centerContinuous"/>
    </xf>
    <xf numFmtId="165" fontId="6" fillId="0" borderId="0" xfId="0" applyNumberFormat="1" applyFont="1" applyProtection="1">
      <protection locked="0"/>
    </xf>
    <xf numFmtId="165" fontId="5" fillId="0" borderId="15" xfId="0" applyNumberFormat="1" applyFont="1" applyBorder="1" applyAlignment="1" applyProtection="1">
      <alignment vertical="center"/>
    </xf>
    <xf numFmtId="37" fontId="3" fillId="3" borderId="15" xfId="0" quotePrefix="1" applyFont="1" applyFill="1" applyBorder="1" applyAlignment="1" applyProtection="1">
      <alignment horizontal="centerContinuous" vertical="center"/>
    </xf>
    <xf numFmtId="37" fontId="5" fillId="0" borderId="15" xfId="0" applyFont="1" applyBorder="1" applyAlignment="1">
      <alignment horizontal="right" vertical="center"/>
    </xf>
    <xf numFmtId="37" fontId="3" fillId="0" borderId="4" xfId="0" applyFont="1" applyBorder="1" applyAlignment="1">
      <alignment horizontal="center"/>
    </xf>
    <xf numFmtId="37" fontId="5" fillId="0" borderId="0" xfId="0" applyFont="1" applyAlignment="1">
      <alignment wrapText="1"/>
    </xf>
    <xf numFmtId="37" fontId="5" fillId="0" borderId="15" xfId="0" applyFont="1" applyBorder="1" applyAlignment="1">
      <alignment vertical="center"/>
    </xf>
    <xf numFmtId="37" fontId="3" fillId="3" borderId="20" xfId="0" applyFont="1" applyFill="1" applyBorder="1" applyAlignment="1">
      <alignment horizontal="centerContinuous"/>
    </xf>
    <xf numFmtId="37" fontId="5" fillId="0" borderId="15" xfId="0" applyFont="1" applyBorder="1" applyAlignment="1">
      <alignment horizontal="left" vertical="center"/>
    </xf>
    <xf numFmtId="37" fontId="5" fillId="0" borderId="15"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7" fontId="5" fillId="0" borderId="0" xfId="0" applyNumberFormat="1" applyFont="1"/>
    <xf numFmtId="173" fontId="5" fillId="0" borderId="1" xfId="0" applyNumberFormat="1" applyFont="1" applyBorder="1"/>
    <xf numFmtId="172" fontId="5" fillId="0" borderId="0" xfId="0" applyNumberFormat="1" applyFont="1"/>
    <xf numFmtId="173" fontId="5" fillId="0" borderId="0" xfId="0" applyNumberFormat="1" applyFont="1"/>
    <xf numFmtId="165" fontId="5" fillId="0" borderId="0" xfId="0" applyNumberFormat="1" applyFont="1" applyAlignment="1" applyProtection="1">
      <alignment horizontal="right"/>
    </xf>
    <xf numFmtId="37" fontId="5" fillId="0" borderId="0" xfId="0" applyFont="1" applyAlignment="1">
      <alignment horizontal="center"/>
    </xf>
    <xf numFmtId="37" fontId="5" fillId="0" borderId="30" xfId="0" applyFont="1" applyBorder="1"/>
    <xf numFmtId="37" fontId="5" fillId="0" borderId="27" xfId="0" applyFont="1" applyBorder="1"/>
    <xf numFmtId="0" fontId="5" fillId="0" borderId="0" xfId="0" applyNumberFormat="1" applyFont="1" applyAlignment="1">
      <alignment horizontal="center"/>
    </xf>
    <xf numFmtId="37" fontId="5" fillId="3" borderId="0" xfId="0" applyFont="1" applyFill="1" applyAlignment="1">
      <alignment horizontal="left"/>
    </xf>
    <xf numFmtId="37" fontId="5" fillId="0" borderId="0" xfId="0" quotePrefix="1" applyFont="1" applyAlignment="1">
      <alignment horizontal="center"/>
    </xf>
    <xf numFmtId="37" fontId="3" fillId="0" borderId="21" xfId="0" applyFont="1" applyBorder="1" applyAlignment="1">
      <alignment horizontal="center" vertical="center"/>
    </xf>
    <xf numFmtId="164"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0" xfId="0" applyNumberFormat="1" applyFont="1" applyFill="1" applyBorder="1" applyAlignment="1">
      <alignment horizontal="center"/>
    </xf>
    <xf numFmtId="37" fontId="3" fillId="3" borderId="15"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0" borderId="31" xfId="0" applyFont="1" applyBorder="1" applyAlignment="1">
      <alignment horizontal="center"/>
    </xf>
    <xf numFmtId="37" fontId="5" fillId="0" borderId="7" xfId="0" applyFont="1" applyBorder="1"/>
    <xf numFmtId="37" fontId="3" fillId="0" borderId="21" xfId="0" applyFont="1" applyBorder="1" applyAlignment="1">
      <alignment horizontal="center"/>
    </xf>
    <xf numFmtId="49" fontId="5" fillId="0" borderId="0" xfId="0" applyNumberFormat="1" applyFont="1" applyBorder="1" applyAlignment="1">
      <alignment horizontal="left"/>
    </xf>
    <xf numFmtId="37" fontId="5" fillId="3" borderId="0" xfId="0" applyFont="1" applyFill="1" applyBorder="1" applyAlignment="1">
      <alignment horizontal="right"/>
    </xf>
    <xf numFmtId="165" fontId="5" fillId="0" borderId="15" xfId="0" applyNumberFormat="1" applyFont="1" applyBorder="1" applyProtection="1"/>
    <xf numFmtId="37" fontId="5" fillId="0" borderId="15" xfId="0" applyFont="1" applyBorder="1" applyAlignment="1">
      <alignment horizontal="centerContinuous" vertical="center"/>
    </xf>
    <xf numFmtId="165" fontId="5" fillId="0" borderId="0" xfId="0" applyNumberFormat="1" applyFont="1" applyAlignment="1" applyProtection="1">
      <alignment horizontal="centerContinuous"/>
    </xf>
    <xf numFmtId="37" fontId="6" fillId="0" borderId="15" xfId="0" applyFont="1" applyBorder="1" applyAlignment="1" applyProtection="1">
      <alignment horizontal="centerContinuous" vertical="center"/>
      <protection locked="0"/>
    </xf>
    <xf numFmtId="0" fontId="5" fillId="0" borderId="0" xfId="2" applyNumberFormat="1" applyFont="1" applyAlignment="1"/>
    <xf numFmtId="37" fontId="5" fillId="0" borderId="0" xfId="0" quotePrefix="1" applyFont="1" applyAlignment="1"/>
    <xf numFmtId="37" fontId="3" fillId="0" borderId="27" xfId="0" applyFont="1" applyBorder="1" applyAlignment="1">
      <alignment horizontal="centerContinuous" vertical="center"/>
    </xf>
    <xf numFmtId="37" fontId="5" fillId="0" borderId="27" xfId="0" applyFont="1" applyBorder="1" applyAlignment="1">
      <alignment horizontal="centerContinuous" vertical="center"/>
    </xf>
    <xf numFmtId="37" fontId="6" fillId="0" borderId="15" xfId="0" applyFont="1" applyBorder="1" applyAlignment="1" applyProtection="1">
      <alignment vertical="center"/>
      <protection locked="0"/>
    </xf>
    <xf numFmtId="37" fontId="3" fillId="0" borderId="1" xfId="0" applyFont="1" applyBorder="1"/>
    <xf numFmtId="49" fontId="5" fillId="0" borderId="0" xfId="0" applyNumberFormat="1" applyFont="1" applyBorder="1" applyAlignment="1">
      <alignment vertical="center"/>
    </xf>
    <xf numFmtId="170" fontId="5" fillId="0" borderId="0" xfId="0" applyNumberFormat="1" applyFont="1" applyBorder="1"/>
    <xf numFmtId="165" fontId="5" fillId="0" borderId="24" xfId="0" applyNumberFormat="1" applyFont="1" applyBorder="1" applyAlignment="1" applyProtection="1">
      <alignment vertical="center"/>
    </xf>
    <xf numFmtId="37" fontId="3" fillId="0" borderId="24" xfId="0" applyFont="1" applyBorder="1" applyAlignment="1">
      <alignment horizontal="centerContinuous" vertical="center"/>
    </xf>
    <xf numFmtId="165" fontId="5" fillId="0" borderId="11" xfId="0" applyNumberFormat="1" applyFont="1" applyBorder="1" applyAlignment="1" applyProtection="1">
      <alignment vertical="center"/>
    </xf>
    <xf numFmtId="37" fontId="5" fillId="0" borderId="11" xfId="0" applyFont="1" applyBorder="1" applyAlignment="1"/>
    <xf numFmtId="37" fontId="5" fillId="0" borderId="32" xfId="0" applyFont="1" applyBorder="1"/>
    <xf numFmtId="166" fontId="5" fillId="0" borderId="0" xfId="6" applyNumberFormat="1" applyFont="1" applyBorder="1"/>
    <xf numFmtId="37" fontId="5" fillId="0" borderId="0" xfId="0" applyNumberFormat="1" applyFont="1"/>
    <xf numFmtId="170" fontId="5" fillId="0" borderId="1" xfId="0" applyNumberFormat="1" applyFont="1" applyBorder="1" applyAlignment="1">
      <alignment horizontal="right"/>
    </xf>
    <xf numFmtId="37" fontId="3" fillId="0" borderId="33" xfId="0" applyFont="1" applyBorder="1"/>
    <xf numFmtId="37" fontId="3" fillId="0" borderId="34" xfId="0" applyFont="1" applyBorder="1"/>
    <xf numFmtId="37" fontId="3" fillId="0" borderId="7" xfId="0" applyFont="1" applyFill="1" applyBorder="1" applyAlignment="1">
      <alignment horizontal="centerContinuous" vertical="center"/>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1" xfId="0" applyFont="1" applyFill="1" applyBorder="1" applyAlignment="1"/>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7" xfId="0" applyFont="1" applyBorder="1" applyAlignment="1">
      <alignment horizontal="right" vertical="top" textRotation="180"/>
    </xf>
    <xf numFmtId="168" fontId="5" fillId="3" borderId="21" xfId="0" applyNumberFormat="1" applyFont="1" applyFill="1" applyBorder="1" applyProtection="1"/>
    <xf numFmtId="168" fontId="5" fillId="0" borderId="21" xfId="0" applyNumberFormat="1" applyFont="1" applyBorder="1" applyProtection="1"/>
    <xf numFmtId="168" fontId="5" fillId="0" borderId="8" xfId="0" applyNumberFormat="1" applyFont="1" applyBorder="1" applyProtection="1"/>
    <xf numFmtId="168" fontId="5" fillId="3" borderId="7" xfId="0" applyNumberFormat="1" applyFont="1" applyFill="1" applyBorder="1" applyProtection="1"/>
    <xf numFmtId="168" fontId="3" fillId="0" borderId="23" xfId="6" applyNumberFormat="1" applyFont="1" applyFill="1" applyBorder="1"/>
    <xf numFmtId="168" fontId="3" fillId="0" borderId="7" xfId="6" applyNumberFormat="1" applyFont="1" applyFill="1" applyBorder="1"/>
    <xf numFmtId="168" fontId="5" fillId="0" borderId="0" xfId="0" applyNumberFormat="1" applyFont="1" applyProtection="1"/>
    <xf numFmtId="168" fontId="5" fillId="0" borderId="0" xfId="6" applyNumberFormat="1" applyFont="1"/>
    <xf numFmtId="168" fontId="5" fillId="0" borderId="1" xfId="6" applyNumberFormat="1" applyFont="1" applyBorder="1"/>
    <xf numFmtId="37" fontId="3" fillId="6" borderId="16" xfId="0" applyFont="1" applyFill="1" applyBorder="1" applyAlignment="1">
      <alignment horizontal="centerContinuous"/>
    </xf>
    <xf numFmtId="37" fontId="3" fillId="6" borderId="2" xfId="0" applyFont="1" applyFill="1" applyBorder="1" applyAlignment="1">
      <alignment horizontal="centerContinuous"/>
    </xf>
    <xf numFmtId="37" fontId="3" fillId="6" borderId="5" xfId="0" applyFont="1" applyFill="1" applyBorder="1" applyAlignment="1">
      <alignment horizontal="centerContinuous"/>
    </xf>
    <xf numFmtId="49" fontId="5" fillId="6" borderId="1" xfId="0" applyNumberFormat="1" applyFont="1" applyFill="1" applyBorder="1" applyAlignment="1">
      <alignment vertical="center"/>
    </xf>
    <xf numFmtId="170" fontId="5" fillId="6" borderId="1" xfId="0" applyNumberFormat="1" applyFont="1" applyFill="1" applyBorder="1" applyAlignment="1">
      <alignment vertical="center"/>
    </xf>
    <xf numFmtId="168" fontId="5" fillId="6" borderId="1" xfId="6" applyNumberFormat="1" applyFont="1" applyFill="1" applyBorder="1"/>
    <xf numFmtId="49" fontId="3" fillId="6" borderId="20" xfId="2" applyNumberFormat="1" applyFont="1" applyFill="1" applyBorder="1" applyAlignment="1">
      <alignment vertical="center"/>
    </xf>
    <xf numFmtId="170" fontId="3" fillId="6" borderId="20" xfId="0" applyNumberFormat="1" applyFont="1" applyFill="1" applyBorder="1" applyAlignment="1">
      <alignment vertical="center"/>
    </xf>
    <xf numFmtId="168" fontId="3" fillId="6" borderId="20" xfId="6" applyNumberFormat="1" applyFont="1" applyFill="1" applyBorder="1"/>
    <xf numFmtId="37" fontId="5" fillId="6" borderId="16" xfId="0" applyFont="1" applyFill="1" applyBorder="1"/>
    <xf numFmtId="37" fontId="3" fillId="6" borderId="2" xfId="0" applyFont="1" applyFill="1" applyBorder="1"/>
    <xf numFmtId="37" fontId="5" fillId="6" borderId="5" xfId="0" applyFont="1" applyFill="1" applyBorder="1" applyAlignment="1">
      <alignment horizontal="centerContinuous"/>
    </xf>
    <xf numFmtId="37" fontId="5" fillId="6" borderId="2" xfId="0" applyFont="1" applyFill="1" applyBorder="1" applyAlignment="1">
      <alignment horizontal="centerContinuous"/>
    </xf>
    <xf numFmtId="37" fontId="3" fillId="7" borderId="23" xfId="0" applyFont="1" applyFill="1" applyBorder="1"/>
    <xf numFmtId="37" fontId="3" fillId="7" borderId="35" xfId="0" applyFont="1" applyFill="1" applyBorder="1"/>
    <xf numFmtId="37" fontId="3" fillId="6" borderId="18" xfId="0" applyFont="1" applyFill="1" applyBorder="1" applyAlignment="1">
      <alignment horizontal="centerContinuous"/>
    </xf>
    <xf numFmtId="37" fontId="3" fillId="6" borderId="4" xfId="0" applyFont="1" applyFill="1" applyBorder="1" applyAlignment="1">
      <alignment horizontal="centerContinuous"/>
    </xf>
    <xf numFmtId="37" fontId="3" fillId="6" borderId="9" xfId="0" applyFont="1" applyFill="1" applyBorder="1" applyAlignment="1">
      <alignment horizontal="centerContinuous"/>
    </xf>
    <xf numFmtId="37" fontId="3" fillId="6" borderId="30" xfId="0" applyFont="1" applyFill="1" applyBorder="1" applyAlignment="1">
      <alignment horizontal="centerContinuous"/>
    </xf>
    <xf numFmtId="37" fontId="3" fillId="6" borderId="27" xfId="0" applyFont="1" applyFill="1" applyBorder="1" applyAlignment="1">
      <alignment horizontal="centerContinuous"/>
    </xf>
    <xf numFmtId="37" fontId="3" fillId="6" borderId="28" xfId="0" applyFont="1" applyFill="1" applyBorder="1" applyAlignment="1">
      <alignment horizontal="centerContinuous"/>
    </xf>
    <xf numFmtId="37" fontId="3" fillId="6" borderId="36" xfId="0" applyFont="1" applyFill="1" applyBorder="1" applyAlignment="1">
      <alignment horizontal="center"/>
    </xf>
    <xf numFmtId="37" fontId="3" fillId="6" borderId="19" xfId="0" applyFont="1" applyFill="1" applyBorder="1" applyAlignment="1">
      <alignment horizontal="center"/>
    </xf>
    <xf numFmtId="37" fontId="3" fillId="6" borderId="20" xfId="0" applyFont="1" applyFill="1" applyBorder="1" applyAlignment="1">
      <alignment horizontal="center"/>
    </xf>
    <xf numFmtId="173" fontId="5" fillId="6" borderId="1" xfId="0" applyNumberFormat="1" applyFont="1" applyFill="1" applyBorder="1" applyAlignment="1">
      <alignment vertical="center"/>
    </xf>
    <xf numFmtId="173" fontId="3" fillId="6" borderId="20" xfId="0" applyNumberFormat="1" applyFont="1" applyFill="1" applyBorder="1" applyAlignment="1">
      <alignment vertical="center"/>
    </xf>
    <xf numFmtId="37" fontId="3" fillId="6" borderId="19" xfId="0" applyFont="1" applyFill="1" applyBorder="1" applyAlignment="1">
      <alignment horizontal="centerContinuous"/>
    </xf>
    <xf numFmtId="173" fontId="5" fillId="6" borderId="14" xfId="0" applyNumberFormat="1" applyFont="1" applyFill="1" applyBorder="1" applyAlignment="1">
      <alignment vertical="center"/>
    </xf>
    <xf numFmtId="173" fontId="5" fillId="6" borderId="6" xfId="0" applyNumberFormat="1" applyFont="1" applyFill="1" applyBorder="1" applyAlignment="1">
      <alignment vertical="center"/>
    </xf>
    <xf numFmtId="37" fontId="3" fillId="6" borderId="19" xfId="0" applyFont="1" applyFill="1" applyBorder="1" applyAlignment="1">
      <alignment horizontal="centerContinuous" vertical="center"/>
    </xf>
    <xf numFmtId="170" fontId="5" fillId="6" borderId="13" xfId="0" applyNumberFormat="1" applyFont="1" applyFill="1" applyBorder="1" applyAlignment="1">
      <alignment vertical="center"/>
    </xf>
    <xf numFmtId="174" fontId="5" fillId="6" borderId="25" xfId="0" applyNumberFormat="1" applyFont="1" applyFill="1" applyBorder="1" applyAlignment="1">
      <alignment vertical="center"/>
    </xf>
    <xf numFmtId="168" fontId="3" fillId="6" borderId="19" xfId="6" applyNumberFormat="1" applyFont="1" applyFill="1" applyBorder="1"/>
    <xf numFmtId="37" fontId="3" fillId="6" borderId="16" xfId="0" applyFont="1" applyFill="1" applyBorder="1" applyAlignment="1"/>
    <xf numFmtId="37" fontId="3" fillId="6" borderId="5" xfId="0" applyFont="1" applyFill="1" applyBorder="1" applyAlignment="1"/>
    <xf numFmtId="170" fontId="5" fillId="6" borderId="1" xfId="0" applyNumberFormat="1" applyFont="1" applyFill="1" applyBorder="1"/>
    <xf numFmtId="39" fontId="5" fillId="6" borderId="1" xfId="0" applyNumberFormat="1" applyFont="1" applyFill="1" applyBorder="1"/>
    <xf numFmtId="170" fontId="3" fillId="6" borderId="20" xfId="0" applyNumberFormat="1" applyFont="1" applyFill="1" applyBorder="1"/>
    <xf numFmtId="39" fontId="3" fillId="6" borderId="20" xfId="0" applyNumberFormat="1" applyFont="1" applyFill="1" applyBorder="1"/>
    <xf numFmtId="170" fontId="5" fillId="6" borderId="1" xfId="0" applyNumberFormat="1" applyFont="1" applyFill="1" applyBorder="1" applyAlignment="1">
      <alignment horizontal="right"/>
    </xf>
    <xf numFmtId="39" fontId="5" fillId="6" borderId="1" xfId="0" applyNumberFormat="1" applyFont="1" applyFill="1" applyBorder="1" applyAlignment="1">
      <alignment horizontal="right"/>
    </xf>
    <xf numFmtId="37" fontId="5" fillId="6" borderId="2" xfId="0" applyFont="1" applyFill="1" applyBorder="1"/>
    <xf numFmtId="37" fontId="3" fillId="6" borderId="33" xfId="0" applyFont="1" applyFill="1" applyBorder="1" applyAlignment="1">
      <alignment horizontal="left"/>
    </xf>
    <xf numFmtId="37" fontId="3" fillId="6" borderId="24" xfId="0" applyFont="1" applyFill="1" applyBorder="1" applyAlignment="1">
      <alignment horizontal="left"/>
    </xf>
    <xf numFmtId="37" fontId="3" fillId="6" borderId="38" xfId="0" applyFont="1" applyFill="1" applyBorder="1" applyAlignment="1">
      <alignment horizontal="left"/>
    </xf>
    <xf numFmtId="37" fontId="3" fillId="6" borderId="1" xfId="0" applyFont="1" applyFill="1" applyBorder="1" applyAlignment="1">
      <alignment horizontal="centerContinuous"/>
    </xf>
    <xf numFmtId="37" fontId="3" fillId="6" borderId="16" xfId="0" applyFont="1" applyFill="1" applyBorder="1"/>
    <xf numFmtId="37" fontId="3" fillId="6" borderId="0" xfId="0" applyFont="1" applyFill="1"/>
    <xf numFmtId="37" fontId="3" fillId="6" borderId="4" xfId="0" applyFont="1" applyFill="1" applyBorder="1" applyAlignment="1">
      <alignment horizontal="center"/>
    </xf>
    <xf numFmtId="37" fontId="3" fillId="6" borderId="4" xfId="0" applyFont="1" applyFill="1" applyBorder="1"/>
    <xf numFmtId="37" fontId="3" fillId="6" borderId="4"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Continuous"/>
    </xf>
    <xf numFmtId="37" fontId="3" fillId="6" borderId="1" xfId="0" applyNumberFormat="1" applyFont="1" applyFill="1" applyBorder="1" applyAlignment="1" applyProtection="1"/>
    <xf numFmtId="37" fontId="3" fillId="6" borderId="1" xfId="0" applyFont="1" applyFill="1" applyBorder="1" applyAlignment="1"/>
    <xf numFmtId="37" fontId="3" fillId="8" borderId="4" xfId="0" applyFont="1" applyFill="1" applyBorder="1" applyAlignment="1">
      <alignment horizontal="centerContinuous"/>
    </xf>
    <xf numFmtId="37" fontId="3" fillId="8" borderId="4" xfId="0" applyFont="1" applyFill="1" applyBorder="1" applyAlignment="1">
      <alignment horizontal="center"/>
    </xf>
    <xf numFmtId="37" fontId="3" fillId="8" borderId="1" xfId="0" applyFont="1" applyFill="1" applyBorder="1" applyAlignment="1">
      <alignment horizontal="center"/>
    </xf>
    <xf numFmtId="37" fontId="3" fillId="8" borderId="10" xfId="0" applyFont="1" applyFill="1" applyBorder="1" applyAlignment="1">
      <alignment horizontal="centerContinuous"/>
    </xf>
    <xf numFmtId="37" fontId="3" fillId="8" borderId="9" xfId="0" applyFont="1" applyFill="1" applyBorder="1" applyAlignment="1">
      <alignment horizontal="centerContinuous"/>
    </xf>
    <xf numFmtId="37" fontId="3" fillId="7" borderId="16" xfId="0" applyFont="1" applyFill="1" applyBorder="1" applyAlignment="1"/>
    <xf numFmtId="37" fontId="3" fillId="7" borderId="5" xfId="0" applyFont="1" applyFill="1" applyBorder="1" applyAlignment="1"/>
    <xf numFmtId="170" fontId="5" fillId="5" borderId="1" xfId="0" applyNumberFormat="1" applyFont="1" applyFill="1" applyBorder="1"/>
    <xf numFmtId="170" fontId="5" fillId="4" borderId="1" xfId="0" applyNumberFormat="1" applyFont="1" applyFill="1" applyBorder="1"/>
    <xf numFmtId="37" fontId="5" fillId="4" borderId="0" xfId="0" applyFont="1" applyFill="1"/>
    <xf numFmtId="170" fontId="3" fillId="5" borderId="20" xfId="0" applyNumberFormat="1" applyFont="1" applyFill="1" applyBorder="1"/>
    <xf numFmtId="170" fontId="5" fillId="4" borderId="0" xfId="0" applyNumberFormat="1" applyFont="1" applyFill="1"/>
    <xf numFmtId="168" fontId="5" fillId="0" borderId="1" xfId="6" applyNumberFormat="1" applyFont="1" applyBorder="1" applyAlignment="1">
      <alignment horizontal="right"/>
    </xf>
    <xf numFmtId="168" fontId="5" fillId="6" borderId="1" xfId="6" applyNumberFormat="1" applyFont="1" applyFill="1" applyBorder="1" applyAlignment="1">
      <alignment horizontal="right"/>
    </xf>
    <xf numFmtId="173" fontId="3" fillId="6" borderId="23" xfId="0" applyNumberFormat="1" applyFont="1" applyFill="1" applyBorder="1"/>
    <xf numFmtId="168" fontId="5" fillId="0" borderId="0" xfId="6" applyNumberFormat="1" applyFont="1" applyBorder="1"/>
    <xf numFmtId="166" fontId="5" fillId="5" borderId="1" xfId="6" applyNumberFormat="1" applyFont="1" applyFill="1" applyBorder="1"/>
    <xf numFmtId="166" fontId="5" fillId="4" borderId="1" xfId="6" applyNumberFormat="1" applyFont="1" applyFill="1" applyBorder="1"/>
    <xf numFmtId="166" fontId="5" fillId="4" borderId="1" xfId="6" quotePrefix="1" applyNumberFormat="1" applyFont="1" applyFill="1" applyBorder="1" applyAlignment="1">
      <alignment horizontal="right"/>
    </xf>
    <xf numFmtId="166" fontId="5" fillId="4" borderId="0" xfId="6" applyNumberFormat="1" applyFont="1" applyFill="1"/>
    <xf numFmtId="166" fontId="3" fillId="5" borderId="23" xfId="6" applyNumberFormat="1" applyFont="1" applyFill="1" applyBorder="1"/>
    <xf numFmtId="170" fontId="5" fillId="5" borderId="20" xfId="0" applyNumberFormat="1" applyFont="1" applyFill="1" applyBorder="1"/>
    <xf numFmtId="170" fontId="3" fillId="7" borderId="23" xfId="0" applyNumberFormat="1" applyFont="1" applyFill="1" applyBorder="1"/>
    <xf numFmtId="168" fontId="3" fillId="7" borderId="23" xfId="6" applyNumberFormat="1" applyFont="1" applyFill="1" applyBorder="1"/>
    <xf numFmtId="37" fontId="3" fillId="6" borderId="16" xfId="0" applyFont="1" applyFill="1" applyBorder="1" applyAlignment="1" applyProtection="1"/>
    <xf numFmtId="37" fontId="5" fillId="6" borderId="2" xfId="0" applyFont="1" applyFill="1" applyBorder="1" applyAlignment="1" applyProtection="1"/>
    <xf numFmtId="37" fontId="5" fillId="6" borderId="5" xfId="0" applyFont="1" applyFill="1" applyBorder="1" applyAlignment="1" applyProtection="1"/>
    <xf numFmtId="170" fontId="5" fillId="6" borderId="1" xfId="0" applyNumberFormat="1" applyFont="1" applyFill="1" applyBorder="1" applyAlignment="1"/>
    <xf numFmtId="49" fontId="3" fillId="6" borderId="18" xfId="2" applyNumberFormat="1" applyFont="1" applyFill="1" applyBorder="1" applyAlignment="1">
      <alignment vertical="center"/>
    </xf>
    <xf numFmtId="173" fontId="3" fillId="6" borderId="40" xfId="0" applyNumberFormat="1" applyFont="1" applyFill="1" applyBorder="1" applyAlignment="1">
      <alignment vertical="center"/>
    </xf>
    <xf numFmtId="173" fontId="3" fillId="6" borderId="36" xfId="0" applyNumberFormat="1" applyFont="1" applyFill="1" applyBorder="1" applyAlignment="1">
      <alignment vertical="center"/>
    </xf>
    <xf numFmtId="170" fontId="5" fillId="6" borderId="1" xfId="0" applyNumberFormat="1" applyFont="1" applyFill="1" applyBorder="1" applyAlignment="1">
      <alignment horizontal="right" vertical="center"/>
    </xf>
    <xf numFmtId="37" fontId="3" fillId="0" borderId="21" xfId="0" applyFont="1" applyFill="1" applyBorder="1"/>
    <xf numFmtId="168" fontId="3" fillId="0" borderId="21" xfId="6" applyNumberFormat="1" applyFont="1" applyFill="1" applyBorder="1"/>
    <xf numFmtId="49" fontId="5" fillId="0" borderId="0" xfId="0" quotePrefix="1" applyNumberFormat="1" applyFont="1" applyAlignment="1">
      <alignment horizontal="left"/>
    </xf>
    <xf numFmtId="173" fontId="3" fillId="6" borderId="19" xfId="0" applyNumberFormat="1" applyFont="1" applyFill="1" applyBorder="1" applyAlignment="1">
      <alignment vertical="center"/>
    </xf>
    <xf numFmtId="173" fontId="3" fillId="6" borderId="42" xfId="0" applyNumberFormat="1" applyFont="1" applyFill="1" applyBorder="1" applyAlignment="1">
      <alignment vertical="center"/>
    </xf>
    <xf numFmtId="37" fontId="5" fillId="0" borderId="0" xfId="0" quotePrefix="1" applyFont="1" applyAlignment="1">
      <alignment horizontal="right"/>
    </xf>
    <xf numFmtId="49" fontId="5" fillId="6" borderId="1" xfId="0" quotePrefix="1" applyNumberFormat="1" applyFont="1" applyFill="1" applyBorder="1" applyAlignment="1">
      <alignment horizontal="left" vertical="center"/>
    </xf>
    <xf numFmtId="170" fontId="5" fillId="0" borderId="1" xfId="0" quotePrefix="1" applyNumberFormat="1" applyFont="1" applyBorder="1" applyAlignment="1">
      <alignment horizontal="right"/>
    </xf>
    <xf numFmtId="37" fontId="5" fillId="0" borderId="21" xfId="0" quotePrefix="1" applyNumberFormat="1" applyFont="1" applyBorder="1" applyAlignment="1" applyProtection="1">
      <alignment horizontal="left"/>
    </xf>
    <xf numFmtId="37" fontId="5" fillId="3" borderId="15" xfId="0" applyFont="1" applyFill="1" applyBorder="1" applyAlignment="1">
      <alignment horizontal="centerContinuous" vertical="center"/>
    </xf>
    <xf numFmtId="37" fontId="5" fillId="3" borderId="15" xfId="0" applyFont="1" applyFill="1" applyBorder="1" applyAlignment="1">
      <alignment horizontal="right" vertical="center"/>
    </xf>
    <xf numFmtId="37" fontId="5" fillId="3" borderId="15" xfId="0" quotePrefix="1" applyFont="1" applyFill="1" applyBorder="1" applyAlignment="1">
      <alignment horizontal="right" vertical="center"/>
    </xf>
    <xf numFmtId="37" fontId="3" fillId="0" borderId="0" xfId="0" quotePrefix="1" applyFont="1" applyAlignment="1">
      <alignment horizontal="left" wrapText="1"/>
    </xf>
    <xf numFmtId="37" fontId="3" fillId="3" borderId="18" xfId="0" quotePrefix="1" applyFont="1" applyFill="1" applyBorder="1" applyAlignment="1" applyProtection="1">
      <alignment horizontal="left"/>
    </xf>
    <xf numFmtId="37" fontId="0" fillId="0" borderId="0" xfId="0" applyAlignment="1">
      <alignment horizontal="right" indent="1"/>
    </xf>
    <xf numFmtId="171" fontId="5" fillId="0" borderId="0" xfId="0" applyNumberFormat="1" applyFont="1" applyAlignment="1">
      <alignment horizontal="right" indent="1"/>
    </xf>
    <xf numFmtId="37" fontId="0" fillId="0" borderId="11" xfId="0" applyBorder="1"/>
    <xf numFmtId="37" fontId="3" fillId="6"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68" fontId="5" fillId="0" borderId="1" xfId="6" applyNumberFormat="1" applyFont="1" applyFill="1" applyBorder="1"/>
    <xf numFmtId="37" fontId="5" fillId="0" borderId="0" xfId="0" applyFont="1" applyFill="1" applyAlignment="1">
      <alignment horizontal="right"/>
    </xf>
    <xf numFmtId="175" fontId="5" fillId="0" borderId="0" xfId="5" applyNumberFormat="1" applyFont="1" applyBorder="1" applyProtection="1"/>
    <xf numFmtId="37" fontId="22" fillId="0" borderId="0" xfId="5" applyNumberFormat="1" applyFont="1" applyBorder="1" applyAlignment="1" applyProtection="1">
      <alignment horizontal="centerContinuous"/>
    </xf>
    <xf numFmtId="39" fontId="5" fillId="0" borderId="0" xfId="5" applyFont="1"/>
    <xf numFmtId="165" fontId="5" fillId="0" borderId="2" xfId="5" applyNumberFormat="1" applyFont="1" applyBorder="1" applyAlignment="1" applyProtection="1">
      <alignment horizontal="left"/>
    </xf>
    <xf numFmtId="39" fontId="5" fillId="0" borderId="0" xfId="5" applyFont="1" applyAlignment="1">
      <alignment horizontal="left"/>
    </xf>
    <xf numFmtId="165" fontId="5" fillId="0" borderId="3" xfId="5" applyNumberFormat="1" applyFont="1" applyBorder="1" applyAlignment="1" applyProtection="1">
      <alignment horizontal="left"/>
    </xf>
    <xf numFmtId="37" fontId="5" fillId="0" borderId="0" xfId="5" applyNumberFormat="1" applyFont="1" applyProtection="1"/>
    <xf numFmtId="39" fontId="3" fillId="0" borderId="16" xfId="5" applyFont="1" applyBorder="1" applyProtection="1"/>
    <xf numFmtId="39" fontId="3" fillId="3" borderId="12" xfId="5" applyFont="1" applyFill="1" applyBorder="1" applyProtection="1"/>
    <xf numFmtId="39" fontId="5" fillId="3" borderId="0" xfId="5" applyFont="1" applyFill="1" applyProtection="1"/>
    <xf numFmtId="39" fontId="5" fillId="6" borderId="1" xfId="5" applyFont="1" applyFill="1" applyBorder="1" applyProtection="1"/>
    <xf numFmtId="167" fontId="5" fillId="6" borderId="1" xfId="5" applyNumberFormat="1" applyFont="1" applyFill="1" applyBorder="1"/>
    <xf numFmtId="39" fontId="5" fillId="0" borderId="1" xfId="5" applyFont="1" applyBorder="1" applyProtection="1"/>
    <xf numFmtId="167" fontId="5" fillId="3" borderId="1" xfId="5" applyNumberFormat="1" applyFont="1" applyFill="1" applyBorder="1"/>
    <xf numFmtId="39" fontId="3" fillId="6" borderId="20" xfId="5" applyFont="1" applyFill="1" applyBorder="1" applyProtection="1"/>
    <xf numFmtId="167" fontId="3" fillId="6" borderId="20" xfId="5" applyNumberFormat="1" applyFont="1" applyFill="1" applyBorder="1"/>
    <xf numFmtId="167" fontId="5" fillId="0" borderId="0" xfId="5" applyNumberFormat="1" applyFont="1"/>
    <xf numFmtId="39" fontId="5" fillId="0" borderId="3" xfId="5" applyFont="1" applyBorder="1"/>
    <xf numFmtId="174" fontId="8" fillId="0" borderId="3" xfId="5" applyNumberFormat="1" applyFont="1" applyBorder="1" applyProtection="1"/>
    <xf numFmtId="37" fontId="5" fillId="0" borderId="0" xfId="5" applyNumberFormat="1" applyFont="1"/>
    <xf numFmtId="37" fontId="23" fillId="0" borderId="0" xfId="0" applyFont="1"/>
    <xf numFmtId="165"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0" borderId="8" xfId="4" applyFont="1" applyBorder="1"/>
    <xf numFmtId="0" fontId="3" fillId="0" borderId="0" xfId="4" applyFont="1"/>
    <xf numFmtId="165" fontId="6" fillId="0" borderId="0" xfId="4" applyNumberFormat="1" applyFont="1" applyProtection="1">
      <protection locked="0"/>
    </xf>
    <xf numFmtId="49" fontId="5" fillId="6" borderId="1" xfId="4" applyNumberFormat="1" applyFont="1" applyFill="1" applyBorder="1" applyAlignment="1">
      <alignment vertical="center"/>
    </xf>
    <xf numFmtId="170" fontId="5" fillId="6" borderId="1" xfId="4" applyNumberFormat="1" applyFont="1" applyFill="1" applyBorder="1" applyAlignment="1">
      <alignment vertical="center"/>
    </xf>
    <xf numFmtId="173" fontId="5" fillId="6" borderId="1" xfId="4" applyNumberFormat="1" applyFont="1" applyFill="1" applyBorder="1" applyAlignment="1">
      <alignment vertical="center"/>
    </xf>
    <xf numFmtId="49" fontId="5" fillId="0" borderId="1" xfId="4" applyNumberFormat="1" applyFont="1" applyBorder="1" applyAlignment="1">
      <alignment vertical="center"/>
    </xf>
    <xf numFmtId="170" fontId="5" fillId="0" borderId="1" xfId="4" applyNumberFormat="1" applyFont="1" applyBorder="1" applyAlignment="1">
      <alignment vertical="center"/>
    </xf>
    <xf numFmtId="173" fontId="5" fillId="0" borderId="1" xfId="4" applyNumberFormat="1" applyFont="1" applyBorder="1" applyAlignment="1">
      <alignment vertical="center"/>
    </xf>
    <xf numFmtId="170" fontId="5" fillId="0" borderId="0" xfId="4" applyNumberFormat="1" applyFont="1"/>
    <xf numFmtId="49" fontId="3" fillId="6" borderId="20" xfId="3" applyNumberFormat="1" applyFont="1" applyFill="1" applyBorder="1" applyAlignment="1">
      <alignment vertical="center"/>
    </xf>
    <xf numFmtId="170" fontId="3" fillId="6" borderId="23" xfId="4" applyNumberFormat="1" applyFont="1" applyFill="1" applyBorder="1"/>
    <xf numFmtId="173" fontId="3" fillId="6" borderId="23"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5" fillId="0" borderId="11" xfId="4" applyFont="1" applyBorder="1"/>
    <xf numFmtId="170" fontId="5" fillId="0" borderId="11" xfId="4" applyNumberFormat="1" applyFont="1" applyBorder="1"/>
    <xf numFmtId="0" fontId="25" fillId="0" borderId="0" xfId="4" applyFont="1"/>
    <xf numFmtId="170" fontId="25" fillId="0" borderId="0" xfId="4" applyNumberFormat="1" applyFont="1"/>
    <xf numFmtId="165" fontId="5" fillId="0" borderId="0" xfId="0" applyNumberFormat="1" applyFont="1" applyFill="1"/>
    <xf numFmtId="37" fontId="26" fillId="0" borderId="0" xfId="0" applyFont="1"/>
    <xf numFmtId="37" fontId="5" fillId="0" borderId="23" xfId="0" applyFont="1" applyBorder="1"/>
    <xf numFmtId="37" fontId="26" fillId="0" borderId="23" xfId="0" applyFont="1" applyBorder="1"/>
    <xf numFmtId="37" fontId="3" fillId="7" borderId="9" xfId="0" applyFont="1" applyFill="1" applyBorder="1" applyAlignment="1">
      <alignment horizontal="center" wrapText="1"/>
    </xf>
    <xf numFmtId="49" fontId="5" fillId="0" borderId="0" xfId="0" quotePrefix="1" applyNumberFormat="1" applyFont="1" applyAlignment="1"/>
    <xf numFmtId="37" fontId="20" fillId="0" borderId="0" xfId="0" applyFont="1"/>
    <xf numFmtId="37" fontId="20" fillId="0" borderId="11" xfId="0" applyFont="1" applyBorder="1"/>
    <xf numFmtId="37" fontId="5" fillId="9" borderId="23" xfId="0" applyNumberFormat="1" applyFont="1" applyFill="1" applyBorder="1" applyProtection="1"/>
    <xf numFmtId="37" fontId="27" fillId="0" borderId="0" xfId="0" applyNumberFormat="1" applyFont="1"/>
    <xf numFmtId="37" fontId="5" fillId="0" borderId="0" xfId="0" applyNumberFormat="1" applyFont="1" applyAlignment="1">
      <alignment horizontal="right"/>
    </xf>
    <xf numFmtId="176" fontId="0" fillId="0" borderId="0" xfId="0" quotePrefix="1" applyNumberFormat="1" applyBorder="1" applyAlignment="1" applyProtection="1">
      <alignment horizontal="right"/>
    </xf>
    <xf numFmtId="176" fontId="0" fillId="0" borderId="0" xfId="0" applyNumberFormat="1" applyBorder="1" applyAlignment="1" applyProtection="1">
      <alignment horizontal="right"/>
    </xf>
    <xf numFmtId="176" fontId="0" fillId="0" borderId="3" xfId="0" quotePrefix="1" applyNumberFormat="1" applyBorder="1" applyAlignment="1" applyProtection="1">
      <alignment horizontal="right"/>
    </xf>
    <xf numFmtId="37" fontId="0" fillId="0" borderId="0" xfId="0" applyNumberFormat="1" applyProtection="1"/>
    <xf numFmtId="176" fontId="0" fillId="0" borderId="0" xfId="0" applyNumberFormat="1" applyAlignment="1" applyProtection="1">
      <alignment horizontal="right"/>
    </xf>
    <xf numFmtId="176" fontId="20" fillId="0" borderId="0" xfId="0" quotePrefix="1" applyNumberFormat="1" applyFont="1" applyBorder="1" applyAlignment="1" applyProtection="1">
      <alignment horizontal="right"/>
    </xf>
    <xf numFmtId="168" fontId="3" fillId="6" borderId="18" xfId="6" applyNumberFormat="1" applyFont="1" applyFill="1" applyBorder="1"/>
    <xf numFmtId="170" fontId="3" fillId="6" borderId="30" xfId="0" applyNumberFormat="1" applyFont="1" applyFill="1" applyBorder="1" applyAlignment="1">
      <alignment vertical="center"/>
    </xf>
    <xf numFmtId="174" fontId="3" fillId="6" borderId="48" xfId="0" applyNumberFormat="1" applyFont="1" applyFill="1" applyBorder="1" applyAlignment="1">
      <alignment vertical="center"/>
    </xf>
    <xf numFmtId="37" fontId="29" fillId="0" borderId="0" xfId="0" applyFont="1"/>
    <xf numFmtId="0" fontId="5" fillId="0" borderId="0" xfId="0" applyNumberFormat="1" applyFont="1" applyAlignment="1">
      <alignment horizontal="left"/>
    </xf>
    <xf numFmtId="37" fontId="28" fillId="0" borderId="23" xfId="0" quotePrefix="1" applyNumberFormat="1" applyFont="1" applyBorder="1" applyAlignment="1">
      <alignment horizontal="left"/>
    </xf>
    <xf numFmtId="0" fontId="26" fillId="0" borderId="0" xfId="0" applyNumberFormat="1" applyFont="1" applyAlignment="1">
      <alignment horizontal="center"/>
    </xf>
    <xf numFmtId="37" fontId="5" fillId="10" borderId="0" xfId="0" applyFont="1" applyFill="1"/>
    <xf numFmtId="49" fontId="3" fillId="5" borderId="20" xfId="0" quotePrefix="1" applyNumberFormat="1" applyFont="1" applyFill="1" applyBorder="1" applyAlignment="1">
      <alignment horizontal="center"/>
    </xf>
    <xf numFmtId="0" fontId="3" fillId="5" borderId="20" xfId="0" quotePrefix="1" applyNumberFormat="1" applyFont="1" applyFill="1" applyBorder="1" applyAlignment="1">
      <alignment horizontal="center"/>
    </xf>
    <xf numFmtId="49" fontId="8" fillId="0" borderId="0" xfId="0" quotePrefix="1" applyNumberFormat="1" applyFont="1" applyAlignment="1">
      <alignment horizontal="left"/>
    </xf>
    <xf numFmtId="169" fontId="5" fillId="0" borderId="0" xfId="6" applyNumberFormat="1" applyFont="1"/>
    <xf numFmtId="169" fontId="5" fillId="0" borderId="0" xfId="0" applyNumberFormat="1" applyFont="1"/>
    <xf numFmtId="37" fontId="3" fillId="0" borderId="10" xfId="0" applyFont="1" applyBorder="1" applyAlignment="1">
      <alignment horizontal="center"/>
    </xf>
    <xf numFmtId="37" fontId="3" fillId="11" borderId="7" xfId="0" applyFont="1" applyFill="1" applyBorder="1"/>
    <xf numFmtId="37" fontId="3" fillId="11" borderId="21" xfId="0" applyFont="1" applyFill="1" applyBorder="1"/>
    <xf numFmtId="37" fontId="3" fillId="11" borderId="8" xfId="0" applyFont="1" applyFill="1" applyBorder="1"/>
    <xf numFmtId="37" fontId="31" fillId="0" borderId="0" xfId="0" applyFont="1"/>
    <xf numFmtId="37" fontId="31" fillId="0" borderId="0" xfId="0" applyFont="1" applyBorder="1"/>
    <xf numFmtId="37" fontId="32" fillId="3" borderId="0" xfId="0" applyFont="1" applyFill="1" applyBorder="1" applyAlignment="1">
      <alignment horizontal="centerContinuous" vertical="center"/>
    </xf>
    <xf numFmtId="37" fontId="31" fillId="0" borderId="0" xfId="0" quotePrefix="1" applyFont="1" applyAlignment="1">
      <alignment horizontal="center"/>
    </xf>
    <xf numFmtId="37" fontId="31" fillId="0" borderId="0" xfId="0" applyFont="1" applyAlignment="1">
      <alignment horizontal="center"/>
    </xf>
    <xf numFmtId="37" fontId="32" fillId="3" borderId="0" xfId="0" applyFont="1" applyFill="1" applyBorder="1" applyAlignment="1" applyProtection="1">
      <alignment horizontal="centerContinuous" vertical="center"/>
    </xf>
    <xf numFmtId="37" fontId="32" fillId="3" borderId="0" xfId="0" quotePrefix="1" applyFont="1" applyFill="1" applyBorder="1" applyAlignment="1" applyProtection="1">
      <alignment horizontal="centerContinuous" vertical="center"/>
    </xf>
    <xf numFmtId="37" fontId="32" fillId="3" borderId="0" xfId="0" applyFont="1" applyFill="1" applyBorder="1" applyAlignment="1">
      <alignment horizontal="centerContinuous"/>
    </xf>
    <xf numFmtId="37" fontId="3" fillId="6" borderId="4" xfId="0" applyFont="1" applyFill="1" applyBorder="1" applyAlignment="1">
      <alignment horizontal="center"/>
    </xf>
    <xf numFmtId="37" fontId="30" fillId="0" borderId="0" xfId="0" applyFont="1" applyAlignment="1">
      <alignment horizontal="centerContinuous"/>
    </xf>
    <xf numFmtId="37" fontId="3" fillId="3" borderId="18" xfId="0" applyFont="1" applyFill="1" applyBorder="1" applyAlignment="1" applyProtection="1">
      <alignment horizontal="left"/>
    </xf>
    <xf numFmtId="0" fontId="3" fillId="3" borderId="15" xfId="0" applyNumberFormat="1" applyFont="1" applyFill="1" applyBorder="1" applyAlignment="1" applyProtection="1">
      <alignment horizontal="left"/>
    </xf>
    <xf numFmtId="0" fontId="5" fillId="3" borderId="19" xfId="0" applyNumberFormat="1" applyFont="1" applyFill="1" applyBorder="1" applyAlignment="1" applyProtection="1">
      <alignment horizontal="left"/>
    </xf>
    <xf numFmtId="37" fontId="3" fillId="0" borderId="16" xfId="0" applyFont="1" applyBorder="1"/>
    <xf numFmtId="37" fontId="3" fillId="0" borderId="33" xfId="0" applyFont="1" applyFill="1" applyBorder="1" applyAlignment="1">
      <alignment horizontal="centerContinuous" vertical="center"/>
    </xf>
    <xf numFmtId="37" fontId="31" fillId="0" borderId="15" xfId="0" applyFont="1" applyBorder="1" applyAlignment="1">
      <alignment horizontal="centerContinuous" vertical="center"/>
    </xf>
    <xf numFmtId="37" fontId="31" fillId="3" borderId="0" xfId="0" quotePrefix="1" applyFont="1" applyFill="1" applyBorder="1" applyAlignment="1" applyProtection="1">
      <alignment horizontal="centerContinuous" vertical="center"/>
    </xf>
    <xf numFmtId="37" fontId="3" fillId="3" borderId="3" xfId="0" applyFont="1" applyFill="1" applyBorder="1" applyAlignment="1">
      <alignment horizontal="centerContinuous"/>
    </xf>
    <xf numFmtId="37" fontId="31" fillId="12" borderId="0" xfId="0" applyFont="1" applyFill="1" applyBorder="1" applyAlignment="1">
      <alignment horizontal="centerContinuous" vertical="center"/>
    </xf>
    <xf numFmtId="37" fontId="31" fillId="0" borderId="0" xfId="0" applyFont="1" applyBorder="1" applyAlignment="1">
      <alignment horizontal="left" vertical="center"/>
    </xf>
    <xf numFmtId="37" fontId="3" fillId="6" borderId="5" xfId="0" applyNumberFormat="1" applyFont="1" applyFill="1" applyBorder="1" applyAlignment="1" applyProtection="1">
      <alignment horizontal="center"/>
    </xf>
    <xf numFmtId="37" fontId="3" fillId="8" borderId="6" xfId="0" applyFont="1" applyFill="1" applyBorder="1" applyAlignment="1">
      <alignment horizontal="center"/>
    </xf>
    <xf numFmtId="37" fontId="5" fillId="0" borderId="0" xfId="0" applyFont="1" applyAlignment="1">
      <alignment vertical="center"/>
    </xf>
    <xf numFmtId="49" fontId="3" fillId="0" borderId="33" xfId="0" applyNumberFormat="1" applyFont="1" applyBorder="1"/>
    <xf numFmtId="49" fontId="3" fillId="0" borderId="34" xfId="0" applyNumberFormat="1" applyFont="1" applyBorder="1"/>
    <xf numFmtId="37" fontId="3" fillId="8" borderId="5" xfId="0" applyFont="1" applyFill="1" applyBorder="1" applyAlignment="1">
      <alignment horizontal="center"/>
    </xf>
    <xf numFmtId="37" fontId="31" fillId="0" borderId="0" xfId="0" quotePrefix="1" applyFont="1" applyAlignment="1">
      <alignment horizontal="left"/>
    </xf>
    <xf numFmtId="39" fontId="31" fillId="0" borderId="0" xfId="5" applyFont="1" applyAlignment="1">
      <alignment horizontal="left"/>
    </xf>
    <xf numFmtId="0" fontId="31" fillId="0" borderId="0" xfId="5" applyNumberFormat="1" applyFont="1" applyAlignment="1">
      <alignment horizontal="left"/>
    </xf>
    <xf numFmtId="49" fontId="3" fillId="5" borderId="9" xfId="4" applyNumberFormat="1" applyFont="1" applyFill="1" applyBorder="1" applyAlignment="1">
      <alignment horizontal="center"/>
    </xf>
    <xf numFmtId="0" fontId="3" fillId="5" borderId="9" xfId="4" applyNumberFormat="1" applyFont="1" applyFill="1" applyBorder="1" applyAlignment="1">
      <alignment horizontal="center" wrapText="1"/>
    </xf>
    <xf numFmtId="0" fontId="31" fillId="0" borderId="0" xfId="4" applyFont="1"/>
    <xf numFmtId="37" fontId="3" fillId="7" borderId="2" xfId="0" applyFont="1" applyFill="1" applyBorder="1" applyAlignment="1"/>
    <xf numFmtId="49" fontId="3" fillId="5" borderId="9" xfId="0" quotePrefix="1" applyNumberFormat="1" applyFont="1" applyFill="1" applyBorder="1" applyAlignment="1">
      <alignment horizontal="center"/>
    </xf>
    <xf numFmtId="173" fontId="5" fillId="0" borderId="1" xfId="0" applyNumberFormat="1" applyFont="1" applyFill="1" applyBorder="1" applyAlignment="1">
      <alignment vertical="center"/>
    </xf>
    <xf numFmtId="168" fontId="5" fillId="0" borderId="1" xfId="0" applyNumberFormat="1" applyFont="1" applyBorder="1" applyAlignment="1">
      <alignment vertical="center"/>
    </xf>
    <xf numFmtId="168" fontId="5" fillId="6" borderId="1" xfId="0" applyNumberFormat="1" applyFont="1" applyFill="1" applyBorder="1" applyAlignment="1">
      <alignment vertical="center"/>
    </xf>
    <xf numFmtId="177" fontId="5" fillId="6" borderId="1" xfId="0" applyNumberFormat="1" applyFont="1" applyFill="1" applyBorder="1" applyAlignment="1">
      <alignment vertical="center"/>
    </xf>
    <xf numFmtId="177" fontId="5" fillId="0" borderId="1" xfId="6" applyNumberFormat="1" applyFont="1" applyBorder="1"/>
    <xf numFmtId="177" fontId="5" fillId="6" borderId="1" xfId="6" applyNumberFormat="1" applyFont="1" applyFill="1" applyBorder="1"/>
    <xf numFmtId="177" fontId="0" fillId="0" borderId="0" xfId="0" applyNumberFormat="1"/>
    <xf numFmtId="177" fontId="3" fillId="6" borderId="20" xfId="6" applyNumberFormat="1" applyFont="1" applyFill="1" applyBorder="1"/>
    <xf numFmtId="177" fontId="5" fillId="0" borderId="0" xfId="6" applyNumberFormat="1" applyFont="1"/>
    <xf numFmtId="168" fontId="0" fillId="0" borderId="0" xfId="0" applyNumberFormat="1"/>
    <xf numFmtId="168" fontId="3" fillId="6" borderId="20" xfId="0" applyNumberFormat="1" applyFont="1" applyFill="1" applyBorder="1" applyAlignment="1">
      <alignment vertical="center"/>
    </xf>
    <xf numFmtId="168" fontId="5" fillId="0" borderId="0" xfId="0" applyNumberFormat="1" applyFont="1" applyAlignment="1">
      <alignment vertical="center"/>
    </xf>
    <xf numFmtId="37" fontId="5" fillId="3" borderId="2" xfId="0" quotePrefix="1" applyFont="1" applyFill="1" applyBorder="1" applyAlignment="1">
      <alignment horizontal="right" vertical="center"/>
    </xf>
    <xf numFmtId="37" fontId="3" fillId="6" borderId="33" xfId="0" applyFont="1" applyFill="1" applyBorder="1" applyAlignment="1">
      <alignment horizontal="centerContinuous"/>
    </xf>
    <xf numFmtId="37" fontId="3" fillId="6" borderId="38" xfId="0" applyFont="1" applyFill="1" applyBorder="1" applyAlignment="1">
      <alignment horizontal="centerContinuous"/>
    </xf>
    <xf numFmtId="37" fontId="0" fillId="0" borderId="0" xfId="0"/>
    <xf numFmtId="168" fontId="3" fillId="6" borderId="20" xfId="6" applyNumberFormat="1" applyFont="1" applyFill="1" applyBorder="1" applyAlignment="1">
      <alignment horizontal="right"/>
    </xf>
    <xf numFmtId="37" fontId="0" fillId="0" borderId="0" xfId="0"/>
    <xf numFmtId="37" fontId="27" fillId="10" borderId="0" xfId="0" applyFont="1" applyFill="1" applyBorder="1"/>
    <xf numFmtId="37" fontId="8" fillId="0" borderId="0" xfId="0" applyFont="1" applyAlignment="1">
      <alignment horizontal="center" wrapText="1"/>
    </xf>
    <xf numFmtId="37" fontId="5" fillId="0" borderId="0" xfId="0" quotePrefix="1" applyFont="1" applyBorder="1" applyAlignment="1">
      <alignment horizontal="left"/>
    </xf>
    <xf numFmtId="37" fontId="5" fillId="13" borderId="0" xfId="0" applyFont="1" applyFill="1" applyBorder="1"/>
    <xf numFmtId="37" fontId="5" fillId="0" borderId="0" xfId="0" applyFont="1" applyAlignment="1">
      <alignment horizontal="center" wrapText="1"/>
    </xf>
    <xf numFmtId="37" fontId="5" fillId="11" borderId="30" xfId="0" applyFont="1" applyFill="1" applyBorder="1" applyAlignment="1">
      <alignment horizontal="right"/>
    </xf>
    <xf numFmtId="37" fontId="5" fillId="11" borderId="23" xfId="0" applyFont="1" applyFill="1" applyBorder="1"/>
    <xf numFmtId="37" fontId="27" fillId="0" borderId="0" xfId="0" applyFont="1"/>
    <xf numFmtId="37" fontId="27" fillId="0" borderId="0" xfId="0" quotePrefix="1" applyFont="1" applyAlignment="1">
      <alignment horizontal="left"/>
    </xf>
    <xf numFmtId="37" fontId="33" fillId="0" borderId="0" xfId="0" applyFont="1"/>
    <xf numFmtId="49" fontId="3" fillId="5" borderId="10" xfId="4" applyNumberFormat="1" applyFont="1" applyFill="1" applyBorder="1" applyAlignment="1">
      <alignment horizontal="center"/>
    </xf>
    <xf numFmtId="0" fontId="3" fillId="0" borderId="7" xfId="4" applyFont="1" applyBorder="1"/>
    <xf numFmtId="0" fontId="5" fillId="0" borderId="21" xfId="4" applyFont="1" applyBorder="1"/>
    <xf numFmtId="37" fontId="0" fillId="0" borderId="0" xfId="0" applyBorder="1"/>
    <xf numFmtId="37" fontId="20" fillId="0" borderId="0" xfId="0" applyFont="1" applyBorder="1"/>
    <xf numFmtId="37" fontId="5" fillId="0" borderId="24" xfId="0" applyFont="1" applyBorder="1"/>
    <xf numFmtId="37" fontId="20" fillId="0" borderId="24" xfId="0" applyFont="1" applyBorder="1"/>
    <xf numFmtId="37" fontId="5" fillId="10" borderId="0" xfId="0" applyFont="1" applyFill="1" applyBorder="1"/>
    <xf numFmtId="37" fontId="5" fillId="10" borderId="0" xfId="0" applyNumberFormat="1" applyFont="1" applyFill="1" applyProtection="1"/>
    <xf numFmtId="37" fontId="37" fillId="0" borderId="0" xfId="0" applyFont="1"/>
    <xf numFmtId="178" fontId="5" fillId="0" borderId="0" xfId="0" applyNumberFormat="1" applyFont="1"/>
    <xf numFmtId="37" fontId="27" fillId="3" borderId="0" xfId="0" applyFont="1" applyFill="1"/>
    <xf numFmtId="37" fontId="17" fillId="15" borderId="0" xfId="7" applyFont="1" applyFill="1"/>
    <xf numFmtId="37" fontId="17" fillId="0" borderId="0" xfId="7" applyFont="1"/>
    <xf numFmtId="37" fontId="38" fillId="15" borderId="63" xfId="7" quotePrefix="1" applyFont="1" applyFill="1" applyBorder="1" applyAlignment="1">
      <alignment horizontal="center"/>
    </xf>
    <xf numFmtId="37" fontId="18" fillId="15" borderId="0" xfId="7" applyFont="1" applyFill="1"/>
    <xf numFmtId="37" fontId="39" fillId="15" borderId="0" xfId="7" applyFont="1" applyFill="1" applyAlignment="1"/>
    <xf numFmtId="37" fontId="17" fillId="15" borderId="0" xfId="7" applyFont="1" applyFill="1" applyAlignment="1"/>
    <xf numFmtId="37" fontId="39" fillId="15" borderId="0" xfId="7" applyFont="1" applyFill="1" applyAlignment="1">
      <alignment wrapText="1"/>
    </xf>
    <xf numFmtId="37" fontId="41" fillId="15" borderId="0" xfId="8" applyNumberFormat="1" applyFont="1" applyFill="1" applyAlignment="1" applyProtection="1">
      <alignment horizontal="center" wrapText="1"/>
    </xf>
    <xf numFmtId="37" fontId="39" fillId="15" borderId="0" xfId="7" applyFont="1" applyFill="1" applyAlignment="1">
      <alignment wrapText="1"/>
    </xf>
    <xf numFmtId="37" fontId="39" fillId="15" borderId="0" xfId="7" quotePrefix="1" applyFont="1" applyFill="1" applyAlignment="1">
      <alignment horizontal="left" wrapText="1"/>
    </xf>
    <xf numFmtId="37" fontId="3" fillId="3" borderId="4" xfId="0" quotePrefix="1" applyFont="1" applyFill="1" applyBorder="1" applyAlignment="1">
      <alignment horizontal="center" wrapText="1"/>
    </xf>
    <xf numFmtId="37" fontId="3" fillId="3" borderId="1" xfId="0" quotePrefix="1" applyFont="1" applyFill="1" applyBorder="1" applyAlignment="1">
      <alignment horizontal="center" wrapText="1"/>
    </xf>
    <xf numFmtId="37" fontId="3" fillId="3" borderId="9" xfId="0" quotePrefix="1" applyFont="1" applyFill="1" applyBorder="1" applyAlignment="1">
      <alignment horizontal="center" wrapText="1"/>
    </xf>
    <xf numFmtId="0" fontId="3" fillId="3" borderId="4" xfId="0" quotePrefix="1" applyNumberFormat="1" applyFont="1" applyFill="1" applyBorder="1" applyAlignment="1">
      <alignment horizontal="center" wrapText="1"/>
    </xf>
    <xf numFmtId="0" fontId="3" fillId="3" borderId="1" xfId="0" quotePrefix="1" applyNumberFormat="1" applyFont="1" applyFill="1" applyBorder="1" applyAlignment="1">
      <alignment horizontal="center" wrapText="1"/>
    </xf>
    <xf numFmtId="0" fontId="3" fillId="3" borderId="9" xfId="0" quotePrefix="1" applyNumberFormat="1" applyFont="1" applyFill="1" applyBorder="1" applyAlignment="1">
      <alignment horizontal="center" wrapText="1"/>
    </xf>
    <xf numFmtId="37" fontId="3" fillId="3" borderId="41" xfId="0" quotePrefix="1" applyFont="1" applyFill="1" applyBorder="1" applyAlignment="1">
      <alignment horizontal="center" vertical="center" wrapText="1"/>
    </xf>
    <xf numFmtId="37" fontId="3" fillId="3" borderId="43" xfId="0" quotePrefix="1" applyFont="1" applyFill="1" applyBorder="1" applyAlignment="1">
      <alignment horizontal="center" vertical="center" wrapText="1"/>
    </xf>
    <xf numFmtId="37" fontId="3" fillId="3" borderId="24" xfId="0" applyFont="1" applyFill="1" applyBorder="1" applyAlignment="1">
      <alignment horizontal="center" vertical="center"/>
    </xf>
    <xf numFmtId="37" fontId="3" fillId="3" borderId="11" xfId="0" applyFont="1" applyFill="1" applyBorder="1" applyAlignment="1">
      <alignment horizontal="center" vertical="center"/>
    </xf>
    <xf numFmtId="0" fontId="5" fillId="0" borderId="24" xfId="0" quotePrefix="1" applyNumberFormat="1" applyFont="1" applyBorder="1" applyAlignment="1">
      <alignment horizontal="left" vertical="top" wrapText="1"/>
    </xf>
    <xf numFmtId="0" fontId="5" fillId="0" borderId="0" xfId="0" quotePrefix="1" applyNumberFormat="1" applyFont="1" applyAlignment="1">
      <alignment horizontal="left" vertical="top" wrapText="1"/>
    </xf>
    <xf numFmtId="37" fontId="3" fillId="0" borderId="4" xfId="0" quotePrefix="1" applyFont="1" applyBorder="1" applyAlignment="1" applyProtection="1">
      <alignment horizontal="center" wrapText="1"/>
    </xf>
    <xf numFmtId="37" fontId="3" fillId="0" borderId="9" xfId="0" quotePrefix="1" applyFont="1" applyBorder="1" applyAlignment="1" applyProtection="1">
      <alignment horizontal="center" wrapText="1"/>
    </xf>
    <xf numFmtId="37" fontId="3" fillId="0" borderId="52"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9" xfId="0" applyFont="1" applyBorder="1" applyAlignment="1" applyProtection="1">
      <alignment horizontal="center" vertical="center"/>
    </xf>
    <xf numFmtId="37" fontId="3" fillId="0" borderId="18" xfId="0" applyFont="1" applyBorder="1" applyAlignment="1" applyProtection="1">
      <alignment horizontal="center" vertical="center"/>
    </xf>
    <xf numFmtId="37" fontId="3" fillId="0" borderId="53" xfId="0" applyFont="1" applyBorder="1" applyAlignment="1" applyProtection="1">
      <alignment horizontal="center" vertical="center"/>
    </xf>
    <xf numFmtId="37" fontId="3" fillId="6" borderId="18" xfId="0" applyFont="1" applyFill="1" applyBorder="1" applyAlignment="1" applyProtection="1">
      <alignment horizontal="center" vertical="center"/>
    </xf>
    <xf numFmtId="37" fontId="3" fillId="6" borderId="15" xfId="0" applyFont="1" applyFill="1" applyBorder="1" applyAlignment="1" applyProtection="1">
      <alignment horizontal="center" vertical="center"/>
    </xf>
    <xf numFmtId="37" fontId="3" fillId="6" borderId="19" xfId="0" applyFont="1" applyFill="1" applyBorder="1" applyAlignment="1" applyProtection="1">
      <alignment horizontal="center" vertical="center"/>
    </xf>
    <xf numFmtId="37" fontId="3" fillId="0" borderId="41" xfId="0" quotePrefix="1" applyFont="1" applyBorder="1" applyAlignment="1" applyProtection="1">
      <alignment horizontal="center" wrapText="1"/>
    </xf>
    <xf numFmtId="37" fontId="3" fillId="0" borderId="43" xfId="0" quotePrefix="1" applyFont="1" applyBorder="1" applyAlignment="1" applyProtection="1">
      <alignment horizontal="center" wrapText="1"/>
    </xf>
    <xf numFmtId="37" fontId="3" fillId="0" borderId="49" xfId="0" quotePrefix="1" applyFont="1" applyBorder="1" applyAlignment="1" applyProtection="1">
      <alignment horizontal="center" wrapText="1"/>
    </xf>
    <xf numFmtId="37" fontId="3" fillId="0" borderId="50" xfId="0" quotePrefix="1" applyFont="1" applyBorder="1" applyAlignment="1" applyProtection="1">
      <alignment horizontal="center" wrapText="1"/>
    </xf>
    <xf numFmtId="37" fontId="3" fillId="0" borderId="51" xfId="0" quotePrefix="1" applyFont="1" applyBorder="1" applyAlignment="1" applyProtection="1">
      <alignment horizontal="center" wrapText="1"/>
    </xf>
    <xf numFmtId="37" fontId="3" fillId="0" borderId="26" xfId="0" quotePrefix="1" applyFont="1" applyBorder="1" applyAlignment="1" applyProtection="1">
      <alignment horizontal="center" wrapText="1"/>
    </xf>
    <xf numFmtId="37" fontId="5" fillId="0" borderId="24" xfId="0" quotePrefix="1" applyFont="1" applyBorder="1" applyAlignment="1">
      <alignment horizontal="left" vertical="top" wrapText="1"/>
    </xf>
    <xf numFmtId="37" fontId="5" fillId="0" borderId="0" xfId="0" quotePrefix="1" applyFont="1" applyAlignment="1">
      <alignment horizontal="left" vertical="top" wrapText="1"/>
    </xf>
    <xf numFmtId="37" fontId="3" fillId="6" borderId="4" xfId="0" applyFont="1" applyFill="1" applyBorder="1" applyAlignment="1" applyProtection="1">
      <alignment horizontal="center"/>
    </xf>
    <xf numFmtId="37" fontId="3" fillId="6" borderId="9" xfId="0" applyFont="1" applyFill="1" applyBorder="1" applyAlignment="1" applyProtection="1">
      <alignment horizontal="center"/>
    </xf>
    <xf numFmtId="37" fontId="3" fillId="6" borderId="33" xfId="0" applyFont="1" applyFill="1" applyBorder="1" applyAlignment="1" applyProtection="1">
      <alignment horizontal="center"/>
    </xf>
    <xf numFmtId="37" fontId="3" fillId="6" borderId="38" xfId="0" applyFont="1" applyFill="1" applyBorder="1" applyAlignment="1" applyProtection="1">
      <alignment horizontal="center"/>
    </xf>
    <xf numFmtId="37" fontId="3" fillId="6" borderId="34" xfId="0" applyFont="1" applyFill="1" applyBorder="1" applyAlignment="1" applyProtection="1">
      <alignment horizontal="center"/>
    </xf>
    <xf numFmtId="37" fontId="3" fillId="6" borderId="39" xfId="0" applyFont="1" applyFill="1" applyBorder="1" applyAlignment="1" applyProtection="1">
      <alignment horizontal="center"/>
    </xf>
    <xf numFmtId="37" fontId="3" fillId="3" borderId="54" xfId="0" quotePrefix="1" applyFont="1" applyFill="1" applyBorder="1" applyAlignment="1">
      <alignment horizontal="center" wrapText="1"/>
    </xf>
    <xf numFmtId="37" fontId="3" fillId="3" borderId="54" xfId="0" applyFont="1" applyFill="1" applyBorder="1" applyAlignment="1">
      <alignment horizontal="center"/>
    </xf>
    <xf numFmtId="37" fontId="3" fillId="3" borderId="9" xfId="0" applyFont="1" applyFill="1" applyBorder="1" applyAlignment="1">
      <alignment horizontal="center"/>
    </xf>
    <xf numFmtId="37" fontId="3" fillId="3" borderId="4" xfId="0" applyFont="1" applyFill="1" applyBorder="1" applyAlignment="1">
      <alignment horizontal="center" wrapText="1"/>
    </xf>
    <xf numFmtId="37" fontId="3" fillId="3" borderId="9" xfId="0" applyFont="1" applyFill="1" applyBorder="1" applyAlignment="1">
      <alignment horizontal="center" wrapText="1"/>
    </xf>
    <xf numFmtId="49" fontId="3" fillId="0" borderId="33" xfId="0" quotePrefix="1" applyNumberFormat="1" applyFont="1" applyFill="1" applyBorder="1" applyAlignment="1">
      <alignment horizontal="center" wrapText="1"/>
    </xf>
    <xf numFmtId="49" fontId="3" fillId="0" borderId="24" xfId="0" quotePrefix="1" applyNumberFormat="1" applyFont="1" applyFill="1" applyBorder="1" applyAlignment="1">
      <alignment horizontal="center" wrapText="1"/>
    </xf>
    <xf numFmtId="49" fontId="3" fillId="0" borderId="38" xfId="0" quotePrefix="1" applyNumberFormat="1" applyFont="1" applyFill="1" applyBorder="1" applyAlignment="1">
      <alignment horizontal="center" wrapText="1"/>
    </xf>
    <xf numFmtId="49" fontId="3" fillId="0" borderId="44" xfId="0" quotePrefix="1" applyNumberFormat="1" applyFont="1" applyFill="1" applyBorder="1" applyAlignment="1">
      <alignment horizontal="center" wrapText="1"/>
    </xf>
    <xf numFmtId="49" fontId="3" fillId="0" borderId="3" xfId="0" quotePrefix="1" applyNumberFormat="1" applyFont="1" applyFill="1" applyBorder="1" applyAlignment="1">
      <alignment horizontal="center" wrapText="1"/>
    </xf>
    <xf numFmtId="49" fontId="3" fillId="0" borderId="45" xfId="0" quotePrefix="1" applyNumberFormat="1" applyFont="1" applyFill="1" applyBorder="1" applyAlignment="1">
      <alignment horizontal="center" wrapText="1"/>
    </xf>
    <xf numFmtId="49" fontId="3" fillId="0" borderId="7" xfId="0" quotePrefix="1" applyNumberFormat="1" applyFont="1" applyFill="1" applyBorder="1" applyAlignment="1">
      <alignment horizontal="center" wrapText="1"/>
    </xf>
    <xf numFmtId="49" fontId="3" fillId="0" borderId="22" xfId="0" quotePrefix="1" applyNumberFormat="1" applyFont="1" applyFill="1" applyBorder="1" applyAlignment="1">
      <alignment horizontal="center" wrapText="1"/>
    </xf>
    <xf numFmtId="37" fontId="5" fillId="0" borderId="0" xfId="0" quotePrefix="1" applyFont="1" applyAlignment="1">
      <alignment horizontal="left" vertical="top"/>
    </xf>
    <xf numFmtId="37" fontId="3" fillId="0" borderId="41" xfId="0" quotePrefix="1" applyFont="1" applyFill="1" applyBorder="1" applyAlignment="1">
      <alignment horizontal="center" wrapText="1"/>
    </xf>
    <xf numFmtId="37" fontId="3" fillId="0" borderId="43" xfId="0" quotePrefix="1" applyFont="1" applyFill="1" applyBorder="1" applyAlignment="1">
      <alignment horizontal="center" wrapText="1"/>
    </xf>
    <xf numFmtId="37" fontId="3" fillId="0" borderId="4" xfId="0" quotePrefix="1" applyFont="1" applyFill="1" applyBorder="1" applyAlignment="1">
      <alignment horizontal="center" wrapText="1"/>
    </xf>
    <xf numFmtId="37" fontId="3" fillId="0" borderId="9" xfId="0" quotePrefix="1" applyFont="1" applyFill="1" applyBorder="1" applyAlignment="1">
      <alignment horizontal="center" wrapText="1"/>
    </xf>
    <xf numFmtId="37" fontId="3" fillId="3" borderId="41" xfId="0" quotePrefix="1" applyFont="1" applyFill="1" applyBorder="1" applyAlignment="1">
      <alignment horizontal="center" wrapText="1"/>
    </xf>
    <xf numFmtId="37" fontId="3" fillId="3" borderId="43" xfId="0" quotePrefix="1" applyFont="1" applyFill="1" applyBorder="1" applyAlignment="1">
      <alignment horizontal="center"/>
    </xf>
    <xf numFmtId="37" fontId="3" fillId="3" borderId="4" xfId="0" quotePrefix="1" applyFont="1" applyFill="1" applyBorder="1" applyAlignment="1">
      <alignment horizontal="center"/>
    </xf>
    <xf numFmtId="37" fontId="3" fillId="6" borderId="18" xfId="0" applyFont="1" applyFill="1" applyBorder="1" applyAlignment="1">
      <alignment horizontal="center" vertical="center"/>
    </xf>
    <xf numFmtId="37" fontId="3" fillId="6" borderId="19" xfId="0" applyFont="1" applyFill="1" applyBorder="1" applyAlignment="1">
      <alignment horizontal="center" vertical="center"/>
    </xf>
    <xf numFmtId="37" fontId="5" fillId="0" borderId="24" xfId="0" quotePrefix="1" applyFont="1" applyBorder="1" applyAlignment="1">
      <alignment horizontal="left" vertical="top"/>
    </xf>
    <xf numFmtId="49" fontId="10" fillId="0" borderId="13"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37" fontId="3" fillId="6" borderId="18" xfId="0" applyFont="1" applyFill="1" applyBorder="1" applyAlignment="1">
      <alignment horizontal="center"/>
    </xf>
    <xf numFmtId="37" fontId="3" fillId="6" borderId="15" xfId="0" applyFont="1" applyFill="1" applyBorder="1" applyAlignment="1">
      <alignment horizontal="center"/>
    </xf>
    <xf numFmtId="37" fontId="3" fillId="6" borderId="19" xfId="0" applyFont="1" applyFill="1" applyBorder="1" applyAlignment="1">
      <alignment horizontal="center"/>
    </xf>
    <xf numFmtId="37" fontId="3" fillId="6" borderId="4" xfId="0" applyFont="1" applyFill="1" applyBorder="1" applyAlignment="1">
      <alignment horizontal="center"/>
    </xf>
    <xf numFmtId="37" fontId="3" fillId="6" borderId="9" xfId="0" applyFont="1" applyFill="1" applyBorder="1" applyAlignment="1">
      <alignment horizontal="center"/>
    </xf>
    <xf numFmtId="37" fontId="3" fillId="6" borderId="4" xfId="0" applyFont="1" applyFill="1" applyBorder="1" applyAlignment="1">
      <alignment horizontal="center" wrapText="1"/>
    </xf>
    <xf numFmtId="37" fontId="3" fillId="6" borderId="9" xfId="0" applyFont="1" applyFill="1" applyBorder="1" applyAlignment="1">
      <alignment horizontal="center" wrapText="1"/>
    </xf>
    <xf numFmtId="37" fontId="3" fillId="6" borderId="55" xfId="0" applyFont="1" applyFill="1" applyBorder="1" applyAlignment="1">
      <alignment horizontal="center" wrapText="1"/>
    </xf>
    <xf numFmtId="37" fontId="3" fillId="6" borderId="56" xfId="0" applyFont="1" applyFill="1" applyBorder="1" applyAlignment="1">
      <alignment horizontal="center" wrapText="1"/>
    </xf>
    <xf numFmtId="37" fontId="3" fillId="6" borderId="7" xfId="0" applyFont="1" applyFill="1" applyBorder="1" applyAlignment="1">
      <alignment horizontal="center" wrapText="1"/>
    </xf>
    <xf numFmtId="37" fontId="3" fillId="6" borderId="8" xfId="0" applyFont="1" applyFill="1" applyBorder="1" applyAlignment="1">
      <alignment horizontal="center" wrapText="1"/>
    </xf>
    <xf numFmtId="37" fontId="3" fillId="6" borderId="57" xfId="0" applyFont="1" applyFill="1" applyBorder="1" applyAlignment="1">
      <alignment horizontal="center"/>
    </xf>
    <xf numFmtId="37" fontId="3" fillId="6" borderId="5" xfId="0" applyFont="1" applyFill="1" applyBorder="1" applyAlignment="1">
      <alignment horizontal="center"/>
    </xf>
    <xf numFmtId="37" fontId="3" fillId="6" borderId="44" xfId="0" applyFont="1" applyFill="1" applyBorder="1" applyAlignment="1">
      <alignment horizontal="center"/>
    </xf>
    <xf numFmtId="37" fontId="3" fillId="6" borderId="10" xfId="0" applyFont="1" applyFill="1" applyBorder="1" applyAlignment="1">
      <alignment horizontal="center"/>
    </xf>
    <xf numFmtId="37" fontId="3" fillId="0" borderId="18" xfId="0" applyFont="1" applyBorder="1" applyAlignment="1">
      <alignment horizontal="center"/>
    </xf>
    <xf numFmtId="37" fontId="3" fillId="0" borderId="15" xfId="0" applyFont="1" applyBorder="1" applyAlignment="1">
      <alignment horizontal="center"/>
    </xf>
    <xf numFmtId="37" fontId="3" fillId="0" borderId="19" xfId="0" applyFont="1" applyBorder="1" applyAlignment="1">
      <alignment horizontal="center"/>
    </xf>
    <xf numFmtId="49" fontId="10" fillId="0" borderId="17" xfId="0" applyNumberFormat="1" applyFont="1" applyBorder="1" applyAlignment="1">
      <alignment horizontal="right" vertical="center" textRotation="180"/>
    </xf>
    <xf numFmtId="37" fontId="3" fillId="6" borderId="16" xfId="0" quotePrefix="1" applyFont="1" applyFill="1" applyBorder="1" applyAlignment="1">
      <alignment horizontal="center" wrapText="1"/>
    </xf>
    <xf numFmtId="37" fontId="3" fillId="6" borderId="5" xfId="0" applyFont="1" applyFill="1" applyBorder="1" applyAlignment="1">
      <alignment horizontal="center" wrapText="1"/>
    </xf>
    <xf numFmtId="37" fontId="3" fillId="6" borderId="12" xfId="0" applyFont="1" applyFill="1" applyBorder="1" applyAlignment="1">
      <alignment horizontal="center" wrapText="1"/>
    </xf>
    <xf numFmtId="37" fontId="3" fillId="6" borderId="10" xfId="0" applyFont="1" applyFill="1" applyBorder="1" applyAlignment="1">
      <alignment horizontal="center" wrapText="1"/>
    </xf>
    <xf numFmtId="37" fontId="3" fillId="6" borderId="16" xfId="0" applyFont="1" applyFill="1" applyBorder="1" applyAlignment="1">
      <alignment horizontal="center" wrapText="1"/>
    </xf>
    <xf numFmtId="37" fontId="0" fillId="0" borderId="17" xfId="0" applyBorder="1" applyAlignment="1">
      <alignment horizontal="right" vertical="center" textRotation="180"/>
    </xf>
    <xf numFmtId="37" fontId="3" fillId="6" borderId="16" xfId="0" applyFont="1" applyFill="1" applyBorder="1" applyAlignment="1">
      <alignment horizontal="center"/>
    </xf>
    <xf numFmtId="37" fontId="3" fillId="6" borderId="12" xfId="0" applyFont="1" applyFill="1" applyBorder="1" applyAlignment="1">
      <alignment horizontal="center"/>
    </xf>
    <xf numFmtId="37" fontId="3" fillId="6" borderId="2" xfId="0" applyFont="1" applyFill="1" applyBorder="1" applyAlignment="1">
      <alignment horizontal="center"/>
    </xf>
    <xf numFmtId="37" fontId="3" fillId="6" borderId="3" xfId="0" applyFont="1" applyFill="1" applyBorder="1" applyAlignment="1">
      <alignment horizontal="center"/>
    </xf>
    <xf numFmtId="37" fontId="3" fillId="6" borderId="2" xfId="0" applyFont="1" applyFill="1" applyBorder="1" applyAlignment="1">
      <alignment horizontal="center" wrapText="1"/>
    </xf>
    <xf numFmtId="37" fontId="3" fillId="6" borderId="3" xfId="0" applyFont="1" applyFill="1" applyBorder="1" applyAlignment="1">
      <alignment horizontal="center" wrapText="1"/>
    </xf>
    <xf numFmtId="37" fontId="3" fillId="6" borderId="2" xfId="0" quotePrefix="1" applyFont="1" applyFill="1" applyBorder="1" applyAlignment="1">
      <alignment horizontal="center"/>
    </xf>
    <xf numFmtId="37" fontId="3" fillId="6" borderId="5" xfId="0" quotePrefix="1" applyFont="1" applyFill="1" applyBorder="1" applyAlignment="1">
      <alignment horizontal="center"/>
    </xf>
    <xf numFmtId="37" fontId="3" fillId="6" borderId="12" xfId="0" quotePrefix="1" applyFont="1" applyFill="1" applyBorder="1" applyAlignment="1">
      <alignment horizontal="center"/>
    </xf>
    <xf numFmtId="37" fontId="3" fillId="6" borderId="3" xfId="0" quotePrefix="1" applyFont="1" applyFill="1" applyBorder="1" applyAlignment="1">
      <alignment horizontal="center"/>
    </xf>
    <xf numFmtId="37" fontId="3" fillId="6" borderId="10" xfId="0" quotePrefix="1" applyFont="1" applyFill="1" applyBorder="1" applyAlignment="1">
      <alignment horizontal="center"/>
    </xf>
    <xf numFmtId="37" fontId="3" fillId="3" borderId="18" xfId="0" applyFont="1" applyFill="1" applyBorder="1" applyAlignment="1" applyProtection="1">
      <alignment horizontal="left"/>
    </xf>
    <xf numFmtId="37" fontId="3" fillId="3" borderId="15" xfId="0" applyFont="1" applyFill="1" applyBorder="1" applyAlignment="1" applyProtection="1">
      <alignment horizontal="left"/>
    </xf>
    <xf numFmtId="37" fontId="3" fillId="3" borderId="19" xfId="0" applyFont="1" applyFill="1" applyBorder="1" applyAlignment="1" applyProtection="1">
      <alignment horizontal="left"/>
    </xf>
    <xf numFmtId="37" fontId="3" fillId="6" borderId="16" xfId="0" applyFont="1" applyFill="1" applyBorder="1" applyAlignment="1" applyProtection="1">
      <alignment horizontal="center"/>
    </xf>
    <xf numFmtId="37" fontId="3" fillId="6" borderId="2" xfId="0" applyFont="1" applyFill="1" applyBorder="1" applyAlignment="1" applyProtection="1">
      <alignment horizontal="center"/>
    </xf>
    <xf numFmtId="37" fontId="3" fillId="6" borderId="5" xfId="0" applyFont="1" applyFill="1" applyBorder="1" applyAlignment="1" applyProtection="1">
      <alignment horizontal="center"/>
    </xf>
    <xf numFmtId="37" fontId="3" fillId="6" borderId="12" xfId="0" applyFont="1" applyFill="1" applyBorder="1" applyAlignment="1" applyProtection="1">
      <alignment horizontal="center"/>
    </xf>
    <xf numFmtId="37" fontId="3" fillId="6" borderId="3" xfId="0" applyFont="1" applyFill="1" applyBorder="1" applyAlignment="1" applyProtection="1">
      <alignment horizontal="center"/>
    </xf>
    <xf numFmtId="37" fontId="3" fillId="6" borderId="10" xfId="0" applyFont="1" applyFill="1" applyBorder="1" applyAlignment="1" applyProtection="1">
      <alignment horizontal="center"/>
    </xf>
    <xf numFmtId="37" fontId="3" fillId="6" borderId="16" xfId="0" quotePrefix="1" applyFont="1" applyFill="1" applyBorder="1" applyAlignment="1" applyProtection="1">
      <alignment horizontal="center" wrapText="1"/>
    </xf>
    <xf numFmtId="37" fontId="3" fillId="6" borderId="2" xfId="0" applyFont="1" applyFill="1" applyBorder="1" applyAlignment="1" applyProtection="1">
      <alignment horizontal="center" wrapText="1"/>
    </xf>
    <xf numFmtId="37" fontId="3" fillId="6" borderId="5" xfId="0" applyFont="1" applyFill="1" applyBorder="1" applyAlignment="1" applyProtection="1">
      <alignment horizontal="center" wrapText="1"/>
    </xf>
    <xf numFmtId="37" fontId="3" fillId="6" borderId="12" xfId="0" applyFont="1" applyFill="1" applyBorder="1" applyAlignment="1" applyProtection="1">
      <alignment horizontal="center" wrapText="1"/>
    </xf>
    <xf numFmtId="37" fontId="3" fillId="6" borderId="3" xfId="0" applyFont="1" applyFill="1" applyBorder="1" applyAlignment="1" applyProtection="1">
      <alignment horizontal="center" wrapText="1"/>
    </xf>
    <xf numFmtId="37" fontId="3" fillId="6" borderId="10" xfId="0" applyFont="1" applyFill="1" applyBorder="1" applyAlignment="1" applyProtection="1">
      <alignment horizontal="center" wrapText="1"/>
    </xf>
    <xf numFmtId="37" fontId="3" fillId="6" borderId="37" xfId="0" applyFont="1" applyFill="1" applyBorder="1" applyAlignment="1" applyProtection="1">
      <alignment horizontal="center"/>
    </xf>
    <xf numFmtId="37" fontId="3" fillId="6" borderId="15" xfId="0" applyFont="1" applyFill="1" applyBorder="1" applyAlignment="1" applyProtection="1">
      <alignment horizontal="center"/>
    </xf>
    <xf numFmtId="37" fontId="3" fillId="6" borderId="19" xfId="0" applyFont="1" applyFill="1" applyBorder="1" applyAlignment="1" applyProtection="1">
      <alignment horizontal="center"/>
    </xf>
    <xf numFmtId="37" fontId="3" fillId="6" borderId="18" xfId="0" applyFont="1" applyFill="1" applyBorder="1" applyAlignment="1" applyProtection="1">
      <alignment horizontal="center"/>
    </xf>
    <xf numFmtId="37" fontId="3" fillId="3" borderId="49" xfId="0" quotePrefix="1" applyFont="1" applyFill="1" applyBorder="1" applyAlignment="1">
      <alignment horizontal="center" wrapText="1"/>
    </xf>
    <xf numFmtId="37" fontId="3" fillId="3" borderId="14" xfId="0" quotePrefix="1" applyFont="1" applyFill="1" applyBorder="1" applyAlignment="1">
      <alignment horizontal="center" wrapText="1"/>
    </xf>
    <xf numFmtId="37" fontId="3" fillId="3" borderId="50" xfId="0" quotePrefix="1" applyFont="1" applyFill="1" applyBorder="1" applyAlignment="1">
      <alignment horizontal="center" wrapText="1"/>
    </xf>
    <xf numFmtId="37" fontId="3" fillId="3" borderId="51" xfId="0" quotePrefix="1" applyFont="1" applyFill="1" applyBorder="1" applyAlignment="1" applyProtection="1">
      <alignment horizontal="center" wrapText="1"/>
    </xf>
    <xf numFmtId="37" fontId="3" fillId="3" borderId="25" xfId="0" quotePrefix="1" applyFont="1" applyFill="1" applyBorder="1" applyAlignment="1" applyProtection="1">
      <alignment horizontal="center" wrapText="1"/>
    </xf>
    <xf numFmtId="37" fontId="3" fillId="3" borderId="26" xfId="0" quotePrefix="1" applyFont="1" applyFill="1" applyBorder="1" applyAlignment="1" applyProtection="1">
      <alignment horizontal="center" wrapText="1"/>
    </xf>
    <xf numFmtId="37" fontId="3" fillId="0" borderId="4" xfId="0" applyFont="1" applyBorder="1" applyAlignment="1" applyProtection="1">
      <alignment horizontal="center"/>
    </xf>
    <xf numFmtId="37" fontId="3" fillId="0" borderId="9" xfId="0" applyFont="1" applyBorder="1" applyAlignment="1" applyProtection="1">
      <alignment horizontal="center"/>
    </xf>
    <xf numFmtId="37" fontId="3" fillId="3" borderId="18" xfId="0" applyFont="1" applyFill="1" applyBorder="1" applyAlignment="1" applyProtection="1">
      <alignment horizontal="center"/>
    </xf>
    <xf numFmtId="37" fontId="3" fillId="3" borderId="15" xfId="0" applyFont="1" applyFill="1" applyBorder="1" applyAlignment="1" applyProtection="1">
      <alignment horizontal="center"/>
    </xf>
    <xf numFmtId="37" fontId="3" fillId="3" borderId="19" xfId="0" applyFont="1" applyFill="1" applyBorder="1" applyAlignment="1" applyProtection="1">
      <alignment horizontal="center"/>
    </xf>
    <xf numFmtId="37" fontId="5" fillId="0" borderId="0" xfId="0" quotePrefix="1" applyFont="1" applyFill="1" applyBorder="1" applyAlignment="1">
      <alignment horizontal="left" vertical="top" wrapText="1"/>
    </xf>
    <xf numFmtId="37" fontId="3" fillId="3" borderId="18" xfId="0" applyFont="1" applyFill="1" applyBorder="1" applyAlignment="1">
      <alignment horizontal="left"/>
    </xf>
    <xf numFmtId="37" fontId="3" fillId="3" borderId="15" xfId="0" applyFont="1" applyFill="1" applyBorder="1" applyAlignment="1">
      <alignment horizontal="left"/>
    </xf>
    <xf numFmtId="37" fontId="3" fillId="3" borderId="19" xfId="0" applyFont="1" applyFill="1" applyBorder="1" applyAlignment="1">
      <alignment horizontal="left"/>
    </xf>
    <xf numFmtId="49" fontId="5" fillId="0" borderId="24" xfId="0" quotePrefix="1" applyNumberFormat="1" applyFont="1" applyBorder="1" applyAlignment="1">
      <alignment horizontal="left" vertical="top" wrapText="1"/>
    </xf>
    <xf numFmtId="49" fontId="5" fillId="0" borderId="24" xfId="0" quotePrefix="1" applyNumberFormat="1" applyFont="1" applyBorder="1" applyAlignment="1">
      <alignment horizontal="left" vertical="top"/>
    </xf>
    <xf numFmtId="49" fontId="5" fillId="0" borderId="0" xfId="0" quotePrefix="1" applyNumberFormat="1" applyFont="1" applyAlignment="1">
      <alignment horizontal="left" vertical="top"/>
    </xf>
    <xf numFmtId="37" fontId="3" fillId="6" borderId="2" xfId="0" quotePrefix="1" applyFont="1" applyFill="1" applyBorder="1" applyAlignment="1">
      <alignment horizontal="center" wrapText="1"/>
    </xf>
    <xf numFmtId="37" fontId="3" fillId="6" borderId="5" xfId="0" quotePrefix="1" applyFont="1" applyFill="1" applyBorder="1" applyAlignment="1">
      <alignment horizontal="center" wrapText="1"/>
    </xf>
    <xf numFmtId="37" fontId="3" fillId="6" borderId="12" xfId="0" quotePrefix="1" applyFont="1" applyFill="1" applyBorder="1" applyAlignment="1">
      <alignment horizontal="center" wrapText="1"/>
    </xf>
    <xf numFmtId="37" fontId="3" fillId="6" borderId="3" xfId="0" quotePrefix="1" applyFont="1" applyFill="1" applyBorder="1" applyAlignment="1">
      <alignment horizontal="center" wrapText="1"/>
    </xf>
    <xf numFmtId="37" fontId="3" fillId="6" borderId="10" xfId="0" quotePrefix="1" applyFont="1" applyFill="1" applyBorder="1" applyAlignment="1">
      <alignment horizontal="center" wrapText="1"/>
    </xf>
    <xf numFmtId="37" fontId="3" fillId="3" borderId="16" xfId="0" applyFont="1" applyFill="1" applyBorder="1" applyAlignment="1">
      <alignment horizontal="left"/>
    </xf>
    <xf numFmtId="37" fontId="3" fillId="3" borderId="2" xfId="0" applyFont="1" applyFill="1" applyBorder="1" applyAlignment="1">
      <alignment horizontal="left"/>
    </xf>
    <xf numFmtId="37" fontId="3" fillId="6" borderId="17" xfId="0" applyFont="1" applyFill="1" applyBorder="1" applyAlignment="1">
      <alignment horizontal="center" wrapText="1"/>
    </xf>
    <xf numFmtId="37" fontId="3" fillId="6" borderId="31" xfId="0" applyFont="1" applyFill="1" applyBorder="1" applyAlignment="1">
      <alignment horizontal="center" wrapText="1"/>
    </xf>
    <xf numFmtId="37" fontId="3" fillId="6" borderId="34" xfId="0" applyFont="1" applyFill="1" applyBorder="1" applyAlignment="1">
      <alignment horizontal="center" wrapText="1"/>
    </xf>
    <xf numFmtId="37" fontId="3" fillId="6" borderId="39" xfId="0" applyFont="1" applyFill="1" applyBorder="1" applyAlignment="1">
      <alignment horizontal="center" wrapText="1"/>
    </xf>
    <xf numFmtId="37" fontId="3" fillId="6" borderId="0" xfId="0" applyFont="1" applyFill="1" applyBorder="1" applyAlignment="1">
      <alignment horizontal="center" wrapText="1"/>
    </xf>
    <xf numFmtId="37" fontId="3" fillId="6" borderId="6" xfId="0" applyFont="1" applyFill="1" applyBorder="1" applyAlignment="1">
      <alignment horizontal="center" wrapText="1"/>
    </xf>
    <xf numFmtId="37" fontId="3" fillId="6" borderId="13" xfId="0" applyFont="1" applyFill="1" applyBorder="1" applyAlignment="1">
      <alignment horizontal="center" wrapText="1"/>
    </xf>
    <xf numFmtId="37" fontId="3" fillId="3" borderId="18" xfId="0" quotePrefix="1" applyFont="1" applyFill="1" applyBorder="1" applyAlignment="1">
      <alignment horizontal="left"/>
    </xf>
    <xf numFmtId="37" fontId="3" fillId="3" borderId="15" xfId="0" quotePrefix="1" applyFont="1" applyFill="1" applyBorder="1" applyAlignment="1">
      <alignment horizontal="left"/>
    </xf>
    <xf numFmtId="37" fontId="3" fillId="3" borderId="19" xfId="0" quotePrefix="1" applyFont="1" applyFill="1" applyBorder="1" applyAlignment="1">
      <alignment horizontal="left"/>
    </xf>
    <xf numFmtId="37" fontId="3" fillId="6" borderId="33" xfId="0" quotePrefix="1" applyFont="1" applyFill="1" applyBorder="1" applyAlignment="1">
      <alignment horizontal="center" wrapText="1"/>
    </xf>
    <xf numFmtId="37" fontId="3" fillId="6" borderId="38" xfId="0" applyFont="1" applyFill="1" applyBorder="1" applyAlignment="1">
      <alignment horizontal="center"/>
    </xf>
    <xf numFmtId="37" fontId="3" fillId="6" borderId="34" xfId="0" applyFont="1" applyFill="1" applyBorder="1" applyAlignment="1">
      <alignment horizontal="center"/>
    </xf>
    <xf numFmtId="37" fontId="3" fillId="6" borderId="39" xfId="0" applyFont="1" applyFill="1" applyBorder="1" applyAlignment="1">
      <alignment horizontal="center"/>
    </xf>
    <xf numFmtId="37" fontId="3" fillId="6" borderId="58" xfId="0" applyFont="1" applyFill="1" applyBorder="1" applyAlignment="1">
      <alignment horizontal="center"/>
    </xf>
    <xf numFmtId="37" fontId="3" fillId="6" borderId="32" xfId="0" applyFont="1" applyFill="1" applyBorder="1" applyAlignment="1">
      <alignment horizontal="center"/>
    </xf>
    <xf numFmtId="37" fontId="3" fillId="6" borderId="59" xfId="0" applyFont="1" applyFill="1" applyBorder="1" applyAlignment="1">
      <alignment horizontal="center"/>
    </xf>
    <xf numFmtId="37" fontId="3" fillId="6" borderId="60" xfId="0" applyFont="1" applyFill="1" applyBorder="1" applyAlignment="1">
      <alignment horizontal="center"/>
    </xf>
    <xf numFmtId="37" fontId="3" fillId="6" borderId="61" xfId="0" applyFont="1" applyFill="1" applyBorder="1" applyAlignment="1">
      <alignment horizontal="center"/>
    </xf>
    <xf numFmtId="37" fontId="3" fillId="0" borderId="4" xfId="0" applyFont="1" applyBorder="1" applyAlignment="1">
      <alignment horizontal="center" wrapText="1"/>
    </xf>
    <xf numFmtId="37" fontId="3" fillId="0" borderId="9" xfId="0" applyFont="1" applyBorder="1" applyAlignment="1">
      <alignment horizontal="center" wrapText="1"/>
    </xf>
    <xf numFmtId="37" fontId="3" fillId="0" borderId="4" xfId="0" quotePrefix="1" applyFont="1" applyBorder="1" applyAlignment="1">
      <alignment horizontal="center" wrapText="1"/>
    </xf>
    <xf numFmtId="37" fontId="3" fillId="0" borderId="9" xfId="0" applyFont="1" applyBorder="1" applyAlignment="1">
      <alignment horizontal="center"/>
    </xf>
    <xf numFmtId="37" fontId="3" fillId="3" borderId="30" xfId="0" applyFont="1" applyFill="1" applyBorder="1" applyAlignment="1">
      <alignment horizontal="left"/>
    </xf>
    <xf numFmtId="37" fontId="3" fillId="3" borderId="27" xfId="0" applyFont="1" applyFill="1" applyBorder="1" applyAlignment="1">
      <alignment horizontal="left"/>
    </xf>
    <xf numFmtId="37" fontId="3" fillId="3" borderId="29" xfId="0" applyFont="1" applyFill="1" applyBorder="1" applyAlignment="1">
      <alignment horizontal="left"/>
    </xf>
    <xf numFmtId="37" fontId="3" fillId="6" borderId="11" xfId="0" applyFont="1" applyFill="1" applyBorder="1" applyAlignment="1">
      <alignment horizontal="center"/>
    </xf>
    <xf numFmtId="37" fontId="3" fillId="6" borderId="24" xfId="0" applyFont="1" applyFill="1" applyBorder="1" applyAlignment="1">
      <alignment horizontal="center" wrapText="1"/>
    </xf>
    <xf numFmtId="37" fontId="3" fillId="6" borderId="38" xfId="0" applyFont="1" applyFill="1" applyBorder="1" applyAlignment="1">
      <alignment horizontal="center" wrapText="1"/>
    </xf>
    <xf numFmtId="37" fontId="3" fillId="6" borderId="11" xfId="0" applyFont="1" applyFill="1" applyBorder="1" applyAlignment="1">
      <alignment horizontal="center" wrapText="1"/>
    </xf>
    <xf numFmtId="37" fontId="5" fillId="0" borderId="24" xfId="0" applyFont="1" applyBorder="1" applyAlignment="1">
      <alignment horizontal="left" vertical="top" wrapText="1"/>
    </xf>
    <xf numFmtId="37" fontId="5" fillId="0" borderId="0" xfId="0" applyFont="1" applyAlignment="1">
      <alignment horizontal="left" vertical="top" wrapText="1"/>
    </xf>
    <xf numFmtId="37" fontId="3" fillId="3" borderId="16" xfId="0" applyFont="1" applyFill="1" applyBorder="1" applyAlignment="1">
      <alignment horizontal="center"/>
    </xf>
    <xf numFmtId="37" fontId="3" fillId="3" borderId="2" xfId="0" applyFont="1" applyFill="1" applyBorder="1" applyAlignment="1">
      <alignment horizontal="center"/>
    </xf>
    <xf numFmtId="37" fontId="3" fillId="3" borderId="15" xfId="0" applyFont="1" applyFill="1" applyBorder="1" applyAlignment="1">
      <alignment horizontal="center"/>
    </xf>
    <xf numFmtId="37" fontId="3" fillId="3" borderId="19" xfId="0" applyFont="1" applyFill="1" applyBorder="1" applyAlignment="1">
      <alignment horizontal="center"/>
    </xf>
    <xf numFmtId="37" fontId="3" fillId="6" borderId="33" xfId="0" applyFont="1" applyFill="1" applyBorder="1" applyAlignment="1">
      <alignment horizontal="center" vertical="center"/>
    </xf>
    <xf numFmtId="37" fontId="3" fillId="6" borderId="24" xfId="0" applyFont="1" applyFill="1" applyBorder="1" applyAlignment="1">
      <alignment horizontal="center" vertical="center"/>
    </xf>
    <xf numFmtId="37" fontId="3" fillId="6" borderId="38" xfId="0" applyFont="1" applyFill="1" applyBorder="1" applyAlignment="1">
      <alignment horizontal="center" vertical="center"/>
    </xf>
    <xf numFmtId="37" fontId="3" fillId="6" borderId="34" xfId="0" applyFont="1" applyFill="1" applyBorder="1" applyAlignment="1">
      <alignment horizontal="center" vertical="center"/>
    </xf>
    <xf numFmtId="37" fontId="3" fillId="6" borderId="11" xfId="0" applyFont="1" applyFill="1" applyBorder="1" applyAlignment="1">
      <alignment horizontal="center" vertical="center"/>
    </xf>
    <xf numFmtId="37" fontId="3" fillId="6" borderId="39" xfId="0" applyFont="1" applyFill="1" applyBorder="1" applyAlignment="1">
      <alignment horizontal="center" vertical="center"/>
    </xf>
    <xf numFmtId="37" fontId="3" fillId="6" borderId="1" xfId="0" applyFont="1" applyFill="1" applyBorder="1" applyAlignment="1">
      <alignment horizontal="center" wrapText="1"/>
    </xf>
    <xf numFmtId="37" fontId="0" fillId="0" borderId="9" xfId="0" applyBorder="1"/>
    <xf numFmtId="49" fontId="5" fillId="0" borderId="0" xfId="0" quotePrefix="1" applyNumberFormat="1" applyFont="1" applyFill="1" applyAlignment="1">
      <alignment horizontal="left" vertical="top" wrapText="1"/>
    </xf>
    <xf numFmtId="37" fontId="3" fillId="6" borderId="58" xfId="0" applyFont="1" applyFill="1" applyBorder="1" applyAlignment="1">
      <alignment horizontal="center" vertical="center"/>
    </xf>
    <xf numFmtId="37" fontId="3" fillId="6" borderId="32" xfId="0" applyFont="1" applyFill="1" applyBorder="1" applyAlignment="1">
      <alignment horizontal="center" vertical="center"/>
    </xf>
    <xf numFmtId="37" fontId="3" fillId="6" borderId="59" xfId="0" applyFont="1" applyFill="1" applyBorder="1" applyAlignment="1">
      <alignment horizontal="center" vertical="center"/>
    </xf>
    <xf numFmtId="37" fontId="3" fillId="6" borderId="15" xfId="0" applyFont="1" applyFill="1" applyBorder="1" applyAlignment="1">
      <alignment horizontal="center" vertical="center"/>
    </xf>
    <xf numFmtId="37" fontId="3" fillId="0" borderId="21" xfId="0" quotePrefix="1" applyFont="1" applyFill="1" applyBorder="1" applyAlignment="1">
      <alignment horizontal="center" wrapText="1"/>
    </xf>
    <xf numFmtId="37" fontId="3" fillId="0" borderId="21" xfId="0" applyFont="1" applyFill="1" applyBorder="1" applyAlignment="1">
      <alignment horizontal="center" wrapText="1"/>
    </xf>
    <xf numFmtId="37" fontId="3" fillId="0" borderId="8" xfId="0" applyFont="1" applyFill="1" applyBorder="1" applyAlignment="1">
      <alignment horizontal="center" wrapText="1"/>
    </xf>
    <xf numFmtId="37" fontId="3" fillId="0" borderId="8" xfId="0" quotePrefix="1" applyFont="1" applyFill="1" applyBorder="1" applyAlignment="1">
      <alignment horizontal="center" wrapText="1"/>
    </xf>
    <xf numFmtId="37" fontId="3" fillId="0" borderId="17" xfId="0" applyFont="1" applyFill="1" applyBorder="1" applyAlignment="1">
      <alignment horizontal="center" wrapText="1"/>
    </xf>
    <xf numFmtId="37" fontId="3" fillId="0" borderId="34" xfId="0" applyFont="1" applyFill="1" applyBorder="1" applyAlignment="1">
      <alignment horizontal="center" wrapText="1"/>
    </xf>
    <xf numFmtId="37" fontId="3" fillId="0" borderId="7" xfId="0" quotePrefix="1" applyFont="1" applyBorder="1" applyAlignment="1">
      <alignment horizontal="center" wrapText="1"/>
    </xf>
    <xf numFmtId="37" fontId="3" fillId="0" borderId="21" xfId="0" applyFont="1" applyBorder="1" applyAlignment="1">
      <alignment horizontal="center" wrapText="1"/>
    </xf>
    <xf numFmtId="37" fontId="3" fillId="0" borderId="8" xfId="0" applyFont="1" applyBorder="1" applyAlignment="1">
      <alignment horizontal="center" wrapText="1"/>
    </xf>
    <xf numFmtId="37" fontId="3" fillId="6" borderId="57" xfId="0" quotePrefix="1" applyFont="1" applyFill="1" applyBorder="1" applyAlignment="1">
      <alignment horizontal="center" wrapText="1"/>
    </xf>
    <xf numFmtId="37" fontId="3" fillId="6" borderId="44" xfId="0" applyFont="1" applyFill="1" applyBorder="1" applyAlignment="1">
      <alignment horizontal="center" wrapText="1"/>
    </xf>
    <xf numFmtId="0" fontId="5" fillId="0" borderId="24" xfId="0" applyNumberFormat="1" applyFont="1" applyBorder="1" applyAlignment="1">
      <alignment horizontal="left" vertical="top" wrapText="1"/>
    </xf>
    <xf numFmtId="0" fontId="5" fillId="0" borderId="0" xfId="0" applyNumberFormat="1" applyFont="1" applyAlignment="1">
      <alignment horizontal="left" vertical="top" wrapText="1"/>
    </xf>
    <xf numFmtId="37" fontId="3" fillId="6" borderId="4" xfId="0" quotePrefix="1" applyFont="1" applyFill="1" applyBorder="1" applyAlignment="1">
      <alignment horizontal="center" wrapText="1"/>
    </xf>
    <xf numFmtId="37" fontId="3" fillId="6" borderId="1" xfId="0" quotePrefix="1" applyFont="1" applyFill="1" applyBorder="1" applyAlignment="1">
      <alignment horizontal="center" wrapText="1"/>
    </xf>
    <xf numFmtId="37" fontId="3" fillId="6" borderId="9" xfId="0" quotePrefix="1" applyFont="1" applyFill="1" applyBorder="1" applyAlignment="1">
      <alignment horizontal="center" wrapText="1"/>
    </xf>
    <xf numFmtId="37" fontId="3" fillId="6" borderId="7" xfId="0" quotePrefix="1" applyNumberFormat="1" applyFont="1" applyFill="1" applyBorder="1" applyAlignment="1" applyProtection="1">
      <alignment horizontal="center" wrapText="1"/>
    </xf>
    <xf numFmtId="37" fontId="3" fillId="6" borderId="21" xfId="0" quotePrefix="1" applyNumberFormat="1" applyFont="1" applyFill="1" applyBorder="1" applyAlignment="1" applyProtection="1">
      <alignment horizontal="center" wrapText="1"/>
    </xf>
    <xf numFmtId="37" fontId="3" fillId="6" borderId="8" xfId="0" quotePrefix="1" applyNumberFormat="1" applyFont="1" applyFill="1" applyBorder="1" applyAlignment="1" applyProtection="1">
      <alignment horizontal="center" wrapText="1"/>
    </xf>
    <xf numFmtId="37" fontId="3" fillId="6" borderId="62" xfId="0" quotePrefix="1" applyNumberFormat="1" applyFont="1" applyFill="1" applyBorder="1" applyAlignment="1" applyProtection="1">
      <alignment horizontal="center" wrapText="1"/>
    </xf>
    <xf numFmtId="37" fontId="3" fillId="6" borderId="43" xfId="0" quotePrefix="1" applyNumberFormat="1" applyFont="1" applyFill="1" applyBorder="1" applyAlignment="1" applyProtection="1">
      <alignment horizontal="center" wrapText="1"/>
    </xf>
    <xf numFmtId="37" fontId="5" fillId="0" borderId="24" xfId="0" quotePrefix="1" applyFont="1" applyBorder="1" applyAlignment="1">
      <alignment horizontal="left" wrapText="1"/>
    </xf>
    <xf numFmtId="37" fontId="0" fillId="0" borderId="24" xfId="0" applyBorder="1"/>
    <xf numFmtId="37" fontId="0" fillId="0" borderId="0" xfId="0"/>
    <xf numFmtId="37" fontId="3" fillId="3" borderId="18" xfId="0" applyFont="1" applyFill="1" applyBorder="1" applyAlignment="1">
      <alignment horizontal="center"/>
    </xf>
    <xf numFmtId="37" fontId="3" fillId="6" borderId="4" xfId="0" quotePrefix="1"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wrapText="1"/>
    </xf>
    <xf numFmtId="37" fontId="3" fillId="6" borderId="9" xfId="0"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
    </xf>
    <xf numFmtId="0" fontId="5" fillId="0" borderId="24" xfId="0" quotePrefix="1" applyNumberFormat="1" applyFont="1" applyBorder="1" applyAlignment="1">
      <alignment horizontal="left" vertical="center" wrapText="1"/>
    </xf>
    <xf numFmtId="0" fontId="5" fillId="0" borderId="0" xfId="0" quotePrefix="1" applyNumberFormat="1" applyFont="1" applyAlignment="1">
      <alignment horizontal="left" vertical="center" wrapText="1"/>
    </xf>
    <xf numFmtId="37" fontId="3" fillId="0" borderId="24" xfId="0" applyFont="1" applyBorder="1" applyAlignment="1">
      <alignment horizontal="center" vertical="center"/>
    </xf>
    <xf numFmtId="37" fontId="3" fillId="0" borderId="11" xfId="0" applyFont="1" applyBorder="1" applyAlignment="1">
      <alignment horizontal="center" vertical="center"/>
    </xf>
    <xf numFmtId="37" fontId="3" fillId="8" borderId="62" xfId="0" quotePrefix="1" applyFont="1" applyFill="1" applyBorder="1" applyAlignment="1">
      <alignment horizontal="center" wrapText="1"/>
    </xf>
    <xf numFmtId="37" fontId="3" fillId="8" borderId="43" xfId="0" applyFont="1" applyFill="1" applyBorder="1" applyAlignment="1">
      <alignment horizontal="center" wrapText="1"/>
    </xf>
    <xf numFmtId="37" fontId="3" fillId="8" borderId="7" xfId="0" quotePrefix="1" applyFont="1" applyFill="1" applyBorder="1" applyAlignment="1">
      <alignment horizontal="center" wrapText="1"/>
    </xf>
    <xf numFmtId="37" fontId="3" fillId="8" borderId="21" xfId="0" applyFont="1" applyFill="1" applyBorder="1" applyAlignment="1">
      <alignment horizontal="center" wrapText="1"/>
    </xf>
    <xf numFmtId="37" fontId="3" fillId="8" borderId="8" xfId="0" applyFont="1" applyFill="1" applyBorder="1" applyAlignment="1">
      <alignment horizontal="center" wrapText="1"/>
    </xf>
    <xf numFmtId="37" fontId="3" fillId="6" borderId="16" xfId="0" applyFont="1" applyFill="1" applyBorder="1" applyAlignment="1">
      <alignment horizontal="center" vertical="center"/>
    </xf>
    <xf numFmtId="37" fontId="3" fillId="6" borderId="2" xfId="0" applyFont="1" applyFill="1" applyBorder="1" applyAlignment="1">
      <alignment horizontal="center" vertical="center"/>
    </xf>
    <xf numFmtId="37" fontId="3" fillId="6" borderId="5" xfId="0" applyFont="1" applyFill="1" applyBorder="1" applyAlignment="1">
      <alignment horizontal="center" vertical="center"/>
    </xf>
    <xf numFmtId="37" fontId="3" fillId="6" borderId="12" xfId="0" applyFont="1" applyFill="1" applyBorder="1" applyAlignment="1">
      <alignment horizontal="center" vertical="center"/>
    </xf>
    <xf numFmtId="37" fontId="3" fillId="6" borderId="3" xfId="0" applyFont="1" applyFill="1" applyBorder="1" applyAlignment="1">
      <alignment horizontal="center" vertical="center"/>
    </xf>
    <xf numFmtId="37" fontId="3" fillId="6" borderId="10" xfId="0" applyFont="1" applyFill="1" applyBorder="1" applyAlignment="1">
      <alignment horizontal="center" vertical="center"/>
    </xf>
    <xf numFmtId="37" fontId="3" fillId="0" borderId="62" xfId="0" quotePrefix="1" applyFont="1" applyBorder="1" applyAlignment="1">
      <alignment horizontal="center" wrapText="1"/>
    </xf>
    <xf numFmtId="37" fontId="3" fillId="0" borderId="43" xfId="0" quotePrefix="1" applyFont="1" applyBorder="1" applyAlignment="1">
      <alignment horizontal="center" wrapText="1"/>
    </xf>
    <xf numFmtId="37" fontId="3" fillId="0" borderId="1" xfId="0" quotePrefix="1" applyFont="1" applyBorder="1" applyAlignment="1">
      <alignment horizontal="center" wrapText="1"/>
    </xf>
    <xf numFmtId="37" fontId="3" fillId="0" borderId="9" xfId="0" quotePrefix="1" applyFont="1" applyBorder="1" applyAlignment="1">
      <alignment horizontal="center" wrapText="1"/>
    </xf>
    <xf numFmtId="37" fontId="3" fillId="0" borderId="18" xfId="0" applyFont="1" applyBorder="1" applyAlignment="1">
      <alignment horizontal="center" vertical="center"/>
    </xf>
    <xf numFmtId="37" fontId="3" fillId="0" borderId="15" xfId="0" applyFont="1" applyBorder="1" applyAlignment="1">
      <alignment horizontal="center" vertical="center"/>
    </xf>
    <xf numFmtId="37" fontId="3" fillId="0" borderId="19" xfId="0" applyFont="1" applyBorder="1" applyAlignment="1">
      <alignment horizontal="center" vertical="center"/>
    </xf>
    <xf numFmtId="37" fontId="5" fillId="0" borderId="0" xfId="0" applyFont="1" applyAlignment="1">
      <alignment horizontal="left" wrapText="1"/>
    </xf>
    <xf numFmtId="37" fontId="3" fillId="0" borderId="16" xfId="0" applyFont="1" applyBorder="1" applyAlignment="1">
      <alignment horizontal="center" vertical="center"/>
    </xf>
    <xf numFmtId="37" fontId="3" fillId="0" borderId="21" xfId="0" quotePrefix="1" applyFont="1" applyBorder="1" applyAlignment="1">
      <alignment horizontal="center" wrapText="1"/>
    </xf>
    <xf numFmtId="37" fontId="3" fillId="0" borderId="8" xfId="0" quotePrefix="1" applyFont="1" applyBorder="1" applyAlignment="1">
      <alignment horizontal="center" wrapText="1"/>
    </xf>
    <xf numFmtId="37" fontId="3" fillId="0" borderId="5" xfId="0" quotePrefix="1" applyFont="1" applyBorder="1" applyAlignment="1">
      <alignment horizontal="center" wrapText="1"/>
    </xf>
    <xf numFmtId="37" fontId="3" fillId="0" borderId="6" xfId="0" quotePrefix="1" applyFont="1" applyBorder="1" applyAlignment="1">
      <alignment horizontal="center" wrapText="1"/>
    </xf>
    <xf numFmtId="37" fontId="3" fillId="0" borderId="10" xfId="0" quotePrefix="1" applyFont="1" applyBorder="1" applyAlignment="1">
      <alignment horizontal="center" wrapText="1"/>
    </xf>
    <xf numFmtId="49" fontId="5" fillId="0" borderId="24" xfId="0" quotePrefix="1" applyNumberFormat="1" applyFont="1" applyBorder="1" applyAlignment="1">
      <alignment horizontal="left" wrapText="1"/>
    </xf>
    <xf numFmtId="49" fontId="5" fillId="0" borderId="0" xfId="0" quotePrefix="1" applyNumberFormat="1" applyFont="1" applyAlignment="1">
      <alignment horizontal="left" wrapText="1"/>
    </xf>
    <xf numFmtId="0" fontId="5" fillId="0" borderId="0" xfId="0" quotePrefix="1" applyNumberFormat="1" applyFont="1" applyAlignment="1">
      <alignment horizontal="left" wrapText="1"/>
    </xf>
    <xf numFmtId="37" fontId="3" fillId="0" borderId="1" xfId="0" applyFont="1" applyBorder="1" applyAlignment="1">
      <alignment horizontal="center" wrapText="1"/>
    </xf>
    <xf numFmtId="0" fontId="5" fillId="0" borderId="24" xfId="0" quotePrefix="1"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37" fontId="3" fillId="3" borderId="15" xfId="0" quotePrefix="1" applyFont="1" applyFill="1" applyBorder="1" applyAlignment="1">
      <alignment horizontal="center" vertical="center"/>
    </xf>
    <xf numFmtId="37" fontId="3" fillId="3" borderId="15" xfId="0" applyFont="1" applyFill="1" applyBorder="1" applyAlignment="1">
      <alignment horizontal="center" vertical="center"/>
    </xf>
    <xf numFmtId="37" fontId="3" fillId="6" borderId="30" xfId="6" quotePrefix="1" applyNumberFormat="1" applyFont="1" applyFill="1" applyBorder="1" applyAlignment="1">
      <alignment horizontal="center" vertical="center"/>
    </xf>
    <xf numFmtId="37" fontId="3" fillId="6" borderId="27" xfId="6" applyNumberFormat="1" applyFont="1" applyFill="1" applyBorder="1" applyAlignment="1">
      <alignment horizontal="center" vertical="center"/>
    </xf>
    <xf numFmtId="37" fontId="3" fillId="6" borderId="29" xfId="6" applyNumberFormat="1" applyFont="1" applyFill="1" applyBorder="1" applyAlignment="1">
      <alignment horizontal="center" vertical="center"/>
    </xf>
    <xf numFmtId="37" fontId="3" fillId="3" borderId="30" xfId="0" quotePrefix="1" applyFont="1" applyFill="1" applyBorder="1" applyAlignment="1">
      <alignment horizontal="center" vertical="center"/>
    </xf>
    <xf numFmtId="37" fontId="3" fillId="3" borderId="27" xfId="0" quotePrefix="1" applyFont="1" applyFill="1" applyBorder="1" applyAlignment="1">
      <alignment horizontal="center" vertical="center"/>
    </xf>
    <xf numFmtId="37" fontId="3" fillId="3" borderId="29" xfId="0" quotePrefix="1" applyFont="1" applyFill="1" applyBorder="1" applyAlignment="1">
      <alignment horizontal="center" vertical="center"/>
    </xf>
    <xf numFmtId="0" fontId="5" fillId="0" borderId="0" xfId="0" quotePrefix="1" applyNumberFormat="1" applyFont="1" applyBorder="1" applyAlignment="1">
      <alignment horizontal="left" vertical="center" wrapText="1"/>
    </xf>
    <xf numFmtId="37" fontId="5" fillId="0" borderId="2" xfId="7" quotePrefix="1" applyFont="1" applyBorder="1" applyAlignment="1">
      <alignment horizontal="left" vertical="center" wrapText="1"/>
    </xf>
    <xf numFmtId="37" fontId="5" fillId="0" borderId="0" xfId="7" quotePrefix="1" applyFont="1" applyAlignment="1">
      <alignment horizontal="left" vertical="center" wrapText="1"/>
    </xf>
    <xf numFmtId="37" fontId="3" fillId="7" borderId="46" xfId="0" applyFont="1" applyFill="1" applyBorder="1" applyAlignment="1">
      <alignment horizontal="center" vertical="center" wrapText="1"/>
    </xf>
    <xf numFmtId="37" fontId="3" fillId="7" borderId="47" xfId="0" applyFont="1" applyFill="1" applyBorder="1" applyAlignment="1">
      <alignment horizontal="center" vertical="center" wrapText="1"/>
    </xf>
    <xf numFmtId="37" fontId="3" fillId="7" borderId="4" xfId="0" applyFont="1" applyFill="1" applyBorder="1" applyAlignment="1">
      <alignment horizontal="center" wrapText="1"/>
    </xf>
    <xf numFmtId="37" fontId="3" fillId="7"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quotePrefix="1" applyFont="1" applyBorder="1" applyAlignment="1">
      <alignment horizontal="center" vertical="center"/>
    </xf>
    <xf numFmtId="39" fontId="3" fillId="0" borderId="2" xfId="5" applyFont="1" applyBorder="1" applyAlignment="1">
      <alignment horizontal="center" vertical="center"/>
    </xf>
    <xf numFmtId="0" fontId="3" fillId="0" borderId="3" xfId="5" quotePrefix="1" applyNumberFormat="1" applyFont="1" applyBorder="1" applyAlignment="1">
      <alignment horizontal="center" vertical="center"/>
    </xf>
    <xf numFmtId="0" fontId="3" fillId="0" borderId="3" xfId="5" applyNumberFormat="1" applyFont="1" applyBorder="1" applyAlignment="1">
      <alignment horizontal="center" vertical="center"/>
    </xf>
    <xf numFmtId="37" fontId="3" fillId="7" borderId="16" xfId="0" quotePrefix="1" applyFont="1" applyFill="1" applyBorder="1" applyAlignment="1">
      <alignment horizontal="center" wrapText="1"/>
    </xf>
    <xf numFmtId="37" fontId="3" fillId="7" borderId="5" xfId="0" applyFont="1" applyFill="1" applyBorder="1" applyAlignment="1">
      <alignment horizontal="center" wrapText="1"/>
    </xf>
    <xf numFmtId="0" fontId="5" fillId="0" borderId="24" xfId="4" quotePrefix="1" applyFont="1" applyBorder="1" applyAlignment="1">
      <alignment horizontal="left" vertical="center" wrapText="1"/>
    </xf>
    <xf numFmtId="0" fontId="5" fillId="0" borderId="0" xfId="4" quotePrefix="1" applyFont="1" applyAlignment="1">
      <alignment horizontal="left" vertical="center" wrapText="1"/>
    </xf>
    <xf numFmtId="0" fontId="3" fillId="7" borderId="33" xfId="4" quotePrefix="1" applyFont="1" applyFill="1" applyBorder="1" applyAlignment="1">
      <alignment horizontal="center" wrapText="1"/>
    </xf>
    <xf numFmtId="0" fontId="3" fillId="7" borderId="38" xfId="4" quotePrefix="1" applyFont="1" applyFill="1" applyBorder="1" applyAlignment="1">
      <alignment horizontal="center" wrapText="1"/>
    </xf>
    <xf numFmtId="0" fontId="3" fillId="7" borderId="34" xfId="4" quotePrefix="1" applyFont="1" applyFill="1" applyBorder="1" applyAlignment="1">
      <alignment horizontal="center" wrapText="1"/>
    </xf>
    <xf numFmtId="0" fontId="3" fillId="7" borderId="39" xfId="4" quotePrefix="1" applyFont="1" applyFill="1" applyBorder="1" applyAlignment="1">
      <alignment horizontal="center" wrapText="1"/>
    </xf>
    <xf numFmtId="0" fontId="3" fillId="7" borderId="24" xfId="4" quotePrefix="1" applyFont="1" applyFill="1" applyBorder="1" applyAlignment="1">
      <alignment horizontal="center" wrapText="1"/>
    </xf>
    <xf numFmtId="0" fontId="3" fillId="7" borderId="24" xfId="4" applyFont="1" applyFill="1" applyBorder="1" applyAlignment="1">
      <alignment horizontal="center" wrapText="1"/>
    </xf>
    <xf numFmtId="0" fontId="3" fillId="7" borderId="38" xfId="4" applyFont="1" applyFill="1" applyBorder="1" applyAlignment="1">
      <alignment horizontal="center" wrapText="1"/>
    </xf>
    <xf numFmtId="0" fontId="3" fillId="7" borderId="11" xfId="4" applyFont="1" applyFill="1" applyBorder="1" applyAlignment="1">
      <alignment horizontal="center" wrapText="1"/>
    </xf>
    <xf numFmtId="0" fontId="3" fillId="7" borderId="39" xfId="4" applyFont="1" applyFill="1" applyBorder="1" applyAlignment="1">
      <alignment horizontal="center" wrapText="1"/>
    </xf>
    <xf numFmtId="37" fontId="3" fillId="7" borderId="13" xfId="0" quotePrefix="1" applyFont="1" applyFill="1" applyBorder="1" applyAlignment="1">
      <alignment horizontal="center" wrapText="1"/>
    </xf>
    <xf numFmtId="37" fontId="3" fillId="7" borderId="6" xfId="0" applyFont="1" applyFill="1" applyBorder="1" applyAlignment="1">
      <alignment horizontal="center" wrapText="1"/>
    </xf>
    <xf numFmtId="37" fontId="3" fillId="7" borderId="12" xfId="0" applyFont="1" applyFill="1" applyBorder="1" applyAlignment="1">
      <alignment horizontal="center" wrapText="1"/>
    </xf>
    <xf numFmtId="37" fontId="3" fillId="7" borderId="10" xfId="0" applyFont="1" applyFill="1" applyBorder="1" applyAlignment="1">
      <alignment horizontal="center" wrapText="1"/>
    </xf>
    <xf numFmtId="37" fontId="3" fillId="7" borderId="13" xfId="0" applyFont="1" applyFill="1" applyBorder="1" applyAlignment="1">
      <alignment horizontal="center" wrapText="1"/>
    </xf>
    <xf numFmtId="37" fontId="3" fillId="7" borderId="0" xfId="0" quotePrefix="1" applyFont="1" applyFill="1" applyBorder="1" applyAlignment="1">
      <alignment horizontal="center" wrapText="1"/>
    </xf>
    <xf numFmtId="37" fontId="3" fillId="7" borderId="3" xfId="0" applyFont="1" applyFill="1" applyBorder="1" applyAlignment="1">
      <alignment horizontal="center" wrapText="1"/>
    </xf>
    <xf numFmtId="37" fontId="3" fillId="7" borderId="33" xfId="0" quotePrefix="1" applyFont="1" applyFill="1" applyBorder="1" applyAlignment="1">
      <alignment horizontal="center" wrapText="1"/>
    </xf>
    <xf numFmtId="37" fontId="3" fillId="7" borderId="38" xfId="0" applyFont="1" applyFill="1" applyBorder="1" applyAlignment="1">
      <alignment horizontal="center" wrapText="1"/>
    </xf>
    <xf numFmtId="37" fontId="3" fillId="7" borderId="17" xfId="0" applyFont="1" applyFill="1" applyBorder="1" applyAlignment="1">
      <alignment horizontal="center" wrapText="1"/>
    </xf>
    <xf numFmtId="37" fontId="3" fillId="7" borderId="31" xfId="0" applyFont="1" applyFill="1" applyBorder="1" applyAlignment="1">
      <alignment horizontal="center" wrapText="1"/>
    </xf>
    <xf numFmtId="37" fontId="3" fillId="7" borderId="34" xfId="0" applyFont="1" applyFill="1" applyBorder="1" applyAlignment="1">
      <alignment horizontal="center" wrapText="1"/>
    </xf>
    <xf numFmtId="37" fontId="3" fillId="7" borderId="39" xfId="0" applyFont="1" applyFill="1" applyBorder="1" applyAlignment="1">
      <alignment horizontal="center" wrapText="1"/>
    </xf>
    <xf numFmtId="37" fontId="5" fillId="0" borderId="0" xfId="0" applyFont="1" applyAlignment="1">
      <alignment horizontal="center" wrapText="1"/>
    </xf>
    <xf numFmtId="37" fontId="31" fillId="14" borderId="34" xfId="0" quotePrefix="1" applyFont="1" applyFill="1" applyBorder="1" applyAlignment="1">
      <alignment horizontal="center"/>
    </xf>
    <xf numFmtId="37" fontId="31" fillId="14" borderId="11" xfId="0" applyFont="1" applyFill="1" applyBorder="1" applyAlignment="1">
      <alignment horizontal="center"/>
    </xf>
    <xf numFmtId="37" fontId="31" fillId="14" borderId="39" xfId="0" applyFont="1" applyFill="1" applyBorder="1" applyAlignment="1">
      <alignment horizontal="center"/>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16" fmlaLink="$Y$4" fmlaRange="$Y$2:$Y$3"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19050</xdr:colOff>
          <xdr:row>2</xdr:row>
          <xdr:rowOff>9525</xdr:rowOff>
        </xdr:from>
        <xdr:to>
          <xdr:col>21</xdr:col>
          <xdr:colOff>885825</xdr:colOff>
          <xdr:row>3</xdr:row>
          <xdr:rowOff>133350</xdr:rowOff>
        </xdr:to>
        <xdr:sp macro="" textlink="">
          <xdr:nvSpPr>
            <xdr:cNvPr id="240641" name="Button 1" hidden="1">
              <a:extLst>
                <a:ext uri="{63B3BB69-23CF-44E3-9099-C40C66FF867C}">
                  <a14:compatExt spid="_x0000_s2406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Replace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xdr:row>
          <xdr:rowOff>9525</xdr:rowOff>
        </xdr:from>
        <xdr:to>
          <xdr:col>27</xdr:col>
          <xdr:colOff>209550</xdr:colOff>
          <xdr:row>3</xdr:row>
          <xdr:rowOff>85725</xdr:rowOff>
        </xdr:to>
        <xdr:sp macro="" textlink="">
          <xdr:nvSpPr>
            <xdr:cNvPr id="240646" name="Drop Down 6" hidden="1">
              <a:extLst>
                <a:ext uri="{63B3BB69-23CF-44E3-9099-C40C66FF867C}">
                  <a14:compatExt spid="_x0000_s240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dusfb\Frame\REPORTS\Internet%20Versions\2015-16%20FRAME%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dusfb\Frame\REPORTS\Internet%20Versions\2008-09%20FRAME%20Budg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onzalo\financial%20report%20French%20Dept\13-14-257%20-%202013-14%20FRAME%20Budget_F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5 -"/>
      <sheetName val="- 47 -"/>
      <sheetName val="- 48 - "/>
      <sheetName val="- 50 -"/>
      <sheetName val="- 51 -"/>
      <sheetName val="- 52 -"/>
      <sheetName val="- 53 -"/>
      <sheetName val="- 54 -"/>
      <sheetName val="- 55 -"/>
      <sheetName val="- 56 -"/>
      <sheetName val="- 57 -"/>
      <sheetName val="- 58 -"/>
      <sheetName val="- 59 -"/>
      <sheetName val="- 60 -"/>
      <sheetName val="Data"/>
    </sheetNames>
    <sheetDataSet>
      <sheetData sheetId="0"/>
      <sheetData sheetId="1"/>
      <sheetData sheetId="2"/>
      <sheetData sheetId="3"/>
      <sheetData sheetId="4"/>
      <sheetData sheetId="5"/>
      <sheetData sheetId="6"/>
      <sheetData sheetId="7"/>
      <sheetData sheetId="8"/>
      <sheetData sheetId="9"/>
      <sheetData sheetId="10">
        <row r="2">
          <cell r="B2" t="str">
            <v>ANALYSIS OF EXPENSE BY FUNCTION</v>
          </cell>
        </row>
      </sheetData>
      <sheetData sheetId="11"/>
      <sheetData sheetId="12"/>
      <sheetData sheetId="13">
        <row r="2">
          <cell r="B2" t="str">
            <v>ANALYSIS OF EXPENSE BY PROGRAM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V4">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 val="i"/>
      <sheetName val="- 1 -"/>
      <sheetName val="- 2 -"/>
      <sheetName val="- 5 -"/>
      <sheetName val="- 11 -"/>
      <sheetName val="- 14 -"/>
      <sheetName val="- 40 -"/>
      <sheetName val="- 47 -"/>
      <sheetName val="- 49 -"/>
      <sheetName val="Data"/>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
      <sheetName val="- 50 -"/>
      <sheetName val="- 51 -"/>
      <sheetName val="- 52 -"/>
      <sheetName val="- 53 -"/>
      <sheetName val="- 54 -"/>
      <sheetName val="- 55 -"/>
      <sheetName val="- 56 -"/>
      <sheetName val="- 57 -"/>
      <sheetName val="- 58 -"/>
      <sheetName val="- 59 -"/>
      <sheetName val="- 60 -"/>
      <sheetName val="- 61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B1" t="str">
            <v>ANALYSE DES RECETTES DU FONDS DE FONCTIONNEMENT : BUDGET 2013 - 2014</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5"/>
  <sheetViews>
    <sheetView showGridLines="0" showRowColHeaders="0" tabSelected="1" workbookViewId="0">
      <selection activeCell="A2" sqref="A2"/>
    </sheetView>
  </sheetViews>
  <sheetFormatPr defaultColWidth="0" defaultRowHeight="0" customHeight="1" zeroHeight="1" x14ac:dyDescent="0.2"/>
  <cols>
    <col min="1" max="1" width="15.83203125" style="531" customWidth="1"/>
    <col min="2" max="2" width="120.83203125" style="531" customWidth="1"/>
    <col min="3" max="3" width="80.83203125" style="531" customWidth="1"/>
    <col min="4" max="16384" width="9.33203125" style="531" hidden="1"/>
  </cols>
  <sheetData>
    <row r="1" spans="1:3" ht="0.95" customHeight="1" x14ac:dyDescent="0.2">
      <c r="A1" s="530"/>
      <c r="B1" s="530"/>
      <c r="C1" s="530"/>
    </row>
    <row r="2" spans="1:3" ht="24.95" customHeight="1" thickBot="1" x14ac:dyDescent="0.25">
      <c r="A2" s="530"/>
      <c r="B2" s="530"/>
      <c r="C2" s="530"/>
    </row>
    <row r="3" spans="1:3" ht="17.25" thickTop="1" thickBot="1" x14ac:dyDescent="0.3">
      <c r="A3" s="530"/>
      <c r="B3" s="532" t="s">
        <v>616</v>
      </c>
      <c r="C3" s="530"/>
    </row>
    <row r="4" spans="1:3" ht="15.75" thickTop="1" x14ac:dyDescent="0.2">
      <c r="A4" s="530"/>
      <c r="B4" s="533"/>
      <c r="C4" s="530"/>
    </row>
    <row r="5" spans="1:3" ht="15" x14ac:dyDescent="0.2">
      <c r="A5" s="530"/>
      <c r="B5" s="534" t="s">
        <v>610</v>
      </c>
      <c r="C5" s="535"/>
    </row>
    <row r="6" spans="1:3" ht="15" x14ac:dyDescent="0.2">
      <c r="A6" s="530"/>
      <c r="B6" s="533"/>
      <c r="C6" s="530"/>
    </row>
    <row r="7" spans="1:3" ht="14.25" x14ac:dyDescent="0.2">
      <c r="A7" s="530"/>
      <c r="B7" s="538" t="s">
        <v>611</v>
      </c>
      <c r="C7" s="530"/>
    </row>
    <row r="8" spans="1:3" ht="14.25" x14ac:dyDescent="0.2">
      <c r="A8" s="530"/>
      <c r="B8" s="538"/>
      <c r="C8" s="530"/>
    </row>
    <row r="9" spans="1:3" ht="15" x14ac:dyDescent="0.2">
      <c r="A9" s="530"/>
      <c r="B9" s="533"/>
      <c r="C9" s="530"/>
    </row>
    <row r="10" spans="1:3" ht="14.25" x14ac:dyDescent="0.2">
      <c r="A10" s="530"/>
      <c r="B10" s="538" t="s">
        <v>612</v>
      </c>
      <c r="C10" s="530"/>
    </row>
    <row r="11" spans="1:3" ht="14.25" x14ac:dyDescent="0.2">
      <c r="A11" s="530"/>
      <c r="B11" s="538"/>
      <c r="C11" s="530"/>
    </row>
    <row r="12" spans="1:3" ht="15" x14ac:dyDescent="0.2">
      <c r="A12" s="530"/>
      <c r="B12" s="533"/>
      <c r="C12" s="530"/>
    </row>
    <row r="13" spans="1:3" ht="14.25" customHeight="1" x14ac:dyDescent="0.2">
      <c r="A13" s="530"/>
      <c r="B13" s="539" t="s">
        <v>613</v>
      </c>
      <c r="C13" s="530"/>
    </row>
    <row r="14" spans="1:3" ht="14.25" x14ac:dyDescent="0.2">
      <c r="A14" s="530"/>
      <c r="B14" s="538"/>
      <c r="C14" s="530"/>
    </row>
    <row r="15" spans="1:3" ht="14.25" x14ac:dyDescent="0.2">
      <c r="A15" s="530"/>
      <c r="B15" s="538"/>
      <c r="C15" s="530"/>
    </row>
    <row r="16" spans="1:3" ht="15" x14ac:dyDescent="0.2">
      <c r="A16" s="530"/>
      <c r="B16" s="536"/>
      <c r="C16" s="530"/>
    </row>
    <row r="17" spans="1:3" ht="14.25" x14ac:dyDescent="0.2">
      <c r="A17" s="530"/>
      <c r="B17" s="538" t="s">
        <v>614</v>
      </c>
      <c r="C17" s="530"/>
    </row>
    <row r="18" spans="1:3" ht="14.25" x14ac:dyDescent="0.2">
      <c r="A18" s="530"/>
      <c r="B18" s="538"/>
      <c r="C18" s="530"/>
    </row>
    <row r="19" spans="1:3" ht="15" x14ac:dyDescent="0.2">
      <c r="A19" s="530"/>
      <c r="B19" s="536"/>
      <c r="C19" s="530"/>
    </row>
    <row r="20" spans="1:3" ht="15" x14ac:dyDescent="0.2">
      <c r="A20" s="530"/>
      <c r="B20" s="537" t="s">
        <v>615</v>
      </c>
      <c r="C20" s="530"/>
    </row>
    <row r="21" spans="1:3" ht="15" x14ac:dyDescent="0.2">
      <c r="A21" s="530"/>
      <c r="B21" s="536"/>
      <c r="C21" s="530"/>
    </row>
    <row r="22" spans="1:3" ht="15" x14ac:dyDescent="0.2">
      <c r="A22" s="530"/>
      <c r="B22" s="536"/>
      <c r="C22" s="530"/>
    </row>
    <row r="23" spans="1:3" ht="15" x14ac:dyDescent="0.2">
      <c r="A23" s="530"/>
      <c r="B23" s="536"/>
      <c r="C23" s="530"/>
    </row>
    <row r="24" spans="1:3" ht="14.25" x14ac:dyDescent="0.2">
      <c r="A24" s="530"/>
      <c r="B24" s="535"/>
      <c r="C24" s="530"/>
    </row>
    <row r="25" spans="1:3" ht="200.1" customHeight="1" x14ac:dyDescent="0.2">
      <c r="A25" s="530"/>
      <c r="B25" s="535"/>
      <c r="C25" s="530"/>
    </row>
  </sheetData>
  <mergeCells count="4">
    <mergeCell ref="B7:B8"/>
    <mergeCell ref="B10:B11"/>
    <mergeCell ref="B13:B15"/>
    <mergeCell ref="B17:B18"/>
  </mergeCells>
  <hyperlinks>
    <hyperlink ref="B20" r:id="rId1"/>
  </hyperlinks>
  <pageMargins left="0.75" right="0.75" top="1" bottom="1" header="0.5" footer="0.5"/>
  <pageSetup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N55"/>
  <sheetViews>
    <sheetView showGridLines="0" showZeros="0" workbookViewId="0"/>
  </sheetViews>
  <sheetFormatPr defaultColWidth="14.83203125" defaultRowHeight="12" x14ac:dyDescent="0.2"/>
  <cols>
    <col min="1" max="1" width="46.16406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hidden="1" customWidth="1"/>
    <col min="14" max="14" width="0" style="1" hidden="1" customWidth="1"/>
    <col min="15" max="16384" width="14.83203125" style="1"/>
  </cols>
  <sheetData>
    <row r="2" spans="1:14" x14ac:dyDescent="0.2">
      <c r="A2" s="52"/>
      <c r="B2" s="52"/>
      <c r="C2" s="100" t="str">
        <f>OPYEAR</f>
        <v>OPERATING FUND 2020/2021 BUDGET</v>
      </c>
      <c r="D2" s="100"/>
      <c r="E2" s="100"/>
      <c r="F2" s="101"/>
      <c r="G2" s="101"/>
      <c r="H2" s="101"/>
      <c r="I2" s="101"/>
      <c r="J2" s="102"/>
      <c r="K2" s="103" t="s">
        <v>69</v>
      </c>
    </row>
    <row r="3" spans="1:14" ht="9.9499999999999993" customHeight="1" x14ac:dyDescent="0.2">
      <c r="J3" s="90"/>
      <c r="K3" s="90"/>
    </row>
    <row r="4" spans="1:14" ht="15.75" x14ac:dyDescent="0.25">
      <c r="B4" s="257" t="str">
        <f>+'- 12 -'!B4</f>
        <v>EXPENSE BY 2ND LEVEL OBJECT</v>
      </c>
      <c r="C4" s="90"/>
      <c r="D4" s="90"/>
      <c r="E4" s="90"/>
      <c r="F4" s="90"/>
      <c r="G4" s="90"/>
      <c r="H4" s="90"/>
      <c r="I4" s="90"/>
      <c r="J4" s="90"/>
      <c r="K4" s="90"/>
    </row>
    <row r="5" spans="1:14" ht="15.75" x14ac:dyDescent="0.25">
      <c r="B5" s="257" t="str">
        <f>+'- 12 -'!B5</f>
        <v>AS A PERCENTAGE OF TOTAL OPERATING FUND EXPENSES</v>
      </c>
      <c r="C5" s="90"/>
      <c r="D5" s="90"/>
      <c r="E5" s="90"/>
      <c r="F5" s="90"/>
      <c r="G5" s="90"/>
      <c r="H5" s="90"/>
      <c r="I5" s="90"/>
      <c r="J5" s="90"/>
      <c r="K5" s="90"/>
    </row>
    <row r="6" spans="1:14" ht="9.9499999999999993" customHeight="1" x14ac:dyDescent="0.2"/>
    <row r="7" spans="1:14" x14ac:dyDescent="0.2">
      <c r="B7" s="105" t="s">
        <v>70</v>
      </c>
      <c r="C7" s="101"/>
      <c r="D7" s="101"/>
      <c r="E7" s="101"/>
      <c r="F7" s="101"/>
      <c r="G7" s="101"/>
      <c r="H7" s="101"/>
      <c r="I7" s="106"/>
    </row>
    <row r="8" spans="1:14" ht="6" customHeight="1" x14ac:dyDescent="0.2">
      <c r="B8" s="104"/>
    </row>
    <row r="9" spans="1:14" x14ac:dyDescent="0.2">
      <c r="A9" s="4"/>
      <c r="B9" s="626" t="s">
        <v>395</v>
      </c>
      <c r="C9" s="623"/>
      <c r="D9" s="626" t="s">
        <v>67</v>
      </c>
      <c r="E9" s="623"/>
      <c r="F9" s="626" t="s">
        <v>68</v>
      </c>
      <c r="G9" s="623"/>
      <c r="H9" s="628" t="s">
        <v>24</v>
      </c>
      <c r="I9" s="615"/>
      <c r="J9" s="628" t="s">
        <v>25</v>
      </c>
      <c r="K9" s="615"/>
    </row>
    <row r="10" spans="1:14" x14ac:dyDescent="0.2">
      <c r="A10" s="4"/>
      <c r="B10" s="624"/>
      <c r="C10" s="625"/>
      <c r="D10" s="624"/>
      <c r="E10" s="625"/>
      <c r="F10" s="624"/>
      <c r="G10" s="625"/>
      <c r="H10" s="629"/>
      <c r="I10" s="617"/>
      <c r="J10" s="629"/>
      <c r="K10" s="617"/>
    </row>
    <row r="11" spans="1:14" x14ac:dyDescent="0.2">
      <c r="A11" s="107" t="s">
        <v>63</v>
      </c>
      <c r="B11" s="108" t="s">
        <v>38</v>
      </c>
      <c r="C11" s="108" t="s">
        <v>39</v>
      </c>
      <c r="D11" s="108" t="s">
        <v>38</v>
      </c>
      <c r="E11" s="108" t="s">
        <v>39</v>
      </c>
      <c r="F11" s="108" t="s">
        <v>38</v>
      </c>
      <c r="G11" s="108" t="s">
        <v>39</v>
      </c>
      <c r="H11" s="108" t="s">
        <v>38</v>
      </c>
      <c r="I11" s="109" t="s">
        <v>39</v>
      </c>
      <c r="J11" s="108" t="s">
        <v>38</v>
      </c>
      <c r="K11" s="109" t="s">
        <v>39</v>
      </c>
    </row>
    <row r="12" spans="1:14" ht="5.0999999999999996" customHeight="1" x14ac:dyDescent="0.2"/>
    <row r="13" spans="1:14" x14ac:dyDescent="0.2">
      <c r="A13" s="281" t="s">
        <v>64</v>
      </c>
      <c r="B13" s="111"/>
      <c r="C13" s="262"/>
      <c r="D13" s="111"/>
      <c r="E13" s="262"/>
      <c r="F13" s="111"/>
      <c r="G13" s="262"/>
      <c r="H13" s="111"/>
      <c r="I13" s="262"/>
      <c r="J13" s="111"/>
      <c r="K13" s="262"/>
      <c r="M13" s="1" t="s">
        <v>64</v>
      </c>
      <c r="N13" s="450">
        <f>K22</f>
        <v>76.755264577518503</v>
      </c>
    </row>
    <row r="14" spans="1:14" x14ac:dyDescent="0.2">
      <c r="A14" s="112" t="s">
        <v>192</v>
      </c>
      <c r="B14" s="113"/>
      <c r="C14" s="259"/>
      <c r="D14" s="113"/>
      <c r="E14" s="259"/>
      <c r="F14" s="113"/>
      <c r="G14" s="259"/>
      <c r="H14" s="113"/>
      <c r="I14" s="259"/>
      <c r="J14" s="113">
        <f>SUM(F14,D14,B14,'- 12 -'!J14,'- 12 -'!H14,'- 12 -'!F14,'- 12 -'!D14,'- 12 -'!B14)</f>
        <v>4209406</v>
      </c>
      <c r="K14" s="259">
        <f t="shared" ref="K14:K23" si="0">J14/$J$54*100</f>
        <v>0.16968127976313699</v>
      </c>
      <c r="M14" s="1" t="s">
        <v>82</v>
      </c>
      <c r="N14" s="450">
        <f>K23</f>
        <v>6.4707704982777958</v>
      </c>
    </row>
    <row r="15" spans="1:14" x14ac:dyDescent="0.2">
      <c r="A15" s="112" t="s">
        <v>193</v>
      </c>
      <c r="B15" s="113">
        <v>4754657</v>
      </c>
      <c r="C15" s="259">
        <f>B15/$J$54*100</f>
        <v>0.1916603636225058</v>
      </c>
      <c r="D15" s="113">
        <v>3180216</v>
      </c>
      <c r="E15" s="259">
        <f>D15/$J$54*100</f>
        <v>0.12819460056910748</v>
      </c>
      <c r="F15" s="113">
        <v>5419070</v>
      </c>
      <c r="G15" s="259">
        <f>F15/$J$54*100</f>
        <v>0.21844287120938743</v>
      </c>
      <c r="H15" s="113"/>
      <c r="I15" s="259"/>
      <c r="J15" s="113">
        <f>SUM(F15,D15,B15,'- 12 -'!J15,'- 12 -'!H15,'- 12 -'!F15,'- 12 -'!D15,'- 12 -'!B15)</f>
        <v>141919458</v>
      </c>
      <c r="K15" s="259">
        <f t="shared" si="0"/>
        <v>5.720777529354681</v>
      </c>
      <c r="M15" s="1" t="s">
        <v>58</v>
      </c>
      <c r="N15" s="450">
        <f>K40</f>
        <v>9.0318155735210812</v>
      </c>
    </row>
    <row r="16" spans="1:14" x14ac:dyDescent="0.2">
      <c r="A16" s="112" t="s">
        <v>194</v>
      </c>
      <c r="B16" s="113">
        <v>26866864</v>
      </c>
      <c r="C16" s="259">
        <f>B16/$J$54*100</f>
        <v>1.0830040786614914</v>
      </c>
      <c r="D16" s="113"/>
      <c r="E16" s="259">
        <f>D16/$J$54*100</f>
        <v>0</v>
      </c>
      <c r="F16" s="113"/>
      <c r="G16" s="259">
        <f>F16/$J$54*100</f>
        <v>0</v>
      </c>
      <c r="H16" s="113"/>
      <c r="I16" s="259"/>
      <c r="J16" s="113">
        <f>SUM(F16,D16,B16,'- 12 -'!J16,'- 12 -'!H16,'- 12 -'!F16,'- 12 -'!D16,'- 12 -'!B16)</f>
        <v>1217180118</v>
      </c>
      <c r="K16" s="259">
        <f t="shared" si="0"/>
        <v>49.064566384066083</v>
      </c>
      <c r="M16" s="1" t="s">
        <v>83</v>
      </c>
      <c r="N16" s="450">
        <f>K46</f>
        <v>6.0036241376923849</v>
      </c>
    </row>
    <row r="17" spans="1:14" x14ac:dyDescent="0.2">
      <c r="A17" s="112" t="s">
        <v>195</v>
      </c>
      <c r="B17" s="113">
        <v>15457117</v>
      </c>
      <c r="C17" s="259">
        <f>B17/$J$54*100</f>
        <v>0.62307684124756324</v>
      </c>
      <c r="D17" s="113">
        <v>476252</v>
      </c>
      <c r="E17" s="259">
        <f>D17/$J$54*100</f>
        <v>1.9197732138395183E-2</v>
      </c>
      <c r="F17" s="113"/>
      <c r="G17" s="259">
        <f>F17/$J$54*100</f>
        <v>0</v>
      </c>
      <c r="H17" s="113"/>
      <c r="I17" s="259"/>
      <c r="J17" s="113">
        <f>SUM(F17,D17,B17,'- 12 -'!J17,'- 12 -'!H17,'- 12 -'!F17,'- 12 -'!D17,'- 12 -'!B17)</f>
        <v>225655199</v>
      </c>
      <c r="K17" s="259">
        <f t="shared" si="0"/>
        <v>9.0961677138117238</v>
      </c>
      <c r="M17" s="1" t="s">
        <v>32</v>
      </c>
      <c r="N17" s="450">
        <f>K49</f>
        <v>0.12340048845839408</v>
      </c>
    </row>
    <row r="18" spans="1:14" x14ac:dyDescent="0.2">
      <c r="A18" s="112" t="s">
        <v>196</v>
      </c>
      <c r="B18" s="113">
        <v>5465142</v>
      </c>
      <c r="C18" s="259">
        <f>B18/$J$54*100</f>
        <v>0.22030003488550878</v>
      </c>
      <c r="D18" s="113">
        <v>43919698</v>
      </c>
      <c r="E18" s="259">
        <f>D18/$J$54*100</f>
        <v>1.7704043191487082</v>
      </c>
      <c r="F18" s="113">
        <v>117169109</v>
      </c>
      <c r="G18" s="259">
        <f>F18/$J$54*100</f>
        <v>4.7230902326424422</v>
      </c>
      <c r="H18" s="113"/>
      <c r="I18" s="259"/>
      <c r="J18" s="113">
        <f>SUM(F18,D18,B18,'- 12 -'!J18,'- 12 -'!H18,'- 12 -'!F18,'- 12 -'!D18,'- 12 -'!B18)</f>
        <v>184882754</v>
      </c>
      <c r="K18" s="259">
        <f t="shared" si="0"/>
        <v>7.4526292557318614</v>
      </c>
      <c r="M18" s="1" t="s">
        <v>42</v>
      </c>
      <c r="N18" s="450">
        <f>K52-N17</f>
        <v>1.6151247245318401</v>
      </c>
    </row>
    <row r="19" spans="1:14" x14ac:dyDescent="0.2">
      <c r="A19" s="114" t="s">
        <v>197</v>
      </c>
      <c r="B19" s="115">
        <v>2586774</v>
      </c>
      <c r="C19" s="260">
        <f>B19/$J$54*100</f>
        <v>0.10427293608124492</v>
      </c>
      <c r="D19" s="115">
        <v>1972998</v>
      </c>
      <c r="E19" s="260">
        <f>D19/$J$54*100</f>
        <v>7.9531607454854603E-2</v>
      </c>
      <c r="F19" s="115">
        <v>1995569</v>
      </c>
      <c r="G19" s="260">
        <f>F19/$J$54*100</f>
        <v>8.0441445129228087E-2</v>
      </c>
      <c r="H19" s="115"/>
      <c r="I19" s="260"/>
      <c r="J19" s="115">
        <f>SUM(F19,D19,B19,'- 12 -'!J19,'- 12 -'!H19,'- 12 -'!F19,'- 12 -'!D19,'- 12 -'!B19)</f>
        <v>69117030</v>
      </c>
      <c r="K19" s="260">
        <f t="shared" si="0"/>
        <v>2.7861095137478142</v>
      </c>
      <c r="N19" s="450"/>
    </row>
    <row r="20" spans="1:14" x14ac:dyDescent="0.2">
      <c r="A20" s="114" t="s">
        <v>198</v>
      </c>
      <c r="B20" s="116"/>
      <c r="C20" s="260"/>
      <c r="D20" s="116"/>
      <c r="E20" s="260"/>
      <c r="F20" s="116"/>
      <c r="G20" s="260"/>
      <c r="H20" s="116"/>
      <c r="I20" s="260"/>
      <c r="J20" s="116">
        <f>SUM(F20,D20,B20,'- 12 -'!J20,'- 12 -'!H20,'- 12 -'!F20,'- 12 -'!D20,'- 12 -'!B20)</f>
        <v>45253769</v>
      </c>
      <c r="K20" s="260">
        <f t="shared" si="0"/>
        <v>1.8241807604268572</v>
      </c>
      <c r="N20" s="450">
        <f>SUM(N13:N18)</f>
        <v>100.00000000000001</v>
      </c>
    </row>
    <row r="21" spans="1:14" x14ac:dyDescent="0.2">
      <c r="A21" s="117" t="s">
        <v>199</v>
      </c>
      <c r="B21" s="118">
        <v>278692</v>
      </c>
      <c r="C21" s="261">
        <f>B21/'- 13 -'!$J$54*100</f>
        <v>1.123408272325078E-2</v>
      </c>
      <c r="D21" s="118">
        <v>0</v>
      </c>
      <c r="E21" s="261">
        <f>D21/'- 13 -'!$J$54*100</f>
        <v>0</v>
      </c>
      <c r="F21" s="118">
        <v>0</v>
      </c>
      <c r="G21" s="261">
        <f>F21/'- 13 -'!$J$54*100</f>
        <v>0</v>
      </c>
      <c r="H21" s="118"/>
      <c r="I21" s="261"/>
      <c r="J21" s="118">
        <f>SUM(F21,D21,B21,'- 12 -'!J21,'- 12 -'!H21,'- 12 -'!F21,'- 12 -'!D21,'- 12 -'!B21)</f>
        <v>15905524</v>
      </c>
      <c r="K21" s="261">
        <f t="shared" si="0"/>
        <v>0.64115214061634573</v>
      </c>
      <c r="N21" s="450"/>
    </row>
    <row r="22" spans="1:14" x14ac:dyDescent="0.2">
      <c r="A22" s="119" t="s">
        <v>200</v>
      </c>
      <c r="B22" s="125">
        <f>SUM(B14:B21)</f>
        <v>55409246</v>
      </c>
      <c r="C22" s="263">
        <f>B22/$J$54*100</f>
        <v>2.2335483372215652</v>
      </c>
      <c r="D22" s="125">
        <f>SUM(D14:D21)</f>
        <v>49549164</v>
      </c>
      <c r="E22" s="263">
        <f>D22/$J$54*100</f>
        <v>1.9973282593110657</v>
      </c>
      <c r="F22" s="125">
        <f>SUM(F14:F21)</f>
        <v>124583748</v>
      </c>
      <c r="G22" s="263">
        <f>F22/$J$54*100</f>
        <v>5.0219745489810581</v>
      </c>
      <c r="H22" s="125"/>
      <c r="I22" s="263"/>
      <c r="J22" s="125">
        <f>SUM(F22,D22,B22,'- 12 -'!J22,'- 12 -'!H22,'- 12 -'!F22,'- 12 -'!D22,'- 12 -'!B22)</f>
        <v>1904123258</v>
      </c>
      <c r="K22" s="263">
        <f t="shared" si="0"/>
        <v>76.755264577518503</v>
      </c>
      <c r="N22" s="450"/>
    </row>
    <row r="23" spans="1:14" x14ac:dyDescent="0.2">
      <c r="A23" s="281" t="s">
        <v>72</v>
      </c>
      <c r="B23" s="125">
        <v>5533567</v>
      </c>
      <c r="C23" s="263">
        <f>B23/$J$54*100</f>
        <v>0.22305824864958679</v>
      </c>
      <c r="D23" s="125">
        <v>7996719</v>
      </c>
      <c r="E23" s="263">
        <f>D23/$J$54*100</f>
        <v>0.32234797827203954</v>
      </c>
      <c r="F23" s="125">
        <v>21512493</v>
      </c>
      <c r="G23" s="263">
        <f>F23/$J$54*100</f>
        <v>0.8671692260465077</v>
      </c>
      <c r="H23" s="125"/>
      <c r="I23" s="263"/>
      <c r="J23" s="125">
        <f>SUM(F23,D23,B23,'- 12 -'!J23,'- 12 -'!H23,'- 12 -'!F23,'- 12 -'!D23,'- 12 -'!B23)</f>
        <v>160525075</v>
      </c>
      <c r="K23" s="263">
        <f t="shared" si="0"/>
        <v>6.4707704982777958</v>
      </c>
      <c r="N23" s="451"/>
    </row>
    <row r="24" spans="1:14" x14ac:dyDescent="0.2">
      <c r="A24" s="281" t="s">
        <v>58</v>
      </c>
      <c r="B24" s="113"/>
      <c r="C24" s="259"/>
      <c r="D24" s="113"/>
      <c r="E24" s="259"/>
      <c r="F24" s="113"/>
      <c r="G24" s="259"/>
      <c r="H24" s="113"/>
      <c r="I24" s="259"/>
      <c r="J24" s="113"/>
      <c r="K24" s="259"/>
      <c r="M24" s="1" t="s">
        <v>21</v>
      </c>
      <c r="N24" s="450">
        <f>'- 12 -'!C51</f>
        <v>55.905405526172068</v>
      </c>
    </row>
    <row r="25" spans="1:14" x14ac:dyDescent="0.2">
      <c r="A25" s="114" t="s">
        <v>201</v>
      </c>
      <c r="B25" s="115">
        <v>2240778</v>
      </c>
      <c r="C25" s="260">
        <f t="shared" ref="C25:C35" si="1">B25/$J$54*100</f>
        <v>9.0325827136912562E-2</v>
      </c>
      <c r="D25" s="115">
        <v>421490</v>
      </c>
      <c r="E25" s="260">
        <f t="shared" ref="E25:E35" si="2">D25/$J$54*100</f>
        <v>1.6990274306485191E-2</v>
      </c>
      <c r="F25" s="115">
        <v>6220580</v>
      </c>
      <c r="G25" s="260">
        <f t="shared" ref="G25:G35" si="3">F25/$J$54*100</f>
        <v>0.25075176290169554</v>
      </c>
      <c r="H25" s="115"/>
      <c r="I25" s="260"/>
      <c r="J25" s="115">
        <f>SUM(F25,D25,B25,'- 12 -'!J25,'- 12 -'!H25,'- 12 -'!F25,'- 12 -'!D25,'- 12 -'!B25)</f>
        <v>27686618</v>
      </c>
      <c r="K25" s="260">
        <f t="shared" ref="K25:K40" si="4">J25/$J$54*100</f>
        <v>1.1160483865308084</v>
      </c>
      <c r="L25" s="621" t="s">
        <v>102</v>
      </c>
      <c r="M25" s="1" t="s">
        <v>245</v>
      </c>
      <c r="N25" s="450">
        <f>'- 12 -'!E51</f>
        <v>18.597152848605578</v>
      </c>
    </row>
    <row r="26" spans="1:14" x14ac:dyDescent="0.2">
      <c r="A26" s="114" t="s">
        <v>202</v>
      </c>
      <c r="B26" s="115">
        <v>116155</v>
      </c>
      <c r="C26" s="260">
        <f t="shared" si="1"/>
        <v>4.6822114690023191E-3</v>
      </c>
      <c r="D26" s="115">
        <v>410740</v>
      </c>
      <c r="E26" s="260">
        <f t="shared" si="2"/>
        <v>1.6556941490060803E-2</v>
      </c>
      <c r="F26" s="115">
        <v>704097</v>
      </c>
      <c r="G26" s="260">
        <f t="shared" si="3"/>
        <v>2.8382170794973322E-2</v>
      </c>
      <c r="H26" s="115"/>
      <c r="I26" s="260"/>
      <c r="J26" s="115">
        <f>SUM(F26,D26,B26,'- 12 -'!J26,'- 12 -'!H26,'- 12 -'!F26,'- 12 -'!D26,'- 12 -'!B26)</f>
        <v>6676080</v>
      </c>
      <c r="K26" s="260">
        <f t="shared" si="4"/>
        <v>0.2691129813092592</v>
      </c>
      <c r="L26" s="627"/>
      <c r="M26" s="1" t="s">
        <v>101</v>
      </c>
      <c r="N26" s="450">
        <f>'- 12 -'!G51</f>
        <v>0.38836343130724954</v>
      </c>
    </row>
    <row r="27" spans="1:14" x14ac:dyDescent="0.2">
      <c r="A27" s="114" t="s">
        <v>203</v>
      </c>
      <c r="B27" s="115"/>
      <c r="C27" s="260">
        <f t="shared" si="1"/>
        <v>0</v>
      </c>
      <c r="D27" s="115"/>
      <c r="E27" s="260">
        <f t="shared" si="2"/>
        <v>0</v>
      </c>
      <c r="F27" s="115">
        <v>48850853</v>
      </c>
      <c r="G27" s="260">
        <f t="shared" si="3"/>
        <v>1.969179322346402</v>
      </c>
      <c r="H27" s="115"/>
      <c r="I27" s="260"/>
      <c r="J27" s="115">
        <f>SUM(F27,D27,B27,'- 12 -'!J27,'- 12 -'!H27,'- 12 -'!F27,'- 12 -'!D27,'- 12 -'!B27)</f>
        <v>48912924</v>
      </c>
      <c r="K27" s="260">
        <f t="shared" si="4"/>
        <v>1.9716814061834513</v>
      </c>
      <c r="L27" s="627"/>
      <c r="M27" s="1" t="s">
        <v>22</v>
      </c>
      <c r="N27" s="450">
        <f>'- 12 -'!I51</f>
        <v>0.93900871244449091</v>
      </c>
    </row>
    <row r="28" spans="1:14" ht="12.75" customHeight="1" x14ac:dyDescent="0.2">
      <c r="A28" s="114" t="s">
        <v>242</v>
      </c>
      <c r="B28" s="115">
        <v>1050377</v>
      </c>
      <c r="C28" s="260">
        <f t="shared" si="1"/>
        <v>4.2340727787665178E-2</v>
      </c>
      <c r="D28" s="115">
        <v>1886763</v>
      </c>
      <c r="E28" s="260">
        <f t="shared" si="2"/>
        <v>7.6055472066542312E-2</v>
      </c>
      <c r="F28" s="115">
        <v>867785</v>
      </c>
      <c r="G28" s="260">
        <f t="shared" si="3"/>
        <v>3.4980438893101269E-2</v>
      </c>
      <c r="H28" s="115"/>
      <c r="I28" s="260"/>
      <c r="J28" s="115">
        <f>SUM(F28,D28,B28,'- 12 -'!J28,'- 12 -'!H28,'- 12 -'!F28,'- 12 -'!D28,'- 12 -'!B28)</f>
        <v>11649859</v>
      </c>
      <c r="K28" s="260">
        <f t="shared" si="4"/>
        <v>0.46960615920158311</v>
      </c>
      <c r="L28" s="627"/>
      <c r="M28" s="1" t="s">
        <v>86</v>
      </c>
      <c r="N28" s="450">
        <f>'- 12 -'!K51</f>
        <v>3.1623683672461675</v>
      </c>
    </row>
    <row r="29" spans="1:14" ht="12.75" customHeight="1" x14ac:dyDescent="0.2">
      <c r="A29" s="114" t="s">
        <v>204</v>
      </c>
      <c r="B29" s="115"/>
      <c r="C29" s="260">
        <f t="shared" si="1"/>
        <v>0</v>
      </c>
      <c r="D29" s="115">
        <v>21645630</v>
      </c>
      <c r="E29" s="260">
        <f t="shared" si="2"/>
        <v>0.87253598243537223</v>
      </c>
      <c r="F29" s="115"/>
      <c r="G29" s="260">
        <f t="shared" si="3"/>
        <v>0</v>
      </c>
      <c r="H29" s="115"/>
      <c r="I29" s="260"/>
      <c r="J29" s="115">
        <f>SUM(F29,D29,B29,'- 12 -'!J29,'- 12 -'!H29,'- 12 -'!F29,'- 12 -'!D29,'- 12 -'!B29)</f>
        <v>21645630</v>
      </c>
      <c r="K29" s="260">
        <f t="shared" si="4"/>
        <v>0.87253598243537223</v>
      </c>
      <c r="L29" s="627"/>
      <c r="M29" s="1" t="s">
        <v>85</v>
      </c>
      <c r="N29" s="450">
        <f>C54</f>
        <v>3.4116928729356641</v>
      </c>
    </row>
    <row r="30" spans="1:14" ht="12.75" customHeight="1" x14ac:dyDescent="0.2">
      <c r="A30" s="114" t="s">
        <v>205</v>
      </c>
      <c r="B30" s="115">
        <v>6800</v>
      </c>
      <c r="C30" s="260">
        <f t="shared" si="1"/>
        <v>2.7410820015682299E-4</v>
      </c>
      <c r="D30" s="115"/>
      <c r="E30" s="260">
        <f t="shared" si="2"/>
        <v>0</v>
      </c>
      <c r="F30" s="115"/>
      <c r="G30" s="260">
        <f t="shared" si="3"/>
        <v>0</v>
      </c>
      <c r="H30" s="115"/>
      <c r="I30" s="260"/>
      <c r="J30" s="115">
        <f>SUM(F30,D30,B30,'- 12 -'!J30,'- 12 -'!H30,'- 12 -'!F30,'- 12 -'!D30,'- 12 -'!B30)</f>
        <v>2310160</v>
      </c>
      <c r="K30" s="260">
        <f t="shared" si="4"/>
        <v>9.3122617599159727E-2</v>
      </c>
      <c r="M30" s="1" t="s">
        <v>67</v>
      </c>
      <c r="N30" s="450">
        <f>E54</f>
        <v>4.410530335717767</v>
      </c>
    </row>
    <row r="31" spans="1:14" ht="12.75" customHeight="1" x14ac:dyDescent="0.2">
      <c r="A31" s="114" t="s">
        <v>206</v>
      </c>
      <c r="B31" s="115">
        <v>43545</v>
      </c>
      <c r="C31" s="260">
        <f t="shared" si="1"/>
        <v>1.7553002317395377E-3</v>
      </c>
      <c r="D31" s="115">
        <v>69400</v>
      </c>
      <c r="E31" s="260">
        <f t="shared" si="2"/>
        <v>2.7975160427769871E-3</v>
      </c>
      <c r="F31" s="115">
        <v>10100</v>
      </c>
      <c r="G31" s="260">
        <f t="shared" si="3"/>
        <v>4.0713129729175174E-4</v>
      </c>
      <c r="H31" s="115"/>
      <c r="I31" s="260"/>
      <c r="J31" s="115">
        <f>SUM(F31,D31,B31,'- 12 -'!J31,'- 12 -'!H31,'- 12 -'!F31,'- 12 -'!D31,'- 12 -'!B31)</f>
        <v>900996</v>
      </c>
      <c r="K31" s="260">
        <f t="shared" si="4"/>
        <v>3.6319175280661302E-2</v>
      </c>
      <c r="M31" s="1" t="s">
        <v>84</v>
      </c>
      <c r="N31" s="450">
        <f>G54</f>
        <v>11.446952692580773</v>
      </c>
    </row>
    <row r="32" spans="1:14" ht="12.75" customHeight="1" x14ac:dyDescent="0.2">
      <c r="A32" s="114" t="s">
        <v>207</v>
      </c>
      <c r="B32" s="115">
        <v>144872</v>
      </c>
      <c r="C32" s="260">
        <f t="shared" si="1"/>
        <v>5.839794584282243E-3</v>
      </c>
      <c r="D32" s="115">
        <v>1337663</v>
      </c>
      <c r="E32" s="260">
        <f t="shared" si="2"/>
        <v>5.3921234903878859E-2</v>
      </c>
      <c r="F32" s="115">
        <v>10221829</v>
      </c>
      <c r="G32" s="260">
        <f t="shared" si="3"/>
        <v>0.41204222786776723</v>
      </c>
      <c r="H32" s="115"/>
      <c r="I32" s="260"/>
      <c r="J32" s="115">
        <f>SUM(F32,D32,B32,'- 12 -'!J32,'- 12 -'!H32,'- 12 -'!F32,'- 12 -'!D32,'- 12 -'!B32)</f>
        <v>13681351</v>
      </c>
      <c r="K32" s="260">
        <f t="shared" si="4"/>
        <v>0.55149566151819851</v>
      </c>
      <c r="M32" s="1" t="s">
        <v>24</v>
      </c>
      <c r="N32" s="450">
        <f>I54</f>
        <v>1.7385252129902342</v>
      </c>
    </row>
    <row r="33" spans="1:14" x14ac:dyDescent="0.2">
      <c r="A33" s="114" t="s">
        <v>208</v>
      </c>
      <c r="B33" s="115">
        <v>49640</v>
      </c>
      <c r="C33" s="260">
        <f t="shared" si="1"/>
        <v>2.0009898611448073E-3</v>
      </c>
      <c r="D33" s="115">
        <v>3376225</v>
      </c>
      <c r="E33" s="260">
        <f t="shared" si="2"/>
        <v>0.13609572912859846</v>
      </c>
      <c r="F33" s="115">
        <v>32594041</v>
      </c>
      <c r="G33" s="260">
        <f t="shared" si="3"/>
        <v>1.313866752109955</v>
      </c>
      <c r="H33" s="115"/>
      <c r="I33" s="260"/>
      <c r="J33" s="115">
        <f>SUM(F33,D33,B33,'- 12 -'!J33,'- 12 -'!H33,'- 12 -'!F33,'- 12 -'!D33,'- 12 -'!B33)</f>
        <v>39095808</v>
      </c>
      <c r="K33" s="260">
        <f t="shared" si="4"/>
        <v>1.5759531712583412</v>
      </c>
      <c r="N33" s="450"/>
    </row>
    <row r="34" spans="1:14" x14ac:dyDescent="0.2">
      <c r="A34" s="114" t="s">
        <v>209</v>
      </c>
      <c r="B34" s="115">
        <v>208257</v>
      </c>
      <c r="C34" s="260">
        <f t="shared" si="1"/>
        <v>8.3948458000087465E-3</v>
      </c>
      <c r="D34" s="115">
        <v>1111761</v>
      </c>
      <c r="E34" s="260">
        <f t="shared" si="2"/>
        <v>4.4815118634492591E-2</v>
      </c>
      <c r="F34" s="115">
        <v>3866866</v>
      </c>
      <c r="G34" s="260">
        <f t="shared" si="3"/>
        <v>0.15587348228053136</v>
      </c>
      <c r="H34" s="115"/>
      <c r="I34" s="260"/>
      <c r="J34" s="115">
        <f>SUM(F34,D34,B34,'- 12 -'!J34,'- 12 -'!H34,'- 12 -'!F34,'- 12 -'!D34,'- 12 -'!B34)</f>
        <v>9873641</v>
      </c>
      <c r="K34" s="260">
        <f t="shared" si="4"/>
        <v>0.39800675933891377</v>
      </c>
      <c r="N34" s="450">
        <f>SUM(N24:N32)</f>
        <v>100.00000000000001</v>
      </c>
    </row>
    <row r="35" spans="1:14" x14ac:dyDescent="0.2">
      <c r="A35" s="362" t="s">
        <v>248</v>
      </c>
      <c r="B35" s="115"/>
      <c r="C35" s="260">
        <f t="shared" si="1"/>
        <v>0</v>
      </c>
      <c r="D35" s="115"/>
      <c r="E35" s="260">
        <f t="shared" si="2"/>
        <v>0</v>
      </c>
      <c r="F35" s="115">
        <v>5795436</v>
      </c>
      <c r="G35" s="260">
        <f t="shared" si="3"/>
        <v>0.23361419574765549</v>
      </c>
      <c r="H35" s="115"/>
      <c r="I35" s="260"/>
      <c r="J35" s="115">
        <f>SUM(F35,D35,B35,'- 12 -'!J35,'- 12 -'!H35,'- 12 -'!F35,'- 12 -'!D35,'- 12 -'!B35)</f>
        <v>5814239</v>
      </c>
      <c r="K35" s="260">
        <f t="shared" si="4"/>
        <v>0.23437214523111854</v>
      </c>
    </row>
    <row r="36" spans="1:14" x14ac:dyDescent="0.2">
      <c r="A36" s="114" t="s">
        <v>210</v>
      </c>
      <c r="B36" s="115">
        <v>19202</v>
      </c>
      <c r="C36" s="260">
        <f>B36/J54</f>
        <v>7.7403318520754623E-6</v>
      </c>
      <c r="D36" s="115">
        <v>33900</v>
      </c>
      <c r="E36" s="260">
        <f>D36/J54</f>
        <v>1.366509997840632E-5</v>
      </c>
      <c r="F36" s="115">
        <v>119458</v>
      </c>
      <c r="G36" s="260">
        <f>F36/J54</f>
        <v>4.8153554962255524E-5</v>
      </c>
      <c r="H36" s="115"/>
      <c r="I36" s="260"/>
      <c r="J36" s="115">
        <f>SUM(F36,D36,B36,'- 12 -'!J36,'- 12 -'!H36,'- 12 -'!F36,'- 12 -'!D36,'- 12 -'!B36)</f>
        <v>1277234</v>
      </c>
      <c r="K36" s="260">
        <f t="shared" si="4"/>
        <v>5.1485340135161713E-2</v>
      </c>
    </row>
    <row r="37" spans="1:14" x14ac:dyDescent="0.2">
      <c r="A37" s="114" t="s">
        <v>211</v>
      </c>
      <c r="B37" s="115">
        <v>210118</v>
      </c>
      <c r="C37" s="260">
        <f>B37/$J$54*100</f>
        <v>8.4698627647869593E-3</v>
      </c>
      <c r="D37" s="115">
        <v>66543</v>
      </c>
      <c r="E37" s="260">
        <f>D37/$J$54*100</f>
        <v>2.6823502886816866E-3</v>
      </c>
      <c r="F37" s="115">
        <v>112726</v>
      </c>
      <c r="G37" s="260">
        <f>F37/$J$54*100</f>
        <v>4.5439883780702978E-3</v>
      </c>
      <c r="H37" s="115"/>
      <c r="I37" s="260"/>
      <c r="J37" s="115">
        <f>SUM(F37,D37,B37,'- 12 -'!J37,'- 12 -'!H37,'- 12 -'!F37,'- 12 -'!D37,'- 12 -'!B37)</f>
        <v>4473549</v>
      </c>
      <c r="K37" s="260">
        <f t="shared" si="4"/>
        <v>0.18032889186814044</v>
      </c>
    </row>
    <row r="38" spans="1:14" x14ac:dyDescent="0.2">
      <c r="A38" s="121" t="s">
        <v>212</v>
      </c>
      <c r="B38" s="115">
        <v>10842624</v>
      </c>
      <c r="C38" s="260">
        <f>B38/'- 13 -'!$J$54*100</f>
        <v>0.43706649259076064</v>
      </c>
      <c r="D38" s="115">
        <v>272400</v>
      </c>
      <c r="E38" s="260">
        <f>D38/'- 13 -'!$J$54*100</f>
        <v>1.0980452018046849E-2</v>
      </c>
      <c r="F38" s="115">
        <v>397036</v>
      </c>
      <c r="G38" s="260">
        <f>F38/'- 13 -'!$J$54*100</f>
        <v>1.6004532846685932E-2</v>
      </c>
      <c r="H38" s="115"/>
      <c r="I38" s="260"/>
      <c r="J38" s="115">
        <f>SUM(F38,D38,B38,'- 12 -'!J38,'- 12 -'!H38,'- 12 -'!F38,'- 12 -'!D38,'- 12 -'!B38)</f>
        <v>13719809</v>
      </c>
      <c r="K38" s="260">
        <f t="shared" si="4"/>
        <v>0.55304590463020309</v>
      </c>
    </row>
    <row r="39" spans="1:14" x14ac:dyDescent="0.2">
      <c r="A39" s="122" t="s">
        <v>213</v>
      </c>
      <c r="B39" s="118">
        <v>816731</v>
      </c>
      <c r="C39" s="261">
        <f>B39/$J$54*100</f>
        <v>3.2922450650335611E-2</v>
      </c>
      <c r="D39" s="118">
        <v>596470</v>
      </c>
      <c r="E39" s="261">
        <f>D39/$J$54*100</f>
        <v>2.4043723256991202E-2</v>
      </c>
      <c r="F39" s="118">
        <v>318001</v>
      </c>
      <c r="G39" s="261">
        <f>F39/$J$54*100</f>
        <v>1.2818629670304392E-2</v>
      </c>
      <c r="H39" s="118"/>
      <c r="I39" s="261"/>
      <c r="J39" s="118">
        <f>SUM(F39,D39,B39,'- 12 -'!J39,'- 12 -'!H39,'- 12 -'!F39,'- 12 -'!D39,'- 12 -'!B39)</f>
        <v>16340871</v>
      </c>
      <c r="K39" s="261">
        <f t="shared" si="4"/>
        <v>0.65870099100070933</v>
      </c>
    </row>
    <row r="40" spans="1:14" x14ac:dyDescent="0.2">
      <c r="A40" s="119" t="s">
        <v>214</v>
      </c>
      <c r="B40" s="125">
        <f>SUM(B25:B39)</f>
        <v>15749099</v>
      </c>
      <c r="C40" s="263">
        <f>B40/$J$54*100</f>
        <v>0.63484664426200299</v>
      </c>
      <c r="D40" s="125">
        <f>SUM(D25:D39)</f>
        <v>31228985</v>
      </c>
      <c r="E40" s="263">
        <f>D40/$J$54*100</f>
        <v>1.2588413045697677</v>
      </c>
      <c r="F40" s="125">
        <f>SUM(F25:F39)</f>
        <v>110078808</v>
      </c>
      <c r="G40" s="263">
        <f>F40/$J$54*100</f>
        <v>4.4372799906306586</v>
      </c>
      <c r="H40" s="125"/>
      <c r="I40" s="263"/>
      <c r="J40" s="125">
        <f>SUM(F40,D40,B40,'- 12 -'!J40,'- 12 -'!H40,'- 12 -'!F40,'- 12 -'!D40,'- 12 -'!B40)</f>
        <v>224058769</v>
      </c>
      <c r="K40" s="263">
        <f t="shared" si="4"/>
        <v>9.0318155735210812</v>
      </c>
    </row>
    <row r="41" spans="1:14" x14ac:dyDescent="0.2">
      <c r="A41" s="281" t="s">
        <v>215</v>
      </c>
      <c r="B41" s="123"/>
      <c r="C41" s="264"/>
      <c r="D41" s="123"/>
      <c r="E41" s="264"/>
      <c r="F41" s="123"/>
      <c r="G41" s="264"/>
      <c r="H41" s="123"/>
      <c r="I41" s="264"/>
      <c r="J41" s="123"/>
      <c r="K41" s="264"/>
    </row>
    <row r="42" spans="1:14" x14ac:dyDescent="0.2">
      <c r="A42" s="114" t="s">
        <v>216</v>
      </c>
      <c r="B42" s="115">
        <v>4430284</v>
      </c>
      <c r="C42" s="260">
        <f>B42/$J$54*100</f>
        <v>0.17858487844464266</v>
      </c>
      <c r="D42" s="115">
        <v>20047298</v>
      </c>
      <c r="E42" s="260">
        <f>D42/$J$54*100</f>
        <v>0.80810717246874653</v>
      </c>
      <c r="F42" s="115">
        <v>23480759</v>
      </c>
      <c r="G42" s="260">
        <f>F42/$J$54*100</f>
        <v>0.94651008644207668</v>
      </c>
      <c r="H42" s="115"/>
      <c r="I42" s="260"/>
      <c r="J42" s="115">
        <f>SUM(F42,D42,B42,'- 12 -'!J42,'- 12 -'!H42,'- 12 -'!F42,'- 12 -'!D42,'- 12 -'!B42)</f>
        <v>95070928</v>
      </c>
      <c r="K42" s="260">
        <f>J42/$J$54*100</f>
        <v>3.8323119060763093</v>
      </c>
    </row>
    <row r="43" spans="1:14" x14ac:dyDescent="0.2">
      <c r="A43" s="114" t="s">
        <v>217</v>
      </c>
      <c r="B43" s="115">
        <v>2849734</v>
      </c>
      <c r="C43" s="260">
        <f>B43/$J$54*100</f>
        <v>0.11487286142142701</v>
      </c>
      <c r="D43" s="115">
        <v>34520</v>
      </c>
      <c r="E43" s="260">
        <f>D43/$J$54*100</f>
        <v>1.3915022160902247E-3</v>
      </c>
      <c r="F43" s="115">
        <v>14400</v>
      </c>
      <c r="G43" s="260">
        <f>F43/$J$54*100</f>
        <v>5.8046442386150735E-4</v>
      </c>
      <c r="H43" s="115"/>
      <c r="I43" s="260"/>
      <c r="J43" s="115">
        <f>SUM(F43,D43,B43,'- 12 -'!J43,'- 12 -'!H43,'- 12 -'!F43,'- 12 -'!D43,'- 12 -'!B43)</f>
        <v>15449645</v>
      </c>
      <c r="K43" s="260">
        <f>J43/$J$54*100</f>
        <v>0.62277564470762636</v>
      </c>
    </row>
    <row r="44" spans="1:14" x14ac:dyDescent="0.2">
      <c r="A44" s="114" t="s">
        <v>218</v>
      </c>
      <c r="B44" s="115">
        <v>323219</v>
      </c>
      <c r="C44" s="260">
        <f>B44/$J$54*100</f>
        <v>1.3028967403895317E-2</v>
      </c>
      <c r="D44" s="115">
        <v>378724</v>
      </c>
      <c r="E44" s="260">
        <f>D44/$J$54*100</f>
        <v>1.5266375587675383E-2</v>
      </c>
      <c r="F44" s="115">
        <v>4014574</v>
      </c>
      <c r="G44" s="260">
        <f>F44/$J$54*100</f>
        <v>0.16182759610829078</v>
      </c>
      <c r="H44" s="115"/>
      <c r="I44" s="260"/>
      <c r="J44" s="115">
        <f>SUM(F44,D44,B44,'- 12 -'!J44,'- 12 -'!H44,'- 12 -'!F44,'- 12 -'!D44,'- 12 -'!B44)</f>
        <v>15242310</v>
      </c>
      <c r="K44" s="260">
        <f>J44/$J$54*100</f>
        <v>0.61441796475475652</v>
      </c>
    </row>
    <row r="45" spans="1:14" x14ac:dyDescent="0.2">
      <c r="A45" s="122" t="s">
        <v>219</v>
      </c>
      <c r="B45" s="118">
        <v>341179</v>
      </c>
      <c r="C45" s="261">
        <f>B45/$J$54*100</f>
        <v>1.3752935532544808E-2</v>
      </c>
      <c r="D45" s="118">
        <v>179800</v>
      </c>
      <c r="E45" s="261">
        <f>D45/$J$54*100</f>
        <v>7.2477432923818775E-3</v>
      </c>
      <c r="F45" s="118">
        <v>288037</v>
      </c>
      <c r="G45" s="261">
        <f>F45/$J$54*100</f>
        <v>1.1610779948319237E-2</v>
      </c>
      <c r="H45" s="118"/>
      <c r="I45" s="261"/>
      <c r="J45" s="118">
        <f>SUM(F45,D45,B45,'- 12 -'!J45,'- 12 -'!H45,'- 12 -'!F45,'- 12 -'!D45,'- 12 -'!B45)</f>
        <v>23173355</v>
      </c>
      <c r="K45" s="261">
        <f>J45/$J$54*100</f>
        <v>0.93411862215369323</v>
      </c>
    </row>
    <row r="46" spans="1:14" x14ac:dyDescent="0.2">
      <c r="A46" s="119" t="s">
        <v>220</v>
      </c>
      <c r="B46" s="125">
        <f>SUM(B42:B45)</f>
        <v>7944416</v>
      </c>
      <c r="C46" s="263">
        <f>B46/$J$54*100</f>
        <v>0.32023964280250983</v>
      </c>
      <c r="D46" s="125">
        <f>SUM(D42:D45)</f>
        <v>20640342</v>
      </c>
      <c r="E46" s="263">
        <f>D46/$J$54*100</f>
        <v>0.83201279356489399</v>
      </c>
      <c r="F46" s="125">
        <f>SUM(F42:F45)</f>
        <v>27797770</v>
      </c>
      <c r="G46" s="263">
        <f>F46/$J$54*100</f>
        <v>1.1205289269225482</v>
      </c>
      <c r="H46" s="125"/>
      <c r="I46" s="263"/>
      <c r="J46" s="125">
        <f>SUM(F46,D46,B46,'- 12 -'!J46,'- 12 -'!H46,'- 12 -'!F46,'- 12 -'!D46,'- 12 -'!B46)</f>
        <v>148936238</v>
      </c>
      <c r="K46" s="263">
        <f>J46/$J$54*100</f>
        <v>6.0036241376923849</v>
      </c>
    </row>
    <row r="47" spans="1:14" x14ac:dyDescent="0.2">
      <c r="A47" s="281" t="s">
        <v>42</v>
      </c>
      <c r="B47" s="123"/>
      <c r="C47" s="264"/>
      <c r="D47" s="123"/>
      <c r="E47" s="264"/>
      <c r="F47" s="123"/>
      <c r="G47" s="264"/>
      <c r="H47" s="123"/>
      <c r="I47" s="264"/>
      <c r="J47" s="123"/>
      <c r="K47" s="264"/>
    </row>
    <row r="48" spans="1:14" hidden="1" x14ac:dyDescent="0.2">
      <c r="A48" s="225" t="s">
        <v>297</v>
      </c>
      <c r="B48" s="354"/>
      <c r="C48" s="355"/>
      <c r="D48" s="354"/>
      <c r="E48" s="355"/>
      <c r="F48" s="115">
        <v>0</v>
      </c>
      <c r="G48" s="355"/>
      <c r="H48" s="354"/>
      <c r="I48" s="355"/>
      <c r="J48" s="354">
        <f>'- 12 -'!F48+'- 12 -'!J48+'- 13 -'!F48</f>
        <v>0</v>
      </c>
      <c r="K48" s="355"/>
    </row>
    <row r="49" spans="1:11" x14ac:dyDescent="0.2">
      <c r="A49" s="114" t="s">
        <v>221</v>
      </c>
      <c r="B49" s="120"/>
      <c r="C49" s="260"/>
      <c r="D49" s="120"/>
      <c r="E49" s="260"/>
      <c r="F49" s="120"/>
      <c r="G49" s="260"/>
      <c r="H49" s="115">
        <f>'- 10 -'!G24</f>
        <v>3061285</v>
      </c>
      <c r="I49" s="260">
        <f>H49/$J$54*100</f>
        <v>0.12340048845839408</v>
      </c>
      <c r="J49" s="115">
        <f>H49</f>
        <v>3061285</v>
      </c>
      <c r="K49" s="260">
        <f>J49/$J$54*100</f>
        <v>0.12340048845839408</v>
      </c>
    </row>
    <row r="50" spans="1:11" x14ac:dyDescent="0.2">
      <c r="A50" s="114" t="s">
        <v>256</v>
      </c>
      <c r="B50" s="120"/>
      <c r="C50" s="260"/>
      <c r="D50" s="120"/>
      <c r="E50" s="260"/>
      <c r="F50" s="120"/>
      <c r="G50" s="260"/>
      <c r="H50" s="115">
        <f>'- 10 -'!H24</f>
        <v>10500</v>
      </c>
      <c r="I50" s="260"/>
      <c r="J50" s="115">
        <f>H50</f>
        <v>10500</v>
      </c>
      <c r="K50" s="260"/>
    </row>
    <row r="51" spans="1:11" x14ac:dyDescent="0.2">
      <c r="A51" s="114" t="s">
        <v>222</v>
      </c>
      <c r="B51" s="120"/>
      <c r="C51" s="260"/>
      <c r="D51" s="120"/>
      <c r="E51" s="260"/>
      <c r="F51" s="120"/>
      <c r="G51" s="260"/>
      <c r="H51" s="118">
        <f>'- 10 -'!I24</f>
        <v>40057065</v>
      </c>
      <c r="I51" s="261">
        <f>H51/$J$54*100</f>
        <v>1.6147014692227746</v>
      </c>
      <c r="J51" s="118">
        <f>H51</f>
        <v>40057065</v>
      </c>
      <c r="K51" s="261">
        <f>J51/$J$54*100</f>
        <v>1.6147014692227746</v>
      </c>
    </row>
    <row r="52" spans="1:11" x14ac:dyDescent="0.2">
      <c r="A52" s="119" t="s">
        <v>223</v>
      </c>
      <c r="B52" s="119"/>
      <c r="C52" s="263"/>
      <c r="D52" s="119"/>
      <c r="E52" s="263"/>
      <c r="F52" s="125">
        <f>F48</f>
        <v>0</v>
      </c>
      <c r="G52" s="263"/>
      <c r="H52" s="125">
        <f>SUM(H49:H51)</f>
        <v>43128850</v>
      </c>
      <c r="I52" s="263">
        <f>H52/$J$54*100</f>
        <v>1.7385252129902342</v>
      </c>
      <c r="J52" s="125">
        <f>SUM(J48:J51)</f>
        <v>43128850</v>
      </c>
      <c r="K52" s="263">
        <f>J52/$J$54*100</f>
        <v>1.7385252129902342</v>
      </c>
    </row>
    <row r="53" spans="1:11" ht="5.0999999999999996" customHeight="1" x14ac:dyDescent="0.2">
      <c r="A53" s="19"/>
      <c r="B53" s="23"/>
      <c r="C53" s="265"/>
      <c r="D53" s="72"/>
      <c r="E53" s="265"/>
      <c r="F53" s="72"/>
      <c r="G53" s="265"/>
      <c r="H53" s="72"/>
      <c r="I53" s="265"/>
      <c r="J53" s="72"/>
      <c r="K53" s="265"/>
    </row>
    <row r="54" spans="1:11" x14ac:dyDescent="0.2">
      <c r="A54" s="282" t="s">
        <v>224</v>
      </c>
      <c r="B54" s="344">
        <f>SUM(B52,B46,B40,B23,B22)</f>
        <v>84636328</v>
      </c>
      <c r="C54" s="345">
        <f>B54/$J$54*100</f>
        <v>3.4116928729356641</v>
      </c>
      <c r="D54" s="344">
        <f>SUM(D52,D46,D40,D23,D22)</f>
        <v>109415210</v>
      </c>
      <c r="E54" s="345">
        <f>D54/$J$54*100</f>
        <v>4.410530335717767</v>
      </c>
      <c r="F54" s="344">
        <f>SUM(F52,F46,F40,F23,F22)</f>
        <v>283972819</v>
      </c>
      <c r="G54" s="345">
        <f>F54/$J$54*100</f>
        <v>11.446952692580773</v>
      </c>
      <c r="H54" s="344">
        <f>SUM(H52,H46,H40,H23,H22)</f>
        <v>43128850</v>
      </c>
      <c r="I54" s="345">
        <f>H54/$J$54*100</f>
        <v>1.7385252129902342</v>
      </c>
      <c r="J54" s="344">
        <f>SUM(J52,J46,J40,J23,J22)</f>
        <v>2480772190</v>
      </c>
      <c r="K54" s="345">
        <f>J54/$J$54*100</f>
        <v>100</v>
      </c>
    </row>
    <row r="55" spans="1:11" ht="20.100000000000001" customHeight="1" x14ac:dyDescent="0.2">
      <c r="A55" s="127"/>
    </row>
  </sheetData>
  <mergeCells count="6">
    <mergeCell ref="L25:L29"/>
    <mergeCell ref="B9:C10"/>
    <mergeCell ref="D9:E10"/>
    <mergeCell ref="F9:G10"/>
    <mergeCell ref="H9:I10"/>
    <mergeCell ref="J9:K10"/>
  </mergeCells>
  <phoneticPr fontId="0" type="noConversion"/>
  <printOptions verticalCentered="1"/>
  <pageMargins left="0.75" right="0" top="0.3" bottom="0.3" header="0" footer="0"/>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B59"/>
  <sheetViews>
    <sheetView showGridLines="0" showZeros="0" zoomScaleNormal="100" workbookViewId="0"/>
  </sheetViews>
  <sheetFormatPr defaultColWidth="15.83203125" defaultRowHeight="12" x14ac:dyDescent="0.2"/>
  <cols>
    <col min="1" max="1" width="31.6640625" style="1" customWidth="1"/>
    <col min="2" max="2" width="15" style="1" bestFit="1" customWidth="1"/>
    <col min="3" max="3" width="7" style="1" customWidth="1"/>
    <col min="4" max="4" width="9.33203125" style="1" customWidth="1"/>
    <col min="5" max="5" width="13.33203125" style="1" bestFit="1" customWidth="1"/>
    <col min="6" max="6" width="6.33203125" style="1" customWidth="1"/>
    <col min="7" max="7" width="9.5" style="1" customWidth="1"/>
    <col min="8" max="8" width="11.5" style="1" customWidth="1"/>
    <col min="9" max="9" width="8.83203125" style="1" customWidth="1"/>
    <col min="10" max="16384" width="15.83203125" style="1"/>
  </cols>
  <sheetData>
    <row r="1" spans="1:54" ht="6.95" customHeight="1" x14ac:dyDescent="0.2">
      <c r="A1" s="3"/>
      <c r="B1" s="4"/>
      <c r="C1" s="4"/>
      <c r="D1" s="4"/>
      <c r="E1" s="4"/>
      <c r="F1" s="4"/>
      <c r="G1" s="4"/>
      <c r="H1" s="4"/>
      <c r="I1" s="4"/>
    </row>
    <row r="2" spans="1:54" ht="15.95" customHeight="1" x14ac:dyDescent="0.2">
      <c r="A2" s="132"/>
      <c r="B2" s="5" t="str">
        <f>IF(Lang=1,BA2,BB2)</f>
        <v>ANALYSIS OF EXPENSE BY FUNCTION</v>
      </c>
      <c r="C2" s="6"/>
      <c r="D2" s="6"/>
      <c r="E2" s="6"/>
      <c r="F2" s="6"/>
      <c r="G2" s="6"/>
      <c r="H2" s="85"/>
      <c r="I2" s="150" t="s">
        <v>0</v>
      </c>
      <c r="BA2" s="456" t="s">
        <v>262</v>
      </c>
      <c r="BB2" s="456" t="s">
        <v>398</v>
      </c>
    </row>
    <row r="3" spans="1:54" ht="15.95" customHeight="1" x14ac:dyDescent="0.2">
      <c r="A3" s="135"/>
      <c r="B3" s="7" t="str">
        <f>OPYEAR</f>
        <v>OPERATING FUND 2020/2021 BUDGET</v>
      </c>
      <c r="C3" s="8"/>
      <c r="D3" s="8"/>
      <c r="E3" s="8"/>
      <c r="F3" s="8"/>
      <c r="G3" s="8"/>
      <c r="H3" s="87"/>
      <c r="I3" s="81"/>
    </row>
    <row r="4" spans="1:54" ht="15.95" customHeight="1" x14ac:dyDescent="0.2">
      <c r="B4" s="4"/>
      <c r="C4" s="4"/>
      <c r="D4" s="4"/>
      <c r="E4" s="4"/>
      <c r="F4" s="4"/>
      <c r="G4" s="4"/>
      <c r="H4" s="4"/>
      <c r="I4" s="4"/>
    </row>
    <row r="5" spans="1:54" ht="15.95" customHeight="1" x14ac:dyDescent="0.2">
      <c r="B5" s="4"/>
      <c r="C5" s="4"/>
      <c r="D5" s="4"/>
      <c r="E5" s="4"/>
      <c r="F5" s="4"/>
      <c r="G5" s="4"/>
      <c r="H5" s="4"/>
      <c r="I5" s="4"/>
    </row>
    <row r="6" spans="1:54" ht="15.95" customHeight="1" x14ac:dyDescent="0.2">
      <c r="B6" s="628" t="s">
        <v>21</v>
      </c>
      <c r="C6" s="630"/>
      <c r="D6" s="615"/>
      <c r="E6" s="622" t="s">
        <v>397</v>
      </c>
      <c r="F6" s="630"/>
      <c r="G6" s="615"/>
      <c r="H6" s="626" t="s">
        <v>101</v>
      </c>
      <c r="I6" s="623"/>
    </row>
    <row r="7" spans="1:54" ht="15.95" customHeight="1" x14ac:dyDescent="0.2">
      <c r="B7" s="629"/>
      <c r="C7" s="631"/>
      <c r="D7" s="617"/>
      <c r="E7" s="629"/>
      <c r="F7" s="631"/>
      <c r="G7" s="617"/>
      <c r="H7" s="624"/>
      <c r="I7" s="625"/>
    </row>
    <row r="8" spans="1:54" ht="15.95" customHeight="1" x14ac:dyDescent="0.2">
      <c r="A8" s="82"/>
      <c r="B8" s="138" t="s">
        <v>1</v>
      </c>
      <c r="C8" s="176"/>
      <c r="D8" s="579" t="s">
        <v>308</v>
      </c>
      <c r="E8" s="138"/>
      <c r="F8" s="137"/>
      <c r="G8" s="540" t="s">
        <v>396</v>
      </c>
      <c r="H8" s="138"/>
      <c r="I8" s="137"/>
    </row>
    <row r="9" spans="1:54" ht="15.95" customHeight="1" x14ac:dyDescent="0.2">
      <c r="A9" s="27" t="s">
        <v>37</v>
      </c>
      <c r="B9" s="452" t="s">
        <v>38</v>
      </c>
      <c r="C9" s="89" t="s">
        <v>39</v>
      </c>
      <c r="D9" s="580"/>
      <c r="E9" s="89" t="s">
        <v>38</v>
      </c>
      <c r="F9" s="89" t="s">
        <v>39</v>
      </c>
      <c r="G9" s="580"/>
      <c r="H9" s="89" t="s">
        <v>38</v>
      </c>
      <c r="I9" s="89" t="s">
        <v>39</v>
      </c>
    </row>
    <row r="10" spans="1:54" ht="5.0999999999999996" customHeight="1" x14ac:dyDescent="0.2">
      <c r="A10" s="29"/>
    </row>
    <row r="11" spans="1:54" ht="14.1" customHeight="1" x14ac:dyDescent="0.2">
      <c r="A11" s="271" t="s">
        <v>108</v>
      </c>
      <c r="B11" s="272">
        <f>SUM('- 18 -'!B11,'- 18 -'!E11,'- 19 -'!B11,'- 19 -'!E11,'- 19 -'!H11,'- 20 -'!B11)</f>
        <v>14070983</v>
      </c>
      <c r="C11" s="273">
        <f>B11/'- 3 -'!D11*100</f>
        <v>63.353295656289113</v>
      </c>
      <c r="D11" s="272">
        <f>B11/'- 7 -'!C11</f>
        <v>7054.892454249185</v>
      </c>
      <c r="E11" s="272">
        <f>SUM('- 21 -'!B11,'- 21 -'!E11,'- 21 -'!H11,'- 22 -'!B11,'- 22 -'!E11,'- 22 -'!H11)</f>
        <v>2872624</v>
      </c>
      <c r="F11" s="273">
        <f>E11/'- 3 -'!D11*100</f>
        <v>12.933723079713182</v>
      </c>
      <c r="G11" s="272">
        <f>E11/'- 7 -'!E11</f>
        <v>1440.2727500626725</v>
      </c>
      <c r="H11" s="272">
        <f>SUM('- 23 -'!D11,'- 23 -'!B11)</f>
        <v>0</v>
      </c>
      <c r="I11" s="273">
        <f>H11/'- 3 -'!D11*100</f>
        <v>0</v>
      </c>
    </row>
    <row r="12" spans="1:54" ht="14.1" customHeight="1" x14ac:dyDescent="0.2">
      <c r="A12" s="15" t="s">
        <v>109</v>
      </c>
      <c r="B12" s="16">
        <f>SUM('- 18 -'!B12,'- 18 -'!E12,'- 19 -'!B12,'- 19 -'!E12,'- 19 -'!H12,'- 20 -'!B12)</f>
        <v>19673400</v>
      </c>
      <c r="C12" s="267">
        <f>B12/'- 3 -'!D12*100</f>
        <v>56.705867947911329</v>
      </c>
      <c r="D12" s="16">
        <f>B12/'- 7 -'!C12</f>
        <v>9133.4261838440107</v>
      </c>
      <c r="E12" s="16">
        <f>SUM('- 21 -'!B12,'- 21 -'!E12,'- 21 -'!H12,'- 22 -'!B12,'- 22 -'!E12,'- 22 -'!H12)</f>
        <v>5602138</v>
      </c>
      <c r="F12" s="267">
        <f>E12/'- 3 -'!D12*100</f>
        <v>16.147391790639958</v>
      </c>
      <c r="G12" s="16">
        <f>E12/'- 7 -'!E12</f>
        <v>2600.8068709377903</v>
      </c>
      <c r="H12" s="16">
        <f>SUM('- 23 -'!D12,'- 23 -'!B12)</f>
        <v>589773</v>
      </c>
      <c r="I12" s="267">
        <f>H12/'- 3 -'!D12*100</f>
        <v>1.699939504978474</v>
      </c>
    </row>
    <row r="13" spans="1:54" ht="14.1" customHeight="1" x14ac:dyDescent="0.2">
      <c r="A13" s="271" t="s">
        <v>110</v>
      </c>
      <c r="B13" s="272">
        <f>SUM('- 18 -'!B13,'- 18 -'!E13,'- 19 -'!B13,'- 19 -'!E13,'- 19 -'!H13,'- 20 -'!B13)</f>
        <v>64555500</v>
      </c>
      <c r="C13" s="273">
        <f>B13/'- 3 -'!D13*100</f>
        <v>60.024658688235888</v>
      </c>
      <c r="D13" s="272">
        <f>B13/'- 7 -'!C13</f>
        <v>7384.9453755076356</v>
      </c>
      <c r="E13" s="272">
        <f>SUM('- 21 -'!B13,'- 21 -'!E13,'- 21 -'!H13,'- 22 -'!B13,'- 22 -'!E13,'- 22 -'!H13)</f>
        <v>22624000</v>
      </c>
      <c r="F13" s="273">
        <f>E13/'- 3 -'!D13*100</f>
        <v>21.036129813302487</v>
      </c>
      <c r="G13" s="272">
        <f>E13/'- 7 -'!E13</f>
        <v>2588.1141680489618</v>
      </c>
      <c r="H13" s="272">
        <f>SUM('- 23 -'!D13,'- 23 -'!B13)</f>
        <v>0</v>
      </c>
      <c r="I13" s="273">
        <f>H13/'- 3 -'!D13*100</f>
        <v>0</v>
      </c>
    </row>
    <row r="14" spans="1:54" ht="14.1" customHeight="1" x14ac:dyDescent="0.2">
      <c r="A14" s="15" t="s">
        <v>319</v>
      </c>
      <c r="B14" s="16">
        <f>SUM('- 18 -'!B14,'- 18 -'!E14,'- 19 -'!B14,'- 19 -'!E14,'- 19 -'!H14,'- 20 -'!B14)</f>
        <v>53431296</v>
      </c>
      <c r="C14" s="267">
        <f>B14/'- 3 -'!D14*100</f>
        <v>55.031399992460784</v>
      </c>
      <c r="D14" s="16">
        <f>B14/'- 7 -'!C14</f>
        <v>8915.6175538127809</v>
      </c>
      <c r="E14" s="16">
        <f>SUM('- 21 -'!B14,'- 21 -'!E14,'- 21 -'!H14,'- 22 -'!B14,'- 22 -'!E14,'- 22 -'!H14)</f>
        <v>11281490</v>
      </c>
      <c r="F14" s="267">
        <f>E14/'- 3 -'!D14*100</f>
        <v>11.619336141518005</v>
      </c>
      <c r="G14" s="16">
        <f>E14/'- 7 -'!E14</f>
        <v>1882.4445186050393</v>
      </c>
      <c r="H14" s="16">
        <f>SUM('- 23 -'!D14,'- 23 -'!B14)</f>
        <v>260930</v>
      </c>
      <c r="I14" s="267">
        <f>H14/'- 3 -'!D14*100</f>
        <v>0.26874405591870343</v>
      </c>
    </row>
    <row r="15" spans="1:54" ht="14.1" customHeight="1" x14ac:dyDescent="0.2">
      <c r="A15" s="271" t="s">
        <v>111</v>
      </c>
      <c r="B15" s="272">
        <f>SUM('- 18 -'!B15,'- 18 -'!E15,'- 19 -'!B15,'- 19 -'!E15,'- 19 -'!H15,'- 20 -'!B15)</f>
        <v>11188967</v>
      </c>
      <c r="C15" s="273">
        <f>B15/'- 3 -'!D15*100</f>
        <v>52.936002885207543</v>
      </c>
      <c r="D15" s="272">
        <f>B15/'- 7 -'!C15</f>
        <v>8020.7648745519709</v>
      </c>
      <c r="E15" s="272">
        <f>SUM('- 21 -'!B15,'- 21 -'!E15,'- 21 -'!H15,'- 22 -'!B15,'- 22 -'!E15,'- 22 -'!H15)</f>
        <v>3617475</v>
      </c>
      <c r="F15" s="273">
        <f>E15/'- 3 -'!D15*100</f>
        <v>17.114597534979428</v>
      </c>
      <c r="G15" s="272">
        <f>E15/'- 7 -'!E15</f>
        <v>2593.1720430107525</v>
      </c>
      <c r="H15" s="272">
        <f>SUM('- 23 -'!D15,'- 23 -'!B15)</f>
        <v>0</v>
      </c>
      <c r="I15" s="273">
        <f>H15/'- 3 -'!D15*100</f>
        <v>0</v>
      </c>
    </row>
    <row r="16" spans="1:54" ht="14.1" customHeight="1" x14ac:dyDescent="0.2">
      <c r="A16" s="15" t="s">
        <v>112</v>
      </c>
      <c r="B16" s="16">
        <f>SUM('- 18 -'!B16,'- 18 -'!E16,'- 19 -'!B16,'- 19 -'!E16,'- 19 -'!H16,'- 20 -'!B16)</f>
        <v>8290046</v>
      </c>
      <c r="C16" s="267">
        <f>B16/'- 3 -'!D16*100</f>
        <v>55.430404337481967</v>
      </c>
      <c r="D16" s="16">
        <f>B16/'- 7 -'!C16</f>
        <v>8744.7742616033756</v>
      </c>
      <c r="E16" s="16">
        <f>SUM('- 21 -'!B16,'- 21 -'!E16,'- 21 -'!H16,'- 22 -'!B16,'- 22 -'!E16,'- 22 -'!H16)</f>
        <v>2654946</v>
      </c>
      <c r="F16" s="267">
        <f>E16/'- 3 -'!D16*100</f>
        <v>17.751979937648162</v>
      </c>
      <c r="G16" s="16">
        <f>E16/'- 7 -'!E16</f>
        <v>2800.5759493670885</v>
      </c>
      <c r="H16" s="16">
        <f>SUM('- 23 -'!D16,'- 23 -'!B16)</f>
        <v>94000</v>
      </c>
      <c r="I16" s="267">
        <f>H16/'- 3 -'!D16*100</f>
        <v>0.62851979442855987</v>
      </c>
    </row>
    <row r="17" spans="1:9" ht="14.1" customHeight="1" x14ac:dyDescent="0.2">
      <c r="A17" s="271" t="s">
        <v>113</v>
      </c>
      <c r="B17" s="272">
        <f>SUM('- 18 -'!B17,'- 18 -'!E17,'- 19 -'!B17,'- 19 -'!E17,'- 19 -'!H17,'- 20 -'!B17)</f>
        <v>11330790</v>
      </c>
      <c r="C17" s="273">
        <f>B17/'- 3 -'!D17*100</f>
        <v>60.235732290241565</v>
      </c>
      <c r="D17" s="272">
        <f>B17/'- 7 -'!C17</f>
        <v>7835.9543568464733</v>
      </c>
      <c r="E17" s="272">
        <f>SUM('- 21 -'!B17,'- 21 -'!E17,'- 21 -'!H17,'- 22 -'!B17,'- 22 -'!E17,'- 22 -'!H17)</f>
        <v>2326700</v>
      </c>
      <c r="F17" s="273">
        <f>E17/'- 3 -'!D17*100</f>
        <v>12.368994423134225</v>
      </c>
      <c r="G17" s="272">
        <f>E17/'- 7 -'!E17</f>
        <v>1609.0594744121715</v>
      </c>
      <c r="H17" s="272">
        <f>SUM('- 23 -'!D17,'- 23 -'!B17)</f>
        <v>0</v>
      </c>
      <c r="I17" s="273">
        <f>H17/'- 3 -'!D17*100</f>
        <v>0</v>
      </c>
    </row>
    <row r="18" spans="1:9" ht="14.1" customHeight="1" x14ac:dyDescent="0.2">
      <c r="A18" s="15" t="s">
        <v>114</v>
      </c>
      <c r="B18" s="16">
        <f>SUM('- 18 -'!B18,'- 18 -'!E18,'- 19 -'!B18,'- 19 -'!E18,'- 19 -'!H18,'- 20 -'!B18)</f>
        <v>59469395</v>
      </c>
      <c r="C18" s="267">
        <f>B18/'- 3 -'!D18*100</f>
        <v>42.722052298904423</v>
      </c>
      <c r="D18" s="16">
        <f>B18/'- 7 -'!C18</f>
        <v>9929.7704124227748</v>
      </c>
      <c r="E18" s="16">
        <f>SUM('- 21 -'!B18,'- 21 -'!E18,'- 21 -'!H18,'- 22 -'!B18,'- 22 -'!E18,'- 22 -'!H18)</f>
        <v>22046113</v>
      </c>
      <c r="F18" s="267">
        <f>E18/'- 3 -'!D18*100</f>
        <v>15.837645440542259</v>
      </c>
      <c r="G18" s="16">
        <f>E18/'- 7 -'!E18</f>
        <v>3681.1008515611957</v>
      </c>
      <c r="H18" s="16">
        <f>SUM('- 23 -'!D18,'- 23 -'!B18)</f>
        <v>2156057</v>
      </c>
      <c r="I18" s="267">
        <f>H18/'- 3 -'!D18*100</f>
        <v>1.5488837563156472</v>
      </c>
    </row>
    <row r="19" spans="1:9" ht="14.1" customHeight="1" x14ac:dyDescent="0.2">
      <c r="A19" s="271" t="s">
        <v>115</v>
      </c>
      <c r="B19" s="272">
        <f>SUM('- 18 -'!B19,'- 18 -'!E19,'- 19 -'!B19,'- 19 -'!E19,'- 19 -'!H19,'- 20 -'!B19)</f>
        <v>29264100</v>
      </c>
      <c r="C19" s="273">
        <f>B19/'- 3 -'!D19*100</f>
        <v>56.768820708599101</v>
      </c>
      <c r="D19" s="272">
        <f>B19/'- 7 -'!C19</f>
        <v>6578.4196920310214</v>
      </c>
      <c r="E19" s="272">
        <f>SUM('- 21 -'!B19,'- 21 -'!E19,'- 21 -'!H19,'- 22 -'!B19,'- 22 -'!E19,'- 22 -'!H19)</f>
        <v>9798700</v>
      </c>
      <c r="F19" s="273">
        <f>E19/'- 3 -'!D19*100</f>
        <v>19.008294923723948</v>
      </c>
      <c r="G19" s="272">
        <f>E19/'- 7 -'!E19</f>
        <v>2202.6975384961224</v>
      </c>
      <c r="H19" s="272">
        <f>SUM('- 23 -'!D19,'- 23 -'!B19)</f>
        <v>0</v>
      </c>
      <c r="I19" s="273">
        <f>H19/'- 3 -'!D19*100</f>
        <v>0</v>
      </c>
    </row>
    <row r="20" spans="1:9" ht="14.1" customHeight="1" x14ac:dyDescent="0.2">
      <c r="A20" s="15" t="s">
        <v>116</v>
      </c>
      <c r="B20" s="16">
        <f>SUM('- 18 -'!B20,'- 18 -'!E20,'- 19 -'!B20,'- 19 -'!E20,'- 19 -'!H20,'- 20 -'!B20)</f>
        <v>56715500</v>
      </c>
      <c r="C20" s="267">
        <f>B20/'- 3 -'!D20*100</f>
        <v>61.690398833097483</v>
      </c>
      <c r="D20" s="16">
        <f>B20/'- 7 -'!C20</f>
        <v>6965.7946450503559</v>
      </c>
      <c r="E20" s="16">
        <f>SUM('- 21 -'!B20,'- 21 -'!E20,'- 21 -'!H20,'- 22 -'!B20,'- 22 -'!E20,'- 22 -'!H20)</f>
        <v>14902000</v>
      </c>
      <c r="F20" s="267">
        <f>E20/'- 3 -'!D20*100</f>
        <v>16.209154876723623</v>
      </c>
      <c r="G20" s="16">
        <f>E20/'- 7 -'!E20</f>
        <v>1830.2628346843528</v>
      </c>
      <c r="H20" s="16">
        <f>SUM('- 23 -'!D20,'- 23 -'!B20)</f>
        <v>0</v>
      </c>
      <c r="I20" s="267">
        <f>H20/'- 3 -'!D20*100</f>
        <v>0</v>
      </c>
    </row>
    <row r="21" spans="1:9" ht="14.1" customHeight="1" x14ac:dyDescent="0.2">
      <c r="A21" s="271" t="s">
        <v>117</v>
      </c>
      <c r="B21" s="272">
        <f>SUM('- 18 -'!B21,'- 18 -'!E21,'- 19 -'!B21,'- 19 -'!E21,'- 19 -'!H21,'- 20 -'!B21)</f>
        <v>21908700</v>
      </c>
      <c r="C21" s="273">
        <f>B21/'- 3 -'!D21*100</f>
        <v>57.37552295091627</v>
      </c>
      <c r="D21" s="272">
        <f>B21/'- 7 -'!C21</f>
        <v>7821.7422349161016</v>
      </c>
      <c r="E21" s="272">
        <f>SUM('- 21 -'!B21,'- 21 -'!E21,'- 21 -'!H21,'- 22 -'!B21,'- 22 -'!E21,'- 22 -'!H21)</f>
        <v>6837000</v>
      </c>
      <c r="F21" s="273">
        <f>E21/'- 3 -'!D21*100</f>
        <v>17.905053719089427</v>
      </c>
      <c r="G21" s="272">
        <f>E21/'- 7 -'!E21</f>
        <v>2440.9139593002501</v>
      </c>
      <c r="H21" s="272">
        <f>SUM('- 23 -'!D21,'- 23 -'!B21)</f>
        <v>0</v>
      </c>
      <c r="I21" s="273">
        <f>H21/'- 3 -'!D21*100</f>
        <v>0</v>
      </c>
    </row>
    <row r="22" spans="1:9" ht="14.1" customHeight="1" x14ac:dyDescent="0.2">
      <c r="A22" s="15" t="s">
        <v>118</v>
      </c>
      <c r="B22" s="16">
        <f>SUM('- 18 -'!B22,'- 18 -'!E22,'- 19 -'!B22,'- 19 -'!E22,'- 19 -'!H22,'- 20 -'!B22)</f>
        <v>10447908</v>
      </c>
      <c r="C22" s="267">
        <f>B22/'- 3 -'!D22*100</f>
        <v>51.082708218995577</v>
      </c>
      <c r="D22" s="16">
        <f>B22/'- 7 -'!C22</f>
        <v>7283.3098640641338</v>
      </c>
      <c r="E22" s="16">
        <f>SUM('- 21 -'!B22,'- 21 -'!E22,'- 21 -'!H22,'- 22 -'!B22,'- 22 -'!E22,'- 22 -'!H22)</f>
        <v>4474230</v>
      </c>
      <c r="F22" s="267">
        <f>E22/'- 3 -'!D22*100</f>
        <v>21.875746378574213</v>
      </c>
      <c r="G22" s="16">
        <f>E22/'- 7 -'!E22</f>
        <v>3119.0170791216451</v>
      </c>
      <c r="H22" s="16">
        <f>SUM('- 23 -'!D22,'- 23 -'!B22)</f>
        <v>621930</v>
      </c>
      <c r="I22" s="267">
        <f>H22/'- 3 -'!D22*100</f>
        <v>3.040787564614841</v>
      </c>
    </row>
    <row r="23" spans="1:9" ht="14.1" customHeight="1" x14ac:dyDescent="0.2">
      <c r="A23" s="271" t="s">
        <v>119</v>
      </c>
      <c r="B23" s="272">
        <f>SUM('- 18 -'!B23,'- 18 -'!E23,'- 19 -'!B23,'- 19 -'!E23,'- 19 -'!H23,'- 20 -'!B23)</f>
        <v>7930598</v>
      </c>
      <c r="C23" s="273">
        <f>B23/'- 3 -'!D23*100</f>
        <v>49.666455093919197</v>
      </c>
      <c r="D23" s="272">
        <f>B23/'- 7 -'!C23</f>
        <v>8509.2253218884125</v>
      </c>
      <c r="E23" s="272">
        <f>SUM('- 21 -'!B23,'- 21 -'!E23,'- 21 -'!H23,'- 22 -'!B23,'- 22 -'!E23,'- 22 -'!H23)</f>
        <v>2865000</v>
      </c>
      <c r="F23" s="273">
        <f>E23/'- 3 -'!D23*100</f>
        <v>17.94245450898892</v>
      </c>
      <c r="G23" s="272">
        <f>E23/'- 7 -'!E23</f>
        <v>3074.0343347639487</v>
      </c>
      <c r="H23" s="272">
        <f>SUM('- 23 -'!D23,'- 23 -'!B23)</f>
        <v>275650</v>
      </c>
      <c r="I23" s="273">
        <f>H23/'- 3 -'!D23*100</f>
        <v>1.7262958413273282</v>
      </c>
    </row>
    <row r="24" spans="1:9" ht="14.1" customHeight="1" x14ac:dyDescent="0.2">
      <c r="A24" s="15" t="s">
        <v>120</v>
      </c>
      <c r="B24" s="16">
        <f>SUM('- 18 -'!B24,'- 18 -'!E24,'- 19 -'!B24,'- 19 -'!E24,'- 19 -'!H24,'- 20 -'!B24)</f>
        <v>34352926</v>
      </c>
      <c r="C24" s="267">
        <f>B24/'- 3 -'!D24*100</f>
        <v>58.354925364716948</v>
      </c>
      <c r="D24" s="16">
        <f>B24/'- 7 -'!C24</f>
        <v>9234.6575268817196</v>
      </c>
      <c r="E24" s="16">
        <f>SUM('- 21 -'!B24,'- 21 -'!E24,'- 21 -'!H24,'- 22 -'!B24,'- 22 -'!E24,'- 22 -'!H24)</f>
        <v>10288777</v>
      </c>
      <c r="F24" s="267">
        <f>E24/'- 3 -'!D24*100</f>
        <v>17.477428674611772</v>
      </c>
      <c r="G24" s="16">
        <f>E24/'- 7 -'!E24</f>
        <v>2765.8002688172041</v>
      </c>
      <c r="H24" s="16">
        <f>SUM('- 23 -'!D24,'- 23 -'!B24)</f>
        <v>332533</v>
      </c>
      <c r="I24" s="267">
        <f>H24/'- 3 -'!D24*100</f>
        <v>0.56487003163298</v>
      </c>
    </row>
    <row r="25" spans="1:9" ht="14.1" customHeight="1" x14ac:dyDescent="0.2">
      <c r="A25" s="271" t="s">
        <v>121</v>
      </c>
      <c r="B25" s="272">
        <f>SUM('- 18 -'!B25,'- 18 -'!E25,'- 19 -'!B25,'- 19 -'!E25,'- 19 -'!H25,'- 20 -'!B25)</f>
        <v>110390054</v>
      </c>
      <c r="C25" s="273">
        <f>B25/'- 3 -'!D25*100</f>
        <v>56.75603914115419</v>
      </c>
      <c r="D25" s="272">
        <f>B25/'- 7 -'!C25</f>
        <v>7288.3965403406837</v>
      </c>
      <c r="E25" s="272">
        <f>SUM('- 21 -'!B25,'- 21 -'!E25,'- 21 -'!H25,'- 22 -'!B25,'- 22 -'!E25,'- 22 -'!H25)</f>
        <v>37764646</v>
      </c>
      <c r="F25" s="273">
        <f>E25/'- 3 -'!D25*100</f>
        <v>19.416348202237788</v>
      </c>
      <c r="G25" s="272">
        <f>E25/'- 7 -'!E25</f>
        <v>2493.3742242176154</v>
      </c>
      <c r="H25" s="272">
        <f>SUM('- 23 -'!D25,'- 23 -'!B25)</f>
        <v>377259</v>
      </c>
      <c r="I25" s="273">
        <f>H25/'- 3 -'!D25*100</f>
        <v>0.19396427299829649</v>
      </c>
    </row>
    <row r="26" spans="1:9" ht="14.1" customHeight="1" x14ac:dyDescent="0.2">
      <c r="A26" s="15" t="s">
        <v>122</v>
      </c>
      <c r="B26" s="16">
        <f>SUM('- 18 -'!B26,'- 18 -'!E26,'- 19 -'!B26,'- 19 -'!E26,'- 19 -'!H26,'- 20 -'!B26)</f>
        <v>24169477</v>
      </c>
      <c r="C26" s="267">
        <f>B26/'- 3 -'!D26*100</f>
        <v>57.447706006654855</v>
      </c>
      <c r="D26" s="16">
        <f>B26/'- 7 -'!C26</f>
        <v>7839.5968212779762</v>
      </c>
      <c r="E26" s="16">
        <f>SUM('- 21 -'!B26,'- 21 -'!E26,'- 21 -'!H26,'- 22 -'!B26,'- 22 -'!E26,'- 22 -'!H26)</f>
        <v>5670068</v>
      </c>
      <c r="F26" s="267">
        <f>E26/'- 3 -'!D26*100</f>
        <v>13.477014810942805</v>
      </c>
      <c r="G26" s="16">
        <f>E26/'- 7 -'!E26</f>
        <v>1839.139798897178</v>
      </c>
      <c r="H26" s="16">
        <f>SUM('- 23 -'!D26,'- 23 -'!B26)</f>
        <v>0</v>
      </c>
      <c r="I26" s="267">
        <f>H26/'- 3 -'!D26*100</f>
        <v>0</v>
      </c>
    </row>
    <row r="27" spans="1:9" ht="14.1" customHeight="1" x14ac:dyDescent="0.2">
      <c r="A27" s="271" t="s">
        <v>123</v>
      </c>
      <c r="B27" s="272">
        <f>SUM('- 18 -'!B27,'- 18 -'!E27,'- 19 -'!B27,'- 19 -'!E27,'- 19 -'!H27,'- 20 -'!B27)</f>
        <v>23546415</v>
      </c>
      <c r="C27" s="273">
        <f>B27/'- 3 -'!D27*100</f>
        <v>55.048278378253833</v>
      </c>
      <c r="D27" s="272">
        <f>B27/'- 7 -'!C27</f>
        <v>7833.1387225548906</v>
      </c>
      <c r="E27" s="272">
        <f>SUM('- 21 -'!B27,'- 21 -'!E27,'- 21 -'!H27,'- 22 -'!B27,'- 22 -'!E27,'- 22 -'!H27)</f>
        <v>9041292</v>
      </c>
      <c r="F27" s="273">
        <f>E27/'- 3 -'!D27*100</f>
        <v>21.137296650682469</v>
      </c>
      <c r="G27" s="272">
        <f>E27/'- 7 -'!E27</f>
        <v>3007.7485029940121</v>
      </c>
      <c r="H27" s="272">
        <f>SUM('- 23 -'!D27,'- 23 -'!B27)</f>
        <v>0</v>
      </c>
      <c r="I27" s="273">
        <f>H27/'- 3 -'!D27*100</f>
        <v>0</v>
      </c>
    </row>
    <row r="28" spans="1:9" ht="14.1" customHeight="1" x14ac:dyDescent="0.2">
      <c r="A28" s="15" t="s">
        <v>124</v>
      </c>
      <c r="B28" s="16">
        <f>SUM('- 18 -'!B28,'- 18 -'!E28,'- 19 -'!B28,'- 19 -'!E28,'- 19 -'!H28,'- 20 -'!B28)</f>
        <v>17191404</v>
      </c>
      <c r="C28" s="267">
        <f>B28/'- 3 -'!D28*100</f>
        <v>59.721487151323529</v>
      </c>
      <c r="D28" s="16">
        <f>B28/'- 7 -'!C28</f>
        <v>8514.8112927191687</v>
      </c>
      <c r="E28" s="16">
        <f>SUM('- 21 -'!B28,'- 21 -'!E28,'- 21 -'!H28,'- 22 -'!B28,'- 22 -'!E28,'- 22 -'!H28)</f>
        <v>3742962</v>
      </c>
      <c r="F28" s="267">
        <f>E28/'- 3 -'!D28*100</f>
        <v>13.00273421477921</v>
      </c>
      <c r="G28" s="16">
        <f>E28/'- 7 -'!E28</f>
        <v>1853.8692421991084</v>
      </c>
      <c r="H28" s="16">
        <f>SUM('- 23 -'!D28,'- 23 -'!B28)</f>
        <v>74132</v>
      </c>
      <c r="I28" s="267">
        <f>H28/'- 3 -'!D28*100</f>
        <v>0.25752831388884323</v>
      </c>
    </row>
    <row r="29" spans="1:9" ht="14.1" customHeight="1" x14ac:dyDescent="0.2">
      <c r="A29" s="271" t="s">
        <v>125</v>
      </c>
      <c r="B29" s="272">
        <f>SUM('- 18 -'!B29,'- 18 -'!E29,'- 19 -'!B29,'- 19 -'!E29,'- 19 -'!H29,'- 20 -'!B29)</f>
        <v>104794228</v>
      </c>
      <c r="C29" s="273">
        <f>B29/'- 3 -'!D29*100</f>
        <v>58.87382363214094</v>
      </c>
      <c r="D29" s="272">
        <f>B29/'- 7 -'!C29</f>
        <v>7284.9654501216546</v>
      </c>
      <c r="E29" s="272">
        <f>SUM('- 21 -'!B29,'- 21 -'!E29,'- 21 -'!H29,'- 22 -'!B29,'- 22 -'!E29,'- 22 -'!H29)</f>
        <v>32631062</v>
      </c>
      <c r="F29" s="273">
        <f>E29/'- 3 -'!D29*100</f>
        <v>18.332263386848524</v>
      </c>
      <c r="G29" s="272">
        <f>E29/'- 7 -'!E29</f>
        <v>2268.4088981578034</v>
      </c>
      <c r="H29" s="272">
        <f>SUM('- 23 -'!D29,'- 23 -'!B29)</f>
        <v>0</v>
      </c>
      <c r="I29" s="273">
        <f>H29/'- 3 -'!D29*100</f>
        <v>0</v>
      </c>
    </row>
    <row r="30" spans="1:9" ht="14.1" customHeight="1" x14ac:dyDescent="0.2">
      <c r="A30" s="15" t="s">
        <v>126</v>
      </c>
      <c r="B30" s="16">
        <f>SUM('- 18 -'!B30,'- 18 -'!E30,'- 19 -'!B30,'- 19 -'!E30,'- 19 -'!H30,'- 20 -'!B30)</f>
        <v>9617984</v>
      </c>
      <c r="C30" s="267">
        <f>B30/'- 3 -'!D30*100</f>
        <v>61.176877671483822</v>
      </c>
      <c r="D30" s="16">
        <f>B30/'- 7 -'!C30</f>
        <v>9190.6201624462501</v>
      </c>
      <c r="E30" s="16">
        <f>SUM('- 21 -'!B30,'- 21 -'!E30,'- 21 -'!H30,'- 22 -'!B30,'- 22 -'!E30,'- 22 -'!H30)</f>
        <v>1913058</v>
      </c>
      <c r="F30" s="267">
        <f>E30/'- 3 -'!D30*100</f>
        <v>12.168341644616323</v>
      </c>
      <c r="G30" s="16">
        <f>E30/'- 7 -'!E30</f>
        <v>1828.0535117056857</v>
      </c>
      <c r="H30" s="16">
        <f>SUM('- 23 -'!D30,'- 23 -'!B30)</f>
        <v>0</v>
      </c>
      <c r="I30" s="267">
        <f>H30/'- 3 -'!D30*100</f>
        <v>0</v>
      </c>
    </row>
    <row r="31" spans="1:9" ht="14.1" customHeight="1" x14ac:dyDescent="0.2">
      <c r="A31" s="271" t="s">
        <v>127</v>
      </c>
      <c r="B31" s="272">
        <f>SUM('- 18 -'!B31,'- 18 -'!E31,'- 19 -'!B31,'- 19 -'!E31,'- 19 -'!H31,'- 20 -'!B31)</f>
        <v>24705107</v>
      </c>
      <c r="C31" s="273">
        <f>B31/'- 3 -'!D31*100</f>
        <v>60.480931611381791</v>
      </c>
      <c r="D31" s="272">
        <f>B31/'- 7 -'!C31</f>
        <v>7370.2586515513131</v>
      </c>
      <c r="E31" s="272">
        <f>SUM('- 21 -'!B31,'- 21 -'!E31,'- 21 -'!H31,'- 22 -'!B31,'- 22 -'!E31,'- 22 -'!H31)</f>
        <v>7296253</v>
      </c>
      <c r="F31" s="273">
        <f>E31/'- 3 -'!D31*100</f>
        <v>17.862063042768415</v>
      </c>
      <c r="G31" s="272">
        <f>E31/'- 7 -'!E31</f>
        <v>2176.6864558472553</v>
      </c>
      <c r="H31" s="272">
        <f>SUM('- 23 -'!D31,'- 23 -'!B31)</f>
        <v>0</v>
      </c>
      <c r="I31" s="273">
        <f>H31/'- 3 -'!D31*100</f>
        <v>0</v>
      </c>
    </row>
    <row r="32" spans="1:9" ht="14.1" customHeight="1" x14ac:dyDescent="0.2">
      <c r="A32" s="15" t="s">
        <v>128</v>
      </c>
      <c r="B32" s="16">
        <f>SUM('- 18 -'!B32,'- 18 -'!E32,'- 19 -'!B32,'- 19 -'!E32,'- 19 -'!H32,'- 20 -'!B32)</f>
        <v>18602555</v>
      </c>
      <c r="C32" s="267">
        <f>B32/'- 3 -'!D32*100</f>
        <v>58.688341143173893</v>
      </c>
      <c r="D32" s="16">
        <f>B32/'- 7 -'!C32</f>
        <v>7965.1273817169767</v>
      </c>
      <c r="E32" s="16">
        <f>SUM('- 21 -'!B32,'- 21 -'!E32,'- 21 -'!H32,'- 22 -'!B32,'- 22 -'!E32,'- 22 -'!H32)</f>
        <v>4450219</v>
      </c>
      <c r="F32" s="267">
        <f>E32/'- 3 -'!D32*100</f>
        <v>14.039790277939465</v>
      </c>
      <c r="G32" s="16">
        <f>E32/'- 7 -'!E32</f>
        <v>1905.4673517448084</v>
      </c>
      <c r="H32" s="16">
        <f>SUM('- 23 -'!D32,'- 23 -'!B32)</f>
        <v>293145</v>
      </c>
      <c r="I32" s="267">
        <f>H32/'- 3 -'!D32*100</f>
        <v>0.92482961423394316</v>
      </c>
    </row>
    <row r="33" spans="1:10" ht="14.1" customHeight="1" x14ac:dyDescent="0.2">
      <c r="A33" s="271" t="s">
        <v>129</v>
      </c>
      <c r="B33" s="272">
        <f>SUM('- 18 -'!B33,'- 18 -'!E33,'- 19 -'!B33,'- 19 -'!E33,'- 19 -'!H33,'- 20 -'!B33)</f>
        <v>16677124</v>
      </c>
      <c r="C33" s="273">
        <f>B33/'- 3 -'!D33*100</f>
        <v>58.04828612465186</v>
      </c>
      <c r="D33" s="272">
        <f>B33/'- 7 -'!C33</f>
        <v>8075.3069920588814</v>
      </c>
      <c r="E33" s="272">
        <f>SUM('- 21 -'!B33,'- 21 -'!E33,'- 21 -'!H33,'- 22 -'!B33,'- 22 -'!E33,'- 22 -'!H33)</f>
        <v>4079685</v>
      </c>
      <c r="F33" s="273">
        <f>E33/'- 3 -'!D33*100</f>
        <v>14.200213548718011</v>
      </c>
      <c r="G33" s="272">
        <f>E33/'- 7 -'!E33</f>
        <v>1975.4430563625801</v>
      </c>
      <c r="H33" s="272">
        <f>SUM('- 23 -'!D33,'- 23 -'!B33)</f>
        <v>0</v>
      </c>
      <c r="I33" s="273">
        <f>H33/'- 3 -'!D33*100</f>
        <v>0</v>
      </c>
    </row>
    <row r="34" spans="1:10" ht="14.1" customHeight="1" x14ac:dyDescent="0.2">
      <c r="A34" s="15" t="s">
        <v>130</v>
      </c>
      <c r="B34" s="16">
        <f>SUM('- 18 -'!B34,'- 18 -'!E34,'- 19 -'!B34,'- 19 -'!E34,'- 19 -'!H34,'- 20 -'!B34)</f>
        <v>17836195</v>
      </c>
      <c r="C34" s="267">
        <f>B34/'- 3 -'!D34*100</f>
        <v>55.784344136724819</v>
      </c>
      <c r="D34" s="16">
        <f>B34/'- 7 -'!C34</f>
        <v>7823.9220072816606</v>
      </c>
      <c r="E34" s="16">
        <f>SUM('- 21 -'!B34,'- 21 -'!E34,'- 21 -'!H34,'- 22 -'!B34,'- 22 -'!E34,'- 22 -'!H34)</f>
        <v>5831992</v>
      </c>
      <c r="F34" s="267">
        <f>E34/'- 3 -'!D34*100</f>
        <v>18.240092616761931</v>
      </c>
      <c r="G34" s="16">
        <f>E34/'- 7 -'!E34</f>
        <v>2558.2278369960964</v>
      </c>
      <c r="H34" s="16">
        <f>SUM('- 23 -'!D34,'- 23 -'!B34)</f>
        <v>0</v>
      </c>
      <c r="I34" s="267">
        <f>H34/'- 3 -'!D34*100</f>
        <v>0</v>
      </c>
    </row>
    <row r="35" spans="1:10" ht="14.1" customHeight="1" x14ac:dyDescent="0.2">
      <c r="A35" s="271" t="s">
        <v>131</v>
      </c>
      <c r="B35" s="272">
        <f>SUM('- 18 -'!B35,'- 18 -'!E35,'- 19 -'!B35,'- 19 -'!E35,'- 19 -'!H35,'- 20 -'!B35)</f>
        <v>114263636</v>
      </c>
      <c r="C35" s="273">
        <f>B35/'- 3 -'!D35*100</f>
        <v>58.157054760682939</v>
      </c>
      <c r="D35" s="272">
        <f>B35/'- 7 -'!C35</f>
        <v>7010.6841733901892</v>
      </c>
      <c r="E35" s="272">
        <f>SUM('- 21 -'!B35,'- 21 -'!E35,'- 21 -'!H35,'- 22 -'!B35,'- 22 -'!E35,'- 22 -'!H35)</f>
        <v>36939243</v>
      </c>
      <c r="F35" s="273">
        <f>E35/'- 3 -'!D35*100</f>
        <v>18.801060890178338</v>
      </c>
      <c r="G35" s="272">
        <f>E35/'- 7 -'!E35</f>
        <v>2266.419793232506</v>
      </c>
      <c r="H35" s="272">
        <f>SUM('- 23 -'!D35,'- 23 -'!B35)</f>
        <v>0</v>
      </c>
      <c r="I35" s="273">
        <f>H35/'- 3 -'!D35*100</f>
        <v>0</v>
      </c>
    </row>
    <row r="36" spans="1:10" ht="14.1" customHeight="1" x14ac:dyDescent="0.2">
      <c r="A36" s="15" t="s">
        <v>132</v>
      </c>
      <c r="B36" s="16">
        <f>SUM('- 18 -'!B36,'- 18 -'!E36,'- 19 -'!B36,'- 19 -'!E36,'- 19 -'!H36,'- 20 -'!B36)</f>
        <v>14239510</v>
      </c>
      <c r="C36" s="267">
        <f>B36/'- 3 -'!D36*100</f>
        <v>58.891580137386711</v>
      </c>
      <c r="D36" s="16">
        <f>B36/'- 7 -'!C36</f>
        <v>8157.8401604124892</v>
      </c>
      <c r="E36" s="16">
        <f>SUM('- 21 -'!B36,'- 21 -'!E36,'- 21 -'!H36,'- 22 -'!B36,'- 22 -'!E36,'- 22 -'!H36)</f>
        <v>3280020</v>
      </c>
      <c r="F36" s="267">
        <f>E36/'- 3 -'!D36*100</f>
        <v>13.565464028062141</v>
      </c>
      <c r="G36" s="16">
        <f>E36/'- 7 -'!E36</f>
        <v>1879.1291893440275</v>
      </c>
      <c r="H36" s="16">
        <f>SUM('- 23 -'!D36,'- 23 -'!B36)</f>
        <v>0</v>
      </c>
      <c r="I36" s="267">
        <f>H36/'- 3 -'!D36*100</f>
        <v>0</v>
      </c>
    </row>
    <row r="37" spans="1:10" ht="14.1" customHeight="1" x14ac:dyDescent="0.2">
      <c r="A37" s="271" t="s">
        <v>133</v>
      </c>
      <c r="B37" s="272">
        <f>SUM('- 18 -'!B37,'- 18 -'!E37,'- 19 -'!B37,'- 19 -'!E37,'- 19 -'!H37,'- 20 -'!B37)</f>
        <v>31069742</v>
      </c>
      <c r="C37" s="273">
        <f>B37/'- 3 -'!D37*100</f>
        <v>56.378298439104753</v>
      </c>
      <c r="D37" s="272">
        <f>B37/'- 7 -'!C37</f>
        <v>7119.5559120073331</v>
      </c>
      <c r="E37" s="272">
        <f>SUM('- 21 -'!B37,'- 21 -'!E37,'- 21 -'!H37,'- 22 -'!B37,'- 22 -'!E37,'- 22 -'!H37)</f>
        <v>10271100</v>
      </c>
      <c r="F37" s="273">
        <f>E37/'- 3 -'!D37*100</f>
        <v>18.637655282038999</v>
      </c>
      <c r="G37" s="272">
        <f>E37/'- 7 -'!E37</f>
        <v>2353.5976168652614</v>
      </c>
      <c r="H37" s="272">
        <f>SUM('- 23 -'!D37,'- 23 -'!B37)</f>
        <v>0</v>
      </c>
      <c r="I37" s="273">
        <f>H37/'- 3 -'!D37*100</f>
        <v>0</v>
      </c>
    </row>
    <row r="38" spans="1:10" ht="14.1" customHeight="1" x14ac:dyDescent="0.2">
      <c r="A38" s="15" t="s">
        <v>134</v>
      </c>
      <c r="B38" s="16">
        <f>SUM('- 18 -'!B38,'- 18 -'!E38,'- 19 -'!B38,'- 19 -'!E38,'- 19 -'!H38,'- 20 -'!B38)</f>
        <v>88018515</v>
      </c>
      <c r="C38" s="267">
        <f>B38/'- 3 -'!D38*100</f>
        <v>58.264319532161792</v>
      </c>
      <c r="D38" s="16">
        <f>B38/'- 7 -'!C38</f>
        <v>7552.3849361614502</v>
      </c>
      <c r="E38" s="16">
        <f>SUM('- 21 -'!B38,'- 21 -'!E38,'- 21 -'!H38,'- 22 -'!B38,'- 22 -'!E38,'- 22 -'!H38)</f>
        <v>27019430</v>
      </c>
      <c r="F38" s="267">
        <f>E38/'- 3 -'!D38*100</f>
        <v>17.88565397969823</v>
      </c>
      <c r="G38" s="16">
        <f>E38/'- 7 -'!E38</f>
        <v>2318.3887630422846</v>
      </c>
      <c r="H38" s="16">
        <f>SUM('- 23 -'!D38,'- 23 -'!B38)</f>
        <v>2123705</v>
      </c>
      <c r="I38" s="267">
        <f>H38/'- 3 -'!D38*100</f>
        <v>1.4057977087212805</v>
      </c>
    </row>
    <row r="39" spans="1:10" ht="14.1" customHeight="1" x14ac:dyDescent="0.2">
      <c r="A39" s="271" t="s">
        <v>135</v>
      </c>
      <c r="B39" s="272">
        <f>SUM('- 18 -'!B39,'- 18 -'!E39,'- 19 -'!B39,'- 19 -'!E39,'- 19 -'!H39,'- 20 -'!B39)</f>
        <v>13463800</v>
      </c>
      <c r="C39" s="273">
        <f>B39/'- 3 -'!D39*100</f>
        <v>57.340590449907161</v>
      </c>
      <c r="D39" s="272">
        <f>B39/'- 7 -'!C39</f>
        <v>9032.4701462498324</v>
      </c>
      <c r="E39" s="272">
        <f>SUM('- 21 -'!B39,'- 21 -'!E39,'- 21 -'!H39,'- 22 -'!B39,'- 22 -'!E39,'- 22 -'!H39)</f>
        <v>3388100</v>
      </c>
      <c r="F39" s="273">
        <f>E39/'- 3 -'!D39*100</f>
        <v>14.429481610194033</v>
      </c>
      <c r="G39" s="272">
        <f>E39/'- 7 -'!E39</f>
        <v>2272.9773245672886</v>
      </c>
      <c r="H39" s="272">
        <f>SUM('- 23 -'!D39,'- 23 -'!B39)</f>
        <v>0</v>
      </c>
      <c r="I39" s="273">
        <f>H39/'- 3 -'!D39*100</f>
        <v>0</v>
      </c>
    </row>
    <row r="40" spans="1:10" ht="14.1" customHeight="1" x14ac:dyDescent="0.2">
      <c r="A40" s="15" t="s">
        <v>136</v>
      </c>
      <c r="B40" s="16">
        <f>SUM('- 18 -'!B40,'- 18 -'!E40,'- 19 -'!B40,'- 19 -'!E40,'- 19 -'!H40,'- 20 -'!B40)</f>
        <v>60838315</v>
      </c>
      <c r="C40" s="267">
        <f>B40/'- 3 -'!D40*100</f>
        <v>55.371606421300122</v>
      </c>
      <c r="D40" s="16">
        <f>B40/'- 7 -'!C40</f>
        <v>7399.0045606567346</v>
      </c>
      <c r="E40" s="16">
        <f>SUM('- 21 -'!B40,'- 21 -'!E40,'- 21 -'!H40,'- 22 -'!B40,'- 22 -'!E40,'- 22 -'!H40)</f>
        <v>25180329</v>
      </c>
      <c r="F40" s="267">
        <f>E40/'- 3 -'!D40*100</f>
        <v>22.917716688025465</v>
      </c>
      <c r="G40" s="16">
        <f>E40/'- 7 -'!E40</f>
        <v>3062.3689875342047</v>
      </c>
      <c r="H40" s="16">
        <f>SUM('- 23 -'!D40,'- 23 -'!B40)</f>
        <v>0</v>
      </c>
      <c r="I40" s="267">
        <f>H40/'- 3 -'!D40*100</f>
        <v>0</v>
      </c>
    </row>
    <row r="41" spans="1:10" ht="14.1" customHeight="1" x14ac:dyDescent="0.2">
      <c r="A41" s="271" t="s">
        <v>137</v>
      </c>
      <c r="B41" s="272">
        <f>SUM('- 18 -'!B41,'- 18 -'!E41,'- 19 -'!B41,'- 19 -'!E41,'- 19 -'!H41,'- 20 -'!B41)</f>
        <v>35069873</v>
      </c>
      <c r="C41" s="273">
        <f>B41/'- 3 -'!D41*100</f>
        <v>52.585975307084013</v>
      </c>
      <c r="D41" s="272">
        <f>B41/'- 7 -'!C41</f>
        <v>7803.710057854918</v>
      </c>
      <c r="E41" s="272">
        <f>SUM('- 21 -'!B41,'- 21 -'!E41,'- 21 -'!H41,'- 22 -'!B41,'- 22 -'!E41,'- 22 -'!H41)</f>
        <v>12983279</v>
      </c>
      <c r="F41" s="273">
        <f>E41/'- 3 -'!D41*100</f>
        <v>19.4679458605106</v>
      </c>
      <c r="G41" s="272">
        <f>E41/'- 7 -'!E41</f>
        <v>2889.025144637294</v>
      </c>
      <c r="H41" s="272">
        <f>SUM('- 23 -'!D41,'- 23 -'!B41)</f>
        <v>994120</v>
      </c>
      <c r="I41" s="273">
        <f>H41/'- 3 -'!D41*100</f>
        <v>1.4906461101891746</v>
      </c>
    </row>
    <row r="42" spans="1:10" ht="14.1" customHeight="1" x14ac:dyDescent="0.2">
      <c r="A42" s="15" t="s">
        <v>138</v>
      </c>
      <c r="B42" s="16">
        <f>SUM('- 18 -'!B42,'- 18 -'!E42,'- 19 -'!B42,'- 19 -'!E42,'- 19 -'!H42,'- 20 -'!B42)</f>
        <v>11659504</v>
      </c>
      <c r="C42" s="267">
        <f>B42/'- 3 -'!D42*100</f>
        <v>54.625127315693256</v>
      </c>
      <c r="D42" s="16">
        <f>B42/'- 7 -'!C42</f>
        <v>8519.9152356594805</v>
      </c>
      <c r="E42" s="16">
        <f>SUM('- 21 -'!B42,'- 21 -'!E42,'- 21 -'!H42,'- 22 -'!B42,'- 22 -'!E42,'- 22 -'!H42)</f>
        <v>3654643</v>
      </c>
      <c r="F42" s="267">
        <f>E42/'- 3 -'!D42*100</f>
        <v>17.122112498817028</v>
      </c>
      <c r="G42" s="16">
        <f>E42/'- 7 -'!E42</f>
        <v>2670.5465838509317</v>
      </c>
      <c r="H42" s="16">
        <f>SUM('- 23 -'!D42,'- 23 -'!B42)</f>
        <v>0</v>
      </c>
      <c r="I42" s="267">
        <f>H42/'- 3 -'!D42*100</f>
        <v>0</v>
      </c>
    </row>
    <row r="43" spans="1:10" ht="14.1" customHeight="1" x14ac:dyDescent="0.2">
      <c r="A43" s="271" t="s">
        <v>139</v>
      </c>
      <c r="B43" s="272">
        <f>SUM('- 18 -'!B43,'- 18 -'!E43,'- 19 -'!B43,'- 19 -'!E43,'- 19 -'!H43,'- 20 -'!B43)</f>
        <v>7815838</v>
      </c>
      <c r="C43" s="273">
        <f>B43/'- 3 -'!D43*100</f>
        <v>56.317075163669486</v>
      </c>
      <c r="D43" s="272">
        <f>B43/'- 7 -'!C43</f>
        <v>7776.9532338308454</v>
      </c>
      <c r="E43" s="272">
        <f>SUM('- 21 -'!B43,'- 21 -'!E43,'- 21 -'!H43,'- 22 -'!B43,'- 22 -'!E43,'- 22 -'!H43)</f>
        <v>2464128</v>
      </c>
      <c r="F43" s="273">
        <f>E43/'- 3 -'!D43*100</f>
        <v>17.755291472123982</v>
      </c>
      <c r="G43" s="272">
        <f>E43/'- 7 -'!E43</f>
        <v>2451.8686567164177</v>
      </c>
      <c r="H43" s="272">
        <f>SUM('- 23 -'!D43,'- 23 -'!B43)</f>
        <v>203922</v>
      </c>
      <c r="I43" s="273">
        <f>H43/'- 3 -'!D43*100</f>
        <v>1.4693613917696107</v>
      </c>
    </row>
    <row r="44" spans="1:10" ht="14.1" customHeight="1" x14ac:dyDescent="0.2">
      <c r="A44" s="15" t="s">
        <v>140</v>
      </c>
      <c r="B44" s="16">
        <f>SUM('- 18 -'!B44,'- 18 -'!E44,'- 19 -'!B44,'- 19 -'!E44,'- 19 -'!H44,'- 20 -'!B44)</f>
        <v>6112986</v>
      </c>
      <c r="C44" s="267">
        <f>B44/'- 3 -'!D44*100</f>
        <v>54.414719086151074</v>
      </c>
      <c r="D44" s="16">
        <f>B44/'- 7 -'!C44</f>
        <v>8814.6878154289843</v>
      </c>
      <c r="E44" s="16">
        <f>SUM('- 21 -'!B44,'- 21 -'!E44,'- 21 -'!H44,'- 22 -'!B44,'- 22 -'!E44,'- 22 -'!H44)</f>
        <v>1885421</v>
      </c>
      <c r="F44" s="267">
        <f>E44/'- 3 -'!D44*100</f>
        <v>16.783067076242293</v>
      </c>
      <c r="G44" s="16">
        <f>E44/'- 7 -'!E44</f>
        <v>2718.7036770007212</v>
      </c>
      <c r="H44" s="16">
        <f>SUM('- 23 -'!D44,'- 23 -'!B44)</f>
        <v>0</v>
      </c>
      <c r="I44" s="267">
        <f>H44/'- 3 -'!D44*100</f>
        <v>0</v>
      </c>
    </row>
    <row r="45" spans="1:10" ht="14.1" customHeight="1" x14ac:dyDescent="0.2">
      <c r="A45" s="271" t="s">
        <v>141</v>
      </c>
      <c r="B45" s="272">
        <f>SUM('- 18 -'!B45,'- 18 -'!E45,'- 19 -'!B45,'- 19 -'!E45,'- 19 -'!H45,'- 20 -'!B45)</f>
        <v>13972903</v>
      </c>
      <c r="C45" s="273">
        <f>B45/'- 3 -'!D45*100</f>
        <v>62.468729652703104</v>
      </c>
      <c r="D45" s="272">
        <f>B45/'- 7 -'!C45</f>
        <v>6733.9291566265056</v>
      </c>
      <c r="E45" s="272">
        <f>SUM('- 21 -'!B45,'- 21 -'!E45,'- 21 -'!H45,'- 22 -'!B45,'- 22 -'!E45,'- 22 -'!H45)</f>
        <v>3196362</v>
      </c>
      <c r="F45" s="273">
        <f>E45/'- 3 -'!D45*100</f>
        <v>14.2899921118878</v>
      </c>
      <c r="G45" s="272">
        <f>E45/'- 7 -'!E45</f>
        <v>1540.4154216867471</v>
      </c>
      <c r="H45" s="272">
        <f>SUM('- 23 -'!D45,'- 23 -'!B45)</f>
        <v>441456</v>
      </c>
      <c r="I45" s="273">
        <f>H45/'- 3 -'!D45*100</f>
        <v>1.9736196206016532</v>
      </c>
    </row>
    <row r="46" spans="1:10" ht="14.1" customHeight="1" x14ac:dyDescent="0.2">
      <c r="A46" s="15" t="s">
        <v>142</v>
      </c>
      <c r="B46" s="16">
        <f>SUM('- 18 -'!B46,'- 18 -'!E46,'- 19 -'!B46,'- 19 -'!E46,'- 19 -'!H46,'- 20 -'!B46)</f>
        <v>220200479</v>
      </c>
      <c r="C46" s="267">
        <f>B46/'- 3 -'!D46*100</f>
        <v>52.759607552753806</v>
      </c>
      <c r="D46" s="16">
        <f>B46/'- 7 -'!C46</f>
        <v>7360.3796837918244</v>
      </c>
      <c r="E46" s="16">
        <f>SUM('- 21 -'!B46,'- 21 -'!E46,'- 21 -'!H46,'- 22 -'!B46,'- 22 -'!E46,'- 22 -'!H46)</f>
        <v>96478511</v>
      </c>
      <c r="F46" s="267">
        <f>E46/'- 3 -'!D46*100</f>
        <v>23.116064055582918</v>
      </c>
      <c r="G46" s="16">
        <f>E46/'- 7 -'!E46</f>
        <v>3224.8725139552762</v>
      </c>
      <c r="H46" s="16">
        <f>SUM('- 23 -'!D46,'- 23 -'!B46)</f>
        <v>795800</v>
      </c>
      <c r="I46" s="267">
        <f>H46/'- 3 -'!D46*100</f>
        <v>0.19067213605144553</v>
      </c>
    </row>
    <row r="47" spans="1:10" ht="5.0999999999999996" customHeight="1" x14ac:dyDescent="0.2">
      <c r="A47"/>
      <c r="B47"/>
      <c r="C47"/>
      <c r="D47"/>
      <c r="E47"/>
      <c r="F47"/>
      <c r="G47"/>
      <c r="H47"/>
      <c r="I47"/>
      <c r="J47"/>
    </row>
    <row r="48" spans="1:10" ht="14.1" customHeight="1" x14ac:dyDescent="0.2">
      <c r="A48" s="274" t="s">
        <v>143</v>
      </c>
      <c r="B48" s="275">
        <f>SUM(B11:B46)</f>
        <v>1386885753</v>
      </c>
      <c r="C48" s="276">
        <f>B48/'- 3 -'!D48*100</f>
        <v>55.905405526172068</v>
      </c>
      <c r="D48" s="275">
        <f>B48/'- 7 -'!C48</f>
        <v>7612.496681951463</v>
      </c>
      <c r="E48" s="275">
        <f>SUM(E11:E46)</f>
        <v>461352996</v>
      </c>
      <c r="F48" s="276">
        <f>E48/'- 3 -'!D48*100</f>
        <v>18.597152848605578</v>
      </c>
      <c r="G48" s="275">
        <f>E48/'- 7 -'!E48</f>
        <v>2532.3269372847662</v>
      </c>
      <c r="H48" s="275">
        <f>SUM(H11:H46)</f>
        <v>9634412</v>
      </c>
      <c r="I48" s="276">
        <f>H48/'- 3 -'!D48*100</f>
        <v>0.38836343130724954</v>
      </c>
    </row>
    <row r="49" spans="1:9" ht="5.0999999999999996" customHeight="1" x14ac:dyDescent="0.2">
      <c r="A49" s="17" t="s">
        <v>1</v>
      </c>
      <c r="B49" s="18"/>
      <c r="C49" s="266"/>
      <c r="D49" s="18"/>
      <c r="E49" s="18"/>
      <c r="F49" s="266"/>
      <c r="H49" s="18"/>
      <c r="I49" s="266"/>
    </row>
    <row r="50" spans="1:9" ht="14.1" customHeight="1" x14ac:dyDescent="0.2">
      <c r="A50" s="15" t="s">
        <v>144</v>
      </c>
      <c r="B50" s="16">
        <f>SUM('- 18 -'!B50,'- 18 -'!E50,'- 19 -'!B50,'- 19 -'!E50,'- 19 -'!H50,'- 20 -'!B50)</f>
        <v>2035485</v>
      </c>
      <c r="C50" s="267">
        <f>B50/'- 3 -'!D50*100</f>
        <v>56.728090268420182</v>
      </c>
      <c r="D50" s="16">
        <f>B50/'- 7 -'!C50</f>
        <v>11834.215116279071</v>
      </c>
      <c r="E50" s="16">
        <f>SUM('- 21 -'!B50,'- 21 -'!E50,'- 21 -'!H50,'- 22 -'!B50,'- 22 -'!E50,'- 22 -'!H50)</f>
        <v>455480</v>
      </c>
      <c r="F50" s="267">
        <f>E50/'- 3 -'!D50*100</f>
        <v>12.694031425168953</v>
      </c>
      <c r="G50" s="16">
        <f>E50/'- 7 -'!E50</f>
        <v>2648.1395348837209</v>
      </c>
      <c r="H50" s="16">
        <f>SUM('- 23 -'!D50,'- 23 -'!B50)</f>
        <v>0</v>
      </c>
      <c r="I50" s="267">
        <f>H50/'- 3 -'!D50*100</f>
        <v>0</v>
      </c>
    </row>
    <row r="51" spans="1:9" ht="14.1" customHeight="1" x14ac:dyDescent="0.2">
      <c r="A51" s="360" t="s">
        <v>513</v>
      </c>
      <c r="B51" s="272">
        <f>SUM('- 18 -'!B51,'- 18 -'!E51,'- 19 -'!B51,'- 19 -'!E51,'- 19 -'!H51,'- 20 -'!B51)</f>
        <v>7943641</v>
      </c>
      <c r="C51" s="273">
        <f>B51/'- 3 -'!D51*100</f>
        <v>22.849357337096553</v>
      </c>
      <c r="D51" s="272">
        <f>B51/'- 7 -'!C51</f>
        <v>4477.5610168536159</v>
      </c>
      <c r="E51" s="272">
        <f>SUM('- 21 -'!B51,'- 21 -'!E51,'- 21 -'!H51,'- 22 -'!B51,'- 22 -'!E51,'- 22 -'!H51)</f>
        <v>1279959</v>
      </c>
      <c r="F51" s="273">
        <f>E51/'- 3 -'!D51*100</f>
        <v>3.6817173092078015</v>
      </c>
      <c r="G51" s="272">
        <f>E51/'- 7 -'!E51</f>
        <v>721.46947748154003</v>
      </c>
      <c r="H51" s="272">
        <f>SUM('- 23 -'!D51,'- 23 -'!B51)</f>
        <v>2907725</v>
      </c>
      <c r="I51" s="273">
        <f>H51/'- 3 -'!D51*100</f>
        <v>8.3638784233840724</v>
      </c>
    </row>
    <row r="52" spans="1:9" ht="50.1" customHeight="1" x14ac:dyDescent="0.2">
      <c r="A52"/>
      <c r="B52"/>
      <c r="C52"/>
      <c r="D52"/>
      <c r="E52"/>
      <c r="F52"/>
      <c r="G52"/>
      <c r="H52"/>
      <c r="I52"/>
    </row>
    <row r="53" spans="1:9" ht="15" customHeight="1" x14ac:dyDescent="0.2">
      <c r="A53" s="428"/>
      <c r="B53" s="428"/>
      <c r="C53" s="428"/>
      <c r="D53" s="428"/>
      <c r="E53" s="428"/>
      <c r="F53" s="428"/>
      <c r="G53" s="428"/>
      <c r="H53" s="428"/>
      <c r="I53" s="428"/>
    </row>
    <row r="54" spans="1:9" ht="14.45" customHeight="1" x14ac:dyDescent="0.2">
      <c r="B54" s="72"/>
      <c r="C54" s="72"/>
      <c r="E54" s="72"/>
      <c r="F54" s="72"/>
      <c r="H54" s="72"/>
      <c r="I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D7"/>
    <mergeCell ref="E6:G7"/>
    <mergeCell ref="H6:I7"/>
    <mergeCell ref="D8:D9"/>
    <mergeCell ref="G8:G9"/>
  </mergeCells>
  <phoneticPr fontId="0" type="noConversion"/>
  <printOptions horizontalCentered="1"/>
  <pageMargins left="0.51181102362204722" right="0.51181102362204722" top="0.59055118110236227" bottom="0" header="0.31496062992125984" footer="0"/>
  <pageSetup scale="92"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59"/>
  <sheetViews>
    <sheetView showGridLines="0" showZeros="0" workbookViewId="0"/>
  </sheetViews>
  <sheetFormatPr defaultColWidth="15.83203125" defaultRowHeight="12" x14ac:dyDescent="0.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AEXP_BF</f>
        <v>ANALYSIS OF EXPENSE BY FUNCTION</v>
      </c>
      <c r="C2" s="6"/>
      <c r="D2" s="6"/>
      <c r="E2" s="6"/>
      <c r="F2" s="6"/>
      <c r="G2" s="85"/>
      <c r="H2" s="92"/>
      <c r="I2" s="150" t="s">
        <v>2</v>
      </c>
    </row>
    <row r="3" spans="1:9" ht="15.95" customHeight="1" x14ac:dyDescent="0.2">
      <c r="A3" s="135"/>
      <c r="B3" s="7" t="str">
        <f>+'- 15 -'!B3</f>
        <v>OPERATING FUND 2020/2021 BUDGET</v>
      </c>
      <c r="C3" s="8"/>
      <c r="D3" s="8"/>
      <c r="E3" s="8"/>
      <c r="F3" s="8"/>
      <c r="G3" s="87"/>
      <c r="H3" s="81"/>
      <c r="I3" s="81"/>
    </row>
    <row r="4" spans="1:9" ht="15.95" customHeight="1" x14ac:dyDescent="0.2">
      <c r="B4" s="4"/>
      <c r="C4" s="4"/>
      <c r="D4" s="4"/>
      <c r="E4" s="4"/>
      <c r="F4" s="4"/>
      <c r="G4" s="4"/>
      <c r="H4" s="4"/>
      <c r="I4" s="4"/>
    </row>
    <row r="5" spans="1:9" ht="15.95" customHeight="1" x14ac:dyDescent="0.2">
      <c r="B5" s="4"/>
      <c r="C5" s="4"/>
      <c r="D5" s="4"/>
      <c r="E5" s="4"/>
      <c r="F5" s="4"/>
      <c r="G5" s="4"/>
      <c r="H5" s="4"/>
      <c r="I5" s="4"/>
    </row>
    <row r="6" spans="1:9" ht="15.95" customHeight="1" x14ac:dyDescent="0.2">
      <c r="B6" s="626" t="s">
        <v>399</v>
      </c>
      <c r="C6" s="623"/>
      <c r="D6" s="622" t="s">
        <v>400</v>
      </c>
      <c r="E6" s="632"/>
      <c r="F6" s="623"/>
      <c r="G6" s="626" t="s">
        <v>395</v>
      </c>
      <c r="H6" s="632"/>
      <c r="I6" s="623"/>
    </row>
    <row r="7" spans="1:9" ht="15.95" customHeight="1" x14ac:dyDescent="0.2">
      <c r="B7" s="624"/>
      <c r="C7" s="625"/>
      <c r="D7" s="624"/>
      <c r="E7" s="633"/>
      <c r="F7" s="625"/>
      <c r="G7" s="624"/>
      <c r="H7" s="633"/>
      <c r="I7" s="625"/>
    </row>
    <row r="8" spans="1:9" ht="15.95" customHeight="1" x14ac:dyDescent="0.2">
      <c r="A8" s="82"/>
      <c r="B8" s="10" t="s">
        <v>1</v>
      </c>
      <c r="C8" s="176"/>
      <c r="D8" s="138"/>
      <c r="E8" s="137"/>
      <c r="F8" s="540" t="s">
        <v>396</v>
      </c>
      <c r="G8" s="138"/>
      <c r="H8" s="137"/>
      <c r="I8" s="540" t="s">
        <v>396</v>
      </c>
    </row>
    <row r="9" spans="1:9" ht="15.95" customHeight="1" x14ac:dyDescent="0.2">
      <c r="A9" s="27" t="s">
        <v>37</v>
      </c>
      <c r="B9" s="89" t="s">
        <v>38</v>
      </c>
      <c r="C9" s="89" t="s">
        <v>39</v>
      </c>
      <c r="D9" s="89" t="s">
        <v>38</v>
      </c>
      <c r="E9" s="89" t="s">
        <v>39</v>
      </c>
      <c r="F9" s="580"/>
      <c r="G9" s="89" t="s">
        <v>38</v>
      </c>
      <c r="H9" s="89" t="s">
        <v>39</v>
      </c>
      <c r="I9" s="580"/>
    </row>
    <row r="10" spans="1:9" ht="5.0999999999999996" customHeight="1" x14ac:dyDescent="0.2">
      <c r="A10" s="29"/>
    </row>
    <row r="11" spans="1:9" ht="14.1" customHeight="1" x14ac:dyDescent="0.2">
      <c r="A11" s="271" t="s">
        <v>108</v>
      </c>
      <c r="B11" s="272">
        <f>SUM('- 24 -'!H11,'- 24 -'!F11,'- 24 -'!D11,'- 24 -'!B11)</f>
        <v>24310</v>
      </c>
      <c r="C11" s="273">
        <f>B11/'- 3 -'!D11*100</f>
        <v>0.10945351987166699</v>
      </c>
      <c r="D11" s="272">
        <f>SUM('- 25 -'!B11,'- 25 -'!E11,'- 25 -'!H11,'- 26 -'!B11)</f>
        <v>663261</v>
      </c>
      <c r="E11" s="273">
        <f>D11/'- 3 -'!D11*100</f>
        <v>2.9862711247882237</v>
      </c>
      <c r="F11" s="272">
        <f>D11/'- 7 -'!E11</f>
        <v>332.54499874655301</v>
      </c>
      <c r="G11" s="272">
        <f>SUM('- 27 -'!B11,'- 27 -'!E11,'- 27 -'!H11,'- 28 -'!B11,'- 28 -'!E11)</f>
        <v>630359</v>
      </c>
      <c r="H11" s="273">
        <f>G11/'- 3 -'!D11*100</f>
        <v>2.838132921957389</v>
      </c>
      <c r="I11" s="272">
        <f>G11/'- 7 -'!E11</f>
        <v>316.04863374279267</v>
      </c>
    </row>
    <row r="12" spans="1:9" ht="14.1" customHeight="1" x14ac:dyDescent="0.2">
      <c r="A12" s="15" t="s">
        <v>109</v>
      </c>
      <c r="B12" s="16">
        <f>SUM('- 24 -'!H12,'- 24 -'!F12,'- 24 -'!D12,'- 24 -'!B12)</f>
        <v>86111</v>
      </c>
      <c r="C12" s="267">
        <f>B12/'- 3 -'!D12*100</f>
        <v>0.24820310647181437</v>
      </c>
      <c r="D12" s="16">
        <f>SUM('- 25 -'!B12,'- 25 -'!E12,'- 25 -'!H12,'- 26 -'!B12)</f>
        <v>1134280</v>
      </c>
      <c r="E12" s="267">
        <f>D12/'- 3 -'!D12*100</f>
        <v>3.2694059946911498</v>
      </c>
      <c r="F12" s="16">
        <f>D12/'- 7 -'!E12</f>
        <v>526.59238625812441</v>
      </c>
      <c r="G12" s="16">
        <f>SUM('- 27 -'!B12,'- 27 -'!E12,'- 27 -'!H12,'- 28 -'!B12,'- 28 -'!E12)</f>
        <v>889353</v>
      </c>
      <c r="H12" s="267">
        <f>G12/'- 3 -'!D12*100</f>
        <v>2.5634376252746747</v>
      </c>
      <c r="I12" s="16">
        <f>G12/'- 7 -'!E12</f>
        <v>412.88440111420613</v>
      </c>
    </row>
    <row r="13" spans="1:9" ht="14.1" customHeight="1" x14ac:dyDescent="0.2">
      <c r="A13" s="271" t="s">
        <v>110</v>
      </c>
      <c r="B13" s="272">
        <f>SUM('- 24 -'!H13,'- 24 -'!F13,'- 24 -'!D13,'- 24 -'!B13)</f>
        <v>429600</v>
      </c>
      <c r="C13" s="273">
        <f>B13/'- 3 -'!D13*100</f>
        <v>0.39944843386645812</v>
      </c>
      <c r="D13" s="272">
        <f>SUM('- 25 -'!B13,'- 25 -'!E13,'- 25 -'!H13,'- 26 -'!B13)</f>
        <v>3031700</v>
      </c>
      <c r="E13" s="273">
        <f>D13/'- 3 -'!D13*100</f>
        <v>2.8189194994249096</v>
      </c>
      <c r="F13" s="272">
        <f>D13/'- 7 -'!E13</f>
        <v>346.81690785334325</v>
      </c>
      <c r="G13" s="272">
        <f>SUM('- 27 -'!B13,'- 27 -'!E13,'- 27 -'!H13,'- 28 -'!B13,'- 28 -'!E13)</f>
        <v>3336600</v>
      </c>
      <c r="H13" s="273">
        <f>G13/'- 3 -'!D13*100</f>
        <v>3.1024200289544326</v>
      </c>
      <c r="I13" s="272">
        <f>G13/'- 7 -'!E13</f>
        <v>381.69650517645715</v>
      </c>
    </row>
    <row r="14" spans="1:9" ht="14.1" customHeight="1" x14ac:dyDescent="0.2">
      <c r="A14" s="15" t="s">
        <v>319</v>
      </c>
      <c r="B14" s="16">
        <f>SUM('- 24 -'!H14,'- 24 -'!F14,'- 24 -'!D14,'- 24 -'!B14)</f>
        <v>1593826</v>
      </c>
      <c r="C14" s="267">
        <f>B14/'- 3 -'!D14*100</f>
        <v>1.641556216873044</v>
      </c>
      <c r="D14" s="16">
        <f>SUM('- 25 -'!B14,'- 25 -'!E14,'- 25 -'!H14,'- 26 -'!B14)</f>
        <v>3689513</v>
      </c>
      <c r="E14" s="267">
        <f>D14/'- 3 -'!D14*100</f>
        <v>3.8000026366641753</v>
      </c>
      <c r="F14" s="16">
        <f>D14/'- 7 -'!E14</f>
        <v>615.63707658935425</v>
      </c>
      <c r="G14" s="16">
        <f>SUM('- 27 -'!B14,'- 27 -'!E14,'- 27 -'!H14,'- 28 -'!B14,'- 28 -'!E14)</f>
        <v>3746401</v>
      </c>
      <c r="H14" s="267">
        <f>G14/'- 3 -'!D14*100</f>
        <v>3.8585942583753736</v>
      </c>
      <c r="I14" s="16">
        <f>G14/'- 7 -'!E14</f>
        <v>625.12948439846491</v>
      </c>
    </row>
    <row r="15" spans="1:9" ht="14.1" customHeight="1" x14ac:dyDescent="0.2">
      <c r="A15" s="271" t="s">
        <v>111</v>
      </c>
      <c r="B15" s="272">
        <f>SUM('- 24 -'!H15,'- 24 -'!F15,'- 24 -'!D15,'- 24 -'!B15)</f>
        <v>70800</v>
      </c>
      <c r="C15" s="273">
        <f>B15/'- 3 -'!D15*100</f>
        <v>0.33496112771381792</v>
      </c>
      <c r="D15" s="272">
        <f>SUM('- 25 -'!B15,'- 25 -'!E15,'- 25 -'!H15,'- 26 -'!B15)</f>
        <v>766974</v>
      </c>
      <c r="E15" s="273">
        <f>D15/'- 3 -'!D15*100</f>
        <v>3.6286225419092903</v>
      </c>
      <c r="F15" s="272">
        <f>D15/'- 7 -'!E15</f>
        <v>549.80215053763436</v>
      </c>
      <c r="G15" s="272">
        <f>SUM('- 27 -'!B15,'- 27 -'!E15,'- 27 -'!H15,'- 28 -'!B15,'- 28 -'!E15)</f>
        <v>603455</v>
      </c>
      <c r="H15" s="273">
        <f>G15/'- 3 -'!D15*100</f>
        <v>2.8549995384822315</v>
      </c>
      <c r="I15" s="272">
        <f>G15/'- 7 -'!E15</f>
        <v>432.584229390681</v>
      </c>
    </row>
    <row r="16" spans="1:9" ht="14.1" customHeight="1" x14ac:dyDescent="0.2">
      <c r="A16" s="15" t="s">
        <v>112</v>
      </c>
      <c r="B16" s="16">
        <f>SUM('- 24 -'!H16,'- 24 -'!F16,'- 24 -'!D16,'- 24 -'!B16)</f>
        <v>13090</v>
      </c>
      <c r="C16" s="267">
        <f>B16/'- 3 -'!D16*100</f>
        <v>8.7524724564572845E-2</v>
      </c>
      <c r="D16" s="16">
        <f>SUM('- 25 -'!B16,'- 25 -'!E16,'- 25 -'!H16,'- 26 -'!B16)</f>
        <v>612468</v>
      </c>
      <c r="E16" s="267">
        <f>D16/'- 3 -'!D16*100</f>
        <v>4.0951942707879914</v>
      </c>
      <c r="F16" s="16">
        <f>D16/'- 7 -'!E16</f>
        <v>646.0632911392405</v>
      </c>
      <c r="G16" s="16">
        <f>SUM('- 27 -'!B16,'- 27 -'!E16,'- 27 -'!H16,'- 28 -'!B16,'- 28 -'!E16)</f>
        <v>279787</v>
      </c>
      <c r="H16" s="267">
        <f>G16/'- 3 -'!D16*100</f>
        <v>1.8707624225934412</v>
      </c>
      <c r="I16" s="16">
        <f>G16/'- 7 -'!E16</f>
        <v>295.13396624472574</v>
      </c>
    </row>
    <row r="17" spans="1:9" ht="14.1" customHeight="1" x14ac:dyDescent="0.2">
      <c r="A17" s="271" t="s">
        <v>113</v>
      </c>
      <c r="B17" s="272">
        <f>SUM('- 24 -'!H17,'- 24 -'!F17,'- 24 -'!D17,'- 24 -'!B17)</f>
        <v>295290</v>
      </c>
      <c r="C17" s="273">
        <f>B17/'- 3 -'!D17*100</f>
        <v>1.5697942851279945</v>
      </c>
      <c r="D17" s="272">
        <f>SUM('- 25 -'!B17,'- 25 -'!E17,'- 25 -'!H17,'- 26 -'!B17)</f>
        <v>698205</v>
      </c>
      <c r="E17" s="273">
        <f>D17/'- 3 -'!D17*100</f>
        <v>3.7117349684980581</v>
      </c>
      <c r="F17" s="272">
        <f>D17/'- 7 -'!E17</f>
        <v>482.8526970954357</v>
      </c>
      <c r="G17" s="272">
        <f>SUM('- 27 -'!B17,'- 27 -'!E17,'- 27 -'!H17,'- 28 -'!B17,'- 28 -'!E17)</f>
        <v>386540</v>
      </c>
      <c r="H17" s="273">
        <f>G17/'- 3 -'!D17*100</f>
        <v>2.0548893730684243</v>
      </c>
      <c r="I17" s="272">
        <f>G17/'- 7 -'!E17</f>
        <v>267.31673582295991</v>
      </c>
    </row>
    <row r="18" spans="1:9" ht="14.1" customHeight="1" x14ac:dyDescent="0.2">
      <c r="A18" s="15" t="s">
        <v>114</v>
      </c>
      <c r="B18" s="16">
        <f>SUM('- 24 -'!H18,'- 24 -'!F18,'- 24 -'!D18,'- 24 -'!B18)</f>
        <v>2124264</v>
      </c>
      <c r="C18" s="267">
        <f>B18/'- 3 -'!D18*100</f>
        <v>1.5260440719916506</v>
      </c>
      <c r="D18" s="16">
        <f>SUM('- 25 -'!B18,'- 25 -'!E18,'- 25 -'!H18,'- 26 -'!B18)</f>
        <v>7417882</v>
      </c>
      <c r="E18" s="267">
        <f>D18/'- 3 -'!D18*100</f>
        <v>5.3289114972684981</v>
      </c>
      <c r="F18" s="16">
        <f>D18/'- 7 -'!E18</f>
        <v>1238.5844047420271</v>
      </c>
      <c r="G18" s="16">
        <f>SUM('- 27 -'!B18,'- 27 -'!E18,'- 27 -'!H18,'- 28 -'!B18,'- 28 -'!E18)</f>
        <v>7880166</v>
      </c>
      <c r="H18" s="267">
        <f>G18/'- 3 -'!D18*100</f>
        <v>5.6610104067150582</v>
      </c>
      <c r="I18" s="16">
        <f>G18/'- 7 -'!E18</f>
        <v>1315.7732509600935</v>
      </c>
    </row>
    <row r="19" spans="1:9" ht="14.1" customHeight="1" x14ac:dyDescent="0.2">
      <c r="A19" s="271" t="s">
        <v>115</v>
      </c>
      <c r="B19" s="272">
        <f>SUM('- 24 -'!H19,'- 24 -'!F19,'- 24 -'!D19,'- 24 -'!B19)</f>
        <v>87800</v>
      </c>
      <c r="C19" s="273">
        <f>B19/'- 3 -'!D19*100</f>
        <v>0.17032139919611403</v>
      </c>
      <c r="D19" s="272">
        <f>SUM('- 25 -'!B19,'- 25 -'!E19,'- 25 -'!H19,'- 26 -'!B19)</f>
        <v>1568400</v>
      </c>
      <c r="E19" s="273">
        <f>D19/'- 3 -'!D19*100</f>
        <v>3.0425066343870757</v>
      </c>
      <c r="F19" s="272">
        <f>D19/'- 7 -'!E19</f>
        <v>352.56828144318308</v>
      </c>
      <c r="G19" s="272">
        <f>SUM('- 27 -'!B19,'- 27 -'!E19,'- 27 -'!H19,'- 28 -'!B19,'- 28 -'!E19)</f>
        <v>1750700</v>
      </c>
      <c r="H19" s="273">
        <f>G19/'- 3 -'!D19*100</f>
        <v>3.3961466238341327</v>
      </c>
      <c r="I19" s="272">
        <f>G19/'- 7 -'!E19</f>
        <v>393.54838709677421</v>
      </c>
    </row>
    <row r="20" spans="1:9" ht="14.1" customHeight="1" x14ac:dyDescent="0.2">
      <c r="A20" s="15" t="s">
        <v>116</v>
      </c>
      <c r="B20" s="16">
        <f>SUM('- 24 -'!H20,'- 24 -'!F20,'- 24 -'!D20,'- 24 -'!B20)</f>
        <v>114000</v>
      </c>
      <c r="C20" s="267">
        <f>B20/'- 3 -'!D20*100</f>
        <v>0.12399970849191336</v>
      </c>
      <c r="D20" s="16">
        <f>SUM('- 25 -'!B20,'- 25 -'!E20,'- 25 -'!H20,'- 26 -'!B20)</f>
        <v>2308800</v>
      </c>
      <c r="E20" s="267">
        <f>D20/'- 3 -'!D20*100</f>
        <v>2.511320411983593</v>
      </c>
      <c r="F20" s="16">
        <f>D20/'- 7 -'!E20</f>
        <v>283.56669123065586</v>
      </c>
      <c r="G20" s="16">
        <f>SUM('- 27 -'!B20,'- 27 -'!E20,'- 27 -'!H20,'- 28 -'!B20,'- 28 -'!E20)</f>
        <v>2420900</v>
      </c>
      <c r="H20" s="267">
        <f>G20/'- 3 -'!D20*100</f>
        <v>2.6332534586673075</v>
      </c>
      <c r="I20" s="16">
        <f>G20/'- 7 -'!E20</f>
        <v>297.33480717268486</v>
      </c>
    </row>
    <row r="21" spans="1:9" ht="14.1" customHeight="1" x14ac:dyDescent="0.2">
      <c r="A21" s="271" t="s">
        <v>117</v>
      </c>
      <c r="B21" s="272">
        <f>SUM('- 24 -'!H21,'- 24 -'!F21,'- 24 -'!D21,'- 24 -'!B21)</f>
        <v>315000</v>
      </c>
      <c r="C21" s="273">
        <f>B21/'- 3 -'!D21*100</f>
        <v>0.82493665664957871</v>
      </c>
      <c r="D21" s="272">
        <f>SUM('- 25 -'!B21,'- 25 -'!E21,'- 25 -'!H21,'- 26 -'!B21)</f>
        <v>1294000</v>
      </c>
      <c r="E21" s="273">
        <f>D21/'- 3 -'!D21*100</f>
        <v>3.388787408585888</v>
      </c>
      <c r="F21" s="272">
        <f>D21/'- 7 -'!E21</f>
        <v>461.97786504819709</v>
      </c>
      <c r="G21" s="272">
        <f>SUM('- 27 -'!B21,'- 27 -'!E21,'- 27 -'!H21,'- 28 -'!B21,'- 28 -'!E21)</f>
        <v>1188050</v>
      </c>
      <c r="H21" s="273">
        <f>G21/'- 3 -'!D21*100</f>
        <v>3.1113206188334348</v>
      </c>
      <c r="I21" s="272">
        <f>G21/'- 7 -'!E21</f>
        <v>424.15208853980721</v>
      </c>
    </row>
    <row r="22" spans="1:9" ht="14.1" customHeight="1" x14ac:dyDescent="0.2">
      <c r="A22" s="15" t="s">
        <v>118</v>
      </c>
      <c r="B22" s="16">
        <f>SUM('- 24 -'!H22,'- 24 -'!F22,'- 24 -'!D22,'- 24 -'!B22)</f>
        <v>76875</v>
      </c>
      <c r="C22" s="267">
        <f>B22/'- 3 -'!D22*100</f>
        <v>0.3758631100441624</v>
      </c>
      <c r="D22" s="16">
        <f>SUM('- 25 -'!B22,'- 25 -'!E22,'- 25 -'!H22,'- 26 -'!B22)</f>
        <v>861685</v>
      </c>
      <c r="E22" s="267">
        <f>D22/'- 3 -'!D22*100</f>
        <v>4.2130159867109471</v>
      </c>
      <c r="F22" s="16">
        <f>D22/'- 7 -'!E22</f>
        <v>600.68665040083658</v>
      </c>
      <c r="G22" s="16">
        <f>SUM('- 27 -'!B22,'- 27 -'!E22,'- 27 -'!H22,'- 28 -'!B22,'- 28 -'!E22)</f>
        <v>483653</v>
      </c>
      <c r="H22" s="267">
        <f>G22/'- 3 -'!D22*100</f>
        <v>2.364713115605714</v>
      </c>
      <c r="I22" s="16">
        <f>G22/'- 7 -'!E22</f>
        <v>337.15789473684208</v>
      </c>
    </row>
    <row r="23" spans="1:9" ht="14.1" customHeight="1" x14ac:dyDescent="0.2">
      <c r="A23" s="271" t="s">
        <v>119</v>
      </c>
      <c r="B23" s="272">
        <f>SUM('- 24 -'!H23,'- 24 -'!F23,'- 24 -'!D23,'- 24 -'!B23)</f>
        <v>289000</v>
      </c>
      <c r="C23" s="273">
        <f>B23/'- 3 -'!D23*100</f>
        <v>1.8099020429660724</v>
      </c>
      <c r="D23" s="272">
        <f>SUM('- 25 -'!B23,'- 25 -'!E23,'- 25 -'!H23,'- 26 -'!B23)</f>
        <v>576450</v>
      </c>
      <c r="E23" s="273">
        <f>D23/'- 3 -'!D23*100</f>
        <v>3.6100969988504925</v>
      </c>
      <c r="F23" s="272">
        <f>D23/'- 7 -'!E23</f>
        <v>618.50858369098717</v>
      </c>
      <c r="G23" s="272">
        <f>SUM('- 27 -'!B23,'- 27 -'!E23,'- 27 -'!H23,'- 28 -'!B23,'- 28 -'!E23)</f>
        <v>386800</v>
      </c>
      <c r="H23" s="273">
        <f>G23/'- 3 -'!D23*100</f>
        <v>2.422387924634176</v>
      </c>
      <c r="I23" s="272">
        <f>G23/'- 7 -'!E23</f>
        <v>415.0214592274678</v>
      </c>
    </row>
    <row r="24" spans="1:9" ht="14.1" customHeight="1" x14ac:dyDescent="0.2">
      <c r="A24" s="15" t="s">
        <v>120</v>
      </c>
      <c r="B24" s="16">
        <f>SUM('- 24 -'!H24,'- 24 -'!F24,'- 24 -'!D24,'- 24 -'!B24)</f>
        <v>423007</v>
      </c>
      <c r="C24" s="267">
        <f>B24/'- 3 -'!D24*100</f>
        <v>0.71855718822183656</v>
      </c>
      <c r="D24" s="16">
        <f>SUM('- 25 -'!B24,'- 25 -'!E24,'- 25 -'!H24,'- 26 -'!B24)</f>
        <v>1864693</v>
      </c>
      <c r="E24" s="267">
        <f>D24/'- 3 -'!D24*100</f>
        <v>3.1675328280074346</v>
      </c>
      <c r="F24" s="16">
        <f>D24/'- 7 -'!E24</f>
        <v>501.26155913978494</v>
      </c>
      <c r="G24" s="16">
        <f>SUM('- 27 -'!B24,'- 27 -'!E24,'- 27 -'!H24,'- 28 -'!B24,'- 28 -'!E24)</f>
        <v>1240340</v>
      </c>
      <c r="H24" s="267">
        <f>G24/'- 3 -'!D24*100</f>
        <v>2.1069514755998666</v>
      </c>
      <c r="I24" s="16">
        <f>G24/'- 7 -'!E24</f>
        <v>333.42473118279571</v>
      </c>
    </row>
    <row r="25" spans="1:9" ht="14.1" customHeight="1" x14ac:dyDescent="0.2">
      <c r="A25" s="271" t="s">
        <v>121</v>
      </c>
      <c r="B25" s="272">
        <f>SUM('- 24 -'!H25,'- 24 -'!F25,'- 24 -'!D25,'- 24 -'!B25)</f>
        <v>1897157</v>
      </c>
      <c r="C25" s="273">
        <f>B25/'- 3 -'!D25*100</f>
        <v>0.97540596319406347</v>
      </c>
      <c r="D25" s="272">
        <f>SUM('- 25 -'!B25,'- 25 -'!E25,'- 25 -'!H25,'- 26 -'!B25)</f>
        <v>6195916</v>
      </c>
      <c r="E25" s="273">
        <f>D25/'- 3 -'!D25*100</f>
        <v>3.185573684122879</v>
      </c>
      <c r="F25" s="272">
        <f>D25/'- 7 -'!E25</f>
        <v>409.07936088736301</v>
      </c>
      <c r="G25" s="272">
        <f>SUM('- 27 -'!B25,'- 27 -'!E25,'- 27 -'!H25,'- 28 -'!B25,'- 28 -'!E25)</f>
        <v>8821404</v>
      </c>
      <c r="H25" s="273">
        <f>G25/'- 3 -'!D25*100</f>
        <v>4.5354443861757163</v>
      </c>
      <c r="I25" s="272">
        <f>G25/'- 7 -'!E25</f>
        <v>582.42466657863463</v>
      </c>
    </row>
    <row r="26" spans="1:9" ht="14.1" customHeight="1" x14ac:dyDescent="0.2">
      <c r="A26" s="15" t="s">
        <v>122</v>
      </c>
      <c r="B26" s="16">
        <f>SUM('- 24 -'!H26,'- 24 -'!F26,'- 24 -'!D26,'- 24 -'!B26)</f>
        <v>100358</v>
      </c>
      <c r="C26" s="267">
        <f>B26/'- 3 -'!D26*100</f>
        <v>0.23853792448284536</v>
      </c>
      <c r="D26" s="16">
        <f>SUM('- 25 -'!B26,'- 25 -'!E26,'- 25 -'!H26,'- 26 -'!B26)</f>
        <v>1371046</v>
      </c>
      <c r="E26" s="267">
        <f>D26/'- 3 -'!D26*100</f>
        <v>3.2587981746398613</v>
      </c>
      <c r="F26" s="16">
        <f>D26/'- 7 -'!E26</f>
        <v>444.71164450210836</v>
      </c>
      <c r="G26" s="16">
        <f>SUM('- 27 -'!B26,'- 27 -'!E26,'- 27 -'!H26,'- 28 -'!B26,'- 28 -'!E26)</f>
        <v>1556120</v>
      </c>
      <c r="H26" s="267">
        <f>G26/'- 3 -'!D26*100</f>
        <v>3.6986950222826809</v>
      </c>
      <c r="I26" s="16">
        <f>G26/'- 7 -'!E26</f>
        <v>504.74213428478754</v>
      </c>
    </row>
    <row r="27" spans="1:9" ht="14.1" customHeight="1" x14ac:dyDescent="0.2">
      <c r="A27" s="271" t="s">
        <v>123</v>
      </c>
      <c r="B27" s="272">
        <f>SUM('- 24 -'!H27,'- 24 -'!F27,'- 24 -'!D27,'- 24 -'!B27)</f>
        <v>57234</v>
      </c>
      <c r="C27" s="273">
        <f>B27/'- 3 -'!D27*100</f>
        <v>0.13380521683241292</v>
      </c>
      <c r="D27" s="272">
        <f>SUM('- 25 -'!B27,'- 25 -'!E27,'- 25 -'!H27,'- 26 -'!B27)</f>
        <v>1798574</v>
      </c>
      <c r="E27" s="273">
        <f>D27/'- 3 -'!D27*100</f>
        <v>4.2048185354708787</v>
      </c>
      <c r="F27" s="272">
        <f>D27/'- 7 -'!E27</f>
        <v>598.32801064537591</v>
      </c>
      <c r="G27" s="272">
        <f>SUM('- 27 -'!B27,'- 27 -'!E27,'- 27 -'!H27,'- 28 -'!B27,'- 28 -'!E27)</f>
        <v>1645880</v>
      </c>
      <c r="H27" s="273">
        <f>G27/'- 3 -'!D27*100</f>
        <v>3.8478409735494949</v>
      </c>
      <c r="I27" s="272">
        <f>G27/'- 7 -'!E27</f>
        <v>547.5316034597472</v>
      </c>
    </row>
    <row r="28" spans="1:9" ht="14.1" customHeight="1" x14ac:dyDescent="0.2">
      <c r="A28" s="15" t="s">
        <v>124</v>
      </c>
      <c r="B28" s="16">
        <f>SUM('- 24 -'!H28,'- 24 -'!F28,'- 24 -'!D28,'- 24 -'!B28)</f>
        <v>111662</v>
      </c>
      <c r="C28" s="267">
        <f>B28/'- 3 -'!D28*100</f>
        <v>0.38790436768812409</v>
      </c>
      <c r="D28" s="16">
        <f>SUM('- 25 -'!B28,'- 25 -'!E28,'- 25 -'!H28,'- 26 -'!B28)</f>
        <v>1103136</v>
      </c>
      <c r="E28" s="267">
        <f>D28/'- 3 -'!D28*100</f>
        <v>3.8322013984525305</v>
      </c>
      <c r="F28" s="16">
        <f>D28/'- 7 -'!E28</f>
        <v>546.37741456166418</v>
      </c>
      <c r="G28" s="16">
        <f>SUM('- 27 -'!B28,'- 27 -'!E28,'- 27 -'!H28,'- 28 -'!B28,'- 28 -'!E28)</f>
        <v>681470</v>
      </c>
      <c r="H28" s="267">
        <f>G28/'- 3 -'!D28*100</f>
        <v>2.3673692881054067</v>
      </c>
      <c r="I28" s="16">
        <f>G28/'- 7 -'!E28</f>
        <v>337.52847944526991</v>
      </c>
    </row>
    <row r="29" spans="1:9" ht="14.1" customHeight="1" x14ac:dyDescent="0.2">
      <c r="A29" s="271" t="s">
        <v>125</v>
      </c>
      <c r="B29" s="272">
        <f>SUM('- 24 -'!H29,'- 24 -'!F29,'- 24 -'!D29,'- 24 -'!B29)</f>
        <v>435378</v>
      </c>
      <c r="C29" s="273">
        <f>B29/'- 3 -'!D29*100</f>
        <v>0.2445971316789915</v>
      </c>
      <c r="D29" s="272">
        <f>SUM('- 25 -'!B29,'- 25 -'!E29,'- 25 -'!H29,'- 26 -'!B29)</f>
        <v>5388179</v>
      </c>
      <c r="E29" s="273">
        <f>D29/'- 3 -'!D29*100</f>
        <v>3.0271008833082447</v>
      </c>
      <c r="F29" s="272">
        <f>D29/'- 7 -'!E29</f>
        <v>374.56927354883561</v>
      </c>
      <c r="G29" s="272">
        <f>SUM('- 27 -'!B29,'- 27 -'!E29,'- 27 -'!H29,'- 28 -'!B29,'- 28 -'!E29)</f>
        <v>6827598</v>
      </c>
      <c r="H29" s="273">
        <f>G29/'- 3 -'!D29*100</f>
        <v>3.8357723335979745</v>
      </c>
      <c r="I29" s="272">
        <f>G29/'- 7 -'!E29</f>
        <v>474.63315954118872</v>
      </c>
    </row>
    <row r="30" spans="1:9" ht="14.1" customHeight="1" x14ac:dyDescent="0.2">
      <c r="A30" s="15" t="s">
        <v>126</v>
      </c>
      <c r="B30" s="16">
        <f>SUM('- 24 -'!H30,'- 24 -'!F30,'- 24 -'!D30,'- 24 -'!B30)</f>
        <v>14790</v>
      </c>
      <c r="C30" s="267">
        <f>B30/'- 3 -'!D30*100</f>
        <v>9.4074394463667818E-2</v>
      </c>
      <c r="D30" s="16">
        <f>SUM('- 25 -'!B30,'- 25 -'!E30,'- 25 -'!H30,'- 26 -'!B30)</f>
        <v>540432</v>
      </c>
      <c r="E30" s="267">
        <f>D30/'- 3 -'!D30*100</f>
        <v>3.4375127213515162</v>
      </c>
      <c r="F30" s="16">
        <f>D30/'- 7 -'!E30</f>
        <v>516.41853798375541</v>
      </c>
      <c r="G30" s="16">
        <f>SUM('- 27 -'!B30,'- 27 -'!E30,'- 27 -'!H30,'- 28 -'!B30,'- 28 -'!E30)</f>
        <v>562032</v>
      </c>
      <c r="H30" s="267">
        <f>G30/'- 3 -'!D30*100</f>
        <v>3.5749033177284755</v>
      </c>
      <c r="I30" s="16">
        <f>G30/'- 7 -'!E30</f>
        <v>537.0587673196369</v>
      </c>
    </row>
    <row r="31" spans="1:9" ht="14.1" customHeight="1" x14ac:dyDescent="0.2">
      <c r="A31" s="271" t="s">
        <v>127</v>
      </c>
      <c r="B31" s="272">
        <f>SUM('- 24 -'!H31,'- 24 -'!F31,'- 24 -'!D31,'- 24 -'!B31)</f>
        <v>61035</v>
      </c>
      <c r="C31" s="273">
        <f>B31/'- 3 -'!D31*100</f>
        <v>0.14942067083136648</v>
      </c>
      <c r="D31" s="272">
        <f>SUM('- 25 -'!B31,'- 25 -'!E31,'- 25 -'!H31,'- 26 -'!B31)</f>
        <v>1070110</v>
      </c>
      <c r="E31" s="273">
        <f>D31/'- 3 -'!D31*100</f>
        <v>2.6197518483387165</v>
      </c>
      <c r="F31" s="272">
        <f>D31/'- 7 -'!E31</f>
        <v>319.24522673031026</v>
      </c>
      <c r="G31" s="272">
        <f>SUM('- 27 -'!B31,'- 27 -'!E31,'- 27 -'!H31,'- 28 -'!B31,'- 28 -'!E31)</f>
        <v>1799544</v>
      </c>
      <c r="H31" s="273">
        <f>G31/'- 3 -'!D31*100</f>
        <v>4.4054898283044244</v>
      </c>
      <c r="I31" s="272">
        <f>G31/'- 7 -'!E31</f>
        <v>536.85680190930782</v>
      </c>
    </row>
    <row r="32" spans="1:9" ht="14.1" customHeight="1" x14ac:dyDescent="0.2">
      <c r="A32" s="15" t="s">
        <v>128</v>
      </c>
      <c r="B32" s="16">
        <f>SUM('- 24 -'!H32,'- 24 -'!F32,'- 24 -'!D32,'- 24 -'!B32)</f>
        <v>34000</v>
      </c>
      <c r="C32" s="267">
        <f>B32/'- 3 -'!D32*100</f>
        <v>0.10726502885587019</v>
      </c>
      <c r="D32" s="16">
        <f>SUM('- 25 -'!B32,'- 25 -'!E32,'- 25 -'!H32,'- 26 -'!B32)</f>
        <v>1067850</v>
      </c>
      <c r="E32" s="267">
        <f>D32/'- 3 -'!D32*100</f>
        <v>3.3689106195217935</v>
      </c>
      <c r="F32" s="16">
        <f>D32/'- 7 -'!E32</f>
        <v>457.22543352601156</v>
      </c>
      <c r="G32" s="16">
        <f>SUM('- 27 -'!B32,'- 27 -'!E32,'- 27 -'!H32,'- 28 -'!B32,'- 28 -'!E32)</f>
        <v>979510</v>
      </c>
      <c r="H32" s="267">
        <f>G32/'- 3 -'!D32*100</f>
        <v>3.0902108357239237</v>
      </c>
      <c r="I32" s="16">
        <f>G32/'- 7 -'!E32</f>
        <v>419.40055662599013</v>
      </c>
    </row>
    <row r="33" spans="1:10" ht="14.1" customHeight="1" x14ac:dyDescent="0.2">
      <c r="A33" s="271" t="s">
        <v>129</v>
      </c>
      <c r="B33" s="272">
        <f>SUM('- 24 -'!H33,'- 24 -'!F33,'- 24 -'!D33,'- 24 -'!B33)</f>
        <v>30908</v>
      </c>
      <c r="C33" s="273">
        <f>B33/'- 3 -'!D33*100</f>
        <v>0.10758188447484948</v>
      </c>
      <c r="D33" s="272">
        <f>SUM('- 25 -'!B33,'- 25 -'!E33,'- 25 -'!H33,'- 26 -'!B33)</f>
        <v>847620</v>
      </c>
      <c r="E33" s="273">
        <f>D33/'- 3 -'!D33*100</f>
        <v>2.9503221469707492</v>
      </c>
      <c r="F33" s="272">
        <f>D33/'- 7 -'!E33</f>
        <v>410.42998256827428</v>
      </c>
      <c r="G33" s="272">
        <f>SUM('- 27 -'!B33,'- 27 -'!E33,'- 27 -'!H33,'- 28 -'!B33,'- 28 -'!E33)</f>
        <v>731375</v>
      </c>
      <c r="H33" s="273">
        <f>G33/'- 3 -'!D33*100</f>
        <v>2.5457066376922817</v>
      </c>
      <c r="I33" s="272">
        <f>G33/'- 7 -'!E33</f>
        <v>354.14245593647109</v>
      </c>
    </row>
    <row r="34" spans="1:10" ht="14.1" customHeight="1" x14ac:dyDescent="0.2">
      <c r="A34" s="15" t="s">
        <v>130</v>
      </c>
      <c r="B34" s="16">
        <f>SUM('- 24 -'!H34,'- 24 -'!F34,'- 24 -'!D34,'- 24 -'!B34)</f>
        <v>63158</v>
      </c>
      <c r="C34" s="267">
        <f>B34/'- 3 -'!D34*100</f>
        <v>0.19753246737811886</v>
      </c>
      <c r="D34" s="16">
        <f>SUM('- 25 -'!B34,'- 25 -'!E34,'- 25 -'!H34,'- 26 -'!B34)</f>
        <v>1148774</v>
      </c>
      <c r="E34" s="267">
        <f>D34/'- 3 -'!D34*100</f>
        <v>3.592896587603013</v>
      </c>
      <c r="F34" s="16">
        <f>D34/'- 7 -'!E34</f>
        <v>503.91455016010883</v>
      </c>
      <c r="G34" s="16">
        <f>SUM('- 27 -'!B34,'- 27 -'!E34,'- 27 -'!H34,'- 28 -'!B34,'- 28 -'!E34)</f>
        <v>679018</v>
      </c>
      <c r="H34" s="267">
        <f>G34/'- 3 -'!D34*100</f>
        <v>2.1236913919718088</v>
      </c>
      <c r="I34" s="16">
        <f>G34/'- 7 -'!E34</f>
        <v>297.85410361012418</v>
      </c>
    </row>
    <row r="35" spans="1:10" ht="14.1" customHeight="1" x14ac:dyDescent="0.2">
      <c r="A35" s="271" t="s">
        <v>131</v>
      </c>
      <c r="B35" s="272">
        <f>SUM('- 24 -'!H35,'- 24 -'!F35,'- 24 -'!D35,'- 24 -'!B35)</f>
        <v>582788</v>
      </c>
      <c r="C35" s="273">
        <f>B35/'- 3 -'!D35*100</f>
        <v>0.29662309739442289</v>
      </c>
      <c r="D35" s="272">
        <f>SUM('- 25 -'!B35,'- 25 -'!E35,'- 25 -'!H35,'- 26 -'!B35)</f>
        <v>5045991</v>
      </c>
      <c r="E35" s="273">
        <f>D35/'- 3 -'!D35*100</f>
        <v>2.5682709318729646</v>
      </c>
      <c r="F35" s="272">
        <f>D35/'- 7 -'!E35</f>
        <v>309.59849065864955</v>
      </c>
      <c r="G35" s="272">
        <f>SUM('- 27 -'!B35,'- 27 -'!E35,'- 27 -'!H35,'- 28 -'!B35,'- 28 -'!E35)</f>
        <v>8747247</v>
      </c>
      <c r="H35" s="273">
        <f>G35/'- 3 -'!D35*100</f>
        <v>4.4521086549724318</v>
      </c>
      <c r="I35" s="272">
        <f>G35/'- 7 -'!E35</f>
        <v>536.69030892413411</v>
      </c>
    </row>
    <row r="36" spans="1:10" ht="14.1" customHeight="1" x14ac:dyDescent="0.2">
      <c r="A36" s="15" t="s">
        <v>132</v>
      </c>
      <c r="B36" s="16">
        <f>SUM('- 24 -'!H36,'- 24 -'!F36,'- 24 -'!D36,'- 24 -'!B36)</f>
        <v>30825</v>
      </c>
      <c r="C36" s="267">
        <f>B36/'- 3 -'!D36*100</f>
        <v>0.12748563382693262</v>
      </c>
      <c r="D36" s="16">
        <f>SUM('- 25 -'!B36,'- 25 -'!E36,'- 25 -'!H36,'- 26 -'!B36)</f>
        <v>881385</v>
      </c>
      <c r="E36" s="267">
        <f>D36/'- 3 -'!D36*100</f>
        <v>3.6452206121833255</v>
      </c>
      <c r="F36" s="16">
        <f>D36/'- 7 -'!E36</f>
        <v>504.94700658837007</v>
      </c>
      <c r="G36" s="16">
        <f>SUM('- 27 -'!B36,'- 27 -'!E36,'- 27 -'!H36,'- 28 -'!B36,'- 28 -'!E36)</f>
        <v>526535</v>
      </c>
      <c r="H36" s="267">
        <f>G36/'- 3 -'!D36*100</f>
        <v>2.1776366003913692</v>
      </c>
      <c r="I36" s="16">
        <f>G36/'- 7 -'!E36</f>
        <v>301.65282154110571</v>
      </c>
    </row>
    <row r="37" spans="1:10" ht="14.1" customHeight="1" x14ac:dyDescent="0.2">
      <c r="A37" s="271" t="s">
        <v>133</v>
      </c>
      <c r="B37" s="272">
        <f>SUM('- 24 -'!H37,'- 24 -'!F37,'- 24 -'!D37,'- 24 -'!B37)</f>
        <v>702529</v>
      </c>
      <c r="C37" s="273">
        <f>B37/'- 3 -'!D37*100</f>
        <v>1.2747897817795149</v>
      </c>
      <c r="D37" s="272">
        <f>SUM('- 25 -'!B37,'- 25 -'!E37,'- 25 -'!H37,'- 26 -'!B37)</f>
        <v>1640300</v>
      </c>
      <c r="E37" s="273">
        <f>D37/'- 3 -'!D37*100</f>
        <v>2.9764432202128854</v>
      </c>
      <c r="F37" s="272">
        <f>D37/'- 7 -'!E37</f>
        <v>375.87076076993583</v>
      </c>
      <c r="G37" s="272">
        <f>SUM('- 27 -'!B37,'- 27 -'!E37,'- 27 -'!H37,'- 28 -'!B37,'- 28 -'!E37)</f>
        <v>1653832</v>
      </c>
      <c r="H37" s="273">
        <f>G37/'- 3 -'!D37*100</f>
        <v>3.0009980148577196</v>
      </c>
      <c r="I37" s="272">
        <f>G37/'- 7 -'!E37</f>
        <v>378.97158570119154</v>
      </c>
    </row>
    <row r="38" spans="1:10" ht="14.1" customHeight="1" x14ac:dyDescent="0.2">
      <c r="A38" s="15" t="s">
        <v>134</v>
      </c>
      <c r="B38" s="16">
        <f>SUM('- 24 -'!H38,'- 24 -'!F38,'- 24 -'!D38,'- 24 -'!B38)</f>
        <v>2506490</v>
      </c>
      <c r="C38" s="267">
        <f>B38/'- 3 -'!D38*100</f>
        <v>1.6591842553145573</v>
      </c>
      <c r="D38" s="16">
        <f>SUM('- 25 -'!B38,'- 25 -'!E38,'- 25 -'!H38,'- 26 -'!B38)</f>
        <v>4174270</v>
      </c>
      <c r="E38" s="267">
        <f>D38/'- 3 -'!D38*100</f>
        <v>2.7631800092686976</v>
      </c>
      <c r="F38" s="16">
        <f>D38/'- 7 -'!E38</f>
        <v>358.17116282262492</v>
      </c>
      <c r="G38" s="16">
        <f>SUM('- 27 -'!B38,'- 27 -'!E38,'- 27 -'!H38,'- 28 -'!B38,'- 28 -'!E38)</f>
        <v>5850655</v>
      </c>
      <c r="H38" s="267">
        <f>G38/'- 3 -'!D38*100</f>
        <v>3.8728718882889588</v>
      </c>
      <c r="I38" s="16">
        <f>G38/'- 7 -'!E38</f>
        <v>502.01254461834156</v>
      </c>
    </row>
    <row r="39" spans="1:10" ht="14.1" customHeight="1" x14ac:dyDescent="0.2">
      <c r="A39" s="271" t="s">
        <v>135</v>
      </c>
      <c r="B39" s="272">
        <f>SUM('- 24 -'!H39,'- 24 -'!F39,'- 24 -'!D39,'- 24 -'!B39)</f>
        <v>160800</v>
      </c>
      <c r="C39" s="273">
        <f>B39/'- 3 -'!D39*100</f>
        <v>0.68482649358613989</v>
      </c>
      <c r="D39" s="272">
        <f>SUM('- 25 -'!B39,'- 25 -'!E39,'- 25 -'!H39,'- 26 -'!B39)</f>
        <v>810000</v>
      </c>
      <c r="E39" s="273">
        <f>D39/'- 3 -'!D39*100</f>
        <v>3.4496856953033164</v>
      </c>
      <c r="F39" s="272">
        <f>D39/'- 7 -'!E39</f>
        <v>543.40534013149068</v>
      </c>
      <c r="G39" s="272">
        <f>SUM('- 27 -'!B39,'- 27 -'!E39,'- 27 -'!H39,'- 28 -'!B39,'- 28 -'!E39)</f>
        <v>504850</v>
      </c>
      <c r="H39" s="273">
        <f>G39/'- 3 -'!D39*100</f>
        <v>2.1500911398442959</v>
      </c>
      <c r="I39" s="272">
        <f>G39/'- 7 -'!E39</f>
        <v>338.68911847578158</v>
      </c>
    </row>
    <row r="40" spans="1:10" ht="14.1" customHeight="1" x14ac:dyDescent="0.2">
      <c r="A40" s="15" t="s">
        <v>136</v>
      </c>
      <c r="B40" s="16">
        <f>SUM('- 24 -'!H40,'- 24 -'!F40,'- 24 -'!D40,'- 24 -'!B40)</f>
        <v>1132616</v>
      </c>
      <c r="C40" s="267">
        <f>B40/'- 3 -'!D40*100</f>
        <v>1.0308432667549596</v>
      </c>
      <c r="D40" s="16">
        <f>SUM('- 25 -'!B40,'- 25 -'!E40,'- 25 -'!H40,'- 26 -'!B40)</f>
        <v>3024679</v>
      </c>
      <c r="E40" s="267">
        <f>D40/'- 3 -'!D40*100</f>
        <v>2.7528924024074577</v>
      </c>
      <c r="F40" s="16">
        <f>D40/'- 7 -'!E40</f>
        <v>367.85393736698086</v>
      </c>
      <c r="G40" s="16">
        <f>SUM('- 27 -'!B40,'- 27 -'!E40,'- 27 -'!H40,'- 28 -'!B40,'- 28 -'!E40)</f>
        <v>4101335</v>
      </c>
      <c r="H40" s="267">
        <f>G40/'- 3 -'!D40*100</f>
        <v>3.7328040301889187</v>
      </c>
      <c r="I40" s="16">
        <f>G40/'- 7 -'!E40</f>
        <v>498.79416235937975</v>
      </c>
    </row>
    <row r="41" spans="1:10" ht="14.1" customHeight="1" x14ac:dyDescent="0.2">
      <c r="A41" s="271" t="s">
        <v>137</v>
      </c>
      <c r="B41" s="272">
        <f>SUM('- 24 -'!H41,'- 24 -'!F41,'- 24 -'!D41,'- 24 -'!B41)</f>
        <v>354954</v>
      </c>
      <c r="C41" s="273">
        <f>B41/'- 3 -'!D41*100</f>
        <v>0.53224037278808223</v>
      </c>
      <c r="D41" s="272">
        <f>SUM('- 25 -'!B41,'- 25 -'!E41,'- 25 -'!H41,'- 26 -'!B41)</f>
        <v>2089801</v>
      </c>
      <c r="E41" s="273">
        <f>D41/'- 3 -'!D41*100</f>
        <v>3.1335791772818644</v>
      </c>
      <c r="F41" s="272">
        <f>D41/'- 7 -'!E41</f>
        <v>465.0202492211838</v>
      </c>
      <c r="G41" s="272">
        <f>SUM('- 27 -'!B41,'- 27 -'!E41,'- 27 -'!H41,'- 28 -'!B41,'- 28 -'!E41)</f>
        <v>1891268</v>
      </c>
      <c r="H41" s="273">
        <f>G41/'- 3 -'!D41*100</f>
        <v>2.835886298963163</v>
      </c>
      <c r="I41" s="272">
        <f>G41/'- 7 -'!E41</f>
        <v>420.84290164663997</v>
      </c>
    </row>
    <row r="42" spans="1:10" ht="14.1" customHeight="1" x14ac:dyDescent="0.2">
      <c r="A42" s="15" t="s">
        <v>138</v>
      </c>
      <c r="B42" s="16">
        <f>SUM('- 24 -'!H42,'- 24 -'!F42,'- 24 -'!D42,'- 24 -'!B42)</f>
        <v>64198</v>
      </c>
      <c r="C42" s="267">
        <f>B42/'- 3 -'!D42*100</f>
        <v>0.30076956304598168</v>
      </c>
      <c r="D42" s="16">
        <f>SUM('- 25 -'!B42,'- 25 -'!E42,'- 25 -'!H42,'- 26 -'!B42)</f>
        <v>765668</v>
      </c>
      <c r="E42" s="267">
        <f>D42/'- 3 -'!D42*100</f>
        <v>3.5871776347906588</v>
      </c>
      <c r="F42" s="16">
        <f>D42/'- 7 -'!E42</f>
        <v>559.4943368651808</v>
      </c>
      <c r="G42" s="16">
        <f>SUM('- 27 -'!B42,'- 27 -'!E42,'- 27 -'!H42,'- 28 -'!B42,'- 28 -'!E42)</f>
        <v>516698</v>
      </c>
      <c r="H42" s="267">
        <f>G42/'- 3 -'!D42*100</f>
        <v>2.4207456881325378</v>
      </c>
      <c r="I42" s="16">
        <f>G42/'- 7 -'!E42</f>
        <v>377.56521739130437</v>
      </c>
    </row>
    <row r="43" spans="1:10" ht="14.1" customHeight="1" x14ac:dyDescent="0.2">
      <c r="A43" s="271" t="s">
        <v>139</v>
      </c>
      <c r="B43" s="272">
        <f>SUM('- 24 -'!H43,'- 24 -'!F43,'- 24 -'!D43,'- 24 -'!B43)</f>
        <v>13770</v>
      </c>
      <c r="C43" s="273">
        <f>B43/'- 3 -'!D43*100</f>
        <v>9.921983093863114E-2</v>
      </c>
      <c r="D43" s="272">
        <f>SUM('- 25 -'!B43,'- 25 -'!E43,'- 25 -'!H43,'- 26 -'!B43)</f>
        <v>459037</v>
      </c>
      <c r="E43" s="273">
        <f>D43/'- 3 -'!D43*100</f>
        <v>3.3075943017121578</v>
      </c>
      <c r="F43" s="272">
        <f>D43/'- 7 -'!E43</f>
        <v>456.75323383084577</v>
      </c>
      <c r="G43" s="272">
        <f>SUM('- 27 -'!B43,'- 27 -'!E43,'- 27 -'!H43,'- 28 -'!B43,'- 28 -'!E43)</f>
        <v>434800</v>
      </c>
      <c r="H43" s="273">
        <f>G43/'- 3 -'!D43*100</f>
        <v>3.1329544293476266</v>
      </c>
      <c r="I43" s="272">
        <f>G43/'- 7 -'!E43</f>
        <v>432.63681592039802</v>
      </c>
    </row>
    <row r="44" spans="1:10" ht="14.1" customHeight="1" x14ac:dyDescent="0.2">
      <c r="A44" s="15" t="s">
        <v>140</v>
      </c>
      <c r="B44" s="16">
        <f>SUM('- 24 -'!H44,'- 24 -'!F44,'- 24 -'!D44,'- 24 -'!B44)</f>
        <v>24879</v>
      </c>
      <c r="C44" s="267">
        <f>B44/'- 3 -'!D44*100</f>
        <v>0.22146031352670409</v>
      </c>
      <c r="D44" s="16">
        <f>SUM('- 25 -'!B44,'- 25 -'!E44,'- 25 -'!H44,'- 26 -'!B44)</f>
        <v>390979</v>
      </c>
      <c r="E44" s="267">
        <f>D44/'- 3 -'!D44*100</f>
        <v>3.4802979188213854</v>
      </c>
      <c r="F44" s="16">
        <f>D44/'- 7 -'!E44</f>
        <v>563.77649603460702</v>
      </c>
      <c r="G44" s="16">
        <f>SUM('- 27 -'!B44,'- 27 -'!E44,'- 27 -'!H44,'- 28 -'!B44,'- 28 -'!E44)</f>
        <v>248487</v>
      </c>
      <c r="H44" s="267">
        <f>G44/'- 3 -'!D44*100</f>
        <v>2.2119059820455051</v>
      </c>
      <c r="I44" s="16">
        <f>G44/'- 7 -'!E44</f>
        <v>358.30857966834895</v>
      </c>
    </row>
    <row r="45" spans="1:10" ht="14.1" customHeight="1" x14ac:dyDescent="0.2">
      <c r="A45" s="271" t="s">
        <v>141</v>
      </c>
      <c r="B45" s="272">
        <f>SUM('- 24 -'!H45,'- 24 -'!F45,'- 24 -'!D45,'- 24 -'!B45)</f>
        <v>45765</v>
      </c>
      <c r="C45" s="273">
        <f>B45/'- 3 -'!D45*100</f>
        <v>0.20460182200906693</v>
      </c>
      <c r="D45" s="272">
        <f>SUM('- 25 -'!B45,'- 25 -'!E45,'- 25 -'!H45,'- 26 -'!B45)</f>
        <v>756397</v>
      </c>
      <c r="E45" s="273">
        <f>D45/'- 3 -'!D45*100</f>
        <v>3.3816279768860964</v>
      </c>
      <c r="F45" s="272">
        <f>D45/'- 7 -'!E45</f>
        <v>364.52867469879516</v>
      </c>
      <c r="G45" s="272">
        <f>SUM('- 27 -'!B45,'- 27 -'!E45,'- 27 -'!H45,'- 28 -'!B45,'- 28 -'!E45)</f>
        <v>528506</v>
      </c>
      <c r="H45" s="273">
        <f>G45/'- 3 -'!D45*100</f>
        <v>2.362794505467583</v>
      </c>
      <c r="I45" s="272">
        <f>G45/'- 7 -'!E45</f>
        <v>254.70168674698795</v>
      </c>
    </row>
    <row r="46" spans="1:10" ht="14.1" customHeight="1" x14ac:dyDescent="0.2">
      <c r="A46" s="15" t="s">
        <v>142</v>
      </c>
      <c r="B46" s="16">
        <f>SUM('- 24 -'!H46,'- 24 -'!F46,'- 24 -'!D46,'- 24 -'!B46)</f>
        <v>8926400</v>
      </c>
      <c r="C46" s="267">
        <f>B46/'- 3 -'!D46*100</f>
        <v>2.1387481217009596</v>
      </c>
      <c r="D46" s="16">
        <f>SUM('- 25 -'!B46,'- 25 -'!E46,'- 25 -'!H46,'- 26 -'!B46)</f>
        <v>11392700</v>
      </c>
      <c r="E46" s="267">
        <f>D46/'- 3 -'!D46*100</f>
        <v>2.7296688167797232</v>
      </c>
      <c r="F46" s="16">
        <f>D46/'- 7 -'!E46</f>
        <v>380.81024166861653</v>
      </c>
      <c r="G46" s="16">
        <f>SUM('- 27 -'!B46,'- 27 -'!E46,'- 27 -'!H46,'- 28 -'!B46,'- 28 -'!E46)</f>
        <v>10125060</v>
      </c>
      <c r="H46" s="267">
        <f>G46/'- 3 -'!D46*100</f>
        <v>2.4259447321551257</v>
      </c>
      <c r="I46" s="16">
        <f>G46/'- 7 -'!E46</f>
        <v>338.43834609085138</v>
      </c>
    </row>
    <row r="47" spans="1:10" ht="5.0999999999999996" customHeight="1" x14ac:dyDescent="0.2">
      <c r="A47"/>
      <c r="B47"/>
      <c r="C47"/>
      <c r="D47"/>
      <c r="E47"/>
      <c r="F47"/>
      <c r="G47"/>
      <c r="H47"/>
      <c r="I47"/>
      <c r="J47"/>
    </row>
    <row r="48" spans="1:10" ht="14.1" customHeight="1" x14ac:dyDescent="0.2">
      <c r="A48" s="274" t="s">
        <v>143</v>
      </c>
      <c r="B48" s="275">
        <f>SUM(B11:B46)</f>
        <v>23294667</v>
      </c>
      <c r="C48" s="276">
        <f>B48/'- 3 -'!D48*100</f>
        <v>0.93900871244449091</v>
      </c>
      <c r="D48" s="275">
        <f>SUM(D11:D46)</f>
        <v>78451155</v>
      </c>
      <c r="E48" s="276">
        <f>D48/'- 3 -'!D48*100</f>
        <v>3.1623683672461675</v>
      </c>
      <c r="F48" s="275">
        <f>D48/'- 7 -'!E48</f>
        <v>430.61164615825419</v>
      </c>
      <c r="G48" s="275">
        <f>SUM(G11:G46)</f>
        <v>84636328</v>
      </c>
      <c r="H48" s="276">
        <f>G48/'- 3 -'!D48*100</f>
        <v>3.4116928729356641</v>
      </c>
      <c r="I48" s="275">
        <f>G48/'- 7 -'!E48</f>
        <v>464.56152907971773</v>
      </c>
    </row>
    <row r="49" spans="1:9" ht="5.0999999999999996" customHeight="1" x14ac:dyDescent="0.2">
      <c r="A49" s="17" t="s">
        <v>1</v>
      </c>
      <c r="B49" s="18"/>
      <c r="C49" s="266"/>
      <c r="D49" s="18"/>
      <c r="E49" s="266"/>
      <c r="G49" s="18"/>
      <c r="H49" s="266"/>
      <c r="I49" s="18"/>
    </row>
    <row r="50" spans="1:9" ht="14.1" customHeight="1" x14ac:dyDescent="0.2">
      <c r="A50" s="15" t="s">
        <v>144</v>
      </c>
      <c r="B50" s="16">
        <f>SUM('- 24 -'!H50,'- 24 -'!F50,'- 24 -'!D50,'- 24 -'!B50)</f>
        <v>202532</v>
      </c>
      <c r="C50" s="267">
        <f>B50/'- 3 -'!D50*100</f>
        <v>5.6444796096476644</v>
      </c>
      <c r="D50" s="16">
        <f>SUM('- 25 -'!B50,'- 25 -'!E50,'- 25 -'!H50,'- 26 -'!B50)</f>
        <v>121084</v>
      </c>
      <c r="E50" s="267">
        <f>D50/'- 3 -'!D50*100</f>
        <v>3.374558929228852</v>
      </c>
      <c r="F50" s="16">
        <f>D50/'- 7 -'!E50</f>
        <v>703.97674418604652</v>
      </c>
      <c r="G50" s="16">
        <f>SUM('- 27 -'!B50,'- 27 -'!E50,'- 27 -'!H50,'- 28 -'!B50,'- 28 -'!E50)</f>
        <v>145909</v>
      </c>
      <c r="H50" s="267">
        <f>G50/'- 3 -'!D50*100</f>
        <v>4.0664209871234229</v>
      </c>
      <c r="I50" s="16">
        <f>G50/'- 7 -'!E50</f>
        <v>848.30813953488371</v>
      </c>
    </row>
    <row r="51" spans="1:9" ht="14.1" customHeight="1" x14ac:dyDescent="0.2">
      <c r="A51" s="360" t="s">
        <v>513</v>
      </c>
      <c r="B51" s="272">
        <f>SUM('- 24 -'!H51,'- 24 -'!F51,'- 24 -'!D51,'- 24 -'!B51)</f>
        <v>10614904</v>
      </c>
      <c r="C51" s="273">
        <f>B51/'- 3 -'!D51*100</f>
        <v>30.533068475145786</v>
      </c>
      <c r="D51" s="272">
        <f>SUM('- 25 -'!B51,'- 25 -'!E51,'- 25 -'!H51,'- 26 -'!B51)</f>
        <v>6984092</v>
      </c>
      <c r="E51" s="273">
        <f>D51/'- 3 -'!D51*100</f>
        <v>20.089278176488254</v>
      </c>
      <c r="F51" s="272">
        <f>D51/'- 7 -'!E51</f>
        <v>3936.6957894143511</v>
      </c>
      <c r="G51" s="272">
        <f>SUM('- 27 -'!B51,'- 27 -'!E51,'- 27 -'!H51,'- 28 -'!B51,'- 28 -'!E51)</f>
        <v>669184</v>
      </c>
      <c r="H51" s="273">
        <f>G51/'- 3 -'!D51*100</f>
        <v>1.9248634650367029</v>
      </c>
      <c r="I51" s="272">
        <f>G51/'- 7 -'!E51</f>
        <v>377.19632489713098</v>
      </c>
    </row>
    <row r="52" spans="1:9" ht="50.1" customHeight="1" x14ac:dyDescent="0.2"/>
    <row r="53" spans="1:9" ht="15" customHeight="1" x14ac:dyDescent="0.2">
      <c r="E53" s="126"/>
    </row>
    <row r="54" spans="1:9" ht="14.45" customHeight="1" x14ac:dyDescent="0.2">
      <c r="B54" s="72"/>
      <c r="C54" s="72"/>
      <c r="D54" s="72"/>
      <c r="E54" s="72"/>
      <c r="F54" s="72"/>
      <c r="G54" s="72"/>
      <c r="H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C7"/>
    <mergeCell ref="D6:F7"/>
    <mergeCell ref="G6:I7"/>
    <mergeCell ref="F8:F9"/>
    <mergeCell ref="I8:I9"/>
  </mergeCells>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9"/>
  <sheetViews>
    <sheetView showGridLines="0" showZeros="0" workbookViewId="0"/>
  </sheetViews>
  <sheetFormatPr defaultColWidth="15.83203125" defaultRowHeight="12" x14ac:dyDescent="0.2"/>
  <cols>
    <col min="1" max="1" width="32.83203125" style="1" customWidth="1"/>
    <col min="2" max="2" width="13" style="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AEXP_BF</f>
        <v>ANALYSIS OF EXPENSE BY FUNCTION</v>
      </c>
      <c r="C2" s="6"/>
      <c r="D2" s="6"/>
      <c r="E2" s="6"/>
      <c r="F2" s="6"/>
      <c r="G2" s="6"/>
      <c r="H2" s="85"/>
      <c r="I2" s="85"/>
      <c r="J2" s="150" t="s">
        <v>3</v>
      </c>
    </row>
    <row r="3" spans="1:10" ht="15.95" customHeight="1" x14ac:dyDescent="0.2">
      <c r="A3" s="135"/>
      <c r="B3" s="7" t="str">
        <f>+'- 16 -'!B3</f>
        <v>OPERATING FUND 2020/2021 BUDGET</v>
      </c>
      <c r="C3" s="8"/>
      <c r="D3" s="8"/>
      <c r="E3" s="8"/>
      <c r="F3" s="8"/>
      <c r="G3" s="8"/>
      <c r="H3" s="87"/>
      <c r="I3" s="87"/>
      <c r="J3" s="81"/>
    </row>
    <row r="4" spans="1:10" ht="15.95" customHeight="1" x14ac:dyDescent="0.2">
      <c r="B4" s="4"/>
      <c r="C4" s="4"/>
      <c r="D4" s="4"/>
      <c r="E4" s="4"/>
      <c r="F4" s="4"/>
      <c r="G4" s="4"/>
      <c r="H4" s="4"/>
      <c r="I4" s="4"/>
      <c r="J4" s="4"/>
    </row>
    <row r="5" spans="1:10" ht="15.95" customHeight="1" x14ac:dyDescent="0.2">
      <c r="B5" s="4"/>
      <c r="C5" s="4"/>
      <c r="D5" s="4"/>
      <c r="E5" s="4"/>
      <c r="F5" s="4"/>
      <c r="G5" s="4"/>
      <c r="H5" s="4"/>
      <c r="I5" s="4"/>
      <c r="J5" s="4"/>
    </row>
    <row r="6" spans="1:10" ht="15.95" customHeight="1" x14ac:dyDescent="0.2">
      <c r="B6" s="622" t="s">
        <v>401</v>
      </c>
      <c r="C6" s="632"/>
      <c r="D6" s="623"/>
      <c r="E6" s="626" t="s">
        <v>68</v>
      </c>
      <c r="F6" s="632"/>
      <c r="G6" s="623"/>
      <c r="H6" s="628" t="s">
        <v>24</v>
      </c>
      <c r="I6" s="634"/>
      <c r="J6" s="635"/>
    </row>
    <row r="7" spans="1:10" ht="15.95" customHeight="1" x14ac:dyDescent="0.2">
      <c r="B7" s="624"/>
      <c r="C7" s="633"/>
      <c r="D7" s="625"/>
      <c r="E7" s="624"/>
      <c r="F7" s="633"/>
      <c r="G7" s="625"/>
      <c r="H7" s="636"/>
      <c r="I7" s="637"/>
      <c r="J7" s="638"/>
    </row>
    <row r="8" spans="1:10" ht="15.95" customHeight="1" x14ac:dyDescent="0.2">
      <c r="A8" s="82"/>
      <c r="B8" s="138"/>
      <c r="C8" s="137"/>
      <c r="D8" s="540" t="s">
        <v>396</v>
      </c>
      <c r="E8" s="138"/>
      <c r="F8" s="137"/>
      <c r="G8" s="540" t="s">
        <v>396</v>
      </c>
      <c r="H8" s="138"/>
      <c r="I8" s="137"/>
      <c r="J8" s="540" t="s">
        <v>396</v>
      </c>
    </row>
    <row r="9" spans="1:10" ht="15.95" customHeight="1" x14ac:dyDescent="0.2">
      <c r="A9" s="27" t="s">
        <v>37</v>
      </c>
      <c r="B9" s="89" t="s">
        <v>38</v>
      </c>
      <c r="C9" s="89" t="s">
        <v>39</v>
      </c>
      <c r="D9" s="580"/>
      <c r="E9" s="89" t="s">
        <v>38</v>
      </c>
      <c r="F9" s="89" t="s">
        <v>39</v>
      </c>
      <c r="G9" s="542"/>
      <c r="H9" s="89" t="s">
        <v>38</v>
      </c>
      <c r="I9" s="89" t="s">
        <v>39</v>
      </c>
      <c r="J9" s="542"/>
    </row>
    <row r="10" spans="1:10" ht="5.0999999999999996" customHeight="1" x14ac:dyDescent="0.2">
      <c r="A10" s="29"/>
    </row>
    <row r="11" spans="1:10" ht="14.1" customHeight="1" x14ac:dyDescent="0.2">
      <c r="A11" s="271" t="s">
        <v>108</v>
      </c>
      <c r="B11" s="272">
        <f>SUM('- 30 -'!D11,'- 30 -'!B11,'- 29 -'!F11,'- 29 -'!D11,'- 29 -'!B11)</f>
        <v>1325950</v>
      </c>
      <c r="C11" s="273">
        <f>B11/'- 3 -'!D11*100</f>
        <v>5.96996687263829</v>
      </c>
      <c r="D11" s="272">
        <f>B11/'- 7 -'!E11</f>
        <v>664.80320882426679</v>
      </c>
      <c r="E11" s="272">
        <f>SUM('- 32 -'!D11,'- 32 -'!B11,'- 31 -'!F11,'- 31 -'!D11,'- 31 -'!B11)</f>
        <v>2240259</v>
      </c>
      <c r="F11" s="273">
        <f>E11/'- 3 -'!D11*100</f>
        <v>10.086558328843308</v>
      </c>
      <c r="G11" s="272">
        <f>E11/'- 7 -'!E11</f>
        <v>1123.2183504637753</v>
      </c>
      <c r="H11" s="272">
        <f>SUM('- 33 -'!B11,'- 33 -'!D11)</f>
        <v>382595</v>
      </c>
      <c r="I11" s="273">
        <f>H11/'- 3 -'!D11*100</f>
        <v>1.7225984958988245</v>
      </c>
      <c r="J11" s="272">
        <f>H11/'- 7 -'!E11</f>
        <v>191.82501880170469</v>
      </c>
    </row>
    <row r="12" spans="1:10" ht="14.1" customHeight="1" x14ac:dyDescent="0.2">
      <c r="A12" s="15" t="s">
        <v>109</v>
      </c>
      <c r="B12" s="16">
        <f>SUM('- 30 -'!D12,'- 30 -'!B12,'- 29 -'!F12,'- 29 -'!D12,'- 29 -'!B12)</f>
        <v>2532851</v>
      </c>
      <c r="C12" s="267">
        <f>B12/'- 3 -'!D12*100</f>
        <v>7.3005944238278682</v>
      </c>
      <c r="D12" s="16">
        <f>B12/'- 7 -'!E12</f>
        <v>1175.8825441039926</v>
      </c>
      <c r="E12" s="16">
        <f>SUM('- 32 -'!D12,'- 32 -'!B12,'- 31 -'!F12,'- 31 -'!D12,'- 31 -'!B12)</f>
        <v>3620858</v>
      </c>
      <c r="F12" s="267">
        <f>E12/'- 3 -'!D12*100</f>
        <v>10.436624864341615</v>
      </c>
      <c r="G12" s="16">
        <f>E12/'- 7 -'!E12</f>
        <v>1680.9925719591458</v>
      </c>
      <c r="H12" s="16">
        <f>SUM('- 33 -'!B12,'- 33 -'!D12)</f>
        <v>565000</v>
      </c>
      <c r="I12" s="267">
        <f>H12/'- 3 -'!D12*100</f>
        <v>1.6285347418631198</v>
      </c>
      <c r="J12" s="16">
        <f>H12/'- 7 -'!E12</f>
        <v>262.30269266480968</v>
      </c>
    </row>
    <row r="13" spans="1:10" ht="14.1" customHeight="1" x14ac:dyDescent="0.2">
      <c r="A13" s="271" t="s">
        <v>110</v>
      </c>
      <c r="B13" s="272">
        <f>SUM('- 30 -'!D13,'- 30 -'!B13,'- 29 -'!F13,'- 29 -'!D13,'- 29 -'!B13)</f>
        <v>2667200</v>
      </c>
      <c r="C13" s="273">
        <f>B13/'- 3 -'!D13*100</f>
        <v>2.4800020083999468</v>
      </c>
      <c r="D13" s="272">
        <f>B13/'- 7 -'!E13</f>
        <v>305.11925870845965</v>
      </c>
      <c r="E13" s="272">
        <f>SUM('- 32 -'!D13,'- 32 -'!B13,'- 31 -'!F13,'- 31 -'!D13,'- 31 -'!B13)</f>
        <v>9057200</v>
      </c>
      <c r="F13" s="273">
        <f>E13/'- 3 -'!D13*100</f>
        <v>8.4215185177264527</v>
      </c>
      <c r="G13" s="272">
        <f>E13/'- 7 -'!E13</f>
        <v>1036.1150832237031</v>
      </c>
      <c r="H13" s="272">
        <f>SUM('- 33 -'!B13,'- 33 -'!D13)</f>
        <v>1846500</v>
      </c>
      <c r="I13" s="273">
        <f>H13/'- 3 -'!D13*100</f>
        <v>1.7169030100894205</v>
      </c>
      <c r="J13" s="272">
        <f>H13/'- 7 -'!E13</f>
        <v>211.23376994794944</v>
      </c>
    </row>
    <row r="14" spans="1:10" ht="14.1" customHeight="1" x14ac:dyDescent="0.2">
      <c r="A14" s="15" t="s">
        <v>319</v>
      </c>
      <c r="B14" s="16">
        <f>SUM('- 30 -'!D14,'- 30 -'!B14,'- 29 -'!F14,'- 29 -'!D14,'- 29 -'!B14)</f>
        <v>10667557</v>
      </c>
      <c r="C14" s="267">
        <f>B14/'- 3 -'!D14*100</f>
        <v>10.987017724768926</v>
      </c>
      <c r="D14" s="16">
        <f>B14/'- 7 -'!E14</f>
        <v>1780.0028366427498</v>
      </c>
      <c r="E14" s="16">
        <f>SUM('- 32 -'!D14,'- 32 -'!B14,'- 31 -'!F14,'- 31 -'!D14,'- 31 -'!B14)</f>
        <v>10969092</v>
      </c>
      <c r="F14" s="267">
        <f>E14/'- 3 -'!D14*100</f>
        <v>11.29758277632086</v>
      </c>
      <c r="G14" s="16">
        <f>E14/'- 7 -'!E14</f>
        <v>1830.3173702653096</v>
      </c>
      <c r="H14" s="16">
        <f>SUM('- 33 -'!B14,'- 33 -'!D14)</f>
        <v>1452275</v>
      </c>
      <c r="I14" s="267">
        <f>H14/'- 3 -'!D14*100</f>
        <v>1.4957661971001226</v>
      </c>
      <c r="J14" s="16">
        <f>H14/'- 7 -'!E14</f>
        <v>242.3285499749708</v>
      </c>
    </row>
    <row r="15" spans="1:10" ht="14.1" customHeight="1" x14ac:dyDescent="0.2">
      <c r="A15" s="271" t="s">
        <v>111</v>
      </c>
      <c r="B15" s="272">
        <f>SUM('- 30 -'!D15,'- 30 -'!B15,'- 29 -'!F15,'- 29 -'!D15,'- 29 -'!B15)</f>
        <v>1783870</v>
      </c>
      <c r="C15" s="273">
        <f>B15/'- 3 -'!D15*100</f>
        <v>8.4396484024696097</v>
      </c>
      <c r="D15" s="272">
        <f>B15/'- 7 -'!E15</f>
        <v>1278.7598566308243</v>
      </c>
      <c r="E15" s="272">
        <f>SUM('- 32 -'!D15,'- 32 -'!B15,'- 31 -'!F15,'- 31 -'!D15,'- 31 -'!B15)</f>
        <v>2775240</v>
      </c>
      <c r="F15" s="273">
        <f>E15/'- 3 -'!D15*100</f>
        <v>13.129908475656723</v>
      </c>
      <c r="G15" s="272">
        <f>E15/'- 7 -'!E15</f>
        <v>1989.4193548387098</v>
      </c>
      <c r="H15" s="272">
        <f>SUM('- 33 -'!B15,'- 33 -'!D15)</f>
        <v>330000</v>
      </c>
      <c r="I15" s="273">
        <f>H15/'- 3 -'!D15*100</f>
        <v>1.5612594935813546</v>
      </c>
      <c r="J15" s="272">
        <f>H15/'- 7 -'!E15</f>
        <v>236.55913978494624</v>
      </c>
    </row>
    <row r="16" spans="1:10" ht="14.1" customHeight="1" x14ac:dyDescent="0.2">
      <c r="A16" s="15" t="s">
        <v>112</v>
      </c>
      <c r="B16" s="16">
        <f>SUM('- 30 -'!D16,'- 30 -'!B16,'- 29 -'!F16,'- 29 -'!D16,'- 29 -'!B16)</f>
        <v>541784</v>
      </c>
      <c r="C16" s="267">
        <f>B16/'- 3 -'!D16*100</f>
        <v>3.6225741309008819</v>
      </c>
      <c r="D16" s="16">
        <f>B16/'- 7 -'!E16</f>
        <v>571.50210970464138</v>
      </c>
      <c r="E16" s="16">
        <f>SUM('- 32 -'!D16,'- 32 -'!B16,'- 31 -'!F16,'- 31 -'!D16,'- 31 -'!B16)</f>
        <v>2223887</v>
      </c>
      <c r="F16" s="267">
        <f>E16/'- 3 -'!D16*100</f>
        <v>14.869755319918582</v>
      </c>
      <c r="G16" s="16">
        <f>E16/'- 7 -'!E16</f>
        <v>2345.8723628691982</v>
      </c>
      <c r="H16" s="16">
        <f>SUM('- 33 -'!B16,'- 33 -'!D16)</f>
        <v>245766</v>
      </c>
      <c r="I16" s="267">
        <f>H16/'- 3 -'!D16*100</f>
        <v>1.6432850616758452</v>
      </c>
      <c r="J16" s="16">
        <f>H16/'- 7 -'!E16</f>
        <v>259.24683544303798</v>
      </c>
    </row>
    <row r="17" spans="1:10" ht="14.1" customHeight="1" x14ac:dyDescent="0.2">
      <c r="A17" s="271" t="s">
        <v>113</v>
      </c>
      <c r="B17" s="272">
        <f>SUM('- 30 -'!D17,'- 30 -'!B17,'- 29 -'!F17,'- 29 -'!D17,'- 29 -'!B17)</f>
        <v>1479225</v>
      </c>
      <c r="C17" s="273">
        <f>B17/'- 3 -'!D17*100</f>
        <v>7.8637236324239153</v>
      </c>
      <c r="D17" s="272">
        <f>B17/'- 7 -'!E17</f>
        <v>1022.9771784232365</v>
      </c>
      <c r="E17" s="272">
        <f>SUM('- 32 -'!D17,'- 32 -'!B17,'- 31 -'!F17,'- 31 -'!D17,'- 31 -'!B17)</f>
        <v>1894995</v>
      </c>
      <c r="F17" s="273">
        <f>E17/'- 3 -'!D17*100</f>
        <v>10.07400291694986</v>
      </c>
      <c r="G17" s="272">
        <f>E17/'- 7 -'!E17</f>
        <v>1310.5082987551866</v>
      </c>
      <c r="H17" s="272">
        <f>SUM('- 33 -'!B17,'- 33 -'!D17)</f>
        <v>399000</v>
      </c>
      <c r="I17" s="273">
        <f>H17/'- 3 -'!D17*100</f>
        <v>2.1211281105559614</v>
      </c>
      <c r="J17" s="272">
        <f>H17/'- 7 -'!E17</f>
        <v>275.93360995850622</v>
      </c>
    </row>
    <row r="18" spans="1:10" ht="14.1" customHeight="1" x14ac:dyDescent="0.2">
      <c r="A18" s="15" t="s">
        <v>114</v>
      </c>
      <c r="B18" s="16">
        <f>SUM('- 30 -'!D18,'- 30 -'!B18,'- 29 -'!F18,'- 29 -'!D18,'- 29 -'!B18)</f>
        <v>12127356</v>
      </c>
      <c r="C18" s="267">
        <f>B18/'- 3 -'!D18*100</f>
        <v>8.7121373486216278</v>
      </c>
      <c r="D18" s="16">
        <f>B18/'- 7 -'!E18</f>
        <v>2024.9383870429119</v>
      </c>
      <c r="E18" s="16">
        <f>SUM('- 32 -'!D18,'- 32 -'!B18,'- 31 -'!F18,'- 31 -'!D18,'- 31 -'!B18)</f>
        <v>24689465</v>
      </c>
      <c r="F18" s="267">
        <f>E18/'- 3 -'!D18*100</f>
        <v>17.736595688622195</v>
      </c>
      <c r="G18" s="16">
        <f>E18/'- 7 -'!E18</f>
        <v>4122.4686926031054</v>
      </c>
      <c r="H18" s="16">
        <f>SUM('- 33 -'!B18,'- 33 -'!D18)</f>
        <v>1290000</v>
      </c>
      <c r="I18" s="267">
        <f>H18/'- 3 -'!D18*100</f>
        <v>0.92671949101864415</v>
      </c>
      <c r="J18" s="16">
        <f>H18/'- 7 -'!E18</f>
        <v>215.39489063282684</v>
      </c>
    </row>
    <row r="19" spans="1:10" ht="14.1" customHeight="1" x14ac:dyDescent="0.2">
      <c r="A19" s="271" t="s">
        <v>115</v>
      </c>
      <c r="B19" s="272">
        <f>SUM('- 30 -'!D19,'- 30 -'!B19,'- 29 -'!F19,'- 29 -'!D19,'- 29 -'!B19)</f>
        <v>3291900</v>
      </c>
      <c r="C19" s="273">
        <f>B19/'- 3 -'!D19*100</f>
        <v>6.3858885422971277</v>
      </c>
      <c r="D19" s="272">
        <f>B19/'- 7 -'!E19</f>
        <v>740.0022479487468</v>
      </c>
      <c r="E19" s="272">
        <f>SUM('- 32 -'!D19,'- 32 -'!B19,'- 31 -'!F19,'- 31 -'!D19,'- 31 -'!B19)</f>
        <v>4918000</v>
      </c>
      <c r="F19" s="273">
        <f>E19/'- 3 -'!D19*100</f>
        <v>9.5403262100966835</v>
      </c>
      <c r="G19" s="272">
        <f>E19/'- 7 -'!E19</f>
        <v>1105.5411936607845</v>
      </c>
      <c r="H19" s="272">
        <f>SUM('- 33 -'!B19,'- 33 -'!D19)</f>
        <v>870000</v>
      </c>
      <c r="I19" s="273">
        <f>H19/'- 3 -'!D19*100</f>
        <v>1.6876949578658225</v>
      </c>
      <c r="J19" s="272">
        <f>H19/'- 7 -'!E19</f>
        <v>195.57154096886592</v>
      </c>
    </row>
    <row r="20" spans="1:10" ht="14.1" customHeight="1" x14ac:dyDescent="0.2">
      <c r="A20" s="15" t="s">
        <v>116</v>
      </c>
      <c r="B20" s="16">
        <f>SUM('- 30 -'!D20,'- 30 -'!B20,'- 29 -'!F20,'- 29 -'!D20,'- 29 -'!B20)</f>
        <v>4251800</v>
      </c>
      <c r="C20" s="267">
        <f>B20/'- 3 -'!D20*100</f>
        <v>4.624754040051906</v>
      </c>
      <c r="D20" s="16">
        <f>B20/'- 7 -'!E20</f>
        <v>522.20584622942761</v>
      </c>
      <c r="E20" s="16">
        <f>SUM('- 32 -'!D20,'- 32 -'!B20,'- 31 -'!F20,'- 31 -'!D20,'- 31 -'!B20)</f>
        <v>9408100</v>
      </c>
      <c r="F20" s="267">
        <f>E20/'- 3 -'!D20*100</f>
        <v>10.23334787248044</v>
      </c>
      <c r="G20" s="16">
        <f>E20/'- 7 -'!E20</f>
        <v>1155.5023335789733</v>
      </c>
      <c r="H20" s="16">
        <f>SUM('- 33 -'!B20,'- 33 -'!D20)</f>
        <v>1814600</v>
      </c>
      <c r="I20" s="267">
        <f>H20/'- 3 -'!D20*100</f>
        <v>1.9737707985037367</v>
      </c>
      <c r="J20" s="16">
        <f>H20/'- 7 -'!E20</f>
        <v>222.86907393760748</v>
      </c>
    </row>
    <row r="21" spans="1:10" ht="14.1" customHeight="1" x14ac:dyDescent="0.2">
      <c r="A21" s="271" t="s">
        <v>117</v>
      </c>
      <c r="B21" s="272">
        <f>SUM('- 30 -'!D21,'- 30 -'!B21,'- 29 -'!F21,'- 29 -'!D21,'- 29 -'!B21)</f>
        <v>2303000</v>
      </c>
      <c r="C21" s="273">
        <f>B21/'- 3 -'!D21*100</f>
        <v>6.031203556393586</v>
      </c>
      <c r="D21" s="272">
        <f>B21/'- 7 -'!E21</f>
        <v>822.20635487325956</v>
      </c>
      <c r="E21" s="272">
        <f>SUM('- 32 -'!D21,'- 32 -'!B21,'- 31 -'!F21,'- 31 -'!D21,'- 31 -'!B21)</f>
        <v>3642000</v>
      </c>
      <c r="F21" s="273">
        <f>E21/'- 3 -'!D21*100</f>
        <v>9.537839058786556</v>
      </c>
      <c r="G21" s="272">
        <f>E21/'- 7 -'!E21</f>
        <v>1300.2499107461622</v>
      </c>
      <c r="H21" s="272">
        <f>SUM('- 33 -'!B21,'- 33 -'!D21)</f>
        <v>697000</v>
      </c>
      <c r="I21" s="273">
        <f>H21/'- 3 -'!D21*100</f>
        <v>1.8253360307452584</v>
      </c>
      <c r="J21" s="272">
        <f>H21/'- 7 -'!E21</f>
        <v>248.83970010710462</v>
      </c>
    </row>
    <row r="22" spans="1:10" ht="14.1" customHeight="1" x14ac:dyDescent="0.2">
      <c r="A22" s="15" t="s">
        <v>118</v>
      </c>
      <c r="B22" s="16">
        <f>SUM('- 30 -'!D22,'- 30 -'!B22,'- 29 -'!F22,'- 29 -'!D22,'- 29 -'!B22)</f>
        <v>590063</v>
      </c>
      <c r="C22" s="267">
        <f>B22/'- 3 -'!D22*100</f>
        <v>2.8849809990502582</v>
      </c>
      <c r="D22" s="16">
        <f>B22/'- 7 -'!E22</f>
        <v>411.33705123736496</v>
      </c>
      <c r="E22" s="16">
        <f>SUM('- 32 -'!D22,'- 32 -'!B22,'- 31 -'!F22,'- 31 -'!D22,'- 31 -'!B22)</f>
        <v>2536581</v>
      </c>
      <c r="F22" s="267">
        <f>E22/'- 3 -'!D22*100</f>
        <v>12.402045184246264</v>
      </c>
      <c r="G22" s="16">
        <f>E22/'- 7 -'!E22</f>
        <v>1768.2683861972812</v>
      </c>
      <c r="H22" s="16">
        <f>SUM('- 33 -'!B22,'- 33 -'!D22)</f>
        <v>360000</v>
      </c>
      <c r="I22" s="267">
        <f>H22/'- 3 -'!D22*100</f>
        <v>1.7601394421580288</v>
      </c>
      <c r="J22" s="16">
        <f>H22/'- 7 -'!E22</f>
        <v>250.95852213314743</v>
      </c>
    </row>
    <row r="23" spans="1:10" ht="14.1" customHeight="1" x14ac:dyDescent="0.2">
      <c r="A23" s="271" t="s">
        <v>119</v>
      </c>
      <c r="B23" s="272">
        <f>SUM('- 30 -'!D23,'- 30 -'!B23,'- 29 -'!F23,'- 29 -'!D23,'- 29 -'!B23)</f>
        <v>1732540</v>
      </c>
      <c r="C23" s="273">
        <f>B23/'- 3 -'!D23*100</f>
        <v>10.850268808029201</v>
      </c>
      <c r="D23" s="272">
        <f>B23/'- 7 -'!E23</f>
        <v>1858.9484978540772</v>
      </c>
      <c r="E23" s="272">
        <f>SUM('- 32 -'!D23,'- 32 -'!B23,'- 31 -'!F23,'- 31 -'!D23,'- 31 -'!B23)</f>
        <v>1658877</v>
      </c>
      <c r="F23" s="273">
        <f>E23/'- 3 -'!D23*100</f>
        <v>10.388944191451314</v>
      </c>
      <c r="G23" s="272">
        <f>E23/'- 7 -'!E23</f>
        <v>1779.9109442060085</v>
      </c>
      <c r="H23" s="272">
        <f>SUM('- 33 -'!B23,'- 33 -'!D23)</f>
        <v>252800</v>
      </c>
      <c r="I23" s="273">
        <f>H23/'- 3 -'!D23*100</f>
        <v>1.5831945898332982</v>
      </c>
      <c r="J23" s="272">
        <f>H23/'- 7 -'!E23</f>
        <v>271.24463519313304</v>
      </c>
    </row>
    <row r="24" spans="1:10" ht="14.1" customHeight="1" x14ac:dyDescent="0.2">
      <c r="A24" s="15" t="s">
        <v>120</v>
      </c>
      <c r="B24" s="16">
        <f>SUM('- 30 -'!D24,'- 30 -'!B24,'- 29 -'!F24,'- 29 -'!D24,'- 29 -'!B24)</f>
        <v>2777352</v>
      </c>
      <c r="C24" s="267">
        <f>B24/'- 3 -'!D24*100</f>
        <v>4.7178563092863568</v>
      </c>
      <c r="D24" s="16">
        <f>B24/'- 7 -'!E24</f>
        <v>746.6</v>
      </c>
      <c r="E24" s="16">
        <f>SUM('- 32 -'!D24,'- 32 -'!B24,'- 31 -'!F24,'- 31 -'!D24,'- 31 -'!B24)</f>
        <v>6569312</v>
      </c>
      <c r="F24" s="267">
        <f>E24/'- 3 -'!D24*100</f>
        <v>11.15921570865723</v>
      </c>
      <c r="G24" s="16">
        <f>E24/'- 7 -'!E24</f>
        <v>1765.9440860215054</v>
      </c>
      <c r="H24" s="16">
        <f>SUM('- 33 -'!B24,'- 33 -'!D24)</f>
        <v>1020000</v>
      </c>
      <c r="I24" s="267">
        <f>H24/'- 3 -'!D24*100</f>
        <v>1.7326624192655755</v>
      </c>
      <c r="J24" s="16">
        <f>H24/'- 7 -'!E24</f>
        <v>274.19354838709677</v>
      </c>
    </row>
    <row r="25" spans="1:10" ht="14.1" customHeight="1" x14ac:dyDescent="0.2">
      <c r="A25" s="271" t="s">
        <v>121</v>
      </c>
      <c r="B25" s="272">
        <f>SUM('- 30 -'!D25,'- 30 -'!B25,'- 29 -'!F25,'- 29 -'!D25,'- 29 -'!B25)</f>
        <v>4878995</v>
      </c>
      <c r="C25" s="273">
        <f>B25/'- 3 -'!D25*100</f>
        <v>2.5084907666545355</v>
      </c>
      <c r="D25" s="272">
        <f>B25/'- 7 -'!E25</f>
        <v>322.1309256569391</v>
      </c>
      <c r="E25" s="272">
        <f>SUM('- 32 -'!D25,'- 32 -'!B25,'- 31 -'!F25,'- 31 -'!D25,'- 31 -'!B25)</f>
        <v>20741157</v>
      </c>
      <c r="F25" s="273">
        <f>E25/'- 3 -'!D25*100</f>
        <v>10.663876643495657</v>
      </c>
      <c r="G25" s="272">
        <f>E25/'- 7 -'!E25</f>
        <v>1369.4148289977552</v>
      </c>
      <c r="H25" s="272">
        <f>SUM('- 33 -'!B25,'- 33 -'!D25)</f>
        <v>3432633</v>
      </c>
      <c r="I25" s="273">
        <f>H25/'- 3 -'!D25*100</f>
        <v>1.7648569399668701</v>
      </c>
      <c r="J25" s="272">
        <f>H25/'- 7 -'!E25</f>
        <v>226.63627360359172</v>
      </c>
    </row>
    <row r="26" spans="1:10" ht="14.1" customHeight="1" x14ac:dyDescent="0.2">
      <c r="A26" s="15" t="s">
        <v>122</v>
      </c>
      <c r="B26" s="16">
        <f>SUM('- 30 -'!D26,'- 30 -'!B26,'- 29 -'!F26,'- 29 -'!D26,'- 29 -'!B26)</f>
        <v>3119327</v>
      </c>
      <c r="C26" s="267">
        <f>B26/'- 3 -'!D26*100</f>
        <v>7.4142349226100617</v>
      </c>
      <c r="D26" s="16">
        <f>B26/'- 7 -'!E26</f>
        <v>1011.7830035679533</v>
      </c>
      <c r="E26" s="16">
        <f>SUM('- 32 -'!D26,'- 32 -'!B26,'- 31 -'!F26,'- 31 -'!D26,'- 31 -'!B26)</f>
        <v>5289777</v>
      </c>
      <c r="F26" s="267">
        <f>E26/'- 3 -'!D26*100</f>
        <v>12.573112522739516</v>
      </c>
      <c r="G26" s="16">
        <f>E26/'- 7 -'!E26</f>
        <v>1715.788842036977</v>
      </c>
      <c r="H26" s="16">
        <f>SUM('- 33 -'!B26,'- 33 -'!D26)</f>
        <v>795963</v>
      </c>
      <c r="I26" s="267">
        <f>H26/'- 3 -'!D26*100</f>
        <v>1.8919006156473728</v>
      </c>
      <c r="J26" s="16">
        <f>H26/'- 7 -'!E26</f>
        <v>258.1780733052222</v>
      </c>
    </row>
    <row r="27" spans="1:10" ht="14.1" customHeight="1" x14ac:dyDescent="0.2">
      <c r="A27" s="271" t="s">
        <v>123</v>
      </c>
      <c r="B27" s="272">
        <f>SUM('- 30 -'!D27,'- 30 -'!B27,'- 29 -'!F27,'- 29 -'!D27,'- 29 -'!B27)</f>
        <v>390000</v>
      </c>
      <c r="C27" s="273">
        <f>B27/'- 3 -'!D27*100</f>
        <v>0.91176633757278969</v>
      </c>
      <c r="D27" s="272">
        <f>B27/'- 7 -'!E27</f>
        <v>129.74051896207584</v>
      </c>
      <c r="E27" s="272">
        <f>SUM('- 32 -'!D27,'- 32 -'!B27,'- 31 -'!F27,'- 31 -'!D27,'- 31 -'!B27)</f>
        <v>5586867</v>
      </c>
      <c r="F27" s="273">
        <f>E27/'- 3 -'!D27*100</f>
        <v>13.061326315631483</v>
      </c>
      <c r="G27" s="272">
        <f>E27/'- 7 -'!E27</f>
        <v>1858.5718562874251</v>
      </c>
      <c r="H27" s="272">
        <f>SUM('- 33 -'!B27,'- 33 -'!D27)</f>
        <v>707855</v>
      </c>
      <c r="I27" s="273">
        <f>H27/'- 3 -'!D27*100</f>
        <v>1.6548675920066334</v>
      </c>
      <c r="J27" s="272">
        <f>H27/'- 7 -'!E27</f>
        <v>235.48070525615435</v>
      </c>
    </row>
    <row r="28" spans="1:10" ht="14.1" customHeight="1" x14ac:dyDescent="0.2">
      <c r="A28" s="15" t="s">
        <v>124</v>
      </c>
      <c r="B28" s="16">
        <f>SUM('- 30 -'!D28,'- 30 -'!B28,'- 29 -'!F28,'- 29 -'!D28,'- 29 -'!B28)</f>
        <v>1940610</v>
      </c>
      <c r="C28" s="267">
        <f>B28/'- 3 -'!D28*100</f>
        <v>6.7415154213541797</v>
      </c>
      <c r="D28" s="16">
        <f>B28/'- 7 -'!E28</f>
        <v>961.17384843982165</v>
      </c>
      <c r="E28" s="16">
        <f>SUM('- 32 -'!D28,'- 32 -'!B28,'- 31 -'!F28,'- 31 -'!D28,'- 31 -'!B28)</f>
        <v>3429985</v>
      </c>
      <c r="F28" s="267">
        <f>E28/'- 3 -'!D28*100</f>
        <v>11.915478520935952</v>
      </c>
      <c r="G28" s="16">
        <f>E28/'- 7 -'!E28</f>
        <v>1698.8533927686974</v>
      </c>
      <c r="H28" s="16">
        <f>SUM('- 33 -'!B28,'- 33 -'!D28)</f>
        <v>510600</v>
      </c>
      <c r="I28" s="267">
        <f>H28/'- 3 -'!D28*100</f>
        <v>1.7737813234722302</v>
      </c>
      <c r="J28" s="16">
        <f>H28/'- 7 -'!E28</f>
        <v>252.89747399702824</v>
      </c>
    </row>
    <row r="29" spans="1:10" ht="14.1" customHeight="1" x14ac:dyDescent="0.2">
      <c r="A29" s="271" t="s">
        <v>125</v>
      </c>
      <c r="B29" s="272">
        <f>SUM('- 30 -'!D29,'- 30 -'!B29,'- 29 -'!F29,'- 29 -'!D29,'- 29 -'!B29)</f>
        <v>3966294</v>
      </c>
      <c r="C29" s="273">
        <f>B29/'- 3 -'!D29*100</f>
        <v>2.2282801055533215</v>
      </c>
      <c r="D29" s="272">
        <f>B29/'- 7 -'!E29</f>
        <v>275.72429614181436</v>
      </c>
      <c r="E29" s="272">
        <f>SUM('- 32 -'!D29,'- 32 -'!B29,'- 31 -'!F29,'- 31 -'!D29,'- 31 -'!B29)</f>
        <v>20705260</v>
      </c>
      <c r="F29" s="273">
        <f>E29/'- 3 -'!D29*100</f>
        <v>11.632299304668026</v>
      </c>
      <c r="G29" s="272">
        <f>E29/'- 7 -'!E29</f>
        <v>1439.3646159193604</v>
      </c>
      <c r="H29" s="272">
        <f>SUM('- 33 -'!B29,'- 33 -'!D29)</f>
        <v>3250000</v>
      </c>
      <c r="I29" s="273">
        <f>H29/'- 3 -'!D29*100</f>
        <v>1.8258632222039755</v>
      </c>
      <c r="J29" s="272">
        <f>H29/'- 7 -'!E29</f>
        <v>225.92978797358359</v>
      </c>
    </row>
    <row r="30" spans="1:10" ht="14.1" customHeight="1" x14ac:dyDescent="0.2">
      <c r="A30" s="15" t="s">
        <v>126</v>
      </c>
      <c r="B30" s="16">
        <f>SUM('- 30 -'!D30,'- 30 -'!B30,'- 29 -'!F30,'- 29 -'!D30,'- 29 -'!B30)</f>
        <v>1214123</v>
      </c>
      <c r="C30" s="267">
        <f>B30/'- 3 -'!D30*100</f>
        <v>7.7226427335640144</v>
      </c>
      <c r="D30" s="16">
        <f>B30/'- 7 -'!E30</f>
        <v>1160.1748686096512</v>
      </c>
      <c r="E30" s="16">
        <f>SUM('- 32 -'!D30,'- 32 -'!B30,'- 31 -'!F30,'- 31 -'!D30,'- 31 -'!B30)</f>
        <v>1597620</v>
      </c>
      <c r="F30" s="267">
        <f>E30/'- 3 -'!D30*100</f>
        <v>10.161942804803582</v>
      </c>
      <c r="G30" s="16">
        <f>E30/'- 7 -'!E30</f>
        <v>1526.6316292403249</v>
      </c>
      <c r="H30" s="16">
        <f>SUM('- 33 -'!B30,'- 33 -'!D30)</f>
        <v>261561</v>
      </c>
      <c r="I30" s="267">
        <f>H30/'- 3 -'!D30*100</f>
        <v>1.6637047119886017</v>
      </c>
      <c r="J30" s="16">
        <f>H30/'- 7 -'!E30</f>
        <v>249.93884376493071</v>
      </c>
    </row>
    <row r="31" spans="1:10" ht="14.1" customHeight="1" x14ac:dyDescent="0.2">
      <c r="A31" s="271" t="s">
        <v>127</v>
      </c>
      <c r="B31" s="272">
        <f>SUM('- 30 -'!D31,'- 30 -'!B31,'- 29 -'!F31,'- 29 -'!D31,'- 29 -'!B31)</f>
        <v>1233203</v>
      </c>
      <c r="C31" s="273">
        <f>B31/'- 3 -'!D31*100</f>
        <v>3.0190221926968728</v>
      </c>
      <c r="D31" s="272">
        <f>B31/'- 7 -'!E31</f>
        <v>367.90065632458231</v>
      </c>
      <c r="E31" s="272">
        <f>SUM('- 32 -'!D31,'- 32 -'!B31,'- 31 -'!F31,'- 31 -'!D31,'- 31 -'!B31)</f>
        <v>3977510</v>
      </c>
      <c r="F31" s="273">
        <f>E31/'- 3 -'!D31*100</f>
        <v>9.7374000563360106</v>
      </c>
      <c r="G31" s="272">
        <f>E31/'- 7 -'!E31</f>
        <v>1186.6079952267303</v>
      </c>
      <c r="H31" s="272">
        <f>SUM('- 33 -'!B31,'- 33 -'!D31)</f>
        <v>705000</v>
      </c>
      <c r="I31" s="273">
        <f>H31/'- 3 -'!D31*100</f>
        <v>1.7259207493423998</v>
      </c>
      <c r="J31" s="272">
        <f>H31/'- 7 -'!E31</f>
        <v>210.32219570405729</v>
      </c>
    </row>
    <row r="32" spans="1:10" ht="14.1" customHeight="1" x14ac:dyDescent="0.2">
      <c r="A32" s="15" t="s">
        <v>128</v>
      </c>
      <c r="B32" s="16">
        <f>SUM('- 30 -'!D32,'- 30 -'!B32,'- 29 -'!F32,'- 29 -'!D32,'- 29 -'!B32)</f>
        <v>2409440</v>
      </c>
      <c r="C32" s="267">
        <f>B32/'- 3 -'!D32*100</f>
        <v>7.6014309154849373</v>
      </c>
      <c r="D32" s="16">
        <f>B32/'- 7 -'!E32</f>
        <v>1031.6591736244916</v>
      </c>
      <c r="E32" s="16">
        <f>SUM('- 32 -'!D32,'- 32 -'!B32,'- 31 -'!F32,'- 31 -'!D32,'- 31 -'!B32)</f>
        <v>3263921</v>
      </c>
      <c r="F32" s="267">
        <f>E32/'- 3 -'!D32*100</f>
        <v>10.297193536714138</v>
      </c>
      <c r="G32" s="16">
        <f>E32/'- 7 -'!E32</f>
        <v>1397.525583386855</v>
      </c>
      <c r="H32" s="16">
        <f>SUM('- 33 -'!B32,'- 33 -'!D32)</f>
        <v>596550</v>
      </c>
      <c r="I32" s="267">
        <f>H32/'- 3 -'!D32*100</f>
        <v>1.8820280283520401</v>
      </c>
      <c r="J32" s="16">
        <f>H32/'- 7 -'!E32</f>
        <v>255.42710340398202</v>
      </c>
    </row>
    <row r="33" spans="1:11" ht="14.1" customHeight="1" x14ac:dyDescent="0.2">
      <c r="A33" s="271" t="s">
        <v>129</v>
      </c>
      <c r="B33" s="272">
        <f>SUM('- 30 -'!D33,'- 30 -'!B33,'- 29 -'!F33,'- 29 -'!D33,'- 29 -'!B33)</f>
        <v>2475307</v>
      </c>
      <c r="C33" s="273">
        <f>B33/'- 3 -'!D33*100</f>
        <v>8.6158338201690903</v>
      </c>
      <c r="D33" s="272">
        <f>B33/'- 7 -'!E33</f>
        <v>1198.5797985667248</v>
      </c>
      <c r="E33" s="272">
        <f>SUM('- 32 -'!D33,'- 32 -'!B33,'- 31 -'!F33,'- 31 -'!D33,'- 31 -'!B33)</f>
        <v>3377725</v>
      </c>
      <c r="F33" s="273">
        <f>E33/'- 3 -'!D33*100</f>
        <v>11.756892090650025</v>
      </c>
      <c r="G33" s="272">
        <f>E33/'- 7 -'!E33</f>
        <v>1635.5437730001938</v>
      </c>
      <c r="H33" s="272">
        <f>SUM('- 33 -'!B33,'- 33 -'!D33)</f>
        <v>510000</v>
      </c>
      <c r="I33" s="273">
        <f>H33/'- 3 -'!D33*100</f>
        <v>1.7751637466731343</v>
      </c>
      <c r="J33" s="272">
        <f>H33/'- 7 -'!E33</f>
        <v>246.94944799535156</v>
      </c>
    </row>
    <row r="34" spans="1:11" ht="14.1" customHeight="1" x14ac:dyDescent="0.2">
      <c r="A34" s="15" t="s">
        <v>130</v>
      </c>
      <c r="B34" s="16">
        <f>SUM('- 30 -'!D34,'- 30 -'!B34,'- 29 -'!F34,'- 29 -'!D34,'- 29 -'!B34)</f>
        <v>2792449</v>
      </c>
      <c r="C34" s="267">
        <f>B34/'- 3 -'!D34*100</f>
        <v>8.7336416763919154</v>
      </c>
      <c r="D34" s="16">
        <f>B34/'- 7 -'!E34</f>
        <v>1224.9195069526693</v>
      </c>
      <c r="E34" s="16">
        <f>SUM('- 32 -'!D34,'- 32 -'!B34,'- 31 -'!F34,'- 31 -'!D34,'- 31 -'!B34)</f>
        <v>2964013</v>
      </c>
      <c r="F34" s="267">
        <f>E34/'- 3 -'!D34*100</f>
        <v>9.2702239024481479</v>
      </c>
      <c r="G34" s="16">
        <f>E34/'- 7 -'!E34</f>
        <v>1300.1767776461816</v>
      </c>
      <c r="H34" s="16">
        <f>SUM('- 33 -'!B34,'- 33 -'!D34)</f>
        <v>657879</v>
      </c>
      <c r="I34" s="267">
        <f>H34/'- 3 -'!D34*100</f>
        <v>2.0575772207202485</v>
      </c>
      <c r="J34" s="16">
        <f>H34/'- 7 -'!E34</f>
        <v>288.58139228845903</v>
      </c>
    </row>
    <row r="35" spans="1:11" ht="14.1" customHeight="1" x14ac:dyDescent="0.2">
      <c r="A35" s="271" t="s">
        <v>131</v>
      </c>
      <c r="B35" s="272">
        <f>SUM('- 30 -'!D35,'- 30 -'!B35,'- 29 -'!F35,'- 29 -'!D35,'- 29 -'!B35)</f>
        <v>5008896</v>
      </c>
      <c r="C35" s="273">
        <f>B35/'- 3 -'!D35*100</f>
        <v>2.5493905949445343</v>
      </c>
      <c r="D35" s="272">
        <f>B35/'- 7 -'!E35</f>
        <v>307.32251434181057</v>
      </c>
      <c r="E35" s="272">
        <f>SUM('- 32 -'!D35,'- 32 -'!B35,'- 31 -'!F35,'- 31 -'!D35,'- 31 -'!B35)</f>
        <v>22422447</v>
      </c>
      <c r="F35" s="273">
        <f>E35/'- 3 -'!D35*100</f>
        <v>11.412410139368493</v>
      </c>
      <c r="G35" s="272">
        <f>E35/'- 7 -'!E35</f>
        <v>1375.7368469491057</v>
      </c>
      <c r="H35" s="272">
        <f>SUM('- 33 -'!B35,'- 33 -'!D35)</f>
        <v>3464000</v>
      </c>
      <c r="I35" s="273">
        <f>H35/'- 3 -'!D35*100</f>
        <v>1.7630809305858748</v>
      </c>
      <c r="J35" s="272">
        <f>H35/'- 7 -'!E35</f>
        <v>212.53489584931128</v>
      </c>
    </row>
    <row r="36" spans="1:11" ht="14.1" customHeight="1" x14ac:dyDescent="0.2">
      <c r="A36" s="15" t="s">
        <v>132</v>
      </c>
      <c r="B36" s="16">
        <f>SUM('- 30 -'!D36,'- 30 -'!B36,'- 29 -'!F36,'- 29 -'!D36,'- 29 -'!B36)</f>
        <v>1799200</v>
      </c>
      <c r="C36" s="267">
        <f>B36/'- 3 -'!D36*100</f>
        <v>7.4411079442471104</v>
      </c>
      <c r="D36" s="16">
        <f>B36/'- 7 -'!E36</f>
        <v>1030.7648238327126</v>
      </c>
      <c r="E36" s="16">
        <f>SUM('- 32 -'!D36,'- 32 -'!B36,'- 31 -'!F36,'- 31 -'!D36,'- 31 -'!B36)</f>
        <v>2970720</v>
      </c>
      <c r="F36" s="267">
        <f>E36/'- 3 -'!D36*100</f>
        <v>12.286265113458079</v>
      </c>
      <c r="G36" s="16">
        <f>E36/'- 7 -'!E36</f>
        <v>1701.9306788885706</v>
      </c>
      <c r="H36" s="16">
        <f>SUM('- 33 -'!B36,'- 33 -'!D36)</f>
        <v>451000</v>
      </c>
      <c r="I36" s="267">
        <f>H36/'- 3 -'!D36*100</f>
        <v>1.8652399304443346</v>
      </c>
      <c r="J36" s="16">
        <f>H36/'- 7 -'!E36</f>
        <v>258.37868805499858</v>
      </c>
    </row>
    <row r="37" spans="1:11" ht="14.1" customHeight="1" x14ac:dyDescent="0.2">
      <c r="A37" s="271" t="s">
        <v>133</v>
      </c>
      <c r="B37" s="272">
        <f>SUM('- 30 -'!D37,'- 30 -'!B37,'- 29 -'!F37,'- 29 -'!D37,'- 29 -'!B37)</f>
        <v>3462397</v>
      </c>
      <c r="C37" s="273">
        <f>B37/'- 3 -'!D37*100</f>
        <v>6.2827702714963323</v>
      </c>
      <c r="D37" s="272">
        <f>B37/'- 7 -'!E37</f>
        <v>793.3998625114574</v>
      </c>
      <c r="E37" s="272">
        <f>SUM('- 32 -'!D37,'- 32 -'!B37,'- 31 -'!F37,'- 31 -'!D37,'- 31 -'!B37)</f>
        <v>5359500</v>
      </c>
      <c r="F37" s="273">
        <f>E37/'- 3 -'!D37*100</f>
        <v>9.7252011453581417</v>
      </c>
      <c r="G37" s="272">
        <f>E37/'- 7 -'!E37</f>
        <v>1228.1164069660861</v>
      </c>
      <c r="H37" s="272">
        <f>SUM('- 33 -'!B37,'- 33 -'!D37)</f>
        <v>950000</v>
      </c>
      <c r="I37" s="273">
        <f>H37/'- 3 -'!D37*100</f>
        <v>1.7238438451516438</v>
      </c>
      <c r="J37" s="272">
        <f>H37/'- 7 -'!E37</f>
        <v>217.69019248395966</v>
      </c>
    </row>
    <row r="38" spans="1:11" ht="14.1" customHeight="1" x14ac:dyDescent="0.2">
      <c r="A38" s="15" t="s">
        <v>134</v>
      </c>
      <c r="B38" s="16">
        <f>SUM('- 30 -'!D38,'- 30 -'!B38,'- 29 -'!F38,'- 29 -'!D38,'- 29 -'!B38)</f>
        <v>4217790</v>
      </c>
      <c r="C38" s="267">
        <f>B38/'- 3 -'!D38*100</f>
        <v>2.7919883024560987</v>
      </c>
      <c r="D38" s="16">
        <f>B38/'- 7 -'!E38</f>
        <v>361.90537479406919</v>
      </c>
      <c r="E38" s="16">
        <f>SUM('- 32 -'!D38,'- 32 -'!B38,'- 31 -'!F38,'- 31 -'!D38,'- 31 -'!B38)</f>
        <v>14429095</v>
      </c>
      <c r="F38" s="267">
        <f>E38/'- 3 -'!D38*100</f>
        <v>9.5514154225382928</v>
      </c>
      <c r="G38" s="16">
        <f>E38/'- 7 -'!E38</f>
        <v>1238.0813255079627</v>
      </c>
      <c r="H38" s="16">
        <f>SUM('- 33 -'!B38,'- 33 -'!D38)</f>
        <v>2727660</v>
      </c>
      <c r="I38" s="267">
        <f>H38/'- 3 -'!D38*100</f>
        <v>1.805588901552093</v>
      </c>
      <c r="J38" s="16">
        <f>H38/'- 7 -'!E38</f>
        <v>234.04551070840199</v>
      </c>
    </row>
    <row r="39" spans="1:11" ht="14.1" customHeight="1" x14ac:dyDescent="0.2">
      <c r="A39" s="271" t="s">
        <v>135</v>
      </c>
      <c r="B39" s="272">
        <f>SUM('- 30 -'!D39,'- 30 -'!B39,'- 29 -'!F39,'- 29 -'!D39,'- 29 -'!B39)</f>
        <v>2264500</v>
      </c>
      <c r="C39" s="273">
        <f>B39/'- 3 -'!D39*100</f>
        <v>9.6442138975485943</v>
      </c>
      <c r="D39" s="272">
        <f>B39/'- 7 -'!E39</f>
        <v>1519.1869046021736</v>
      </c>
      <c r="E39" s="272">
        <f>SUM('- 32 -'!D39,'- 32 -'!B39,'- 31 -'!F39,'- 31 -'!D39,'- 31 -'!B39)</f>
        <v>2476900</v>
      </c>
      <c r="F39" s="273">
        <f>E39/'- 3 -'!D39*100</f>
        <v>10.548798146539241</v>
      </c>
      <c r="G39" s="272">
        <f>E39/'- 7 -'!E39</f>
        <v>1661.6798604588757</v>
      </c>
      <c r="H39" s="272">
        <f>SUM('- 33 -'!B39,'- 33 -'!D39)</f>
        <v>411450</v>
      </c>
      <c r="I39" s="273">
        <f>H39/'- 3 -'!D39*100</f>
        <v>1.7523125670772219</v>
      </c>
      <c r="J39" s="272">
        <f>H39/'- 7 -'!E39</f>
        <v>276.02978666308871</v>
      </c>
    </row>
    <row r="40" spans="1:11" ht="14.1" customHeight="1" x14ac:dyDescent="0.2">
      <c r="A40" s="15" t="s">
        <v>136</v>
      </c>
      <c r="B40" s="16">
        <f>SUM('- 30 -'!D40,'- 30 -'!B40,'- 29 -'!F40,'- 29 -'!D40,'- 29 -'!B40)</f>
        <v>2398036</v>
      </c>
      <c r="C40" s="267">
        <f>B40/'- 3 -'!D40*100</f>
        <v>2.1825572515627507</v>
      </c>
      <c r="D40" s="16">
        <f>B40/'- 7 -'!E40</f>
        <v>291.64317421708728</v>
      </c>
      <c r="E40" s="16">
        <f>SUM('- 32 -'!D40,'- 32 -'!B40,'- 31 -'!F40,'- 31 -'!D40,'- 31 -'!B40)</f>
        <v>11290125</v>
      </c>
      <c r="F40" s="267">
        <f>E40/'- 3 -'!D40*100</f>
        <v>10.275635640916109</v>
      </c>
      <c r="G40" s="16">
        <f>E40/'- 7 -'!E40</f>
        <v>1373.0769230769231</v>
      </c>
      <c r="H40" s="16">
        <f>SUM('- 33 -'!B40,'- 33 -'!D40)</f>
        <v>1907330</v>
      </c>
      <c r="I40" s="267">
        <f>H40/'- 3 -'!D40*100</f>
        <v>1.7359442988442133</v>
      </c>
      <c r="J40" s="16">
        <f>H40/'- 7 -'!E40</f>
        <v>231.96473092125265</v>
      </c>
    </row>
    <row r="41" spans="1:11" ht="14.1" customHeight="1" x14ac:dyDescent="0.2">
      <c r="A41" s="271" t="s">
        <v>137</v>
      </c>
      <c r="B41" s="272">
        <f>SUM('- 30 -'!D41,'- 30 -'!B41,'- 29 -'!F41,'- 29 -'!D41,'- 29 -'!B41)</f>
        <v>5232310</v>
      </c>
      <c r="C41" s="273">
        <f>B41/'- 3 -'!D41*100</f>
        <v>7.8456550002051264</v>
      </c>
      <c r="D41" s="272">
        <f>B41/'- 7 -'!E41</f>
        <v>1164.2879394748554</v>
      </c>
      <c r="E41" s="272">
        <f>SUM('- 32 -'!D41,'- 32 -'!B41,'- 31 -'!F41,'- 31 -'!D41,'- 31 -'!B41)</f>
        <v>6867753</v>
      </c>
      <c r="F41" s="273">
        <f>E41/'- 3 -'!D41*100</f>
        <v>10.297941189383611</v>
      </c>
      <c r="G41" s="272">
        <f>E41/'- 7 -'!E41</f>
        <v>1528.2049399198931</v>
      </c>
      <c r="H41" s="272">
        <f>SUM('- 33 -'!B41,'- 33 -'!D41)</f>
        <v>1207186</v>
      </c>
      <c r="I41" s="273">
        <f>H41/'- 3 -'!D41*100</f>
        <v>1.8101306835943638</v>
      </c>
      <c r="J41" s="272">
        <f>H41/'- 7 -'!E41</f>
        <v>268.62171784601691</v>
      </c>
    </row>
    <row r="42" spans="1:11" ht="14.1" customHeight="1" x14ac:dyDescent="0.2">
      <c r="A42" s="15" t="s">
        <v>138</v>
      </c>
      <c r="B42" s="16">
        <f>SUM('- 30 -'!D42,'- 30 -'!B42,'- 29 -'!F42,'- 29 -'!D42,'- 29 -'!B42)</f>
        <v>1871586</v>
      </c>
      <c r="C42" s="267">
        <f>B42/'- 3 -'!D42*100</f>
        <v>8.7684367647430879</v>
      </c>
      <c r="D42" s="16">
        <f>B42/'- 7 -'!E42</f>
        <v>1367.6185604676652</v>
      </c>
      <c r="E42" s="16">
        <f>SUM('- 32 -'!D42,'- 32 -'!B42,'- 31 -'!F42,'- 31 -'!D42,'- 31 -'!B42)</f>
        <v>2470283</v>
      </c>
      <c r="F42" s="267">
        <f>E42/'- 3 -'!D42*100</f>
        <v>11.573350236921973</v>
      </c>
      <c r="G42" s="16">
        <f>E42/'- 7 -'!E42</f>
        <v>1805.1026671538179</v>
      </c>
      <c r="H42" s="16">
        <f>SUM('- 33 -'!B42,'- 33 -'!D42)</f>
        <v>342000</v>
      </c>
      <c r="I42" s="267">
        <f>H42/'- 3 -'!D42*100</f>
        <v>1.6022802978554744</v>
      </c>
      <c r="J42" s="16">
        <f>H42/'- 7 -'!E42</f>
        <v>249.90865911582023</v>
      </c>
    </row>
    <row r="43" spans="1:11" ht="14.1" customHeight="1" x14ac:dyDescent="0.2">
      <c r="A43" s="271" t="s">
        <v>139</v>
      </c>
      <c r="B43" s="272">
        <f>SUM('- 30 -'!D43,'- 30 -'!B43,'- 29 -'!F43,'- 29 -'!D43,'- 29 -'!B43)</f>
        <v>1089264</v>
      </c>
      <c r="C43" s="273">
        <f>B43/'- 3 -'!D43*100</f>
        <v>7.8486993411428534</v>
      </c>
      <c r="D43" s="272">
        <f>B43/'- 7 -'!E43</f>
        <v>1083.8447761194029</v>
      </c>
      <c r="E43" s="272">
        <f>SUM('- 32 -'!D43,'- 32 -'!B43,'- 31 -'!F43,'- 31 -'!D43,'- 31 -'!B43)</f>
        <v>1113026</v>
      </c>
      <c r="F43" s="273">
        <f>E43/'- 3 -'!D43*100</f>
        <v>8.0199165976979554</v>
      </c>
      <c r="G43" s="272">
        <f>E43/'- 7 -'!E43</f>
        <v>1107.4885572139303</v>
      </c>
      <c r="H43" s="272">
        <f>SUM('- 33 -'!B43,'- 33 -'!D43)</f>
        <v>284489</v>
      </c>
      <c r="I43" s="273">
        <f>H43/'- 3 -'!D43*100</f>
        <v>2.0498874715976929</v>
      </c>
      <c r="J43" s="272">
        <f>H43/'- 7 -'!E43</f>
        <v>283.073631840796</v>
      </c>
    </row>
    <row r="44" spans="1:11" ht="14.1" customHeight="1" x14ac:dyDescent="0.2">
      <c r="A44" s="15" t="s">
        <v>140</v>
      </c>
      <c r="B44" s="16">
        <f>SUM('- 30 -'!D44,'- 30 -'!B44,'- 29 -'!F44,'- 29 -'!D44,'- 29 -'!B44)</f>
        <v>1166196</v>
      </c>
      <c r="C44" s="267">
        <f>B44/'- 3 -'!D44*100</f>
        <v>10.380888773406816</v>
      </c>
      <c r="D44" s="16">
        <f>B44/'- 7 -'!E44</f>
        <v>1681.6092285508291</v>
      </c>
      <c r="E44" s="16">
        <f>SUM('- 32 -'!D44,'- 32 -'!B44,'- 31 -'!F44,'- 31 -'!D44,'- 31 -'!B44)</f>
        <v>1219416</v>
      </c>
      <c r="F44" s="267">
        <f>E44/'- 3 -'!D44*100</f>
        <v>10.854626378852823</v>
      </c>
      <c r="G44" s="16">
        <f>E44/'- 7 -'!E44</f>
        <v>1758.3503965392933</v>
      </c>
      <c r="H44" s="16">
        <f>SUM('- 33 -'!B44,'- 33 -'!D44)</f>
        <v>185703</v>
      </c>
      <c r="I44" s="267">
        <f>H44/'- 3 -'!D44*100</f>
        <v>1.6530344709533955</v>
      </c>
      <c r="J44" s="16">
        <f>H44/'- 7 -'!E44</f>
        <v>267.77649603460708</v>
      </c>
    </row>
    <row r="45" spans="1:11" ht="14.1" customHeight="1" x14ac:dyDescent="0.2">
      <c r="A45" s="271" t="s">
        <v>141</v>
      </c>
      <c r="B45" s="272">
        <f>SUM('- 30 -'!D45,'- 30 -'!B45,'- 29 -'!F45,'- 29 -'!D45,'- 29 -'!B45)</f>
        <v>955739</v>
      </c>
      <c r="C45" s="273">
        <f>B45/'- 3 -'!D45*100</f>
        <v>4.2728272864661561</v>
      </c>
      <c r="D45" s="272">
        <f>B45/'- 7 -'!E45</f>
        <v>460.59710843373495</v>
      </c>
      <c r="E45" s="272">
        <f>SUM('- 32 -'!D45,'- 32 -'!B45,'- 31 -'!F45,'- 31 -'!D45,'- 31 -'!B45)</f>
        <v>2056553</v>
      </c>
      <c r="F45" s="273">
        <f>E45/'- 3 -'!D45*100</f>
        <v>9.1942421251657951</v>
      </c>
      <c r="G45" s="272">
        <f>E45/'- 7 -'!E45</f>
        <v>991.10987951807226</v>
      </c>
      <c r="H45" s="272">
        <f>SUM('- 33 -'!B45,'- 33 -'!D45)</f>
        <v>414155</v>
      </c>
      <c r="I45" s="273">
        <f>H45/'- 3 -'!D45*100</f>
        <v>1.8515648988127416</v>
      </c>
      <c r="J45" s="272">
        <f>H45/'- 7 -'!E45</f>
        <v>199.59277108433736</v>
      </c>
    </row>
    <row r="46" spans="1:11" ht="14.1" customHeight="1" x14ac:dyDescent="0.2">
      <c r="A46" s="15" t="s">
        <v>142</v>
      </c>
      <c r="B46" s="16">
        <f>SUM('- 30 -'!D46,'- 30 -'!B46,'- 29 -'!F46,'- 29 -'!D46,'- 29 -'!B46)</f>
        <v>7457100</v>
      </c>
      <c r="C46" s="267">
        <f>B46/'- 3 -'!D46*100</f>
        <v>1.7867066923212296</v>
      </c>
      <c r="D46" s="16">
        <f>B46/'- 7 -'!E46</f>
        <v>249.25961827723367</v>
      </c>
      <c r="E46" s="16">
        <f>SUM('- 32 -'!D46,'- 32 -'!B46,'- 31 -'!F46,'- 31 -'!D46,'- 31 -'!B46)</f>
        <v>54159300</v>
      </c>
      <c r="F46" s="267">
        <f>E46/'- 3 -'!D46*100</f>
        <v>12.976463204386848</v>
      </c>
      <c r="G46" s="16">
        <f>E46/'- 7 -'!E46</f>
        <v>1810.3185479827523</v>
      </c>
      <c r="H46" s="16">
        <f>SUM('- 33 -'!B46,'- 33 -'!D46)</f>
        <v>7830300</v>
      </c>
      <c r="I46" s="267">
        <f>H46/'- 3 -'!D46*100</f>
        <v>1.876124688267949</v>
      </c>
      <c r="J46" s="16">
        <f>H46/'- 7 -'!E46</f>
        <v>261.73413109603234</v>
      </c>
    </row>
    <row r="47" spans="1:11" ht="5.0999999999999996" customHeight="1" x14ac:dyDescent="0.2">
      <c r="A47"/>
      <c r="B47"/>
      <c r="C47"/>
      <c r="D47"/>
      <c r="E47"/>
      <c r="F47"/>
      <c r="G47"/>
      <c r="H47"/>
      <c r="I47"/>
      <c r="J47"/>
      <c r="K47"/>
    </row>
    <row r="48" spans="1:11" ht="14.1" customHeight="1" x14ac:dyDescent="0.2">
      <c r="A48" s="274" t="s">
        <v>143</v>
      </c>
      <c r="B48" s="275">
        <f>SUM(B11:B46)</f>
        <v>109415210</v>
      </c>
      <c r="C48" s="276">
        <f>B48/'- 3 -'!D48*100</f>
        <v>4.410530335717767</v>
      </c>
      <c r="D48" s="275">
        <f>B48/'- 7 -'!E48</f>
        <v>600.57068239277135</v>
      </c>
      <c r="E48" s="275">
        <f>SUM(E11:E46)</f>
        <v>283972819</v>
      </c>
      <c r="F48" s="276">
        <f>E48/'- 3 -'!D48*100</f>
        <v>11.446952692580773</v>
      </c>
      <c r="G48" s="275">
        <f>E48/'- 7 -'!E48</f>
        <v>1558.7023932763</v>
      </c>
      <c r="H48" s="275">
        <f>SUM(H11:H46)</f>
        <v>43128850</v>
      </c>
      <c r="I48" s="276">
        <f>H48/'- 3 -'!D48*100</f>
        <v>1.7385252129902342</v>
      </c>
      <c r="J48" s="275">
        <f>H48/'- 7 -'!E48</f>
        <v>236.73055030754387</v>
      </c>
    </row>
    <row r="49" spans="1:10" ht="5.0999999999999996" customHeight="1" x14ac:dyDescent="0.2">
      <c r="A49" s="17" t="s">
        <v>1</v>
      </c>
      <c r="B49" s="18"/>
      <c r="C49" s="266"/>
      <c r="D49" s="18"/>
      <c r="E49" s="18"/>
      <c r="F49" s="266"/>
      <c r="H49" s="18"/>
      <c r="I49" s="266"/>
      <c r="J49" s="18"/>
    </row>
    <row r="50" spans="1:10" ht="14.1" customHeight="1" x14ac:dyDescent="0.2">
      <c r="A50" s="15" t="s">
        <v>144</v>
      </c>
      <c r="B50" s="16">
        <f>SUM('- 30 -'!D50,'- 30 -'!B50,'- 29 -'!F50,'- 29 -'!D50,'- 29 -'!B50)</f>
        <v>67284</v>
      </c>
      <c r="C50" s="267">
        <f>B50/'- 3 -'!D50*100</f>
        <v>1.8751761008410199</v>
      </c>
      <c r="D50" s="16">
        <f>B50/'- 7 -'!E50</f>
        <v>391.18604651162792</v>
      </c>
      <c r="E50" s="16">
        <f>SUM('- 32 -'!D50,'- 32 -'!B50,'- 31 -'!F50,'- 31 -'!D50,'- 31 -'!B50)</f>
        <v>512369</v>
      </c>
      <c r="F50" s="267">
        <f>E50/'- 3 -'!D50*100</f>
        <v>14.279503353127229</v>
      </c>
      <c r="G50" s="16">
        <f>E50/'- 7 -'!E50</f>
        <v>2978.8895348837209</v>
      </c>
      <c r="H50" s="16">
        <f>SUM('- 33 -'!B50,'- 33 -'!D50)</f>
        <v>48000</v>
      </c>
      <c r="I50" s="267">
        <f>H50/'- 3 -'!D50*100</f>
        <v>1.3377393264426753</v>
      </c>
      <c r="J50" s="16">
        <f>H50/'- 7 -'!E50</f>
        <v>279.06976744186045</v>
      </c>
    </row>
    <row r="51" spans="1:10" ht="14.1" customHeight="1" x14ac:dyDescent="0.2">
      <c r="A51" s="360" t="s">
        <v>513</v>
      </c>
      <c r="B51" s="272">
        <f>SUM('- 30 -'!D51,'- 30 -'!B51,'- 29 -'!F51,'- 29 -'!D51,'- 29 -'!B51)</f>
        <v>0</v>
      </c>
      <c r="C51" s="273">
        <f>B51/'- 3 -'!D51*100</f>
        <v>0</v>
      </c>
      <c r="D51" s="272">
        <f>B51/'- 7 -'!E51</f>
        <v>0</v>
      </c>
      <c r="E51" s="272">
        <f>SUM('- 32 -'!D51,'- 32 -'!B51,'- 31 -'!F51,'- 31 -'!D51,'- 31 -'!B51)</f>
        <v>3985766</v>
      </c>
      <c r="F51" s="273">
        <f>E51/'- 3 -'!D51*100</f>
        <v>11.464791975877306</v>
      </c>
      <c r="G51" s="272">
        <f>E51/'- 7 -'!E51</f>
        <v>2246.6411138041826</v>
      </c>
      <c r="H51" s="272">
        <f>SUM('- 33 -'!B51,'- 33 -'!D51)</f>
        <v>380000</v>
      </c>
      <c r="I51" s="273">
        <f>H51/'- 3 -'!D51*100</f>
        <v>1.0930448377635256</v>
      </c>
      <c r="J51" s="272">
        <f>H51/'- 7 -'!E51</f>
        <v>214.19311200045095</v>
      </c>
    </row>
    <row r="52" spans="1:10" ht="50.1" customHeight="1" x14ac:dyDescent="0.2">
      <c r="B52" s="396" t="str">
        <f>IF(B48='- 10 -'!K22,"","check with page 10")</f>
        <v/>
      </c>
      <c r="C52" s="396"/>
      <c r="D52" s="396"/>
      <c r="E52" s="396"/>
      <c r="F52" s="396"/>
      <c r="G52" s="396"/>
      <c r="H52" s="396" t="str">
        <f>IF($H$48='- 10 -'!K24," ","check with page 10")</f>
        <v xml:space="preserve"> </v>
      </c>
    </row>
    <row r="53" spans="1:10" ht="15" customHeight="1" x14ac:dyDescent="0.2">
      <c r="B53" s="1">
        <f>B48-'- 10 -'!K22</f>
        <v>0</v>
      </c>
    </row>
    <row r="54" spans="1:10" ht="14.45" customHeight="1" x14ac:dyDescent="0.2">
      <c r="B54" s="72"/>
      <c r="C54" s="72"/>
      <c r="E54" s="72"/>
      <c r="F54" s="72"/>
      <c r="H54" s="72"/>
    </row>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6">
    <mergeCell ref="D8:D9"/>
    <mergeCell ref="G8:G9"/>
    <mergeCell ref="J8:J9"/>
    <mergeCell ref="H6:J7"/>
    <mergeCell ref="E6:G7"/>
    <mergeCell ref="B6:D7"/>
  </mergeCells>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59"/>
  <sheetViews>
    <sheetView showGridLines="0" showZeros="0" workbookViewId="0"/>
  </sheetViews>
  <sheetFormatPr defaultColWidth="15.83203125" defaultRowHeight="12" x14ac:dyDescent="0.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54" ht="6.95" customHeight="1" x14ac:dyDescent="0.2">
      <c r="A1" s="3"/>
      <c r="B1" s="32"/>
      <c r="C1" s="32"/>
      <c r="D1" s="32"/>
      <c r="E1" s="32"/>
      <c r="F1" s="32"/>
      <c r="G1" s="32"/>
    </row>
    <row r="2" spans="1:54" ht="15.95" customHeight="1" x14ac:dyDescent="0.2">
      <c r="A2" s="132"/>
      <c r="B2" s="5" t="str">
        <f>IF(Lang=1,BA2,BB2)</f>
        <v>ANALYSIS OF EXPENSE BY PROGRAM</v>
      </c>
      <c r="C2" s="155"/>
      <c r="D2" s="35"/>
      <c r="E2" s="35"/>
      <c r="F2" s="35"/>
      <c r="G2" s="502" t="s">
        <v>522</v>
      </c>
      <c r="BA2" s="456" t="s">
        <v>258</v>
      </c>
      <c r="BB2" s="456" t="s">
        <v>402</v>
      </c>
    </row>
    <row r="3" spans="1:54" ht="15.95" customHeight="1" x14ac:dyDescent="0.2">
      <c r="A3" s="135"/>
      <c r="B3" s="175" t="str">
        <f>OPYEAR</f>
        <v>OPERATING FUND 2020/2021 BUDGET</v>
      </c>
      <c r="C3" s="39"/>
      <c r="D3" s="156"/>
      <c r="E3" s="39"/>
      <c r="F3" s="39"/>
      <c r="G3" s="41"/>
    </row>
    <row r="4" spans="1:54" ht="15.95" customHeight="1" x14ac:dyDescent="0.2">
      <c r="B4" s="32"/>
      <c r="C4" s="32"/>
      <c r="D4" s="32"/>
      <c r="E4" s="32"/>
      <c r="F4" s="32"/>
      <c r="G4" s="32"/>
    </row>
    <row r="5" spans="1:54" ht="15.95" customHeight="1" x14ac:dyDescent="0.2">
      <c r="B5" s="639" t="s">
        <v>6</v>
      </c>
      <c r="C5" s="640"/>
      <c r="D5" s="640"/>
      <c r="E5" s="640"/>
      <c r="F5" s="640"/>
      <c r="G5" s="641"/>
    </row>
    <row r="6" spans="1:54" ht="15.95" customHeight="1" x14ac:dyDescent="0.2">
      <c r="B6" s="642" t="s">
        <v>14</v>
      </c>
      <c r="C6" s="643"/>
      <c r="D6" s="644"/>
      <c r="E6" s="648" t="s">
        <v>403</v>
      </c>
      <c r="F6" s="649"/>
      <c r="G6" s="650"/>
    </row>
    <row r="7" spans="1:54" ht="15.95" customHeight="1" x14ac:dyDescent="0.2">
      <c r="B7" s="645"/>
      <c r="C7" s="646"/>
      <c r="D7" s="647"/>
      <c r="E7" s="651"/>
      <c r="F7" s="652"/>
      <c r="G7" s="653"/>
    </row>
    <row r="8" spans="1:54" ht="15.95" customHeight="1" x14ac:dyDescent="0.2">
      <c r="A8" s="82"/>
      <c r="B8" s="160"/>
      <c r="C8" s="161"/>
      <c r="D8" s="540" t="s">
        <v>396</v>
      </c>
      <c r="E8" s="162"/>
      <c r="F8" s="161"/>
      <c r="G8" s="540" t="s">
        <v>396</v>
      </c>
    </row>
    <row r="9" spans="1:54" ht="15.95" customHeight="1" x14ac:dyDescent="0.2">
      <c r="A9" s="27" t="s">
        <v>37</v>
      </c>
      <c r="B9" s="43" t="s">
        <v>38</v>
      </c>
      <c r="C9" s="43" t="s">
        <v>39</v>
      </c>
      <c r="D9" s="580"/>
      <c r="E9" s="163" t="s">
        <v>38</v>
      </c>
      <c r="F9" s="43" t="s">
        <v>39</v>
      </c>
      <c r="G9" s="580"/>
    </row>
    <row r="10" spans="1:54" ht="5.0999999999999996" customHeight="1" x14ac:dyDescent="0.2">
      <c r="A10" s="29"/>
      <c r="B10" s="46"/>
      <c r="C10" s="46"/>
      <c r="D10" s="46"/>
      <c r="E10" s="46"/>
      <c r="F10" s="46"/>
      <c r="G10" s="46"/>
    </row>
    <row r="11" spans="1:54" ht="14.1" customHeight="1" x14ac:dyDescent="0.2">
      <c r="A11" s="271" t="s">
        <v>108</v>
      </c>
      <c r="B11" s="272">
        <v>1466550</v>
      </c>
      <c r="C11" s="273">
        <f>B11/'- 3 -'!$D11*100</f>
        <v>6.6030053298146125</v>
      </c>
      <c r="D11" s="272">
        <f>B11/'- 7 -'!$C11</f>
        <v>735.29706693406865</v>
      </c>
      <c r="E11" s="272">
        <v>0</v>
      </c>
      <c r="F11" s="273">
        <f>E11/'- 3 -'!$D11*100</f>
        <v>0</v>
      </c>
      <c r="G11" s="272" t="str">
        <f>IF('- 7 -'!$B11=0,"",E11/'- 7 -'!$B11)</f>
        <v/>
      </c>
    </row>
    <row r="12" spans="1:54" ht="14.1" customHeight="1" x14ac:dyDescent="0.2">
      <c r="A12" s="15" t="s">
        <v>109</v>
      </c>
      <c r="B12" s="16">
        <v>2844281</v>
      </c>
      <c r="C12" s="267">
        <f>B12/'- 3 -'!$D12*100</f>
        <v>8.1982485382675687</v>
      </c>
      <c r="D12" s="16">
        <f>B12/'- 7 -'!$C12</f>
        <v>1320.4647168059425</v>
      </c>
      <c r="E12" s="16">
        <v>1209468</v>
      </c>
      <c r="F12" s="267">
        <f>E12/'- 3 -'!$D12*100</f>
        <v>3.4861250569410687</v>
      </c>
      <c r="G12" s="16">
        <f>IF('- 7 -'!$B12=0,"",E12/'- 7 -'!$B12)</f>
        <v>8284.0273972602736</v>
      </c>
    </row>
    <row r="13" spans="1:54" ht="14.1" customHeight="1" x14ac:dyDescent="0.2">
      <c r="A13" s="271" t="s">
        <v>110</v>
      </c>
      <c r="B13" s="272">
        <v>7694100</v>
      </c>
      <c r="C13" s="273">
        <f>B13/'- 3 -'!$D13*100</f>
        <v>7.154087977215819</v>
      </c>
      <c r="D13" s="272">
        <f>B13/'- 7 -'!$C13</f>
        <v>880.18074701138244</v>
      </c>
      <c r="E13" s="272">
        <v>3709700</v>
      </c>
      <c r="F13" s="273">
        <f>E13/'- 3 -'!$D13*100</f>
        <v>3.4493339271750458</v>
      </c>
      <c r="G13" s="272">
        <f>IF('- 7 -'!$B13=0,"",E13/'- 7 -'!$B13)</f>
        <v>8832.6190476190477</v>
      </c>
    </row>
    <row r="14" spans="1:54" ht="14.1" customHeight="1" x14ac:dyDescent="0.2">
      <c r="A14" s="15" t="s">
        <v>319</v>
      </c>
      <c r="B14" s="16">
        <v>7041405</v>
      </c>
      <c r="C14" s="267">
        <f>B14/'- 3 -'!$D14*100</f>
        <v>7.2522735563800165</v>
      </c>
      <c r="D14" s="16">
        <f>B14/'- 7 -'!$C14</f>
        <v>1174.9382613048556</v>
      </c>
      <c r="E14" s="16">
        <v>261630</v>
      </c>
      <c r="F14" s="267">
        <f>E14/'- 3 -'!$D14*100</f>
        <v>0.26946501877902262</v>
      </c>
      <c r="G14" s="16">
        <f>IF('- 7 -'!$B14=0,"",E14/'- 7 -'!$B14)</f>
        <v>7695</v>
      </c>
    </row>
    <row r="15" spans="1:54" ht="14.1" customHeight="1" x14ac:dyDescent="0.2">
      <c r="A15" s="271" t="s">
        <v>111</v>
      </c>
      <c r="B15" s="272">
        <v>1668165</v>
      </c>
      <c r="C15" s="273">
        <f>B15/'- 3 -'!$D15*100</f>
        <v>7.8922377063943658</v>
      </c>
      <c r="D15" s="272">
        <f>B15/'- 7 -'!$C15</f>
        <v>1195.8172043010752</v>
      </c>
      <c r="E15" s="272">
        <v>194800</v>
      </c>
      <c r="F15" s="273">
        <f>E15/'- 3 -'!$D15*100</f>
        <v>0.92161621015044815</v>
      </c>
      <c r="G15" s="272">
        <f>IF('- 7 -'!$B15=0,"",E15/'- 7 -'!$B15)</f>
        <v>9740</v>
      </c>
    </row>
    <row r="16" spans="1:54" ht="14.1" customHeight="1" x14ac:dyDescent="0.2">
      <c r="A16" s="15" t="s">
        <v>112</v>
      </c>
      <c r="B16" s="16">
        <v>1257817</v>
      </c>
      <c r="C16" s="267">
        <f>B16/'- 3 -'!$D16*100</f>
        <v>8.4102434283909346</v>
      </c>
      <c r="D16" s="16">
        <f>B16/'- 7 -'!$C16</f>
        <v>1326.8111814345991</v>
      </c>
      <c r="E16" s="16">
        <v>0</v>
      </c>
      <c r="F16" s="267">
        <f>E16/'- 3 -'!$D16*100</f>
        <v>0</v>
      </c>
      <c r="G16" s="16" t="str">
        <f>IF('- 7 -'!$B16=0,"",E16/'- 7 -'!$B16)</f>
        <v/>
      </c>
    </row>
    <row r="17" spans="1:7" ht="14.1" customHeight="1" x14ac:dyDescent="0.2">
      <c r="A17" s="271" t="s">
        <v>113</v>
      </c>
      <c r="B17" s="272">
        <v>1420240</v>
      </c>
      <c r="C17" s="273">
        <f>B17/'- 3 -'!$D17*100</f>
        <v>7.5501528514686678</v>
      </c>
      <c r="D17" s="272">
        <f>B17/'- 7 -'!$C17</f>
        <v>982.1853388658368</v>
      </c>
      <c r="E17" s="272">
        <v>109700</v>
      </c>
      <c r="F17" s="273">
        <f>E17/'- 3 -'!$D17*100</f>
        <v>0.58317732763907015</v>
      </c>
      <c r="G17" s="272">
        <f>IF('- 7 -'!$B17=0,"",E17/'- 7 -'!$B17)</f>
        <v>4388</v>
      </c>
    </row>
    <row r="18" spans="1:7" ht="14.1" customHeight="1" x14ac:dyDescent="0.2">
      <c r="A18" s="15" t="s">
        <v>114</v>
      </c>
      <c r="B18" s="16">
        <v>7433588</v>
      </c>
      <c r="C18" s="267">
        <f>B18/'- 3 -'!$D18*100</f>
        <v>5.3401944866684499</v>
      </c>
      <c r="D18" s="16">
        <f>B18/'- 7 -'!$C18</f>
        <v>1241.2068792786777</v>
      </c>
      <c r="E18" s="16">
        <v>557085</v>
      </c>
      <c r="F18" s="267">
        <f>E18/'- 3 -'!$D18*100</f>
        <v>0.40020273461559797</v>
      </c>
      <c r="G18" s="16">
        <f>IF('- 7 -'!$B18=0,"",E18/'- 7 -'!$B18)</f>
        <v>9442.1186440677975</v>
      </c>
    </row>
    <row r="19" spans="1:7" ht="14.1" customHeight="1" x14ac:dyDescent="0.2">
      <c r="A19" s="271" t="s">
        <v>115</v>
      </c>
      <c r="B19" s="272">
        <v>3278000</v>
      </c>
      <c r="C19" s="273">
        <f>B19/'- 3 -'!$D19*100</f>
        <v>6.3589242205565126</v>
      </c>
      <c r="D19" s="272">
        <f>B19/'- 7 -'!$C19</f>
        <v>736.87759919073847</v>
      </c>
      <c r="E19" s="272">
        <v>1240600</v>
      </c>
      <c r="F19" s="273">
        <f>E19/'- 3 -'!$D19*100</f>
        <v>2.4066142123314247</v>
      </c>
      <c r="G19" s="272">
        <f>IF('- 7 -'!$B19=0,"",E19/'- 7 -'!$B19)</f>
        <v>9846.0317460317456</v>
      </c>
    </row>
    <row r="20" spans="1:7" ht="14.1" customHeight="1" x14ac:dyDescent="0.2">
      <c r="A20" s="15" t="s">
        <v>116</v>
      </c>
      <c r="B20" s="16">
        <v>6653300</v>
      </c>
      <c r="C20" s="267">
        <f>B20/'- 3 -'!$D20*100</f>
        <v>7.2369057939407648</v>
      </c>
      <c r="D20" s="16">
        <f>B20/'- 7 -'!$C20</f>
        <v>817.15794645050357</v>
      </c>
      <c r="E20" s="16">
        <v>3331700</v>
      </c>
      <c r="F20" s="267">
        <f>E20/'- 3 -'!$D20*100</f>
        <v>3.6239458665132265</v>
      </c>
      <c r="G20" s="16">
        <f>IF('- 7 -'!$B20=0,"",E20/'- 7 -'!$B20)</f>
        <v>6335.2348355200611</v>
      </c>
    </row>
    <row r="21" spans="1:7" ht="14.1" customHeight="1" x14ac:dyDescent="0.2">
      <c r="A21" s="271" t="s">
        <v>117</v>
      </c>
      <c r="B21" s="272">
        <v>3108590</v>
      </c>
      <c r="C21" s="273">
        <f>B21/'- 3 -'!$D21*100</f>
        <v>8.1409201317279809</v>
      </c>
      <c r="D21" s="272">
        <f>B21/'- 7 -'!$C21</f>
        <v>1109.8143520171368</v>
      </c>
      <c r="E21" s="272">
        <v>0</v>
      </c>
      <c r="F21" s="273">
        <f>E21/'- 3 -'!$D21*100</f>
        <v>0</v>
      </c>
      <c r="G21" s="272" t="str">
        <f>IF('- 7 -'!$B21=0,"",E21/'- 7 -'!$B21)</f>
        <v/>
      </c>
    </row>
    <row r="22" spans="1:7" ht="14.1" customHeight="1" x14ac:dyDescent="0.2">
      <c r="A22" s="15" t="s">
        <v>118</v>
      </c>
      <c r="B22" s="16">
        <v>1516385</v>
      </c>
      <c r="C22" s="267">
        <f>B22/'- 3 -'!$D22*100</f>
        <v>7.4140251333244507</v>
      </c>
      <c r="D22" s="16">
        <f>B22/'- 7 -'!$C22</f>
        <v>1057.0826071802021</v>
      </c>
      <c r="E22" s="16">
        <v>0</v>
      </c>
      <c r="F22" s="267">
        <f>E22/'- 3 -'!$D22*100</f>
        <v>0</v>
      </c>
      <c r="G22" s="16" t="str">
        <f>IF('- 7 -'!$B22=0,"",E22/'- 7 -'!$B22)</f>
        <v/>
      </c>
    </row>
    <row r="23" spans="1:7" ht="14.1" customHeight="1" x14ac:dyDescent="0.2">
      <c r="A23" s="271" t="s">
        <v>119</v>
      </c>
      <c r="B23" s="272">
        <v>1027050</v>
      </c>
      <c r="C23" s="273">
        <f>B23/'- 3 -'!$D23*100</f>
        <v>6.4320411530391173</v>
      </c>
      <c r="D23" s="272">
        <f>B23/'- 7 -'!$C23</f>
        <v>1101.9849785407725</v>
      </c>
      <c r="E23" s="272">
        <v>140500</v>
      </c>
      <c r="F23" s="273">
        <f>E23/'- 3 -'!$D23*100</f>
        <v>0.8799004741755474</v>
      </c>
      <c r="G23" s="272">
        <f>IF('- 7 -'!$B23=0,"",E23/'- 7 -'!$B23)</f>
        <v>10035.714285714286</v>
      </c>
    </row>
    <row r="24" spans="1:7" ht="14.1" customHeight="1" x14ac:dyDescent="0.2">
      <c r="A24" s="15" t="s">
        <v>120</v>
      </c>
      <c r="B24" s="16">
        <v>4980152</v>
      </c>
      <c r="C24" s="267">
        <f>B24/'- 3 -'!$D24*100</f>
        <v>8.4597276594414641</v>
      </c>
      <c r="D24" s="16">
        <f>B24/'- 7 -'!$C24</f>
        <v>1338.7505376344086</v>
      </c>
      <c r="E24" s="16">
        <v>1854429</v>
      </c>
      <c r="F24" s="267">
        <f>E24/'- 3 -'!$D24*100</f>
        <v>3.1500974877414136</v>
      </c>
      <c r="G24" s="16">
        <f>IF('- 7 -'!$B24=0,"",E24/'- 7 -'!$B24)</f>
        <v>9090.3382352941171</v>
      </c>
    </row>
    <row r="25" spans="1:7" ht="14.1" customHeight="1" x14ac:dyDescent="0.2">
      <c r="A25" s="271" t="s">
        <v>121</v>
      </c>
      <c r="B25" s="272">
        <v>15106121</v>
      </c>
      <c r="C25" s="273">
        <f>B25/'- 3 -'!$D25*100</f>
        <v>7.7666742942893325</v>
      </c>
      <c r="D25" s="272">
        <f>B25/'- 7 -'!$C25</f>
        <v>997.36702759804564</v>
      </c>
      <c r="E25" s="272">
        <v>2211470</v>
      </c>
      <c r="F25" s="273">
        <f>E25/'- 3 -'!$D25*100</f>
        <v>1.1370071245683808</v>
      </c>
      <c r="G25" s="272">
        <f>IF('- 7 -'!$B25=0,"",E25/'- 7 -'!$B25)</f>
        <v>9402.5085034013609</v>
      </c>
    </row>
    <row r="26" spans="1:7" ht="14.1" customHeight="1" x14ac:dyDescent="0.2">
      <c r="A26" s="15" t="s">
        <v>122</v>
      </c>
      <c r="B26" s="16">
        <v>3478963</v>
      </c>
      <c r="C26" s="267">
        <f>B26/'- 3 -'!$D26*100</f>
        <v>8.2690429599295854</v>
      </c>
      <c r="D26" s="16">
        <f>B26/'- 7 -'!$C26</f>
        <v>1128.4343172234837</v>
      </c>
      <c r="E26" s="16">
        <v>959705</v>
      </c>
      <c r="F26" s="267">
        <f>E26/'- 3 -'!$D26*100</f>
        <v>2.2810940713825416</v>
      </c>
      <c r="G26" s="16">
        <f>IF('- 7 -'!$B26=0,"",E26/'- 7 -'!$B26)</f>
        <v>6502.0663956639573</v>
      </c>
    </row>
    <row r="27" spans="1:7" ht="14.1" customHeight="1" x14ac:dyDescent="0.2">
      <c r="A27" s="271" t="s">
        <v>123</v>
      </c>
      <c r="B27" s="272">
        <v>2864152</v>
      </c>
      <c r="C27" s="273">
        <f>B27/'- 3 -'!$D27*100</f>
        <v>6.695993280235335</v>
      </c>
      <c r="D27" s="272">
        <f>B27/'- 7 -'!$C27</f>
        <v>952.81170991350632</v>
      </c>
      <c r="E27" s="272">
        <v>1105622</v>
      </c>
      <c r="F27" s="273">
        <f>E27/'- 3 -'!$D27*100</f>
        <v>2.5847921068715456</v>
      </c>
      <c r="G27" s="272">
        <f>IF('- 7 -'!$B27=0,"",E27/'- 7 -'!$B27)</f>
        <v>6910.1374999999998</v>
      </c>
    </row>
    <row r="28" spans="1:7" ht="14.1" customHeight="1" x14ac:dyDescent="0.2">
      <c r="A28" s="15" t="s">
        <v>124</v>
      </c>
      <c r="B28" s="16">
        <v>2242526</v>
      </c>
      <c r="C28" s="267">
        <f>B28/'- 3 -'!$D28*100</f>
        <v>7.790346134353479</v>
      </c>
      <c r="D28" s="16">
        <f>B28/'- 7 -'!$C28</f>
        <v>1110.7112431896978</v>
      </c>
      <c r="E28" s="16">
        <v>0</v>
      </c>
      <c r="F28" s="267">
        <f>E28/'- 3 -'!$D28*100</f>
        <v>0</v>
      </c>
      <c r="G28" s="16" t="str">
        <f>IF('- 7 -'!$B28=0,"",E28/'- 7 -'!$B28)</f>
        <v/>
      </c>
    </row>
    <row r="29" spans="1:7" ht="14.1" customHeight="1" x14ac:dyDescent="0.2">
      <c r="A29" s="271" t="s">
        <v>125</v>
      </c>
      <c r="B29" s="272">
        <v>13986709</v>
      </c>
      <c r="C29" s="273">
        <f>B29/'- 3 -'!$D29*100</f>
        <v>7.8577900193136445</v>
      </c>
      <c r="D29" s="272">
        <f>B29/'- 7 -'!$C29</f>
        <v>972.31206117483487</v>
      </c>
      <c r="E29" s="272">
        <v>0</v>
      </c>
      <c r="F29" s="273">
        <f>E29/'- 3 -'!$D29*100</f>
        <v>0</v>
      </c>
      <c r="G29" s="272" t="str">
        <f>IF('- 7 -'!$B29=0,"",E29/'- 7 -'!$B29)</f>
        <v/>
      </c>
    </row>
    <row r="30" spans="1:7" ht="14.1" customHeight="1" x14ac:dyDescent="0.2">
      <c r="A30" s="15" t="s">
        <v>126</v>
      </c>
      <c r="B30" s="16">
        <v>1133645</v>
      </c>
      <c r="C30" s="267">
        <f>B30/'- 3 -'!$D30*100</f>
        <v>7.2107482698961949</v>
      </c>
      <c r="D30" s="16">
        <f>B30/'- 7 -'!$C30</f>
        <v>1083.2728141423793</v>
      </c>
      <c r="E30" s="16">
        <v>95500</v>
      </c>
      <c r="F30" s="267">
        <f>E30/'- 3 -'!$D30*100</f>
        <v>0.60744453490738859</v>
      </c>
      <c r="G30" s="16">
        <f>IF('- 7 -'!$B30=0,"",E30/'- 7 -'!$B30)</f>
        <v>7958.333333333333</v>
      </c>
    </row>
    <row r="31" spans="1:7" ht="14.1" customHeight="1" x14ac:dyDescent="0.2">
      <c r="A31" s="271" t="s">
        <v>127</v>
      </c>
      <c r="B31" s="272">
        <v>3148317</v>
      </c>
      <c r="C31" s="273">
        <f>B31/'- 3 -'!$D31*100</f>
        <v>7.7074406181665474</v>
      </c>
      <c r="D31" s="272">
        <f>B31/'- 7 -'!$C31</f>
        <v>939.23538186157521</v>
      </c>
      <c r="E31" s="272">
        <v>676170</v>
      </c>
      <c r="F31" s="273">
        <f>E31/'- 3 -'!$D31*100</f>
        <v>1.6553416072097169</v>
      </c>
      <c r="G31" s="272">
        <f>IF('- 7 -'!$B31=0,"",E31/'- 7 -'!$B31)</f>
        <v>6439.7142857142853</v>
      </c>
    </row>
    <row r="32" spans="1:7" ht="14.1" customHeight="1" x14ac:dyDescent="0.2">
      <c r="A32" s="15" t="s">
        <v>128</v>
      </c>
      <c r="B32" s="16">
        <v>2530405</v>
      </c>
      <c r="C32" s="267">
        <f>B32/'- 3 -'!$D32*100</f>
        <v>7.9830578041775944</v>
      </c>
      <c r="D32" s="16">
        <f>B32/'- 7 -'!$C32</f>
        <v>1083.4532220081353</v>
      </c>
      <c r="E32" s="16">
        <v>0</v>
      </c>
      <c r="F32" s="267">
        <f>E32/'- 3 -'!$D32*100</f>
        <v>0</v>
      </c>
      <c r="G32" s="16" t="str">
        <f>IF('- 7 -'!$B32=0,"",E32/'- 7 -'!$B32)</f>
        <v/>
      </c>
    </row>
    <row r="33" spans="1:7" ht="14.1" customHeight="1" x14ac:dyDescent="0.2">
      <c r="A33" s="271" t="s">
        <v>129</v>
      </c>
      <c r="B33" s="272">
        <v>2843850</v>
      </c>
      <c r="C33" s="273">
        <f>B33/'- 3 -'!$D33*100</f>
        <v>9.8986263156399854</v>
      </c>
      <c r="D33" s="272">
        <f>B33/'- 7 -'!$C33</f>
        <v>1377.0337013364324</v>
      </c>
      <c r="E33" s="272">
        <v>0</v>
      </c>
      <c r="F33" s="273">
        <f>E33/'- 3 -'!$D33*100</f>
        <v>0</v>
      </c>
      <c r="G33" s="272" t="str">
        <f>IF('- 7 -'!$B33=0,"",E33/'- 7 -'!$B33)</f>
        <v/>
      </c>
    </row>
    <row r="34" spans="1:7" ht="14.1" customHeight="1" x14ac:dyDescent="0.2">
      <c r="A34" s="15" t="s">
        <v>130</v>
      </c>
      <c r="B34" s="16">
        <v>2556216</v>
      </c>
      <c r="C34" s="267">
        <f>B34/'- 3 -'!$D34*100</f>
        <v>7.9948011911622503</v>
      </c>
      <c r="D34" s="16">
        <f>B34/'- 7 -'!$C34</f>
        <v>1121.2949072246349</v>
      </c>
      <c r="E34" s="16">
        <v>354017</v>
      </c>
      <c r="F34" s="267">
        <f>E34/'- 3 -'!$D34*100</f>
        <v>1.1072208034421529</v>
      </c>
      <c r="G34" s="16">
        <f>IF('- 7 -'!$B34=0,"",E34/'- 7 -'!$B34)</f>
        <v>13259.063670411986</v>
      </c>
    </row>
    <row r="35" spans="1:7" ht="14.1" customHeight="1" x14ac:dyDescent="0.2">
      <c r="A35" s="271" t="s">
        <v>131</v>
      </c>
      <c r="B35" s="272">
        <v>14527829</v>
      </c>
      <c r="C35" s="273">
        <f>B35/'- 3 -'!$D35*100</f>
        <v>7.3942662450093719</v>
      </c>
      <c r="D35" s="272">
        <f>B35/'- 7 -'!$C35</f>
        <v>891.35987974353463</v>
      </c>
      <c r="E35" s="272">
        <v>4001106</v>
      </c>
      <c r="F35" s="273">
        <f>E35/'- 3 -'!$D35*100</f>
        <v>2.0364531437219191</v>
      </c>
      <c r="G35" s="272">
        <f>IF('- 7 -'!$B35=0,"",E35/'- 7 -'!$B35)</f>
        <v>5910.0531757754798</v>
      </c>
    </row>
    <row r="36" spans="1:7" ht="14.1" customHeight="1" x14ac:dyDescent="0.2">
      <c r="A36" s="15" t="s">
        <v>132</v>
      </c>
      <c r="B36" s="16">
        <v>2053875</v>
      </c>
      <c r="C36" s="267">
        <f>B36/'- 3 -'!$D36*100</f>
        <v>8.4943894947701928</v>
      </c>
      <c r="D36" s="16">
        <f>B36/'- 7 -'!$C36</f>
        <v>1176.6685763391579</v>
      </c>
      <c r="E36" s="16">
        <v>137070</v>
      </c>
      <c r="F36" s="267">
        <f>E36/'- 3 -'!$D36*100</f>
        <v>0.5668923220975719</v>
      </c>
      <c r="G36" s="16">
        <f>IF('- 7 -'!$B36=0,"",E36/'- 7 -'!$B36)</f>
        <v>17350.632911392404</v>
      </c>
    </row>
    <row r="37" spans="1:7" ht="14.1" customHeight="1" x14ac:dyDescent="0.2">
      <c r="A37" s="271" t="s">
        <v>133</v>
      </c>
      <c r="B37" s="272">
        <v>4594040</v>
      </c>
      <c r="C37" s="273">
        <f>B37/'- 3 -'!$D37*100</f>
        <v>8.336218503558376</v>
      </c>
      <c r="D37" s="272">
        <f>B37/'- 7 -'!$C37</f>
        <v>1052.7131072410632</v>
      </c>
      <c r="E37" s="272">
        <v>0</v>
      </c>
      <c r="F37" s="273">
        <f>E37/'- 3 -'!$D37*100</f>
        <v>0</v>
      </c>
      <c r="G37" s="272" t="str">
        <f>IF('- 7 -'!$B37=0,"",E37/'- 7 -'!$B37)</f>
        <v/>
      </c>
    </row>
    <row r="38" spans="1:7" ht="14.1" customHeight="1" x14ac:dyDescent="0.2">
      <c r="A38" s="15" t="s">
        <v>134</v>
      </c>
      <c r="B38" s="16">
        <v>11093840</v>
      </c>
      <c r="C38" s="267">
        <f>B38/'- 3 -'!$D38*100</f>
        <v>7.3436258109862207</v>
      </c>
      <c r="D38" s="16">
        <f>B38/'- 7 -'!$C38</f>
        <v>951.9014277869303</v>
      </c>
      <c r="E38" s="16">
        <v>1678580</v>
      </c>
      <c r="F38" s="267">
        <f>E38/'- 3 -'!$D38*100</f>
        <v>1.11114487082969</v>
      </c>
      <c r="G38" s="16">
        <f>IF('- 7 -'!$B38=0,"",E38/'- 7 -'!$B38)</f>
        <v>8409.7194388777552</v>
      </c>
    </row>
    <row r="39" spans="1:7" ht="14.1" customHeight="1" x14ac:dyDescent="0.2">
      <c r="A39" s="271" t="s">
        <v>135</v>
      </c>
      <c r="B39" s="272">
        <v>1520500</v>
      </c>
      <c r="C39" s="273">
        <f>B39/'- 3 -'!$D39*100</f>
        <v>6.4756137033440657</v>
      </c>
      <c r="D39" s="272">
        <f>B39/'- 7 -'!$C39</f>
        <v>1020.0590366295452</v>
      </c>
      <c r="E39" s="272">
        <v>0</v>
      </c>
      <c r="F39" s="273">
        <f>E39/'- 3 -'!$D39*100</f>
        <v>0</v>
      </c>
      <c r="G39" s="272" t="str">
        <f>IF('- 7 -'!$B39=0,"",E39/'- 7 -'!$B39)</f>
        <v/>
      </c>
    </row>
    <row r="40" spans="1:7" ht="14.1" customHeight="1" x14ac:dyDescent="0.2">
      <c r="A40" s="15" t="s">
        <v>136</v>
      </c>
      <c r="B40" s="16">
        <v>9050350</v>
      </c>
      <c r="C40" s="267">
        <f>B40/'- 3 -'!$D40*100</f>
        <v>8.2371186344495833</v>
      </c>
      <c r="D40" s="16">
        <f>B40/'- 7 -'!$C40</f>
        <v>1100.6810580723625</v>
      </c>
      <c r="E40" s="16">
        <v>1799996</v>
      </c>
      <c r="F40" s="267">
        <f>E40/'- 3 -'!$D40*100</f>
        <v>1.6382549397023001</v>
      </c>
      <c r="G40" s="16">
        <f>IF('- 7 -'!$B40=0,"",E40/'- 7 -'!$B40)</f>
        <v>7839.7038327526134</v>
      </c>
    </row>
    <row r="41" spans="1:7" ht="14.1" customHeight="1" x14ac:dyDescent="0.2">
      <c r="A41" s="271" t="s">
        <v>137</v>
      </c>
      <c r="B41" s="272">
        <v>4250625</v>
      </c>
      <c r="C41" s="273">
        <f>B41/'- 3 -'!$D41*100</f>
        <v>6.3736547118284106</v>
      </c>
      <c r="D41" s="272">
        <f>B41/'- 7 -'!$C41</f>
        <v>945.84445927903869</v>
      </c>
      <c r="E41" s="272">
        <v>0</v>
      </c>
      <c r="F41" s="273">
        <f>E41/'- 3 -'!$D41*100</f>
        <v>0</v>
      </c>
      <c r="G41" s="272" t="str">
        <f>IF('- 7 -'!$B41=0,"",E41/'- 7 -'!$B41)</f>
        <v/>
      </c>
    </row>
    <row r="42" spans="1:7" ht="14.1" customHeight="1" x14ac:dyDescent="0.2">
      <c r="A42" s="15" t="s">
        <v>138</v>
      </c>
      <c r="B42" s="16">
        <v>1777337</v>
      </c>
      <c r="C42" s="267">
        <f>B42/'- 3 -'!$D42*100</f>
        <v>8.3268773618408058</v>
      </c>
      <c r="D42" s="16">
        <f>B42/'- 7 -'!$C42</f>
        <v>1298.7482645232005</v>
      </c>
      <c r="E42" s="16">
        <v>1089240</v>
      </c>
      <c r="F42" s="267">
        <f>E42/'- 3 -'!$D42*100</f>
        <v>5.103122197766365</v>
      </c>
      <c r="G42" s="16">
        <f>IF('- 7 -'!$B42=0,"",E42/'- 7 -'!$B42)</f>
        <v>7780.2857142857147</v>
      </c>
    </row>
    <row r="43" spans="1:7" ht="14.1" customHeight="1" x14ac:dyDescent="0.2">
      <c r="A43" s="271" t="s">
        <v>139</v>
      </c>
      <c r="B43" s="272">
        <v>846439</v>
      </c>
      <c r="C43" s="273">
        <f>B43/'- 3 -'!$D43*100</f>
        <v>6.0990221118274501</v>
      </c>
      <c r="D43" s="272">
        <f>B43/'- 7 -'!$C43</f>
        <v>842.22786069651738</v>
      </c>
      <c r="E43" s="272">
        <v>105520</v>
      </c>
      <c r="F43" s="273">
        <f>E43/'- 3 -'!$D43*100</f>
        <v>0.76032509518114433</v>
      </c>
      <c r="G43" s="272">
        <f>IF('- 7 -'!$B43=0,"",E43/'- 7 -'!$B43)</f>
        <v>3908.1481481481483</v>
      </c>
    </row>
    <row r="44" spans="1:7" ht="14.1" customHeight="1" x14ac:dyDescent="0.2">
      <c r="A44" s="15" t="s">
        <v>140</v>
      </c>
      <c r="B44" s="16">
        <v>684475</v>
      </c>
      <c r="C44" s="267">
        <f>B44/'- 3 -'!$D44*100</f>
        <v>6.0928513244580085</v>
      </c>
      <c r="D44" s="16">
        <f>B44/'- 7 -'!$C44</f>
        <v>986.98630136986299</v>
      </c>
      <c r="E44" s="16">
        <v>0</v>
      </c>
      <c r="F44" s="267">
        <f>E44/'- 3 -'!$D44*100</f>
        <v>0</v>
      </c>
      <c r="G44" s="16" t="str">
        <f>IF('- 7 -'!$B44=0,"",E44/'- 7 -'!$B44)</f>
        <v/>
      </c>
    </row>
    <row r="45" spans="1:7" ht="14.1" customHeight="1" x14ac:dyDescent="0.2">
      <c r="A45" s="271" t="s">
        <v>141</v>
      </c>
      <c r="B45" s="272">
        <v>1626774</v>
      </c>
      <c r="C45" s="273">
        <f>B45/'- 3 -'!$D45*100</f>
        <v>7.2728269288097431</v>
      </c>
      <c r="D45" s="272">
        <f>B45/'- 7 -'!$C45</f>
        <v>783.98746987951802</v>
      </c>
      <c r="E45" s="272">
        <v>362124</v>
      </c>
      <c r="F45" s="273">
        <f>E45/'- 3 -'!$D45*100</f>
        <v>1.6189496382215964</v>
      </c>
      <c r="G45" s="272">
        <f>IF('- 7 -'!$B45=0,"",E45/'- 7 -'!$B45)</f>
        <v>14484.96</v>
      </c>
    </row>
    <row r="46" spans="1:7" ht="14.1" customHeight="1" x14ac:dyDescent="0.2">
      <c r="A46" s="15" t="s">
        <v>142</v>
      </c>
      <c r="B46" s="16">
        <v>30828801</v>
      </c>
      <c r="C46" s="267">
        <f>B46/'- 3 -'!$D46*100</f>
        <v>7.3865209079855996</v>
      </c>
      <c r="D46" s="16">
        <f>B46/'- 7 -'!$C46</f>
        <v>1030.4776882708827</v>
      </c>
      <c r="E46" s="16">
        <v>6763300</v>
      </c>
      <c r="F46" s="267">
        <f>E46/'- 3 -'!$D46*100</f>
        <v>1.6204735583774084</v>
      </c>
      <c r="G46" s="16">
        <f>IF('- 7 -'!$B46=0,"",E46/'- 7 -'!$B46)</f>
        <v>10094.477611940298</v>
      </c>
    </row>
    <row r="47" spans="1:7" ht="5.0999999999999996" customHeight="1" x14ac:dyDescent="0.2">
      <c r="A47"/>
      <c r="B47"/>
      <c r="C47"/>
      <c r="D47"/>
      <c r="E47"/>
      <c r="F47"/>
      <c r="G47"/>
    </row>
    <row r="48" spans="1:7" ht="14.1" customHeight="1" x14ac:dyDescent="0.2">
      <c r="A48" s="274" t="s">
        <v>143</v>
      </c>
      <c r="B48" s="275">
        <f>SUM(B11:B46)</f>
        <v>184135412</v>
      </c>
      <c r="C48" s="276">
        <f>B48/'- 3 -'!$D48*100</f>
        <v>7.4225038777139787</v>
      </c>
      <c r="D48" s="275">
        <f>B48/'- 7 -'!$C48</f>
        <v>1010.7034482455784</v>
      </c>
      <c r="E48" s="275">
        <f>SUM(E11:E46)</f>
        <v>33949032</v>
      </c>
      <c r="F48" s="276">
        <f>E48/'- 3 -'!$D48*100</f>
        <v>1.3684864792038804</v>
      </c>
      <c r="G48" s="275">
        <f>E48/'- 7 -'!$B48</f>
        <v>8013.4620559424056</v>
      </c>
    </row>
    <row r="49" spans="1:7" ht="5.0999999999999996" customHeight="1" x14ac:dyDescent="0.2">
      <c r="A49" s="17" t="s">
        <v>1</v>
      </c>
      <c r="B49" s="18"/>
      <c r="C49" s="266"/>
      <c r="D49" s="18"/>
      <c r="E49" s="18"/>
      <c r="F49" s="266"/>
    </row>
    <row r="50" spans="1:7" ht="14.1" customHeight="1" x14ac:dyDescent="0.2">
      <c r="A50" s="15" t="s">
        <v>144</v>
      </c>
      <c r="B50" s="16">
        <v>192300</v>
      </c>
      <c r="C50" s="267">
        <f>B50/'- 3 -'!$D50*100</f>
        <v>5.3593181765609677</v>
      </c>
      <c r="D50" s="16">
        <f>B50/'- 7 -'!$C50</f>
        <v>1118.0232558139535</v>
      </c>
      <c r="E50" s="16">
        <v>0</v>
      </c>
      <c r="F50" s="267">
        <f>E50/'- 3 -'!$D50*100</f>
        <v>0</v>
      </c>
      <c r="G50" s="16" t="str">
        <f>IF('- 7 -'!$B50=0,"",E50/'- 7 -'!$B50)</f>
        <v/>
      </c>
    </row>
    <row r="51" spans="1:7" ht="14.1" customHeight="1" x14ac:dyDescent="0.2">
      <c r="A51" s="360" t="s">
        <v>513</v>
      </c>
      <c r="B51" s="272">
        <v>1569849</v>
      </c>
      <c r="C51" s="273">
        <f>B51/'- 3 -'!$D51*100</f>
        <v>4.5155666987321919</v>
      </c>
      <c r="D51" s="272">
        <f>B51/'- 7 -'!$C51</f>
        <v>884.87063863367348</v>
      </c>
      <c r="E51" s="272">
        <v>5411868</v>
      </c>
      <c r="F51" s="273">
        <f>E51/'- 3 -'!$D51*100</f>
        <v>15.566879947520039</v>
      </c>
      <c r="G51" s="272">
        <f>IF('- 7 -'!$B51=0,"",E51/'- 7 -'!$B51)</f>
        <v>3330.1753738231496</v>
      </c>
    </row>
    <row r="52" spans="1:7" ht="50.1" customHeight="1" x14ac:dyDescent="0.2">
      <c r="B52" s="46"/>
      <c r="C52" s="46"/>
      <c r="D52" s="46"/>
      <c r="E52" s="46"/>
      <c r="F52" s="46"/>
      <c r="G52" s="46"/>
    </row>
    <row r="53" spans="1:7" ht="15" customHeight="1" x14ac:dyDescent="0.2">
      <c r="C53" s="46"/>
      <c r="D53" s="46"/>
      <c r="E53" s="46"/>
      <c r="F53" s="46"/>
      <c r="G53" s="46"/>
    </row>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5:G5"/>
    <mergeCell ref="B6:D7"/>
    <mergeCell ref="E6:G7"/>
    <mergeCell ref="D8:D9"/>
    <mergeCell ref="G8:G9"/>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9"/>
  <sheetViews>
    <sheetView showGridLines="0" showZeros="0" workbookViewId="0"/>
  </sheetViews>
  <sheetFormatPr defaultColWidth="15.83203125" defaultRowHeight="12" x14ac:dyDescent="0.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x14ac:dyDescent="0.2">
      <c r="A1" s="3"/>
      <c r="B1" s="3"/>
      <c r="C1" s="3"/>
      <c r="D1" s="3"/>
      <c r="E1" s="3"/>
      <c r="F1" s="3"/>
      <c r="G1" s="3"/>
      <c r="H1" s="32"/>
      <c r="I1" s="32"/>
      <c r="J1" s="32"/>
    </row>
    <row r="2" spans="1:10" ht="15.95" customHeight="1" x14ac:dyDescent="0.2">
      <c r="A2" s="132"/>
      <c r="B2" s="5" t="str">
        <f>AEXP_BP</f>
        <v>ANALYSIS OF EXPENSE BY PROGRAM</v>
      </c>
      <c r="C2" s="35"/>
      <c r="D2" s="35"/>
      <c r="E2" s="152"/>
      <c r="F2" s="152"/>
      <c r="G2" s="152"/>
      <c r="H2" s="152"/>
      <c r="I2" s="33"/>
      <c r="J2" s="502" t="s">
        <v>523</v>
      </c>
    </row>
    <row r="3" spans="1:10" ht="15.95" customHeight="1" x14ac:dyDescent="0.2">
      <c r="A3" s="135"/>
      <c r="B3" s="86" t="str">
        <f>OPYEAR</f>
        <v>OPERATING FUND 2020/2021 BUDGET</v>
      </c>
      <c r="C3" s="39"/>
      <c r="D3" s="39"/>
      <c r="E3" s="153"/>
      <c r="F3" s="153"/>
      <c r="G3" s="153"/>
      <c r="H3" s="153"/>
      <c r="I3" s="37"/>
      <c r="J3" s="167"/>
    </row>
    <row r="4" spans="1:10" ht="15.95" customHeight="1" x14ac:dyDescent="0.2">
      <c r="H4" s="32"/>
      <c r="I4" s="32"/>
      <c r="J4" s="32"/>
    </row>
    <row r="5" spans="1:10" ht="15.95" customHeight="1" x14ac:dyDescent="0.2">
      <c r="B5" s="466" t="s">
        <v>239</v>
      </c>
      <c r="C5" s="191"/>
      <c r="D5" s="191"/>
      <c r="E5" s="191"/>
      <c r="F5" s="191"/>
      <c r="G5" s="191"/>
      <c r="H5" s="191"/>
      <c r="I5" s="467"/>
      <c r="J5" s="468"/>
    </row>
    <row r="6" spans="1:10" ht="15.95" customHeight="1" x14ac:dyDescent="0.2">
      <c r="B6" s="654" t="s">
        <v>241</v>
      </c>
      <c r="C6" s="655"/>
      <c r="D6" s="655"/>
      <c r="E6" s="655"/>
      <c r="F6" s="655"/>
      <c r="G6" s="655"/>
      <c r="H6" s="655"/>
      <c r="I6" s="655"/>
      <c r="J6" s="656"/>
    </row>
    <row r="7" spans="1:10" ht="15.95" customHeight="1" x14ac:dyDescent="0.2">
      <c r="B7" s="657" t="s">
        <v>15</v>
      </c>
      <c r="C7" s="655"/>
      <c r="D7" s="656"/>
      <c r="E7" s="657" t="s">
        <v>16</v>
      </c>
      <c r="F7" s="655"/>
      <c r="G7" s="656"/>
      <c r="H7" s="657" t="s">
        <v>17</v>
      </c>
      <c r="I7" s="655"/>
      <c r="J7" s="656"/>
    </row>
    <row r="8" spans="1:10" ht="15.95" customHeight="1" x14ac:dyDescent="0.2">
      <c r="A8" s="82"/>
      <c r="B8" s="174"/>
      <c r="C8" s="169"/>
      <c r="D8" s="540" t="s">
        <v>396</v>
      </c>
      <c r="E8" s="174"/>
      <c r="F8" s="169"/>
      <c r="G8" s="540" t="s">
        <v>396</v>
      </c>
      <c r="H8" s="162"/>
      <c r="I8" s="161"/>
      <c r="J8" s="540" t="s">
        <v>396</v>
      </c>
    </row>
    <row r="9" spans="1:10" ht="15.95" customHeight="1" x14ac:dyDescent="0.2">
      <c r="A9" s="27" t="s">
        <v>37</v>
      </c>
      <c r="B9" s="43" t="s">
        <v>38</v>
      </c>
      <c r="C9" s="43" t="s">
        <v>39</v>
      </c>
      <c r="D9" s="580"/>
      <c r="E9" s="43" t="s">
        <v>38</v>
      </c>
      <c r="F9" s="43" t="s">
        <v>39</v>
      </c>
      <c r="G9" s="580"/>
      <c r="H9" s="163" t="s">
        <v>38</v>
      </c>
      <c r="I9" s="43" t="s">
        <v>39</v>
      </c>
      <c r="J9" s="580"/>
    </row>
    <row r="10" spans="1:10" ht="5.0999999999999996" customHeight="1" x14ac:dyDescent="0.2">
      <c r="A10" s="29"/>
      <c r="B10" s="46"/>
      <c r="C10" s="46"/>
      <c r="D10" s="46"/>
      <c r="E10" s="46"/>
      <c r="F10" s="46"/>
      <c r="G10" s="46"/>
      <c r="H10" s="46"/>
      <c r="I10" s="46"/>
      <c r="J10" s="46"/>
    </row>
    <row r="11" spans="1:10" ht="14.1" customHeight="1" x14ac:dyDescent="0.2">
      <c r="A11" s="271" t="s">
        <v>108</v>
      </c>
      <c r="B11" s="272">
        <v>12604433</v>
      </c>
      <c r="C11" s="273">
        <f>B11/'- 3 -'!$D11*100</f>
        <v>56.750290326474506</v>
      </c>
      <c r="D11" s="272">
        <f>B11/'- 6 -'!$B11</f>
        <v>6319.5953873151166</v>
      </c>
      <c r="E11" s="272">
        <v>0</v>
      </c>
      <c r="F11" s="273">
        <f>E11/'- 3 -'!$D11*100</f>
        <v>0</v>
      </c>
      <c r="G11" s="272" t="str">
        <f>IF('- 6 -'!$C11=0,"",E11/'- 6 -'!$C11)</f>
        <v/>
      </c>
      <c r="H11" s="272">
        <v>0</v>
      </c>
      <c r="I11" s="273">
        <f>H11/'- 3 -'!$D11*100</f>
        <v>0</v>
      </c>
      <c r="J11" s="272" t="str">
        <f>IF('- 6 -'!$D11=0,"",H11/'- 6 -'!$D11)</f>
        <v/>
      </c>
    </row>
    <row r="12" spans="1:10" ht="14.1" customHeight="1" x14ac:dyDescent="0.2">
      <c r="A12" s="15" t="s">
        <v>109</v>
      </c>
      <c r="B12" s="16">
        <v>11678191</v>
      </c>
      <c r="C12" s="267">
        <f>B12/'- 3 -'!$D12*100</f>
        <v>33.660778346218066</v>
      </c>
      <c r="D12" s="16">
        <f>B12/'- 6 -'!$B12</f>
        <v>8502.5052784856198</v>
      </c>
      <c r="E12" s="16">
        <v>0</v>
      </c>
      <c r="F12" s="267">
        <f>E12/'- 3 -'!$D12*100</f>
        <v>0</v>
      </c>
      <c r="G12" s="16" t="str">
        <f>IF('- 6 -'!$C12=0,"",E12/'- 6 -'!$C12)</f>
        <v/>
      </c>
      <c r="H12" s="16">
        <v>0</v>
      </c>
      <c r="I12" s="267">
        <f>H12/'- 3 -'!$D12*100</f>
        <v>0</v>
      </c>
      <c r="J12" s="16" t="str">
        <f>IF('- 6 -'!$D12=0,"",H12/'- 6 -'!$D12)</f>
        <v/>
      </c>
    </row>
    <row r="13" spans="1:10" ht="14.1" customHeight="1" x14ac:dyDescent="0.2">
      <c r="A13" s="271" t="s">
        <v>110</v>
      </c>
      <c r="B13" s="272">
        <v>43637700</v>
      </c>
      <c r="C13" s="273">
        <f>B13/'- 3 -'!$D13*100</f>
        <v>40.574978869958898</v>
      </c>
      <c r="D13" s="272">
        <f>B13/'- 6 -'!$B13</f>
        <v>6384.9147706489139</v>
      </c>
      <c r="E13" s="272">
        <v>0</v>
      </c>
      <c r="F13" s="273">
        <f>E13/'- 3 -'!$D13*100</f>
        <v>0</v>
      </c>
      <c r="G13" s="272" t="str">
        <f>IF('- 6 -'!$C13=0,"",E13/'- 6 -'!$C13)</f>
        <v/>
      </c>
      <c r="H13" s="272">
        <v>1995000</v>
      </c>
      <c r="I13" s="273">
        <f>H13/'- 3 -'!$D13*100</f>
        <v>1.8549805064329234</v>
      </c>
      <c r="J13" s="272">
        <f>IF('- 6 -'!$D13=0,"",H13/'- 6 -'!$D13)</f>
        <v>5937.5</v>
      </c>
    </row>
    <row r="14" spans="1:10" ht="14.1" customHeight="1" x14ac:dyDescent="0.2">
      <c r="A14" s="15" t="s">
        <v>319</v>
      </c>
      <c r="B14" s="16">
        <v>0</v>
      </c>
      <c r="C14" s="267">
        <f>B14/'- 3 -'!$D14*100</f>
        <v>0</v>
      </c>
      <c r="D14" s="16"/>
      <c r="E14" s="16">
        <v>46128261</v>
      </c>
      <c r="F14" s="267">
        <f>E14/'- 3 -'!$D14*100</f>
        <v>47.50966141730175</v>
      </c>
      <c r="G14" s="16">
        <f>IF('- 6 -'!$C14=0,"",E14/'- 6 -'!$C14)</f>
        <v>7740.9399228058401</v>
      </c>
      <c r="H14" s="16">
        <v>0</v>
      </c>
      <c r="I14" s="267">
        <f>H14/'- 3 -'!$D14*100</f>
        <v>0</v>
      </c>
      <c r="J14" s="16" t="str">
        <f>IF('- 6 -'!$D14=0,"",H14/'- 6 -'!$D14)</f>
        <v/>
      </c>
    </row>
    <row r="15" spans="1:10" ht="14.1" customHeight="1" x14ac:dyDescent="0.2">
      <c r="A15" s="271" t="s">
        <v>111</v>
      </c>
      <c r="B15" s="272">
        <v>9326002</v>
      </c>
      <c r="C15" s="273">
        <f>B15/'- 3 -'!$D15*100</f>
        <v>44.122148968662735</v>
      </c>
      <c r="D15" s="272">
        <f>B15/'- 6 -'!$B15</f>
        <v>6782.5469090909091</v>
      </c>
      <c r="E15" s="272">
        <v>0</v>
      </c>
      <c r="F15" s="273">
        <f>E15/'- 3 -'!$D15*100</f>
        <v>0</v>
      </c>
      <c r="G15" s="272" t="str">
        <f>IF('- 6 -'!$C15=0,"",E15/'- 6 -'!$C15)</f>
        <v/>
      </c>
      <c r="H15" s="272">
        <v>0</v>
      </c>
      <c r="I15" s="273">
        <f>H15/'- 3 -'!$D15*100</f>
        <v>0</v>
      </c>
      <c r="J15" s="272" t="str">
        <f>IF('- 6 -'!$D15=0,"",H15/'- 6 -'!$D15)</f>
        <v/>
      </c>
    </row>
    <row r="16" spans="1:10" ht="14.1" customHeight="1" x14ac:dyDescent="0.2">
      <c r="A16" s="15" t="s">
        <v>112</v>
      </c>
      <c r="B16" s="16">
        <v>4569156</v>
      </c>
      <c r="C16" s="267">
        <f>B16/'- 3 -'!$D16*100</f>
        <v>30.5511169131066</v>
      </c>
      <c r="D16" s="16">
        <f>B16/'- 6 -'!$B16</f>
        <v>7988.0349650349654</v>
      </c>
      <c r="E16" s="16">
        <v>0</v>
      </c>
      <c r="F16" s="267">
        <f>E16/'- 3 -'!$D16*100</f>
        <v>0</v>
      </c>
      <c r="G16" s="16" t="str">
        <f>IF('- 6 -'!$C16=0,"",E16/'- 6 -'!$C16)</f>
        <v/>
      </c>
      <c r="H16" s="16">
        <v>0</v>
      </c>
      <c r="I16" s="267">
        <f>H16/'- 3 -'!$D16*100</f>
        <v>0</v>
      </c>
      <c r="J16" s="16" t="str">
        <f>IF('- 6 -'!$D16=0,"",H16/'- 6 -'!$D16)</f>
        <v/>
      </c>
    </row>
    <row r="17" spans="1:10" ht="14.1" customHeight="1" x14ac:dyDescent="0.2">
      <c r="A17" s="271" t="s">
        <v>113</v>
      </c>
      <c r="B17" s="272">
        <v>9800850</v>
      </c>
      <c r="C17" s="273">
        <f>B17/'- 3 -'!$D17*100</f>
        <v>52.102402111133827</v>
      </c>
      <c r="D17" s="272">
        <f>B17/'- 6 -'!$B17</f>
        <v>6897.1498944405348</v>
      </c>
      <c r="E17" s="272">
        <v>0</v>
      </c>
      <c r="F17" s="273">
        <f>E17/'- 3 -'!$D17*100</f>
        <v>0</v>
      </c>
      <c r="G17" s="272" t="str">
        <f>IF('- 6 -'!$C17=0,"",E17/'- 6 -'!$C17)</f>
        <v/>
      </c>
      <c r="H17" s="272">
        <v>0</v>
      </c>
      <c r="I17" s="273">
        <f>H17/'- 3 -'!$D17*100</f>
        <v>0</v>
      </c>
      <c r="J17" s="272" t="str">
        <f>IF('- 6 -'!$D17=0,"",H17/'- 6 -'!$D17)</f>
        <v/>
      </c>
    </row>
    <row r="18" spans="1:10" ht="14.1" customHeight="1" x14ac:dyDescent="0.2">
      <c r="A18" s="15" t="s">
        <v>114</v>
      </c>
      <c r="B18" s="16">
        <v>51478722</v>
      </c>
      <c r="C18" s="267">
        <f>B18/'- 3 -'!$D18*100</f>
        <v>36.981655077620374</v>
      </c>
      <c r="D18" s="16">
        <f>B18/'- 6 -'!$B18</f>
        <v>8681.0661045531197</v>
      </c>
      <c r="E18" s="16">
        <v>0</v>
      </c>
      <c r="F18" s="267">
        <f>E18/'- 3 -'!$D18*100</f>
        <v>0</v>
      </c>
      <c r="G18" s="16" t="str">
        <f>IF('- 6 -'!$C18=0,"",E18/'- 6 -'!$C18)</f>
        <v/>
      </c>
      <c r="H18" s="16">
        <v>0</v>
      </c>
      <c r="I18" s="267">
        <f>H18/'- 3 -'!$D18*100</f>
        <v>0</v>
      </c>
      <c r="J18" s="16" t="str">
        <f>IF('- 6 -'!$D18=0,"",H18/'- 6 -'!$D18)</f>
        <v/>
      </c>
    </row>
    <row r="19" spans="1:10" ht="14.1" customHeight="1" x14ac:dyDescent="0.2">
      <c r="A19" s="271" t="s">
        <v>115</v>
      </c>
      <c r="B19" s="272">
        <v>24745500</v>
      </c>
      <c r="C19" s="273">
        <f>B19/'- 3 -'!$D19*100</f>
        <v>48.003282275711165</v>
      </c>
      <c r="D19" s="272">
        <f>B19/'- 6 -'!$B19</f>
        <v>5724.812030075188</v>
      </c>
      <c r="E19" s="272">
        <v>0</v>
      </c>
      <c r="F19" s="273">
        <f>E19/'- 3 -'!$D19*100</f>
        <v>0</v>
      </c>
      <c r="G19" s="272" t="str">
        <f>IF('- 6 -'!$C19=0,"",E19/'- 6 -'!$C19)</f>
        <v/>
      </c>
      <c r="H19" s="272">
        <v>0</v>
      </c>
      <c r="I19" s="273">
        <f>H19/'- 3 -'!$D19*100</f>
        <v>0</v>
      </c>
      <c r="J19" s="272" t="str">
        <f>IF('- 6 -'!$D19=0,"",H19/'- 6 -'!$D19)</f>
        <v/>
      </c>
    </row>
    <row r="20" spans="1:10" ht="14.1" customHeight="1" x14ac:dyDescent="0.2">
      <c r="A20" s="15" t="s">
        <v>116</v>
      </c>
      <c r="B20" s="16">
        <v>46730500</v>
      </c>
      <c r="C20" s="267">
        <f>B20/'- 3 -'!$D20*100</f>
        <v>50.829547172643487</v>
      </c>
      <c r="D20" s="16">
        <f>B20/'- 6 -'!$B20</f>
        <v>6135.7518940139962</v>
      </c>
      <c r="E20" s="16">
        <v>0</v>
      </c>
      <c r="F20" s="267">
        <f>E20/'- 3 -'!$D20*100</f>
        <v>0</v>
      </c>
      <c r="G20" s="16" t="str">
        <f>IF('- 6 -'!$C20=0,"",E20/'- 6 -'!$C20)</f>
        <v/>
      </c>
      <c r="H20" s="16">
        <v>0</v>
      </c>
      <c r="I20" s="267">
        <f>H20/'- 3 -'!$D20*100</f>
        <v>0</v>
      </c>
      <c r="J20" s="16" t="str">
        <f>IF('- 6 -'!$D20=0,"",H20/'- 6 -'!$D20)</f>
        <v/>
      </c>
    </row>
    <row r="21" spans="1:10" ht="14.1" customHeight="1" x14ac:dyDescent="0.2">
      <c r="A21" s="271" t="s">
        <v>117</v>
      </c>
      <c r="B21" s="272">
        <v>14773080</v>
      </c>
      <c r="C21" s="273">
        <f>B21/'- 3 -'!$D21*100</f>
        <v>38.688429281323039</v>
      </c>
      <c r="D21" s="272">
        <f>B21/'- 6 -'!$B21</f>
        <v>7238.1577658010783</v>
      </c>
      <c r="E21" s="272">
        <v>0</v>
      </c>
      <c r="F21" s="273">
        <f>E21/'- 3 -'!$D21*100</f>
        <v>0</v>
      </c>
      <c r="G21" s="272" t="str">
        <f>IF('- 6 -'!$C21=0,"",E21/'- 6 -'!$C21)</f>
        <v/>
      </c>
      <c r="H21" s="272">
        <v>0</v>
      </c>
      <c r="I21" s="273">
        <f>H21/'- 3 -'!$D21*100</f>
        <v>0</v>
      </c>
      <c r="J21" s="272" t="str">
        <f>IF('- 6 -'!$D21=0,"",H21/'- 6 -'!$D21)</f>
        <v/>
      </c>
    </row>
    <row r="22" spans="1:10" ht="14.1" customHeight="1" x14ac:dyDescent="0.2">
      <c r="A22" s="15" t="s">
        <v>118</v>
      </c>
      <c r="B22" s="16">
        <v>4447605</v>
      </c>
      <c r="C22" s="267">
        <f>B22/'- 3 -'!$D22*100</f>
        <v>21.745569398997944</v>
      </c>
      <c r="D22" s="16">
        <f>B22/'- 6 -'!$B22</f>
        <v>6190.1252609603343</v>
      </c>
      <c r="E22" s="16">
        <v>0</v>
      </c>
      <c r="F22" s="267">
        <f>E22/'- 3 -'!$D22*100</f>
        <v>0</v>
      </c>
      <c r="G22" s="16" t="str">
        <f>IF('- 6 -'!$C22=0,"",E22/'- 6 -'!$C22)</f>
        <v/>
      </c>
      <c r="H22" s="16">
        <v>0</v>
      </c>
      <c r="I22" s="267">
        <f>H22/'- 3 -'!$D22*100</f>
        <v>0</v>
      </c>
      <c r="J22" s="16" t="str">
        <f>IF('- 6 -'!$D22=0,"",H22/'- 6 -'!$D22)</f>
        <v/>
      </c>
    </row>
    <row r="23" spans="1:10" ht="14.1" customHeight="1" x14ac:dyDescent="0.2">
      <c r="A23" s="271" t="s">
        <v>119</v>
      </c>
      <c r="B23" s="272">
        <v>6763048</v>
      </c>
      <c r="C23" s="273">
        <f>B23/'- 3 -'!$D23*100</f>
        <v>42.354513466704532</v>
      </c>
      <c r="D23" s="272">
        <f>B23/'- 6 -'!$B23</f>
        <v>7367.1546840958608</v>
      </c>
      <c r="E23" s="272">
        <v>0</v>
      </c>
      <c r="F23" s="273">
        <f>E23/'- 3 -'!$D23*100</f>
        <v>0</v>
      </c>
      <c r="G23" s="272" t="str">
        <f>IF('- 6 -'!$C23=0,"",E23/'- 6 -'!$C23)</f>
        <v/>
      </c>
      <c r="H23" s="272">
        <v>0</v>
      </c>
      <c r="I23" s="273">
        <f>H23/'- 3 -'!$D23*100</f>
        <v>0</v>
      </c>
      <c r="J23" s="272" t="str">
        <f>IF('- 6 -'!$D23=0,"",H23/'- 6 -'!$D23)</f>
        <v/>
      </c>
    </row>
    <row r="24" spans="1:10" ht="14.1" customHeight="1" x14ac:dyDescent="0.2">
      <c r="A24" s="15" t="s">
        <v>120</v>
      </c>
      <c r="B24" s="16">
        <v>21001919</v>
      </c>
      <c r="C24" s="267">
        <f>B24/'- 3 -'!$D24*100</f>
        <v>35.675721356627108</v>
      </c>
      <c r="D24" s="16">
        <f>B24/'- 6 -'!$B24</f>
        <v>8127.6776315789475</v>
      </c>
      <c r="E24" s="16">
        <v>0</v>
      </c>
      <c r="F24" s="267">
        <f>E24/'- 3 -'!$D24*100</f>
        <v>0</v>
      </c>
      <c r="G24" s="16" t="str">
        <f>IF('- 6 -'!$C24=0,"",E24/'- 6 -'!$C24)</f>
        <v/>
      </c>
      <c r="H24" s="16">
        <v>1569437</v>
      </c>
      <c r="I24" s="267">
        <f>H24/'- 3 -'!$D24*100</f>
        <v>2.6659848130440262</v>
      </c>
      <c r="J24" s="16">
        <f>IF('- 6 -'!$D24=0,"",H24/'- 6 -'!$D24)</f>
        <v>6883.4956140350878</v>
      </c>
    </row>
    <row r="25" spans="1:10" ht="14.1" customHeight="1" x14ac:dyDescent="0.2">
      <c r="A25" s="271" t="s">
        <v>121</v>
      </c>
      <c r="B25" s="272">
        <v>63057628</v>
      </c>
      <c r="C25" s="273">
        <f>B25/'- 3 -'!$D25*100</f>
        <v>32.420504141762088</v>
      </c>
      <c r="D25" s="272">
        <f>B25/'- 6 -'!$B25</f>
        <v>6779.0780279085775</v>
      </c>
      <c r="E25" s="272">
        <v>0</v>
      </c>
      <c r="F25" s="273">
        <f>E25/'- 3 -'!$D25*100</f>
        <v>0</v>
      </c>
      <c r="G25" s="272" t="str">
        <f>IF('- 6 -'!$C25=0,"",E25/'- 6 -'!$C25)</f>
        <v/>
      </c>
      <c r="H25" s="272">
        <v>26425617</v>
      </c>
      <c r="I25" s="273">
        <f>H25/'- 3 -'!$D25*100</f>
        <v>13.586489891391389</v>
      </c>
      <c r="J25" s="272">
        <f>IF('- 6 -'!$D25=0,"",H25/'- 6 -'!$D25)</f>
        <v>5467.7461204220981</v>
      </c>
    </row>
    <row r="26" spans="1:10" ht="14.1" customHeight="1" x14ac:dyDescent="0.2">
      <c r="A26" s="15" t="s">
        <v>122</v>
      </c>
      <c r="B26" s="16">
        <v>15933658</v>
      </c>
      <c r="C26" s="267">
        <f>B26/'- 3 -'!$D26*100</f>
        <v>37.872234487928068</v>
      </c>
      <c r="D26" s="16">
        <f>B26/'- 6 -'!$B26</f>
        <v>6976.5129821796045</v>
      </c>
      <c r="E26" s="16">
        <v>0</v>
      </c>
      <c r="F26" s="267">
        <f>E26/'- 3 -'!$D26*100</f>
        <v>0</v>
      </c>
      <c r="G26" s="16" t="str">
        <f>IF('- 6 -'!$C26=0,"",E26/'- 6 -'!$C26)</f>
        <v/>
      </c>
      <c r="H26" s="16">
        <v>892773</v>
      </c>
      <c r="I26" s="267">
        <f>H26/'- 3 -'!$D26*100</f>
        <v>2.1220054051926436</v>
      </c>
      <c r="J26" s="16">
        <f>IF('- 6 -'!$D26=0,"",H26/'- 6 -'!$D26)</f>
        <v>5991.7651006711412</v>
      </c>
    </row>
    <row r="27" spans="1:10" ht="14.1" customHeight="1" x14ac:dyDescent="0.2">
      <c r="A27" s="271" t="s">
        <v>123</v>
      </c>
      <c r="B27" s="272">
        <v>17181936</v>
      </c>
      <c r="C27" s="273">
        <f>B27/'- 3 -'!$D27*100</f>
        <v>40.169002202897609</v>
      </c>
      <c r="D27" s="272">
        <f>B27/'- 6 -'!$B27</f>
        <v>6926.8034670429352</v>
      </c>
      <c r="E27" s="272">
        <v>0</v>
      </c>
      <c r="F27" s="273">
        <f>E27/'- 3 -'!$D27*100</f>
        <v>0</v>
      </c>
      <c r="G27" s="272" t="str">
        <f>IF('- 6 -'!$C27=0,"",E27/'- 6 -'!$C27)</f>
        <v/>
      </c>
      <c r="H27" s="272">
        <v>0</v>
      </c>
      <c r="I27" s="273">
        <f>H27/'- 3 -'!$D27*100</f>
        <v>0</v>
      </c>
      <c r="J27" s="272" t="str">
        <f>IF('- 6 -'!$D27=0,"",H27/'- 6 -'!$D27)</f>
        <v/>
      </c>
    </row>
    <row r="28" spans="1:10" ht="14.1" customHeight="1" x14ac:dyDescent="0.2">
      <c r="A28" s="15" t="s">
        <v>124</v>
      </c>
      <c r="B28" s="16">
        <v>14948878</v>
      </c>
      <c r="C28" s="267">
        <f>B28/'- 3 -'!$D28*100</f>
        <v>51.931141016970038</v>
      </c>
      <c r="D28" s="16">
        <f>B28/'- 6 -'!$B28</f>
        <v>7404.1000495294702</v>
      </c>
      <c r="E28" s="16">
        <v>0</v>
      </c>
      <c r="F28" s="267">
        <f>E28/'- 3 -'!$D28*100</f>
        <v>0</v>
      </c>
      <c r="G28" s="16" t="str">
        <f>IF('- 6 -'!$C28=0,"",E28/'- 6 -'!$C28)</f>
        <v/>
      </c>
      <c r="H28" s="16">
        <v>0</v>
      </c>
      <c r="I28" s="267">
        <f>H28/'- 3 -'!$D28*100</f>
        <v>0</v>
      </c>
      <c r="J28" s="16" t="str">
        <f>IF('- 6 -'!$D28=0,"",H28/'- 6 -'!$D28)</f>
        <v/>
      </c>
    </row>
    <row r="29" spans="1:10" ht="14.1" customHeight="1" x14ac:dyDescent="0.2">
      <c r="A29" s="271" t="s">
        <v>125</v>
      </c>
      <c r="B29" s="272">
        <v>55856511</v>
      </c>
      <c r="C29" s="273">
        <f>B29/'- 3 -'!$D29*100</f>
        <v>31.380415124779017</v>
      </c>
      <c r="D29" s="272">
        <f>B29/'- 6 -'!$B29</f>
        <v>6578.6294254822978</v>
      </c>
      <c r="E29" s="272">
        <v>0</v>
      </c>
      <c r="F29" s="273">
        <f>E29/'- 3 -'!$D29*100</f>
        <v>0</v>
      </c>
      <c r="G29" s="272" t="str">
        <f>IF('- 6 -'!$C29=0,"",E29/'- 6 -'!$C29)</f>
        <v/>
      </c>
      <c r="H29" s="272">
        <v>8422548</v>
      </c>
      <c r="I29" s="273">
        <f>H29/'- 3 -'!$D29*100</f>
        <v>4.7318217324454306</v>
      </c>
      <c r="J29" s="272">
        <f>IF('- 6 -'!$D29=0,"",H29/'- 6 -'!$D29)</f>
        <v>6218.197120708749</v>
      </c>
    </row>
    <row r="30" spans="1:10" ht="14.1" customHeight="1" x14ac:dyDescent="0.2">
      <c r="A30" s="15" t="s">
        <v>126</v>
      </c>
      <c r="B30" s="16">
        <v>8388839</v>
      </c>
      <c r="C30" s="267">
        <f>B30/'- 3 -'!$D30*100</f>
        <v>53.358684866680242</v>
      </c>
      <c r="D30" s="16">
        <f>B30/'- 6 -'!$B30</f>
        <v>8109.0758820686324</v>
      </c>
      <c r="E30" s="16">
        <v>0</v>
      </c>
      <c r="F30" s="267">
        <f>E30/'- 3 -'!$D30*100</f>
        <v>0</v>
      </c>
      <c r="G30" s="16" t="str">
        <f>IF('- 6 -'!$C30=0,"",E30/'- 6 -'!$C30)</f>
        <v/>
      </c>
      <c r="H30" s="16">
        <v>0</v>
      </c>
      <c r="I30" s="267">
        <f>H30/'- 3 -'!$D30*100</f>
        <v>0</v>
      </c>
      <c r="J30" s="16" t="str">
        <f>IF('- 6 -'!$D30=0,"",H30/'- 6 -'!$D30)</f>
        <v/>
      </c>
    </row>
    <row r="31" spans="1:10" ht="14.1" customHeight="1" x14ac:dyDescent="0.2">
      <c r="A31" s="271" t="s">
        <v>127</v>
      </c>
      <c r="B31" s="272">
        <v>17035681</v>
      </c>
      <c r="C31" s="273">
        <f>B31/'- 3 -'!$D31*100</f>
        <v>41.705298322096567</v>
      </c>
      <c r="D31" s="272">
        <f>B31/'- 6 -'!$B31</f>
        <v>7055.5729964796028</v>
      </c>
      <c r="E31" s="272">
        <v>0</v>
      </c>
      <c r="F31" s="273">
        <f>E31/'- 3 -'!$D31*100</f>
        <v>0</v>
      </c>
      <c r="G31" s="272" t="str">
        <f>IF('- 6 -'!$C31=0,"",E31/'- 6 -'!$C31)</f>
        <v/>
      </c>
      <c r="H31" s="272">
        <v>0</v>
      </c>
      <c r="I31" s="273">
        <f>H31/'- 3 -'!$D31*100</f>
        <v>0</v>
      </c>
      <c r="J31" s="272" t="str">
        <f>IF('- 6 -'!$D31=0,"",H31/'- 6 -'!$D31)</f>
        <v/>
      </c>
    </row>
    <row r="32" spans="1:10" ht="14.1" customHeight="1" x14ac:dyDescent="0.2">
      <c r="A32" s="15" t="s">
        <v>128</v>
      </c>
      <c r="B32" s="16">
        <v>13968152</v>
      </c>
      <c r="C32" s="267">
        <f>B32/'- 3 -'!$D32*100</f>
        <v>44.067477274799437</v>
      </c>
      <c r="D32" s="16">
        <f>B32/'- 6 -'!$B32</f>
        <v>8074.0763005780345</v>
      </c>
      <c r="E32" s="16">
        <v>0</v>
      </c>
      <c r="F32" s="267">
        <f>E32/'- 3 -'!$D32*100</f>
        <v>0</v>
      </c>
      <c r="G32" s="16" t="str">
        <f>IF('- 6 -'!$C32=0,"",E32/'- 6 -'!$C32)</f>
        <v/>
      </c>
      <c r="H32" s="16">
        <v>782464</v>
      </c>
      <c r="I32" s="267">
        <f>H32/'- 3 -'!$D32*100</f>
        <v>2.4685595158435181</v>
      </c>
      <c r="J32" s="16">
        <f>IF('- 6 -'!$D32=0,"",H32/'- 6 -'!$D32)</f>
        <v>5796.0296296296292</v>
      </c>
    </row>
    <row r="33" spans="1:10" ht="14.1" customHeight="1" x14ac:dyDescent="0.2">
      <c r="A33" s="271" t="s">
        <v>129</v>
      </c>
      <c r="B33" s="272">
        <v>11020876</v>
      </c>
      <c r="C33" s="273">
        <f>B33/'- 3 -'!$D33*100</f>
        <v>38.360508885843188</v>
      </c>
      <c r="D33" s="272">
        <f>B33/'- 6 -'!$B33</f>
        <v>6808.4734663618965</v>
      </c>
      <c r="E33" s="272">
        <v>0</v>
      </c>
      <c r="F33" s="273">
        <f>E33/'- 3 -'!$D33*100</f>
        <v>0</v>
      </c>
      <c r="G33" s="272" t="str">
        <f>IF('- 6 -'!$C33=0,"",E33/'- 6 -'!$C33)</f>
        <v/>
      </c>
      <c r="H33" s="272">
        <v>0</v>
      </c>
      <c r="I33" s="273">
        <f>H33/'- 3 -'!$D33*100</f>
        <v>0</v>
      </c>
      <c r="J33" s="272" t="str">
        <f>IF('- 6 -'!$D33=0,"",H33/'- 6 -'!$D33)</f>
        <v/>
      </c>
    </row>
    <row r="34" spans="1:10" ht="14.1" customHeight="1" x14ac:dyDescent="0.2">
      <c r="A34" s="15" t="s">
        <v>130</v>
      </c>
      <c r="B34" s="16">
        <v>11126550</v>
      </c>
      <c r="C34" s="267">
        <f>B34/'- 3 -'!$D34*100</f>
        <v>34.799310853827038</v>
      </c>
      <c r="D34" s="16">
        <f>B34/'- 6 -'!$B34</f>
        <v>6545.0294117647063</v>
      </c>
      <c r="E34" s="16">
        <v>0</v>
      </c>
      <c r="F34" s="267">
        <f>E34/'- 3 -'!$D34*100</f>
        <v>0</v>
      </c>
      <c r="G34" s="16" t="str">
        <f>IF('- 6 -'!$C34=0,"",E34/'- 6 -'!$C34)</f>
        <v/>
      </c>
      <c r="H34" s="16">
        <v>2044572</v>
      </c>
      <c r="I34" s="267">
        <f>H34/'- 3 -'!$D34*100</f>
        <v>6.3945874139810499</v>
      </c>
      <c r="J34" s="16">
        <f>IF('- 6 -'!$D34=0,"",H34/'- 6 -'!$D34)</f>
        <v>6714.5221674876848</v>
      </c>
    </row>
    <row r="35" spans="1:10" ht="14.1" customHeight="1" x14ac:dyDescent="0.2">
      <c r="A35" s="271" t="s">
        <v>131</v>
      </c>
      <c r="B35" s="272">
        <v>60853437</v>
      </c>
      <c r="C35" s="273">
        <f>B35/'- 3 -'!$D35*100</f>
        <v>30.972729311578789</v>
      </c>
      <c r="D35" s="272">
        <f>B35/'- 6 -'!$B35</f>
        <v>7689.8258671889807</v>
      </c>
      <c r="E35" s="272">
        <v>0</v>
      </c>
      <c r="F35" s="273">
        <f>E35/'- 3 -'!$D35*100</f>
        <v>0</v>
      </c>
      <c r="G35" s="272" t="str">
        <f>IF('- 6 -'!$C35=0,"",E35/'- 6 -'!$C35)</f>
        <v/>
      </c>
      <c r="H35" s="272">
        <v>6973013</v>
      </c>
      <c r="I35" s="273">
        <f>H35/'- 3 -'!$D35*100</f>
        <v>3.549072242790821</v>
      </c>
      <c r="J35" s="272">
        <f>IF('- 6 -'!$D35=0,"",H35/'- 6 -'!$D35)</f>
        <v>5031.0339105339108</v>
      </c>
    </row>
    <row r="36" spans="1:10" ht="14.1" customHeight="1" x14ac:dyDescent="0.2">
      <c r="A36" s="15" t="s">
        <v>132</v>
      </c>
      <c r="B36" s="16">
        <v>12048565</v>
      </c>
      <c r="C36" s="267">
        <f>B36/'- 3 -'!$D36*100</f>
        <v>49.830298320518942</v>
      </c>
      <c r="D36" s="16">
        <f>B36/'- 6 -'!$B36</f>
        <v>6934.0268186003686</v>
      </c>
      <c r="E36" s="16">
        <v>0</v>
      </c>
      <c r="F36" s="267">
        <f>E36/'- 3 -'!$D36*100</f>
        <v>0</v>
      </c>
      <c r="G36" s="16" t="str">
        <f>IF('- 6 -'!$C36=0,"",E36/'- 6 -'!$C36)</f>
        <v/>
      </c>
      <c r="H36" s="16">
        <v>0</v>
      </c>
      <c r="I36" s="267">
        <f>H36/'- 3 -'!$D36*100</f>
        <v>0</v>
      </c>
      <c r="J36" s="16" t="str">
        <f>IF('- 6 -'!$D36=0,"",H36/'- 6 -'!$D36)</f>
        <v/>
      </c>
    </row>
    <row r="37" spans="1:10" ht="14.1" customHeight="1" x14ac:dyDescent="0.2">
      <c r="A37" s="271" t="s">
        <v>133</v>
      </c>
      <c r="B37" s="272">
        <v>13496121</v>
      </c>
      <c r="C37" s="273">
        <f>B37/'- 3 -'!$D37*100</f>
        <v>24.489689599233525</v>
      </c>
      <c r="D37" s="272">
        <f>B37/'- 6 -'!$B37</f>
        <v>6193.7223497016985</v>
      </c>
      <c r="E37" s="272">
        <v>0</v>
      </c>
      <c r="F37" s="273">
        <f>E37/'- 3 -'!$D37*100</f>
        <v>0</v>
      </c>
      <c r="G37" s="272" t="str">
        <f>IF('- 6 -'!$C37=0,"",E37/'- 6 -'!$C37)</f>
        <v/>
      </c>
      <c r="H37" s="272">
        <v>4532572</v>
      </c>
      <c r="I37" s="273">
        <f>H37/'- 3 -'!$D37*100</f>
        <v>8.2246803630596599</v>
      </c>
      <c r="J37" s="272">
        <f>IF('- 6 -'!$D37=0,"",H37/'- 6 -'!$D37)</f>
        <v>5701.3484276729559</v>
      </c>
    </row>
    <row r="38" spans="1:10" ht="14.1" customHeight="1" x14ac:dyDescent="0.2">
      <c r="A38" s="15" t="s">
        <v>134</v>
      </c>
      <c r="B38" s="16">
        <v>45920090</v>
      </c>
      <c r="C38" s="267">
        <f>B38/'- 3 -'!$D38*100</f>
        <v>30.397045402386389</v>
      </c>
      <c r="D38" s="16">
        <f>B38/'- 6 -'!$B38</f>
        <v>6772.8746312684361</v>
      </c>
      <c r="E38" s="16">
        <v>0</v>
      </c>
      <c r="F38" s="267">
        <f>E38/'- 3 -'!$D38*100</f>
        <v>0</v>
      </c>
      <c r="G38" s="16" t="str">
        <f>IF('- 6 -'!$C38=0,"",E38/'- 6 -'!$C38)</f>
        <v/>
      </c>
      <c r="H38" s="16">
        <v>6084230</v>
      </c>
      <c r="I38" s="267">
        <f>H38/'- 3 -'!$D38*100</f>
        <v>4.0274880896043825</v>
      </c>
      <c r="J38" s="16">
        <f>IF('- 6 -'!$D38=0,"",H38/'- 6 -'!$D38)</f>
        <v>6233.8422131147545</v>
      </c>
    </row>
    <row r="39" spans="1:10" ht="14.1" customHeight="1" x14ac:dyDescent="0.2">
      <c r="A39" s="271" t="s">
        <v>135</v>
      </c>
      <c r="B39" s="272">
        <v>11943300</v>
      </c>
      <c r="C39" s="273">
        <f>B39/'- 3 -'!$D39*100</f>
        <v>50.864976746563094</v>
      </c>
      <c r="D39" s="272">
        <f>B39/'- 6 -'!$B39</f>
        <v>8012.4111096202878</v>
      </c>
      <c r="E39" s="272">
        <v>0</v>
      </c>
      <c r="F39" s="273">
        <f>E39/'- 3 -'!$D39*100</f>
        <v>0</v>
      </c>
      <c r="G39" s="272" t="str">
        <f>IF('- 6 -'!$C39=0,"",E39/'- 6 -'!$C39)</f>
        <v/>
      </c>
      <c r="H39" s="272">
        <v>0</v>
      </c>
      <c r="I39" s="273">
        <f>H39/'- 3 -'!$D39*100</f>
        <v>0</v>
      </c>
      <c r="J39" s="272" t="str">
        <f>IF('- 6 -'!$D39=0,"",H39/'- 6 -'!$D39)</f>
        <v/>
      </c>
    </row>
    <row r="40" spans="1:10" ht="14.1" customHeight="1" x14ac:dyDescent="0.2">
      <c r="A40" s="15" t="s">
        <v>136</v>
      </c>
      <c r="B40" s="16">
        <v>36583772</v>
      </c>
      <c r="C40" s="267">
        <f>B40/'- 3 -'!$D40*100</f>
        <v>33.296487987719246</v>
      </c>
      <c r="D40" s="16">
        <f>B40/'- 6 -'!$B40</f>
        <v>6572.2499281402706</v>
      </c>
      <c r="E40" s="16">
        <v>0</v>
      </c>
      <c r="F40" s="267">
        <f>E40/'- 3 -'!$D40*100</f>
        <v>0</v>
      </c>
      <c r="G40" s="16" t="str">
        <f>IF('- 6 -'!$C40=0,"",E40/'- 6 -'!$C40)</f>
        <v/>
      </c>
      <c r="H40" s="16">
        <v>7870671</v>
      </c>
      <c r="I40" s="267">
        <f>H40/'- 3 -'!$D40*100</f>
        <v>7.1634412768259725</v>
      </c>
      <c r="J40" s="16">
        <f>IF('- 6 -'!$D40=0,"",H40/'- 6 -'!$D40)</f>
        <v>5570.1847133757965</v>
      </c>
    </row>
    <row r="41" spans="1:10" ht="14.1" customHeight="1" x14ac:dyDescent="0.2">
      <c r="A41" s="271" t="s">
        <v>137</v>
      </c>
      <c r="B41" s="272">
        <v>15142570</v>
      </c>
      <c r="C41" s="273">
        <f>B41/'- 3 -'!$D41*100</f>
        <v>22.705722718351197</v>
      </c>
      <c r="D41" s="272">
        <f>B41/'- 6 -'!$B41</f>
        <v>7424.648198087767</v>
      </c>
      <c r="E41" s="272">
        <v>0</v>
      </c>
      <c r="F41" s="273">
        <f>E41/'- 3 -'!$D41*100</f>
        <v>0</v>
      </c>
      <c r="G41" s="272" t="str">
        <f>IF('- 6 -'!$C41=0,"",E41/'- 6 -'!$C41)</f>
        <v/>
      </c>
      <c r="H41" s="272">
        <v>0</v>
      </c>
      <c r="I41" s="273">
        <f>H41/'- 3 -'!$D41*100</f>
        <v>0</v>
      </c>
      <c r="J41" s="272" t="str">
        <f>IF('- 6 -'!$D41=0,"",H41/'- 6 -'!$D41)</f>
        <v/>
      </c>
    </row>
    <row r="42" spans="1:10" ht="14.1" customHeight="1" x14ac:dyDescent="0.2">
      <c r="A42" s="15" t="s">
        <v>138</v>
      </c>
      <c r="B42" s="16">
        <v>6942107</v>
      </c>
      <c r="C42" s="267">
        <f>B42/'- 3 -'!$D42*100</f>
        <v>32.523980326621562</v>
      </c>
      <c r="D42" s="16">
        <f>B42/'- 6 -'!$B42</f>
        <v>7153.1241628026792</v>
      </c>
      <c r="E42" s="16">
        <v>0</v>
      </c>
      <c r="F42" s="267">
        <f>E42/'- 3 -'!$D42*100</f>
        <v>0</v>
      </c>
      <c r="G42" s="16" t="str">
        <f>IF('- 6 -'!$C42=0,"",E42/'- 6 -'!$C42)</f>
        <v/>
      </c>
      <c r="H42" s="16">
        <v>0</v>
      </c>
      <c r="I42" s="267">
        <f>H42/'- 3 -'!$D42*100</f>
        <v>0</v>
      </c>
      <c r="J42" s="16" t="str">
        <f>IF('- 6 -'!$D42=0,"",H42/'- 6 -'!$D42)</f>
        <v/>
      </c>
    </row>
    <row r="43" spans="1:10" ht="14.1" customHeight="1" x14ac:dyDescent="0.2">
      <c r="A43" s="271" t="s">
        <v>139</v>
      </c>
      <c r="B43" s="272">
        <v>6863879</v>
      </c>
      <c r="C43" s="273">
        <f>B43/'- 3 -'!$D43*100</f>
        <v>49.457727956660889</v>
      </c>
      <c r="D43" s="272">
        <f>B43/'- 6 -'!$B43</f>
        <v>7018.2811860940692</v>
      </c>
      <c r="E43" s="272">
        <v>0</v>
      </c>
      <c r="F43" s="273">
        <f>E43/'- 3 -'!$D43*100</f>
        <v>0</v>
      </c>
      <c r="G43" s="272" t="str">
        <f>IF('- 6 -'!$C43=0,"",E43/'- 6 -'!$C43)</f>
        <v/>
      </c>
      <c r="H43" s="272">
        <v>0</v>
      </c>
      <c r="I43" s="273">
        <f>H43/'- 3 -'!$D43*100</f>
        <v>0</v>
      </c>
      <c r="J43" s="272" t="str">
        <f>IF('- 6 -'!$D43=0,"",H43/'- 6 -'!$D43)</f>
        <v/>
      </c>
    </row>
    <row r="44" spans="1:10" ht="14.1" customHeight="1" x14ac:dyDescent="0.2">
      <c r="A44" s="15" t="s">
        <v>140</v>
      </c>
      <c r="B44" s="16">
        <v>5099373</v>
      </c>
      <c r="C44" s="267">
        <f>B44/'- 3 -'!$D44*100</f>
        <v>45.392047243442647</v>
      </c>
      <c r="D44" s="16">
        <f>B44/'- 6 -'!$B44</f>
        <v>7936.7673151750969</v>
      </c>
      <c r="E44" s="16">
        <v>0</v>
      </c>
      <c r="F44" s="267">
        <f>E44/'- 3 -'!$D44*100</f>
        <v>0</v>
      </c>
      <c r="G44" s="16" t="str">
        <f>IF('- 6 -'!$C44=0,"",E44/'- 6 -'!$C44)</f>
        <v/>
      </c>
      <c r="H44" s="16">
        <v>329138</v>
      </c>
      <c r="I44" s="267">
        <f>H44/'- 3 -'!$D44*100</f>
        <v>2.9298205182504251</v>
      </c>
      <c r="J44" s="16">
        <f>IF('- 6 -'!$D44=0,"",H44/'- 6 -'!$D44)</f>
        <v>6453.6862745098042</v>
      </c>
    </row>
    <row r="45" spans="1:10" ht="14.1" customHeight="1" x14ac:dyDescent="0.2">
      <c r="A45" s="271" t="s">
        <v>141</v>
      </c>
      <c r="B45" s="272">
        <v>5714790</v>
      </c>
      <c r="C45" s="273">
        <f>B45/'- 3 -'!$D45*100</f>
        <v>25.549141186478657</v>
      </c>
      <c r="D45" s="272">
        <f>B45/'- 6 -'!$B45</f>
        <v>6349.7666666666664</v>
      </c>
      <c r="E45" s="272">
        <v>0</v>
      </c>
      <c r="F45" s="273">
        <f>E45/'- 3 -'!$D45*100</f>
        <v>0</v>
      </c>
      <c r="G45" s="272" t="str">
        <f>IF('- 6 -'!$C45=0,"",E45/'- 6 -'!$C45)</f>
        <v/>
      </c>
      <c r="H45" s="272">
        <v>0</v>
      </c>
      <c r="I45" s="273">
        <f>H45/'- 3 -'!$D45*100</f>
        <v>0</v>
      </c>
      <c r="J45" s="272" t="str">
        <f>IF('- 6 -'!$D45=0,"",H45/'- 6 -'!$D45)</f>
        <v/>
      </c>
    </row>
    <row r="46" spans="1:10" ht="14.1" customHeight="1" x14ac:dyDescent="0.2">
      <c r="A46" s="15" t="s">
        <v>142</v>
      </c>
      <c r="B46" s="16">
        <v>131764378</v>
      </c>
      <c r="C46" s="267">
        <f>B46/'- 3 -'!$D46*100</f>
        <v>31.570489329919699</v>
      </c>
      <c r="D46" s="16">
        <f>B46/'- 6 -'!$B46</f>
        <v>7176.9044908630412</v>
      </c>
      <c r="E46" s="16">
        <v>0</v>
      </c>
      <c r="F46" s="267">
        <f>E46/'- 3 -'!$D46*100</f>
        <v>0</v>
      </c>
      <c r="G46" s="16" t="str">
        <f>IF('- 6 -'!$C46=0,"",E46/'- 6 -'!$C46)</f>
        <v/>
      </c>
      <c r="H46" s="16">
        <v>8692000</v>
      </c>
      <c r="I46" s="267">
        <f>H46/'- 3 -'!$D46*100</f>
        <v>2.0825863364653991</v>
      </c>
      <c r="J46" s="16">
        <f>IF('- 6 -'!$D46=0,"",H46/'- 6 -'!$D46)</f>
        <v>6110.3690685413003</v>
      </c>
    </row>
    <row r="47" spans="1:10" ht="5.0999999999999996" customHeight="1" x14ac:dyDescent="0.2">
      <c r="A47"/>
      <c r="B47"/>
      <c r="C47"/>
      <c r="D47"/>
      <c r="E47"/>
      <c r="F47"/>
      <c r="G47"/>
      <c r="H47" s="507"/>
      <c r="I47"/>
      <c r="J47"/>
    </row>
    <row r="48" spans="1:10" ht="14.1" customHeight="1" x14ac:dyDescent="0.2">
      <c r="A48" s="274" t="s">
        <v>143</v>
      </c>
      <c r="B48" s="275">
        <f>SUM(B11:B46)</f>
        <v>842447797</v>
      </c>
      <c r="C48" s="276">
        <f>B48/'- 3 -'!$D48*100</f>
        <v>33.959095494375077</v>
      </c>
      <c r="D48" s="275">
        <f>B48/'- 6 -'!$B48</f>
        <v>7001.0753403938461</v>
      </c>
      <c r="E48" s="275">
        <f>SUM(E11:E46)</f>
        <v>46128261</v>
      </c>
      <c r="F48" s="276">
        <f>E48/'- 3 -'!$D48*100</f>
        <v>1.859431558687378</v>
      </c>
      <c r="G48" s="275">
        <f>E48/'- 6 -'!$C48</f>
        <v>7740.9399228058401</v>
      </c>
      <c r="H48" s="275">
        <f>SUM(H11:H46)</f>
        <v>76614035</v>
      </c>
      <c r="I48" s="276">
        <f>H48/'- 3 -'!$D48*100</f>
        <v>3.0883140059708585</v>
      </c>
      <c r="J48" s="275">
        <f>H48/'- 6 -'!$D48</f>
        <v>5724.5141405461945</v>
      </c>
    </row>
    <row r="49" spans="1:10" ht="5.0999999999999996" customHeight="1" x14ac:dyDescent="0.2">
      <c r="A49" s="17" t="s">
        <v>1</v>
      </c>
      <c r="B49" s="18"/>
      <c r="C49" s="266"/>
      <c r="D49" s="18"/>
      <c r="E49" s="18"/>
      <c r="F49" s="266"/>
      <c r="H49" s="18"/>
      <c r="I49" s="266"/>
      <c r="J49" s="18"/>
    </row>
    <row r="50" spans="1:10" ht="14.1" customHeight="1" x14ac:dyDescent="0.2">
      <c r="A50" s="15" t="s">
        <v>144</v>
      </c>
      <c r="B50" s="16">
        <v>1843185</v>
      </c>
      <c r="C50" s="267">
        <f>B50/'- 3 -'!$D50*100</f>
        <v>51.368772091859213</v>
      </c>
      <c r="D50" s="16">
        <f>B50/'- 6 -'!$B50</f>
        <v>10716.191860465116</v>
      </c>
      <c r="E50" s="16">
        <v>0</v>
      </c>
      <c r="F50" s="267">
        <f>E50/'- 3 -'!$D50*100</f>
        <v>0</v>
      </c>
      <c r="G50" s="16" t="str">
        <f>IF('- 6 -'!$C50=0,"",E50/'- 6 -'!$C50)</f>
        <v/>
      </c>
      <c r="H50" s="16">
        <v>0</v>
      </c>
      <c r="I50" s="267">
        <f>H50/'- 3 -'!$D50*100</f>
        <v>0</v>
      </c>
      <c r="J50" s="16" t="str">
        <f>IF('- 6 -'!$D50=0,"",H50/'- 6 -'!$D50)</f>
        <v/>
      </c>
    </row>
    <row r="51" spans="1:10" ht="14.1" customHeight="1" x14ac:dyDescent="0.2">
      <c r="A51" s="360" t="s">
        <v>513</v>
      </c>
      <c r="B51" s="272">
        <v>570978</v>
      </c>
      <c r="C51" s="273">
        <f>B51/'- 3 -'!$D51*100</f>
        <v>1.6423804088856377</v>
      </c>
      <c r="D51" s="272">
        <f>B51/'- 6 -'!$B51</f>
        <v>4358.6106870229005</v>
      </c>
      <c r="E51" s="272">
        <v>390946</v>
      </c>
      <c r="F51" s="273">
        <f>E51/'- 3 -'!$D51*100</f>
        <v>1.1245302819586822</v>
      </c>
      <c r="G51" s="272">
        <f>IF('- 6 -'!$C51=0,"",E51/'- 6 -'!$C51)</f>
        <v>21719.222222222223</v>
      </c>
      <c r="H51" s="272">
        <v>0</v>
      </c>
      <c r="I51" s="273">
        <f>H51/'- 3 -'!$D51*100</f>
        <v>0</v>
      </c>
      <c r="J51" s="272" t="str">
        <f>IF('- 6 -'!$D51=0,"",H51/'- 6 -'!$D51)</f>
        <v/>
      </c>
    </row>
    <row r="52" spans="1:10" ht="50.1" customHeight="1" x14ac:dyDescent="0.2">
      <c r="A52" s="19"/>
      <c r="B52" s="19"/>
      <c r="C52" s="19"/>
      <c r="D52" s="19"/>
      <c r="E52" s="19"/>
      <c r="F52" s="19"/>
      <c r="G52" s="19"/>
      <c r="H52" s="51"/>
      <c r="I52" s="51"/>
      <c r="J52" s="51"/>
    </row>
    <row r="53" spans="1:10" ht="15" customHeight="1" x14ac:dyDescent="0.2">
      <c r="A53" s="46" t="s">
        <v>338</v>
      </c>
      <c r="B53" s="46"/>
      <c r="C53" s="46"/>
      <c r="D53" s="46"/>
      <c r="E53" s="46"/>
      <c r="F53" s="46"/>
      <c r="G53" s="46"/>
      <c r="I53" s="46"/>
      <c r="J53" s="46"/>
    </row>
    <row r="54" spans="1:10" ht="14.45" customHeight="1" x14ac:dyDescent="0.2"/>
    <row r="55" spans="1:10" ht="14.45" customHeight="1" x14ac:dyDescent="0.2">
      <c r="A55" s="20"/>
    </row>
    <row r="56" spans="1:10" ht="14.45" customHeight="1" x14ac:dyDescent="0.2"/>
    <row r="57" spans="1:10" ht="14.45" customHeight="1" x14ac:dyDescent="0.2"/>
    <row r="58" spans="1:10" ht="14.45" customHeight="1" x14ac:dyDescent="0.2"/>
    <row r="59" spans="1:10" ht="14.45" customHeight="1" x14ac:dyDescent="0.2"/>
  </sheetData>
  <mergeCells count="7">
    <mergeCell ref="B6:J6"/>
    <mergeCell ref="D8:D9"/>
    <mergeCell ref="G8:G9"/>
    <mergeCell ref="J8:J9"/>
    <mergeCell ref="B7:D7"/>
    <mergeCell ref="E7:G7"/>
    <mergeCell ref="H7:J7"/>
  </mergeCells>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59"/>
  <sheetViews>
    <sheetView showGridLines="0" showZeros="0" workbookViewId="0"/>
  </sheetViews>
  <sheetFormatPr defaultColWidth="15.83203125" defaultRowHeight="12" x14ac:dyDescent="0.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x14ac:dyDescent="0.2">
      <c r="A1" s="3"/>
      <c r="B1" s="32"/>
      <c r="C1" s="32"/>
      <c r="D1" s="32"/>
      <c r="E1" s="32"/>
      <c r="F1" s="32"/>
      <c r="G1" s="32"/>
      <c r="H1" s="32"/>
      <c r="I1" s="32"/>
    </row>
    <row r="2" spans="1:9" ht="15.95" customHeight="1" x14ac:dyDescent="0.2">
      <c r="A2" s="132"/>
      <c r="B2" s="5" t="str">
        <f>AEXP_BP</f>
        <v>ANALYSIS OF EXPENSE BY PROGRAM</v>
      </c>
      <c r="C2" s="35"/>
      <c r="D2" s="35"/>
      <c r="E2" s="35"/>
      <c r="F2" s="35"/>
      <c r="G2" s="35"/>
      <c r="H2" s="166"/>
      <c r="I2" s="502" t="s">
        <v>524</v>
      </c>
    </row>
    <row r="3" spans="1:9" ht="15.95" customHeight="1" x14ac:dyDescent="0.2">
      <c r="A3" s="135"/>
      <c r="B3" s="86" t="str">
        <f>OPYEAR</f>
        <v>OPERATING FUND 2020/2021 BUDGET</v>
      </c>
      <c r="C3" s="39"/>
      <c r="D3" s="39"/>
      <c r="E3" s="39"/>
      <c r="F3" s="39"/>
      <c r="G3" s="39"/>
      <c r="H3" s="167"/>
      <c r="I3" s="168"/>
    </row>
    <row r="4" spans="1:9" ht="15.95" customHeight="1" x14ac:dyDescent="0.2">
      <c r="B4" s="32"/>
      <c r="C4" s="32"/>
      <c r="D4" s="32"/>
      <c r="E4" s="32"/>
      <c r="F4" s="32"/>
      <c r="G4" s="32"/>
      <c r="H4" s="32"/>
      <c r="I4" s="32"/>
    </row>
    <row r="5" spans="1:9" ht="15.95" customHeight="1" x14ac:dyDescent="0.2">
      <c r="B5" s="639" t="s">
        <v>239</v>
      </c>
      <c r="C5" s="640"/>
      <c r="D5" s="640"/>
      <c r="E5" s="640"/>
      <c r="F5" s="640"/>
      <c r="G5" s="640"/>
      <c r="H5" s="640"/>
      <c r="I5" s="641"/>
    </row>
    <row r="6" spans="1:9" ht="15.95" customHeight="1" x14ac:dyDescent="0.2">
      <c r="B6" s="657" t="s">
        <v>240</v>
      </c>
      <c r="C6" s="655"/>
      <c r="D6" s="655"/>
      <c r="E6" s="655"/>
      <c r="F6" s="655"/>
      <c r="G6" s="655"/>
      <c r="H6" s="655"/>
      <c r="I6" s="656"/>
    </row>
    <row r="7" spans="1:9" ht="15.95" customHeight="1" x14ac:dyDescent="0.2">
      <c r="B7" s="162"/>
      <c r="C7" s="169"/>
      <c r="D7" s="658" t="s">
        <v>396</v>
      </c>
      <c r="E7" s="661" t="s">
        <v>404</v>
      </c>
      <c r="F7" s="666" t="s">
        <v>75</v>
      </c>
      <c r="G7" s="667"/>
      <c r="H7" s="667"/>
      <c r="I7" s="668"/>
    </row>
    <row r="8" spans="1:9" ht="15.95" customHeight="1" x14ac:dyDescent="0.2">
      <c r="A8" s="82"/>
      <c r="B8" s="170"/>
      <c r="C8" s="170"/>
      <c r="D8" s="659"/>
      <c r="E8" s="662"/>
      <c r="F8" s="664" t="s">
        <v>33</v>
      </c>
      <c r="G8" s="664" t="s">
        <v>16</v>
      </c>
      <c r="H8" s="552" t="s">
        <v>17</v>
      </c>
      <c r="I8" s="664" t="s">
        <v>19</v>
      </c>
    </row>
    <row r="9" spans="1:9" ht="15.95" customHeight="1" x14ac:dyDescent="0.2">
      <c r="A9" s="27" t="s">
        <v>37</v>
      </c>
      <c r="B9" s="43" t="s">
        <v>38</v>
      </c>
      <c r="C9" s="43" t="s">
        <v>39</v>
      </c>
      <c r="D9" s="660"/>
      <c r="E9" s="663"/>
      <c r="F9" s="665"/>
      <c r="G9" s="665"/>
      <c r="H9" s="553"/>
      <c r="I9" s="665"/>
    </row>
    <row r="10" spans="1:9" ht="5.0999999999999996" customHeight="1" x14ac:dyDescent="0.2">
      <c r="A10" s="29"/>
      <c r="B10" s="46"/>
      <c r="C10" s="46"/>
      <c r="D10" s="46"/>
      <c r="E10" s="46"/>
      <c r="F10" s="46"/>
      <c r="G10" s="46"/>
      <c r="H10" s="46"/>
      <c r="I10" s="46"/>
    </row>
    <row r="11" spans="1:9" ht="14.1" customHeight="1" x14ac:dyDescent="0.2">
      <c r="A11" s="271" t="s">
        <v>108</v>
      </c>
      <c r="B11" s="272">
        <v>0</v>
      </c>
      <c r="C11" s="273">
        <f>B11/'- 3 -'!$D11*100</f>
        <v>0</v>
      </c>
      <c r="D11" s="298" t="str">
        <f>IF(E11=0,"",B11/E11)</f>
        <v/>
      </c>
      <c r="E11" s="299">
        <f>SUM('- 6 -'!$E11:H11)</f>
        <v>0</v>
      </c>
      <c r="F11" s="273" t="str">
        <f>IF(E11=0,"",'- 6 -'!$E11/E11*100)</f>
        <v/>
      </c>
      <c r="G11" s="273" t="str">
        <f>IF(E11=0,"",'- 6 -'!$F11/E11*100)</f>
        <v/>
      </c>
      <c r="H11" s="273" t="str">
        <f>IF(E11=0,"",'- 6 -'!$G11/E11*100)</f>
        <v/>
      </c>
      <c r="I11" s="273" t="str">
        <f>IF(E11=0,"",'- 6 -'!$H11/E11*100)</f>
        <v/>
      </c>
    </row>
    <row r="12" spans="1:9" ht="14.1" customHeight="1" x14ac:dyDescent="0.2">
      <c r="A12" s="15" t="s">
        <v>109</v>
      </c>
      <c r="B12" s="16">
        <v>3941460</v>
      </c>
      <c r="C12" s="267">
        <f>B12/'- 3 -'!$D12*100</f>
        <v>11.360716006484624</v>
      </c>
      <c r="D12" s="171">
        <f t="shared" ref="D12:D46" si="0">IF(E12=0,"",B12/E12)</f>
        <v>6211.9148936170213</v>
      </c>
      <c r="E12" s="172">
        <f>SUM('- 6 -'!$E12:H12)</f>
        <v>634.5</v>
      </c>
      <c r="F12" s="267">
        <f>IF(E12=0,"",'- 6 -'!$E12/E12*100)</f>
        <v>79.432624113475185</v>
      </c>
      <c r="G12" s="267">
        <f>IF(E12=0,"",'- 6 -'!$F12/E12*100)</f>
        <v>0</v>
      </c>
      <c r="H12" s="267">
        <f>IF(E12=0,"",'- 6 -'!$G12/E12*100)</f>
        <v>20.567375886524822</v>
      </c>
      <c r="I12" s="267">
        <f>IF(E12=0,"",'- 6 -'!$H12/E12*100)</f>
        <v>0</v>
      </c>
    </row>
    <row r="13" spans="1:9" ht="14.1" customHeight="1" x14ac:dyDescent="0.2">
      <c r="A13" s="271" t="s">
        <v>110</v>
      </c>
      <c r="B13" s="272">
        <v>7519000</v>
      </c>
      <c r="C13" s="273">
        <f>B13/'- 3 -'!$D13*100</f>
        <v>6.99127740745321</v>
      </c>
      <c r="D13" s="298">
        <f t="shared" si="0"/>
        <v>6532.5803649000873</v>
      </c>
      <c r="E13" s="299">
        <f>SUM('- 6 -'!$E13:H13)</f>
        <v>1151</v>
      </c>
      <c r="F13" s="273">
        <f>IF(E13=0,"",'- 6 -'!$E13/E13*100)</f>
        <v>56.863596872284973</v>
      </c>
      <c r="G13" s="273">
        <f>IF(E13=0,"",'- 6 -'!$F13/E13*100)</f>
        <v>0</v>
      </c>
      <c r="H13" s="273">
        <f>IF(E13=0,"",'- 6 -'!$G13/E13*100)</f>
        <v>43.136403127715027</v>
      </c>
      <c r="I13" s="273">
        <f>IF(E13=0,"",'- 6 -'!$H13/E13*100)</f>
        <v>0</v>
      </c>
    </row>
    <row r="14" spans="1:9" ht="14.1" customHeight="1" x14ac:dyDescent="0.2">
      <c r="A14" s="15" t="s">
        <v>319</v>
      </c>
      <c r="B14" s="16">
        <v>0</v>
      </c>
      <c r="C14" s="267">
        <f>B14/'- 3 -'!$D14*100</f>
        <v>0</v>
      </c>
      <c r="D14" s="171" t="str">
        <f t="shared" si="0"/>
        <v/>
      </c>
      <c r="E14" s="172">
        <f>SUM('- 6 -'!$E14:H14)</f>
        <v>0</v>
      </c>
      <c r="F14" s="267" t="str">
        <f>IF(E14=0,"",'- 6 -'!$E14/E14*100)</f>
        <v/>
      </c>
      <c r="G14" s="267" t="str">
        <f>IF(E14=0,"",'- 6 -'!$F14/E14*100)</f>
        <v/>
      </c>
      <c r="H14" s="267" t="str">
        <f>IF(E14=0,"",'- 6 -'!$G14/E14*100)</f>
        <v/>
      </c>
      <c r="I14" s="267" t="str">
        <f>IF(E14=0,"",'- 6 -'!$H14/E14*100)</f>
        <v/>
      </c>
    </row>
    <row r="15" spans="1:9" ht="14.1" customHeight="1" x14ac:dyDescent="0.2">
      <c r="A15" s="271" t="s">
        <v>111</v>
      </c>
      <c r="B15" s="272">
        <v>0</v>
      </c>
      <c r="C15" s="273">
        <f>B15/'- 3 -'!$D15*100</f>
        <v>0</v>
      </c>
      <c r="D15" s="298" t="str">
        <f t="shared" si="0"/>
        <v/>
      </c>
      <c r="E15" s="299">
        <f>SUM('- 6 -'!$E15:H15)</f>
        <v>0</v>
      </c>
      <c r="F15" s="273" t="str">
        <f>IF(E15=0,"",'- 6 -'!$E15/E15*100)</f>
        <v/>
      </c>
      <c r="G15" s="273" t="str">
        <f>IF(E15=0,"",'- 6 -'!$F15/E15*100)</f>
        <v/>
      </c>
      <c r="H15" s="273" t="str">
        <f>IF(E15=0,"",'- 6 -'!$G15/E15*100)</f>
        <v/>
      </c>
      <c r="I15" s="273" t="str">
        <f>IF(E15=0,"",'- 6 -'!$H15/E15*100)</f>
        <v/>
      </c>
    </row>
    <row r="16" spans="1:9" ht="14.1" customHeight="1" x14ac:dyDescent="0.2">
      <c r="A16" s="15" t="s">
        <v>112</v>
      </c>
      <c r="B16" s="16">
        <v>2463073</v>
      </c>
      <c r="C16" s="267">
        <f>B16/'- 3 -'!$D16*100</f>
        <v>16.469043995984428</v>
      </c>
      <c r="D16" s="171">
        <f t="shared" si="0"/>
        <v>6550.7260638297876</v>
      </c>
      <c r="E16" s="172">
        <f>SUM('- 6 -'!$E16:H16)</f>
        <v>376</v>
      </c>
      <c r="F16" s="267">
        <f>IF(E16=0,"",'- 6 -'!$E16/E16*100)</f>
        <v>68.75</v>
      </c>
      <c r="G16" s="267">
        <f>IF(E16=0,"",'- 6 -'!$F16/E16*100)</f>
        <v>0</v>
      </c>
      <c r="H16" s="267">
        <f>IF(E16=0,"",'- 6 -'!$G16/E16*100)</f>
        <v>31.25</v>
      </c>
      <c r="I16" s="267">
        <f>IF(E16=0,"",'- 6 -'!$H16/E16*100)</f>
        <v>0</v>
      </c>
    </row>
    <row r="17" spans="1:9" ht="14.1" customHeight="1" x14ac:dyDescent="0.2">
      <c r="A17" s="271" t="s">
        <v>113</v>
      </c>
      <c r="B17" s="272">
        <v>0</v>
      </c>
      <c r="C17" s="273">
        <f>B17/'- 3 -'!$D17*100</f>
        <v>0</v>
      </c>
      <c r="D17" s="298" t="str">
        <f t="shared" si="0"/>
        <v/>
      </c>
      <c r="E17" s="299">
        <f>SUM('- 6 -'!$E17:H17)</f>
        <v>0</v>
      </c>
      <c r="F17" s="273" t="str">
        <f>IF(E17=0,"",'- 6 -'!$E17/E17*100)</f>
        <v/>
      </c>
      <c r="G17" s="273" t="str">
        <f>IF(E17=0,"",'- 6 -'!$F17/E17*100)</f>
        <v/>
      </c>
      <c r="H17" s="273" t="str">
        <f>IF(E17=0,"",'- 6 -'!$G17/E17*100)</f>
        <v/>
      </c>
      <c r="I17" s="273" t="str">
        <f>IF(E17=0,"",'- 6 -'!$H17/E17*100)</f>
        <v/>
      </c>
    </row>
    <row r="18" spans="1:9" ht="14.1" customHeight="1" x14ac:dyDescent="0.2">
      <c r="A18" s="15" t="s">
        <v>114</v>
      </c>
      <c r="B18" s="16">
        <v>0</v>
      </c>
      <c r="C18" s="267">
        <f>B18/'- 3 -'!$D18*100</f>
        <v>0</v>
      </c>
      <c r="D18" s="171" t="str">
        <f t="shared" si="0"/>
        <v/>
      </c>
      <c r="E18" s="172">
        <f>SUM('- 6 -'!$E18:H18)</f>
        <v>0</v>
      </c>
      <c r="F18" s="267" t="str">
        <f>IF(E18=0,"",'- 6 -'!$E18/E18*100)</f>
        <v/>
      </c>
      <c r="G18" s="267" t="str">
        <f>IF(E18=0,"",'- 6 -'!$F18/E18*100)</f>
        <v/>
      </c>
      <c r="H18" s="267" t="str">
        <f>IF(E18=0,"",'- 6 -'!$G18/E18*100)</f>
        <v/>
      </c>
      <c r="I18" s="267" t="str">
        <f>IF(E18=0,"",'- 6 -'!$H18/E18*100)</f>
        <v/>
      </c>
    </row>
    <row r="19" spans="1:9" ht="14.1" customHeight="1" x14ac:dyDescent="0.2">
      <c r="A19" s="271" t="s">
        <v>115</v>
      </c>
      <c r="B19" s="272">
        <v>0</v>
      </c>
      <c r="C19" s="273">
        <f>B19/'- 3 -'!$D19*100</f>
        <v>0</v>
      </c>
      <c r="D19" s="298" t="str">
        <f t="shared" si="0"/>
        <v/>
      </c>
      <c r="E19" s="299">
        <f>SUM('- 6 -'!$E19:H19)</f>
        <v>0</v>
      </c>
      <c r="F19" s="273" t="str">
        <f>IF(E19=0,"",'- 6 -'!$E19/E19*100)</f>
        <v/>
      </c>
      <c r="G19" s="273" t="str">
        <f>IF(E19=0,"",'- 6 -'!$F19/E19*100)</f>
        <v/>
      </c>
      <c r="H19" s="273" t="str">
        <f>IF(E19=0,"",'- 6 -'!$G19/E19*100)</f>
        <v/>
      </c>
      <c r="I19" s="273" t="str">
        <f>IF(E19=0,"",'- 6 -'!$H19/E19*100)</f>
        <v/>
      </c>
    </row>
    <row r="20" spans="1:9" ht="14.1" customHeight="1" x14ac:dyDescent="0.2">
      <c r="A20" s="15" t="s">
        <v>116</v>
      </c>
      <c r="B20" s="16">
        <v>0</v>
      </c>
      <c r="C20" s="267">
        <f>B20/'- 3 -'!$D20*100</f>
        <v>0</v>
      </c>
      <c r="D20" s="171" t="str">
        <f t="shared" si="0"/>
        <v/>
      </c>
      <c r="E20" s="172">
        <f>SUM('- 6 -'!$E20:H20)</f>
        <v>0</v>
      </c>
      <c r="F20" s="267" t="str">
        <f>IF(E20=0,"",'- 6 -'!$E20/E20*100)</f>
        <v/>
      </c>
      <c r="G20" s="267" t="str">
        <f>IF(E20=0,"",'- 6 -'!$F20/E20*100)</f>
        <v/>
      </c>
      <c r="H20" s="267" t="str">
        <f>IF(E20=0,"",'- 6 -'!$G20/E20*100)</f>
        <v/>
      </c>
      <c r="I20" s="267" t="str">
        <f>IF(E20=0,"",'- 6 -'!$H20/E20*100)</f>
        <v/>
      </c>
    </row>
    <row r="21" spans="1:9" ht="14.1" customHeight="1" x14ac:dyDescent="0.2">
      <c r="A21" s="271" t="s">
        <v>117</v>
      </c>
      <c r="B21" s="272">
        <v>4027030</v>
      </c>
      <c r="C21" s="273">
        <f>B21/'- 3 -'!$D21*100</f>
        <v>10.546173537865247</v>
      </c>
      <c r="D21" s="298">
        <f t="shared" si="0"/>
        <v>5298.7236842105267</v>
      </c>
      <c r="E21" s="299">
        <f>SUM('- 6 -'!$E21:H21)</f>
        <v>760</v>
      </c>
      <c r="F21" s="273">
        <f>IF(E21=0,"",'- 6 -'!$E21/E21*100)</f>
        <v>56.052631578947363</v>
      </c>
      <c r="G21" s="273">
        <f>IF(E21=0,"",'- 6 -'!$F21/E21*100)</f>
        <v>0</v>
      </c>
      <c r="H21" s="273">
        <f>IF(E21=0,"",'- 6 -'!$G21/E21*100)</f>
        <v>0</v>
      </c>
      <c r="I21" s="273">
        <f>IF(E21=0,"",'- 6 -'!$H21/E21*100)</f>
        <v>43.94736842105263</v>
      </c>
    </row>
    <row r="22" spans="1:9" ht="14.1" customHeight="1" x14ac:dyDescent="0.2">
      <c r="A22" s="15" t="s">
        <v>118</v>
      </c>
      <c r="B22" s="16">
        <v>4483918</v>
      </c>
      <c r="C22" s="267">
        <f>B22/'- 3 -'!$D22*100</f>
        <v>21.923113686673176</v>
      </c>
      <c r="D22" s="171">
        <f t="shared" si="0"/>
        <v>6262.4553072625695</v>
      </c>
      <c r="E22" s="172">
        <f>SUM('- 6 -'!$E22:H22)</f>
        <v>716</v>
      </c>
      <c r="F22" s="267">
        <f>IF(E22=0,"",'- 6 -'!$E22/E22*100)</f>
        <v>81.14525139664805</v>
      </c>
      <c r="G22" s="267">
        <f>IF(E22=0,"",'- 6 -'!$F22/E22*100)</f>
        <v>0</v>
      </c>
      <c r="H22" s="267">
        <f>IF(E22=0,"",'- 6 -'!$G22/E22*100)</f>
        <v>18.854748603351958</v>
      </c>
      <c r="I22" s="267">
        <f>IF(E22=0,"",'- 6 -'!$H22/E22*100)</f>
        <v>0</v>
      </c>
    </row>
    <row r="23" spans="1:9" ht="14.1" customHeight="1" x14ac:dyDescent="0.2">
      <c r="A23" s="271" t="s">
        <v>119</v>
      </c>
      <c r="B23" s="272">
        <v>0</v>
      </c>
      <c r="C23" s="273">
        <f>B23/'- 3 -'!$D23*100</f>
        <v>0</v>
      </c>
      <c r="D23" s="298" t="str">
        <f t="shared" si="0"/>
        <v/>
      </c>
      <c r="E23" s="299">
        <f>SUM('- 6 -'!$E23:H23)</f>
        <v>0</v>
      </c>
      <c r="F23" s="273" t="str">
        <f>IF(E23=0,"",'- 6 -'!$E23/E23*100)</f>
        <v/>
      </c>
      <c r="G23" s="273" t="str">
        <f>IF(E23=0,"",'- 6 -'!$F23/E23*100)</f>
        <v/>
      </c>
      <c r="H23" s="273" t="str">
        <f>IF(E23=0,"",'- 6 -'!$G23/E23*100)</f>
        <v/>
      </c>
      <c r="I23" s="273" t="str">
        <f>IF(E23=0,"",'- 6 -'!$H23/E23*100)</f>
        <v/>
      </c>
    </row>
    <row r="24" spans="1:9" ht="14.1" customHeight="1" x14ac:dyDescent="0.2">
      <c r="A24" s="15" t="s">
        <v>120</v>
      </c>
      <c r="B24" s="16">
        <v>4946989</v>
      </c>
      <c r="C24" s="267">
        <f>B24/'- 3 -'!$D24*100</f>
        <v>8.4033940478629301</v>
      </c>
      <c r="D24" s="171">
        <f t="shared" si="0"/>
        <v>7026.973011363636</v>
      </c>
      <c r="E24" s="172">
        <f>SUM('- 6 -'!$E24:H24)</f>
        <v>704</v>
      </c>
      <c r="F24" s="267">
        <f>IF(E24=0,"",'- 6 -'!$E24/E24*100)</f>
        <v>70.170454545454547</v>
      </c>
      <c r="G24" s="267">
        <f>IF(E24=0,"",'- 6 -'!$F24/E24*100)</f>
        <v>0</v>
      </c>
      <c r="H24" s="267">
        <f>IF(E24=0,"",'- 6 -'!$G24/E24*100)</f>
        <v>17.1875</v>
      </c>
      <c r="I24" s="267">
        <f>IF(E24=0,"",'- 6 -'!$H24/E24*100)</f>
        <v>12.642045454545455</v>
      </c>
    </row>
    <row r="25" spans="1:9" ht="14.1" customHeight="1" x14ac:dyDescent="0.2">
      <c r="A25" s="271" t="s">
        <v>121</v>
      </c>
      <c r="B25" s="272">
        <v>3589218</v>
      </c>
      <c r="C25" s="273">
        <f>B25/'- 3 -'!$D25*100</f>
        <v>1.8453636891430019</v>
      </c>
      <c r="D25" s="298">
        <f t="shared" si="0"/>
        <v>4625.2809278350514</v>
      </c>
      <c r="E25" s="299">
        <f>SUM('- 6 -'!$E25:H25)</f>
        <v>776</v>
      </c>
      <c r="F25" s="273">
        <f>IF(E25=0,"",'- 6 -'!$E25/E25*100)</f>
        <v>49.097938144329895</v>
      </c>
      <c r="G25" s="273">
        <f>IF(E25=0,"",'- 6 -'!$F25/E25*100)</f>
        <v>0</v>
      </c>
      <c r="H25" s="273">
        <f>IF(E25=0,"",'- 6 -'!$G25/E25*100)</f>
        <v>50.902061855670098</v>
      </c>
      <c r="I25" s="273">
        <f>IF(E25=0,"",'- 6 -'!$H25/E25*100)</f>
        <v>0</v>
      </c>
    </row>
    <row r="26" spans="1:9" ht="14.1" customHeight="1" x14ac:dyDescent="0.2">
      <c r="A26" s="15" t="s">
        <v>122</v>
      </c>
      <c r="B26" s="16">
        <v>2904378</v>
      </c>
      <c r="C26" s="267">
        <f>B26/'- 3 -'!$D26*100</f>
        <v>6.9033290822220188</v>
      </c>
      <c r="D26" s="171">
        <f t="shared" si="0"/>
        <v>5779.8567164179103</v>
      </c>
      <c r="E26" s="172">
        <f>SUM('- 6 -'!$E26:H26)</f>
        <v>502.5</v>
      </c>
      <c r="F26" s="267">
        <f>IF(E26=0,"",'- 6 -'!$E26/E26*100)</f>
        <v>70.049751243781103</v>
      </c>
      <c r="G26" s="267">
        <f>IF(E26=0,"",'- 6 -'!$F26/E26*100)</f>
        <v>0</v>
      </c>
      <c r="H26" s="267">
        <f>IF(E26=0,"",'- 6 -'!$G26/E26*100)</f>
        <v>18.109452736318406</v>
      </c>
      <c r="I26" s="267">
        <f>IF(E26=0,"",'- 6 -'!$H26/E26*100)</f>
        <v>11.840796019900496</v>
      </c>
    </row>
    <row r="27" spans="1:9" ht="14.1" customHeight="1" x14ac:dyDescent="0.2">
      <c r="A27" s="271" t="s">
        <v>123</v>
      </c>
      <c r="B27" s="272">
        <v>2394705</v>
      </c>
      <c r="C27" s="273">
        <f>B27/'- 3 -'!$D27*100</f>
        <v>5.598490788249352</v>
      </c>
      <c r="D27" s="298">
        <f t="shared" si="0"/>
        <v>6551.8604651162786</v>
      </c>
      <c r="E27" s="299">
        <f>SUM('- 6 -'!$E27:H27)</f>
        <v>365.5</v>
      </c>
      <c r="F27" s="273">
        <f>IF(E27=0,"",'- 6 -'!$E27/E27*100)</f>
        <v>36.525307797537621</v>
      </c>
      <c r="G27" s="273">
        <f>IF(E27=0,"",'- 6 -'!$F27/E27*100)</f>
        <v>0</v>
      </c>
      <c r="H27" s="273">
        <f>IF(E27=0,"",'- 6 -'!$G27/E27*100)</f>
        <v>63.474692202462379</v>
      </c>
      <c r="I27" s="273">
        <f>IF(E27=0,"",'- 6 -'!$H27/E27*100)</f>
        <v>0</v>
      </c>
    </row>
    <row r="28" spans="1:9" ht="14.1" customHeight="1" x14ac:dyDescent="0.2">
      <c r="A28" s="15" t="s">
        <v>124</v>
      </c>
      <c r="B28" s="16">
        <v>0</v>
      </c>
      <c r="C28" s="267">
        <f>B28/'- 3 -'!$D28*100</f>
        <v>0</v>
      </c>
      <c r="D28" s="171" t="str">
        <f t="shared" si="0"/>
        <v/>
      </c>
      <c r="E28" s="172">
        <f>SUM('- 6 -'!$E28:H28)</f>
        <v>0</v>
      </c>
      <c r="F28" s="267" t="str">
        <f>IF(E28=0,"",'- 6 -'!$E28/E28*100)</f>
        <v/>
      </c>
      <c r="G28" s="267" t="str">
        <f>IF(E28=0,"",'- 6 -'!$F28/E28*100)</f>
        <v/>
      </c>
      <c r="H28" s="267" t="str">
        <f>IF(E28=0,"",'- 6 -'!$G28/E28*100)</f>
        <v/>
      </c>
      <c r="I28" s="267" t="str">
        <f>IF(E28=0,"",'- 6 -'!$H28/E28*100)</f>
        <v/>
      </c>
    </row>
    <row r="29" spans="1:9" ht="14.1" customHeight="1" x14ac:dyDescent="0.2">
      <c r="A29" s="271" t="s">
        <v>125</v>
      </c>
      <c r="B29" s="272">
        <v>26528460</v>
      </c>
      <c r="C29" s="273">
        <f>B29/'- 3 -'!$D29*100</f>
        <v>14.903796755602855</v>
      </c>
      <c r="D29" s="298">
        <f t="shared" si="0"/>
        <v>5843.4018370448694</v>
      </c>
      <c r="E29" s="299">
        <f>SUM('- 6 -'!$E29:H29)</f>
        <v>4539.8999999999996</v>
      </c>
      <c r="F29" s="273">
        <f>IF(E29=0,"",'- 6 -'!$E29/E29*100)</f>
        <v>56.485825678979715</v>
      </c>
      <c r="G29" s="273">
        <f>IF(E29=0,"",'- 6 -'!$F29/E29*100)</f>
        <v>0</v>
      </c>
      <c r="H29" s="273">
        <f>IF(E29=0,"",'- 6 -'!$G29/E29*100)</f>
        <v>43.514174321020285</v>
      </c>
      <c r="I29" s="273">
        <f>IF(E29=0,"",'- 6 -'!$H29/E29*100)</f>
        <v>0</v>
      </c>
    </row>
    <row r="30" spans="1:9" ht="14.1" customHeight="1" x14ac:dyDescent="0.2">
      <c r="A30" s="15" t="s">
        <v>126</v>
      </c>
      <c r="B30" s="16">
        <v>0</v>
      </c>
      <c r="C30" s="267">
        <f>B30/'- 3 -'!$D30*100</f>
        <v>0</v>
      </c>
      <c r="D30" s="171" t="str">
        <f t="shared" si="0"/>
        <v/>
      </c>
      <c r="E30" s="172">
        <f>SUM('- 6 -'!$E30:H30)</f>
        <v>0</v>
      </c>
      <c r="F30" s="267" t="str">
        <f>IF(E30=0,"",'- 6 -'!$E30/E30*100)</f>
        <v/>
      </c>
      <c r="G30" s="267" t="str">
        <f>IF(E30=0,"",'- 6 -'!$F30/E30*100)</f>
        <v/>
      </c>
      <c r="H30" s="267" t="str">
        <f>IF(E30=0,"",'- 6 -'!$G30/E30*100)</f>
        <v/>
      </c>
      <c r="I30" s="267" t="str">
        <f>IF(E30=0,"",'- 6 -'!$H30/E30*100)</f>
        <v/>
      </c>
    </row>
    <row r="31" spans="1:9" ht="14.1" customHeight="1" x14ac:dyDescent="0.2">
      <c r="A31" s="271" t="s">
        <v>127</v>
      </c>
      <c r="B31" s="272">
        <v>3844939</v>
      </c>
      <c r="C31" s="273">
        <f>B31/'- 3 -'!$D31*100</f>
        <v>9.4128510639089598</v>
      </c>
      <c r="D31" s="298">
        <f t="shared" si="0"/>
        <v>4618.5453453453456</v>
      </c>
      <c r="E31" s="299">
        <f>SUM('- 6 -'!$E31:H31)</f>
        <v>832.5</v>
      </c>
      <c r="F31" s="273">
        <f>IF(E31=0,"",'- 6 -'!$E31/E31*100)</f>
        <v>58.558558558558559</v>
      </c>
      <c r="G31" s="273">
        <f>IF(E31=0,"",'- 6 -'!$F31/E31*100)</f>
        <v>0</v>
      </c>
      <c r="H31" s="273">
        <f>IF(E31=0,"",'- 6 -'!$G31/E31*100)</f>
        <v>41.441441441441441</v>
      </c>
      <c r="I31" s="273">
        <f>IF(E31=0,"",'- 6 -'!$H31/E31*100)</f>
        <v>0</v>
      </c>
    </row>
    <row r="32" spans="1:9" ht="14.1" customHeight="1" x14ac:dyDescent="0.2">
      <c r="A32" s="15" t="s">
        <v>128</v>
      </c>
      <c r="B32" s="16">
        <v>1321534</v>
      </c>
      <c r="C32" s="267">
        <f>B32/'- 3 -'!$D32*100</f>
        <v>4.1692465483533399</v>
      </c>
      <c r="D32" s="171">
        <f t="shared" si="0"/>
        <v>2808.7863974495217</v>
      </c>
      <c r="E32" s="172">
        <f>SUM('- 6 -'!$E32:H32)</f>
        <v>470.5</v>
      </c>
      <c r="F32" s="267">
        <f>IF(E32=0,"",'- 6 -'!$E32/E32*100)</f>
        <v>81.615302869287987</v>
      </c>
      <c r="G32" s="267">
        <f>IF(E32=0,"",'- 6 -'!$F32/E32*100)</f>
        <v>0</v>
      </c>
      <c r="H32" s="267">
        <f>IF(E32=0,"",'- 6 -'!$G32/E32*100)</f>
        <v>18.384697130712009</v>
      </c>
      <c r="I32" s="267">
        <f>IF(E32=0,"",'- 6 -'!$H32/E32*100)</f>
        <v>0</v>
      </c>
    </row>
    <row r="33" spans="1:9" ht="14.1" customHeight="1" x14ac:dyDescent="0.2">
      <c r="A33" s="271" t="s">
        <v>129</v>
      </c>
      <c r="B33" s="272">
        <v>2812398</v>
      </c>
      <c r="C33" s="273">
        <f>B33/'- 3 -'!$D33*100</f>
        <v>9.7891509231686857</v>
      </c>
      <c r="D33" s="298">
        <f t="shared" si="0"/>
        <v>6298.7637178051509</v>
      </c>
      <c r="E33" s="299">
        <f>SUM('- 6 -'!$E33:H33)</f>
        <v>446.5</v>
      </c>
      <c r="F33" s="273">
        <f>IF(E33=0,"",'- 6 -'!$E33/E33*100)</f>
        <v>47.704367301231805</v>
      </c>
      <c r="G33" s="273">
        <f>IF(E33=0,"",'- 6 -'!$F33/E33*100)</f>
        <v>26.427771556550951</v>
      </c>
      <c r="H33" s="273">
        <f>IF(E33=0,"",'- 6 -'!$G33/E33*100)</f>
        <v>25.867861142217247</v>
      </c>
      <c r="I33" s="273">
        <f>IF(E33=0,"",'- 6 -'!$H33/E33*100)</f>
        <v>0</v>
      </c>
    </row>
    <row r="34" spans="1:9" ht="14.1" customHeight="1" x14ac:dyDescent="0.2">
      <c r="A34" s="15" t="s">
        <v>130</v>
      </c>
      <c r="B34" s="16">
        <v>1754840</v>
      </c>
      <c r="C34" s="267">
        <f>B34/'- 3 -'!$D34*100</f>
        <v>5.4884238743123284</v>
      </c>
      <c r="D34" s="171">
        <f t="shared" si="0"/>
        <v>7061.7303822937629</v>
      </c>
      <c r="E34" s="172">
        <f>SUM('- 6 -'!$E34:H34)</f>
        <v>248.5</v>
      </c>
      <c r="F34" s="267">
        <f>IF(E34=0,"",'- 6 -'!$E34/E34*100)</f>
        <v>34.004024144869213</v>
      </c>
      <c r="G34" s="267">
        <f>IF(E34=0,"",'- 6 -'!$F34/E34*100)</f>
        <v>65.99597585513078</v>
      </c>
      <c r="H34" s="267">
        <f>IF(E34=0,"",'- 6 -'!$G34/E34*100)</f>
        <v>0</v>
      </c>
      <c r="I34" s="267">
        <f>IF(E34=0,"",'- 6 -'!$H34/E34*100)</f>
        <v>0</v>
      </c>
    </row>
    <row r="35" spans="1:9" ht="14.1" customHeight="1" x14ac:dyDescent="0.2">
      <c r="A35" s="271" t="s">
        <v>131</v>
      </c>
      <c r="B35" s="272">
        <v>27908251</v>
      </c>
      <c r="C35" s="273">
        <f>B35/'- 3 -'!$D35*100</f>
        <v>14.204533817582037</v>
      </c>
      <c r="D35" s="298">
        <f t="shared" si="0"/>
        <v>4414.4655172413795</v>
      </c>
      <c r="E35" s="299">
        <f>SUM('- 6 -'!$E35:H35)</f>
        <v>6322</v>
      </c>
      <c r="F35" s="273">
        <f>IF(E35=0,"",'- 6 -'!$E35/E35*100)</f>
        <v>60.21828535273648</v>
      </c>
      <c r="G35" s="273">
        <f>IF(E35=0,"",'- 6 -'!$F35/E35*100)</f>
        <v>0</v>
      </c>
      <c r="H35" s="273">
        <f>IF(E35=0,"",'- 6 -'!$G35/E35*100)</f>
        <v>30.963302752293576</v>
      </c>
      <c r="I35" s="273">
        <f>IF(E35=0,"",'- 6 -'!$H35/E35*100)</f>
        <v>8.8184118949699464</v>
      </c>
    </row>
    <row r="36" spans="1:9" ht="14.1" customHeight="1" x14ac:dyDescent="0.2">
      <c r="A36" s="15" t="s">
        <v>132</v>
      </c>
      <c r="B36" s="16">
        <v>0</v>
      </c>
      <c r="C36" s="267">
        <f>B36/'- 3 -'!$D36*100</f>
        <v>0</v>
      </c>
      <c r="D36" s="171" t="str">
        <f t="shared" si="0"/>
        <v/>
      </c>
      <c r="E36" s="172">
        <f>SUM('- 6 -'!$E36:H36)</f>
        <v>0</v>
      </c>
      <c r="F36" s="267" t="str">
        <f>IF(E36=0,"",'- 6 -'!$E36/E36*100)</f>
        <v/>
      </c>
      <c r="G36" s="267" t="str">
        <f>IF(E36=0,"",'- 6 -'!$F36/E36*100)</f>
        <v/>
      </c>
      <c r="H36" s="267" t="str">
        <f>IF(E36=0,"",'- 6 -'!$G36/E36*100)</f>
        <v/>
      </c>
      <c r="I36" s="267" t="str">
        <f>IF(E36=0,"",'- 6 -'!$H36/E36*100)</f>
        <v/>
      </c>
    </row>
    <row r="37" spans="1:9" ht="14.1" customHeight="1" x14ac:dyDescent="0.2">
      <c r="A37" s="271" t="s">
        <v>133</v>
      </c>
      <c r="B37" s="272">
        <v>8447009</v>
      </c>
      <c r="C37" s="273">
        <f>B37/'- 3 -'!$D37*100</f>
        <v>15.327709973253201</v>
      </c>
      <c r="D37" s="298">
        <f t="shared" si="0"/>
        <v>6076.9848920863305</v>
      </c>
      <c r="E37" s="299">
        <f>SUM('- 6 -'!$E37:H37)</f>
        <v>1390</v>
      </c>
      <c r="F37" s="273">
        <f>IF(E37=0,"",'- 6 -'!$E37/E37*100)</f>
        <v>54.02877697841727</v>
      </c>
      <c r="G37" s="273">
        <f>IF(E37=0,"",'- 6 -'!$F37/E37*100)</f>
        <v>0</v>
      </c>
      <c r="H37" s="273">
        <f>IF(E37=0,"",'- 6 -'!$G37/E37*100)</f>
        <v>45.971223021582738</v>
      </c>
      <c r="I37" s="273">
        <f>IF(E37=0,"",'- 6 -'!$H37/E37*100)</f>
        <v>0</v>
      </c>
    </row>
    <row r="38" spans="1:9" ht="14.1" customHeight="1" x14ac:dyDescent="0.2">
      <c r="A38" s="15" t="s">
        <v>134</v>
      </c>
      <c r="B38" s="16">
        <v>23241775</v>
      </c>
      <c r="C38" s="267">
        <f>B38/'- 3 -'!$D38*100</f>
        <v>15.385015358355112</v>
      </c>
      <c r="D38" s="171">
        <f t="shared" si="0"/>
        <v>6283.5987347247756</v>
      </c>
      <c r="E38" s="172">
        <f>SUM('- 6 -'!$E38:H38)</f>
        <v>3698.8</v>
      </c>
      <c r="F38" s="267">
        <f>IF(E38=0,"",'- 6 -'!$E38/E38*100)</f>
        <v>62.230993835838653</v>
      </c>
      <c r="G38" s="267">
        <f>IF(E38=0,"",'- 6 -'!$F38/E38*100)</f>
        <v>0</v>
      </c>
      <c r="H38" s="267">
        <f>IF(E38=0,"",'- 6 -'!$G38/E38*100)</f>
        <v>30.842435384449008</v>
      </c>
      <c r="I38" s="267">
        <f>IF(E38=0,"",'- 6 -'!$H38/E38*100)</f>
        <v>6.926570779712339</v>
      </c>
    </row>
    <row r="39" spans="1:9" ht="14.1" customHeight="1" x14ac:dyDescent="0.2">
      <c r="A39" s="271" t="s">
        <v>135</v>
      </c>
      <c r="B39" s="272">
        <v>0</v>
      </c>
      <c r="C39" s="273">
        <f>B39/'- 3 -'!$D39*100</f>
        <v>0</v>
      </c>
      <c r="D39" s="298" t="str">
        <f t="shared" si="0"/>
        <v/>
      </c>
      <c r="E39" s="299">
        <f>SUM('- 6 -'!$E39:H39)</f>
        <v>0</v>
      </c>
      <c r="F39" s="273" t="str">
        <f>IF(E39=0,"",'- 6 -'!$E39/E39*100)</f>
        <v/>
      </c>
      <c r="G39" s="273" t="str">
        <f>IF(E39=0,"",'- 6 -'!$F39/E39*100)</f>
        <v/>
      </c>
      <c r="H39" s="273" t="str">
        <f>IF(E39=0,"",'- 6 -'!$G39/E39*100)</f>
        <v/>
      </c>
      <c r="I39" s="273" t="str">
        <f>IF(E39=0,"",'- 6 -'!$H39/E39*100)</f>
        <v/>
      </c>
    </row>
    <row r="40" spans="1:9" ht="14.1" customHeight="1" x14ac:dyDescent="0.2">
      <c r="A40" s="15" t="s">
        <v>136</v>
      </c>
      <c r="B40" s="16">
        <v>5533526</v>
      </c>
      <c r="C40" s="267">
        <f>B40/'- 3 -'!$D40*100</f>
        <v>5.036303582603022</v>
      </c>
      <c r="D40" s="171">
        <f t="shared" si="0"/>
        <v>5459.8184509126786</v>
      </c>
      <c r="E40" s="172">
        <f>SUM('- 6 -'!$E40:H40)</f>
        <v>1013.5</v>
      </c>
      <c r="F40" s="267">
        <f>IF(E40=0,"",'- 6 -'!$E40/E40*100)</f>
        <v>65.860878145041937</v>
      </c>
      <c r="G40" s="267">
        <f>IF(E40=0,"",'- 6 -'!$F40/E40*100)</f>
        <v>0</v>
      </c>
      <c r="H40" s="267">
        <f>IF(E40=0,"",'- 6 -'!$G40/E40*100)</f>
        <v>34.139121854958063</v>
      </c>
      <c r="I40" s="267">
        <f>IF(E40=0,"",'- 6 -'!$H40/E40*100)</f>
        <v>0</v>
      </c>
    </row>
    <row r="41" spans="1:9" ht="14.1" customHeight="1" x14ac:dyDescent="0.2">
      <c r="A41" s="271" t="s">
        <v>137</v>
      </c>
      <c r="B41" s="272">
        <v>15676678</v>
      </c>
      <c r="C41" s="273">
        <f>B41/'- 3 -'!$D41*100</f>
        <v>23.506597876904408</v>
      </c>
      <c r="D41" s="298">
        <f t="shared" si="0"/>
        <v>6386.9130169077207</v>
      </c>
      <c r="E41" s="299">
        <f>SUM('- 6 -'!$E41:H41)</f>
        <v>2454.5</v>
      </c>
      <c r="F41" s="273">
        <f>IF(E41=0,"",'- 6 -'!$E41/E41*100)</f>
        <v>63.291912813200248</v>
      </c>
      <c r="G41" s="273">
        <f>IF(E41=0,"",'- 6 -'!$F41/E41*100)</f>
        <v>0</v>
      </c>
      <c r="H41" s="273">
        <f>IF(E41=0,"",'- 6 -'!$G41/E41*100)</f>
        <v>33.204318598492563</v>
      </c>
      <c r="I41" s="273">
        <f>IF(E41=0,"",'- 6 -'!$H41/E41*100)</f>
        <v>3.5037685883071905</v>
      </c>
    </row>
    <row r="42" spans="1:9" ht="14.1" customHeight="1" x14ac:dyDescent="0.2">
      <c r="A42" s="15" t="s">
        <v>138</v>
      </c>
      <c r="B42" s="16">
        <v>1850820</v>
      </c>
      <c r="C42" s="267">
        <f>B42/'- 3 -'!$D42*100</f>
        <v>8.6711474294645292</v>
      </c>
      <c r="D42" s="171">
        <f t="shared" si="0"/>
        <v>7173.7209302325582</v>
      </c>
      <c r="E42" s="172">
        <f>SUM('- 6 -'!$E42:H42)</f>
        <v>258</v>
      </c>
      <c r="F42" s="267">
        <f>IF(E42=0,"",'- 6 -'!$E42/E42*100)</f>
        <v>69.922480620155042</v>
      </c>
      <c r="G42" s="267">
        <f>IF(E42=0,"",'- 6 -'!$F42/E42*100)</f>
        <v>0</v>
      </c>
      <c r="H42" s="267">
        <f>IF(E42=0,"",'- 6 -'!$G42/E42*100)</f>
        <v>30.077519379844958</v>
      </c>
      <c r="I42" s="267">
        <f>IF(E42=0,"",'- 6 -'!$H42/E42*100)</f>
        <v>0</v>
      </c>
    </row>
    <row r="43" spans="1:9" ht="14.1" customHeight="1" x14ac:dyDescent="0.2">
      <c r="A43" s="271" t="s">
        <v>139</v>
      </c>
      <c r="B43" s="272">
        <v>0</v>
      </c>
      <c r="C43" s="273">
        <f>B43/'- 3 -'!$D43*100</f>
        <v>0</v>
      </c>
      <c r="D43" s="298" t="str">
        <f t="shared" si="0"/>
        <v/>
      </c>
      <c r="E43" s="299">
        <f>SUM('- 6 -'!$E43:H43)</f>
        <v>0</v>
      </c>
      <c r="F43" s="273" t="str">
        <f>IF(E43=0,"",'- 6 -'!$E43/E43*100)</f>
        <v/>
      </c>
      <c r="G43" s="273" t="str">
        <f>IF(E43=0,"",'- 6 -'!$F43/E43*100)</f>
        <v/>
      </c>
      <c r="H43" s="273" t="str">
        <f>IF(E43=0,"",'- 6 -'!$G43/E43*100)</f>
        <v/>
      </c>
      <c r="I43" s="273" t="str">
        <f>IF(E43=0,"",'- 6 -'!$H43/E43*100)</f>
        <v/>
      </c>
    </row>
    <row r="44" spans="1:9" ht="14.1" customHeight="1" x14ac:dyDescent="0.2">
      <c r="A44" s="15" t="s">
        <v>140</v>
      </c>
      <c r="B44" s="16">
        <v>0</v>
      </c>
      <c r="C44" s="267">
        <f>B44/'- 3 -'!$D44*100</f>
        <v>0</v>
      </c>
      <c r="D44" s="171" t="str">
        <f t="shared" si="0"/>
        <v/>
      </c>
      <c r="E44" s="172">
        <f>SUM('- 6 -'!$E44:H44)</f>
        <v>0</v>
      </c>
      <c r="F44" s="267" t="str">
        <f>IF(E44=0,"",'- 6 -'!$E44/E44*100)</f>
        <v/>
      </c>
      <c r="G44" s="267" t="str">
        <f>IF(E44=0,"",'- 6 -'!$F44/E44*100)</f>
        <v/>
      </c>
      <c r="H44" s="267" t="str">
        <f>IF(E44=0,"",'- 6 -'!$G44/E44*100)</f>
        <v/>
      </c>
      <c r="I44" s="267" t="str">
        <f>IF(E44=0,"",'- 6 -'!$H44/E44*100)</f>
        <v/>
      </c>
    </row>
    <row r="45" spans="1:9" ht="14.1" customHeight="1" x14ac:dyDescent="0.2">
      <c r="A45" s="271" t="s">
        <v>141</v>
      </c>
      <c r="B45" s="272">
        <v>6269215</v>
      </c>
      <c r="C45" s="273">
        <f>B45/'- 3 -'!$D45*100</f>
        <v>28.027811899193111</v>
      </c>
      <c r="D45" s="298">
        <f t="shared" si="0"/>
        <v>5451.4913043478264</v>
      </c>
      <c r="E45" s="299">
        <f>SUM('- 6 -'!$E45:H45)</f>
        <v>1150</v>
      </c>
      <c r="F45" s="273">
        <f>IF(E45=0,"",'- 6 -'!$E45/E45*100)</f>
        <v>70.782608695652172</v>
      </c>
      <c r="G45" s="273">
        <f>IF(E45=0,"",'- 6 -'!$F45/E45*100)</f>
        <v>0</v>
      </c>
      <c r="H45" s="273">
        <f>IF(E45=0,"",'- 6 -'!$G45/E45*100)</f>
        <v>29.217391304347828</v>
      </c>
      <c r="I45" s="273">
        <f>IF(E45=0,"",'- 6 -'!$H45/E45*100)</f>
        <v>0</v>
      </c>
    </row>
    <row r="46" spans="1:9" ht="14.1" customHeight="1" x14ac:dyDescent="0.2">
      <c r="A46" s="15" t="s">
        <v>142</v>
      </c>
      <c r="B46" s="16">
        <v>42152000</v>
      </c>
      <c r="C46" s="267">
        <f>B46/'- 3 -'!$D46*100</f>
        <v>10.099537420005696</v>
      </c>
      <c r="D46" s="171">
        <f t="shared" si="0"/>
        <v>4453.4601162176441</v>
      </c>
      <c r="E46" s="172">
        <f>SUM('- 6 -'!$E46:H46)</f>
        <v>9465</v>
      </c>
      <c r="F46" s="267">
        <f>IF(E46=0,"",'- 6 -'!$E46/E46*100)</f>
        <v>64.690966719492877</v>
      </c>
      <c r="G46" s="267">
        <f>IF(E46=0,"",'- 6 -'!$F46/E46*100)</f>
        <v>0</v>
      </c>
      <c r="H46" s="267">
        <f>IF(E46=0,"",'- 6 -'!$G46/E46*100)</f>
        <v>31.537242472266243</v>
      </c>
      <c r="I46" s="267">
        <f>IF(E46=0,"",'- 6 -'!$H46/E46*100)</f>
        <v>3.7717908082408873</v>
      </c>
    </row>
    <row r="47" spans="1:9" ht="5.0999999999999996" customHeight="1" x14ac:dyDescent="0.2">
      <c r="A47"/>
      <c r="B47"/>
      <c r="C47"/>
      <c r="D47"/>
      <c r="E47"/>
      <c r="F47"/>
      <c r="G47"/>
      <c r="H47"/>
      <c r="I47"/>
    </row>
    <row r="48" spans="1:9" ht="14.1" customHeight="1" x14ac:dyDescent="0.2">
      <c r="A48" s="274" t="s">
        <v>143</v>
      </c>
      <c r="B48" s="275">
        <f>SUM(B11:B46)</f>
        <v>203611216</v>
      </c>
      <c r="C48" s="439">
        <f>B48/'- 3 -'!$D48*100</f>
        <v>8.2075741102208983</v>
      </c>
      <c r="D48" s="440">
        <f>B48/E48</f>
        <v>5319.6643257252745</v>
      </c>
      <c r="E48" s="441">
        <f>SUM(E11:E46)</f>
        <v>38275.199999999997</v>
      </c>
      <c r="F48" s="300">
        <f>IF(E48=0,"",'- 6 -'!$E48/E48*100)</f>
        <v>61.962053758046999</v>
      </c>
      <c r="G48" s="276">
        <f>IF(E48=0,"",'- 6 -'!$F48/E48*100)</f>
        <v>0.73676950087785309</v>
      </c>
      <c r="H48" s="276">
        <f>IF(E48=0,"",'- 6 -'!$G48/E48*100)</f>
        <v>32.75724228743416</v>
      </c>
      <c r="I48" s="276">
        <f>IF(E48=0,"",'- 6 -'!$H48/E48*100)</f>
        <v>4.5439344536410005</v>
      </c>
    </row>
    <row r="49" spans="1:9" ht="5.0999999999999996" customHeight="1" x14ac:dyDescent="0.2">
      <c r="A49" s="17" t="s">
        <v>1</v>
      </c>
      <c r="B49" s="18"/>
      <c r="C49" s="266"/>
      <c r="D49" s="18"/>
      <c r="E49" s="173"/>
      <c r="F49" s="266"/>
      <c r="G49" s="266"/>
      <c r="H49" s="266"/>
      <c r="I49" s="266"/>
    </row>
    <row r="50" spans="1:9" ht="14.1" customHeight="1" x14ac:dyDescent="0.2">
      <c r="A50" s="15" t="s">
        <v>144</v>
      </c>
      <c r="B50" s="16">
        <v>0</v>
      </c>
      <c r="C50" s="267">
        <f>B50/'- 3 -'!$D50*100</f>
        <v>0</v>
      </c>
      <c r="D50" s="171" t="str">
        <f>IF(E50=0,"",B50/E50)</f>
        <v/>
      </c>
      <c r="E50" s="172">
        <f>SUM('- 6 -'!$E50:H50)</f>
        <v>0</v>
      </c>
      <c r="F50" s="267" t="str">
        <f>IF(E50=0,"",'- 6 -'!$E50/E50*100)</f>
        <v/>
      </c>
      <c r="G50" s="267" t="str">
        <f>IF(E50=0,"",'- 6 -'!$F50/E50*100)</f>
        <v/>
      </c>
      <c r="H50" s="267" t="str">
        <f>IF(E50=0,"",'- 6 -'!$G50/E50*100)</f>
        <v/>
      </c>
      <c r="I50" s="267" t="str">
        <f>IF(E50=0,"",'- 6 -'!$H50/E50*100)</f>
        <v/>
      </c>
    </row>
    <row r="51" spans="1:9" ht="14.1" customHeight="1" x14ac:dyDescent="0.2">
      <c r="A51" s="360" t="s">
        <v>513</v>
      </c>
      <c r="B51" s="272">
        <v>0</v>
      </c>
      <c r="C51" s="273">
        <f>B51/'- 3 -'!$D51*100</f>
        <v>0</v>
      </c>
      <c r="D51" s="298" t="str">
        <f>IF(E51=0,"",B51/E51)</f>
        <v/>
      </c>
      <c r="E51" s="299">
        <f>SUM('- 6 -'!$E51:H51)</f>
        <v>0</v>
      </c>
      <c r="F51" s="273" t="str">
        <f>IF(E51=0,"",'- 6 -'!$E51/E51*100)</f>
        <v/>
      </c>
      <c r="G51" s="273" t="str">
        <f>IF(E51=0,"",'- 6 -'!$F51/E51*100)</f>
        <v/>
      </c>
      <c r="H51" s="273" t="str">
        <f>IF(E51=0,"",'- 6 -'!$G51/E51*100)</f>
        <v/>
      </c>
      <c r="I51" s="273" t="str">
        <f>IF(E51=0,"",'- 6 -'!$H51/E51*100)</f>
        <v/>
      </c>
    </row>
    <row r="52" spans="1:9" ht="50.1" customHeight="1" x14ac:dyDescent="0.2">
      <c r="A52" s="19"/>
      <c r="B52" s="51"/>
      <c r="C52" s="51"/>
      <c r="D52" s="51"/>
      <c r="E52" s="51"/>
      <c r="F52" s="51"/>
      <c r="G52" s="51"/>
      <c r="H52" s="51"/>
      <c r="I52" s="51"/>
    </row>
    <row r="53" spans="1:9" ht="15" customHeight="1" x14ac:dyDescent="0.2">
      <c r="A53" s="46" t="s">
        <v>337</v>
      </c>
      <c r="C53" s="46"/>
      <c r="D53" s="46"/>
      <c r="E53" s="46"/>
      <c r="F53" s="46"/>
      <c r="G53" s="46"/>
      <c r="H53" s="46"/>
      <c r="I53" s="46"/>
    </row>
    <row r="54" spans="1:9" ht="14.45" customHeight="1" x14ac:dyDescent="0.2"/>
    <row r="55" spans="1:9" ht="14.45" customHeight="1" x14ac:dyDescent="0.2"/>
    <row r="56" spans="1:9" ht="14.45" customHeight="1" x14ac:dyDescent="0.2"/>
    <row r="57" spans="1:9" ht="14.45" customHeight="1" x14ac:dyDescent="0.2">
      <c r="A57" s="20"/>
    </row>
    <row r="58" spans="1:9" ht="14.45" customHeight="1" x14ac:dyDescent="0.2"/>
    <row r="59" spans="1:9" ht="14.45" customHeight="1" x14ac:dyDescent="0.2">
      <c r="A59" s="20"/>
    </row>
  </sheetData>
  <mergeCells count="9">
    <mergeCell ref="D7:D9"/>
    <mergeCell ref="B5:I5"/>
    <mergeCell ref="E7:E9"/>
    <mergeCell ref="F8:F9"/>
    <mergeCell ref="G8:G9"/>
    <mergeCell ref="B6:I6"/>
    <mergeCell ref="F7:I7"/>
    <mergeCell ref="H8:H9"/>
    <mergeCell ref="I8:I9"/>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59"/>
  <sheetViews>
    <sheetView showGridLines="0" showZeros="0" workbookViewId="0"/>
  </sheetViews>
  <sheetFormatPr defaultColWidth="15.83203125" defaultRowHeight="12" x14ac:dyDescent="0.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11.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2" t="s">
        <v>525</v>
      </c>
    </row>
    <row r="3" spans="1:9" ht="15.95" customHeight="1" x14ac:dyDescent="0.2">
      <c r="A3" s="135"/>
      <c r="B3" s="7" t="str">
        <f>OPYEAR</f>
        <v>OPERATING FUND 2020/2021 BUDGET</v>
      </c>
      <c r="C3" s="8"/>
      <c r="D3" s="8"/>
      <c r="E3" s="8"/>
      <c r="F3" s="8"/>
      <c r="G3" s="87"/>
      <c r="H3" s="87"/>
      <c r="I3" s="81"/>
    </row>
    <row r="4" spans="1:9" ht="15.95" customHeight="1" x14ac:dyDescent="0.2">
      <c r="B4" s="4"/>
      <c r="C4" s="4"/>
      <c r="D4" s="81"/>
      <c r="E4" s="4"/>
      <c r="F4" s="4"/>
      <c r="G4" s="4"/>
      <c r="H4" s="4"/>
      <c r="I4" s="4"/>
    </row>
    <row r="5" spans="1:9" ht="15.95" customHeight="1" x14ac:dyDescent="0.2">
      <c r="B5" s="670" t="s">
        <v>243</v>
      </c>
      <c r="C5" s="671"/>
      <c r="D5" s="671"/>
      <c r="E5" s="671"/>
      <c r="F5" s="671"/>
      <c r="G5" s="671"/>
      <c r="H5" s="671"/>
      <c r="I5" s="672"/>
    </row>
    <row r="6" spans="1:9" ht="15.95" customHeight="1" x14ac:dyDescent="0.2">
      <c r="B6" s="626" t="s">
        <v>405</v>
      </c>
      <c r="C6" s="632"/>
      <c r="D6" s="623"/>
      <c r="E6" s="622" t="s">
        <v>406</v>
      </c>
      <c r="F6" s="632"/>
      <c r="G6" s="623"/>
      <c r="H6" s="622" t="s">
        <v>408</v>
      </c>
      <c r="I6" s="623"/>
    </row>
    <row r="7" spans="1:9" ht="15.95" customHeight="1" x14ac:dyDescent="0.2">
      <c r="B7" s="624"/>
      <c r="C7" s="633"/>
      <c r="D7" s="625"/>
      <c r="E7" s="624"/>
      <c r="F7" s="633"/>
      <c r="G7" s="625"/>
      <c r="H7" s="624"/>
      <c r="I7" s="625"/>
    </row>
    <row r="8" spans="1:9" ht="15.95" customHeight="1" x14ac:dyDescent="0.2">
      <c r="A8" s="82"/>
      <c r="B8" s="138"/>
      <c r="C8" s="137"/>
      <c r="D8" s="540" t="s">
        <v>396</v>
      </c>
      <c r="E8" s="138"/>
      <c r="F8" s="137"/>
      <c r="G8" s="540" t="s">
        <v>396</v>
      </c>
      <c r="H8" s="138"/>
      <c r="I8" s="540" t="s">
        <v>39</v>
      </c>
    </row>
    <row r="9" spans="1:9" ht="15.95" customHeight="1" x14ac:dyDescent="0.2">
      <c r="A9" s="27" t="s">
        <v>37</v>
      </c>
      <c r="B9" s="89" t="s">
        <v>38</v>
      </c>
      <c r="C9" s="89" t="s">
        <v>39</v>
      </c>
      <c r="D9" s="580"/>
      <c r="E9" s="89" t="s">
        <v>38</v>
      </c>
      <c r="F9" s="89" t="s">
        <v>39</v>
      </c>
      <c r="G9" s="580"/>
      <c r="H9" s="89" t="s">
        <v>38</v>
      </c>
      <c r="I9" s="580"/>
    </row>
    <row r="10" spans="1:9" ht="5.0999999999999996" customHeight="1" x14ac:dyDescent="0.2">
      <c r="A10" s="29"/>
    </row>
    <row r="11" spans="1:9" ht="14.1" customHeight="1" x14ac:dyDescent="0.2">
      <c r="A11" s="271" t="s">
        <v>108</v>
      </c>
      <c r="B11" s="272">
        <v>143692</v>
      </c>
      <c r="C11" s="273">
        <f>B11/'- 3 -'!$D11*100</f>
        <v>0.6469599003455192</v>
      </c>
      <c r="D11" s="272">
        <f>B11/'- 7 -'!$E11</f>
        <v>72.04412133366759</v>
      </c>
      <c r="E11" s="272">
        <v>245067</v>
      </c>
      <c r="F11" s="273">
        <f>E11/'- 3 -'!$D11*100</f>
        <v>1.1033914337470099</v>
      </c>
      <c r="G11" s="272">
        <f>E11/'- 7 -'!$E11</f>
        <v>122.87139633993482</v>
      </c>
      <c r="H11" s="272">
        <v>273110</v>
      </c>
      <c r="I11" s="273">
        <f>H11/'- 3 -'!$D11*100</f>
        <v>1.2296524398252149</v>
      </c>
    </row>
    <row r="12" spans="1:9" ht="14.1" customHeight="1" x14ac:dyDescent="0.2">
      <c r="A12" s="15" t="s">
        <v>109</v>
      </c>
      <c r="B12" s="16">
        <v>213250</v>
      </c>
      <c r="C12" s="267">
        <f>B12/'- 3 -'!$D12*100</f>
        <v>0.61466377646426595</v>
      </c>
      <c r="D12" s="16">
        <f>B12/'- 7 -'!$E12</f>
        <v>99.001857010213556</v>
      </c>
      <c r="E12" s="16">
        <v>857543</v>
      </c>
      <c r="F12" s="267">
        <f>E12/'- 3 -'!$D12*100</f>
        <v>2.4717496781265935</v>
      </c>
      <c r="G12" s="16">
        <f>E12/'- 7 -'!$E12</f>
        <v>398.11652739090067</v>
      </c>
      <c r="H12" s="16">
        <v>0</v>
      </c>
      <c r="I12" s="491">
        <f>H12/'- 3 -'!$D12*100</f>
        <v>0</v>
      </c>
    </row>
    <row r="13" spans="1:9" ht="14.1" customHeight="1" x14ac:dyDescent="0.2">
      <c r="A13" s="271" t="s">
        <v>110</v>
      </c>
      <c r="B13" s="272">
        <v>192500</v>
      </c>
      <c r="C13" s="273">
        <f>B13/'- 3 -'!$D13*100</f>
        <v>0.17898934711194878</v>
      </c>
      <c r="D13" s="272">
        <f>B13/'- 7 -'!$E13</f>
        <v>22.021392209575016</v>
      </c>
      <c r="E13" s="272">
        <v>3284700</v>
      </c>
      <c r="F13" s="273">
        <f>E13/'- 3 -'!$D13*100</f>
        <v>3.054162641343471</v>
      </c>
      <c r="G13" s="272">
        <f>E13/'- 7 -'!$E13</f>
        <v>375.7593090430704</v>
      </c>
      <c r="H13" s="272">
        <v>1120000</v>
      </c>
      <c r="I13" s="492">
        <f>H13/'- 3 -'!$D13*100</f>
        <v>1.0413925650149747</v>
      </c>
    </row>
    <row r="14" spans="1:9" ht="14.1" customHeight="1" x14ac:dyDescent="0.2">
      <c r="A14" s="15" t="s">
        <v>319</v>
      </c>
      <c r="B14" s="16">
        <v>418456</v>
      </c>
      <c r="C14" s="267">
        <f>B14/'- 3 -'!$D14*100</f>
        <v>0.43098747811105259</v>
      </c>
      <c r="D14" s="16">
        <f>B14/'- 7 -'!$E14</f>
        <v>69.824128149507757</v>
      </c>
      <c r="E14" s="16">
        <v>1153503</v>
      </c>
      <c r="F14" s="267">
        <f>E14/'- 3 -'!$D14*100</f>
        <v>1.1880468889525626</v>
      </c>
      <c r="G14" s="16">
        <f>E14/'- 7 -'!$E14</f>
        <v>192.47505422993493</v>
      </c>
      <c r="H14" s="16">
        <v>1021404</v>
      </c>
      <c r="I14" s="491">
        <f>H14/'- 3 -'!$D14*100</f>
        <v>1.0519919276878369</v>
      </c>
    </row>
    <row r="15" spans="1:9" ht="14.1" customHeight="1" x14ac:dyDescent="0.2">
      <c r="A15" s="271" t="s">
        <v>111</v>
      </c>
      <c r="B15" s="272">
        <v>233315</v>
      </c>
      <c r="C15" s="273">
        <f>B15/'- 3 -'!$D15*100</f>
        <v>1.1038341174088901</v>
      </c>
      <c r="D15" s="272">
        <f>B15/'- 7 -'!$E15</f>
        <v>167.25089605734766</v>
      </c>
      <c r="E15" s="272">
        <v>284810</v>
      </c>
      <c r="F15" s="273">
        <f>E15/'- 3 -'!$D15*100</f>
        <v>1.3474615647481989</v>
      </c>
      <c r="G15" s="272">
        <f>E15/'- 7 -'!$E15</f>
        <v>204.16487455197134</v>
      </c>
      <c r="H15" s="272">
        <v>0</v>
      </c>
      <c r="I15" s="492">
        <f>H15/'- 3 -'!$D15*100</f>
        <v>0</v>
      </c>
    </row>
    <row r="16" spans="1:9" ht="14.1" customHeight="1" x14ac:dyDescent="0.2">
      <c r="A16" s="15" t="s">
        <v>112</v>
      </c>
      <c r="B16" s="16">
        <v>108368</v>
      </c>
      <c r="C16" s="267">
        <f>B16/'- 3 -'!$D16*100</f>
        <v>0.72458971364504443</v>
      </c>
      <c r="D16" s="16">
        <f>B16/'- 7 -'!$E16</f>
        <v>114.31223628691983</v>
      </c>
      <c r="E16" s="16">
        <v>321393</v>
      </c>
      <c r="F16" s="267">
        <f>E16/'- 3 -'!$D16*100</f>
        <v>2.1489559818167887</v>
      </c>
      <c r="G16" s="16">
        <f>E16/'- 7 -'!$E16</f>
        <v>339.02215189873419</v>
      </c>
      <c r="H16" s="16">
        <v>162904</v>
      </c>
      <c r="I16" s="491">
        <f>H16/'- 3 -'!$D16*100</f>
        <v>1.0892381765062777</v>
      </c>
    </row>
    <row r="17" spans="1:9" ht="14.1" customHeight="1" x14ac:dyDescent="0.2">
      <c r="A17" s="271" t="s">
        <v>113</v>
      </c>
      <c r="B17" s="272">
        <v>129250</v>
      </c>
      <c r="C17" s="273">
        <f>B17/'- 3 -'!$D17*100</f>
        <v>0.68710728894575945</v>
      </c>
      <c r="D17" s="272">
        <f>B17/'- 7 -'!$E17</f>
        <v>89.384508990318125</v>
      </c>
      <c r="E17" s="272">
        <v>367500</v>
      </c>
      <c r="F17" s="273">
        <f>E17/'- 3 -'!$D17*100</f>
        <v>1.9536706281436487</v>
      </c>
      <c r="G17" s="272">
        <f>E17/'- 7 -'!$E17</f>
        <v>254.14937759336101</v>
      </c>
      <c r="H17" s="272">
        <v>0</v>
      </c>
      <c r="I17" s="492">
        <f>H17/'- 3 -'!$D17*100</f>
        <v>0</v>
      </c>
    </row>
    <row r="18" spans="1:9" ht="14.1" customHeight="1" x14ac:dyDescent="0.2">
      <c r="A18" s="15" t="s">
        <v>114</v>
      </c>
      <c r="B18" s="16">
        <v>0</v>
      </c>
      <c r="C18" s="267">
        <f>B18/'- 3 -'!$D18*100</f>
        <v>0</v>
      </c>
      <c r="D18" s="16">
        <f>B18/'- 7 -'!$E18</f>
        <v>0</v>
      </c>
      <c r="E18" s="16">
        <v>1790149</v>
      </c>
      <c r="F18" s="267">
        <f>E18/'- 3 -'!$D18*100</f>
        <v>1.2860201318818101</v>
      </c>
      <c r="G18" s="16">
        <f>E18/'- 7 -'!$E18</f>
        <v>298.90616129570878</v>
      </c>
      <c r="H18" s="16">
        <v>0</v>
      </c>
      <c r="I18" s="491">
        <f>H18/'- 3 -'!$D18*100</f>
        <v>0</v>
      </c>
    </row>
    <row r="19" spans="1:9" ht="14.1" customHeight="1" x14ac:dyDescent="0.2">
      <c r="A19" s="271" t="s">
        <v>115</v>
      </c>
      <c r="B19" s="272">
        <v>177600</v>
      </c>
      <c r="C19" s="273">
        <f>B19/'- 3 -'!$D19*100</f>
        <v>0.34452255691605754</v>
      </c>
      <c r="D19" s="272">
        <f>B19/'- 7 -'!$E19</f>
        <v>39.923569742609871</v>
      </c>
      <c r="E19" s="272">
        <v>1120900</v>
      </c>
      <c r="F19" s="273">
        <f>E19/'- 3 -'!$D19*100</f>
        <v>2.1744106646802304</v>
      </c>
      <c r="G19" s="272">
        <f>E19/'- 7 -'!$E19</f>
        <v>251.97257502528942</v>
      </c>
      <c r="H19" s="272">
        <v>1076900</v>
      </c>
      <c r="I19" s="492">
        <f>H19/'- 3 -'!$D19*100</f>
        <v>2.089055977155982</v>
      </c>
    </row>
    <row r="20" spans="1:9" ht="14.1" customHeight="1" x14ac:dyDescent="0.2">
      <c r="A20" s="15" t="s">
        <v>116</v>
      </c>
      <c r="B20" s="16">
        <v>469700</v>
      </c>
      <c r="C20" s="267">
        <f>B20/'- 3 -'!$D20*100</f>
        <v>0.51090055332150619</v>
      </c>
      <c r="D20" s="16">
        <f>B20/'- 7 -'!$E20</f>
        <v>57.68852861704741</v>
      </c>
      <c r="E20" s="16">
        <v>2239200</v>
      </c>
      <c r="F20" s="267">
        <f>E20/'- 3 -'!$D20*100</f>
        <v>2.4356153267990561</v>
      </c>
      <c r="G20" s="16">
        <f>E20/'- 7 -'!$E20</f>
        <v>275.01842299189389</v>
      </c>
      <c r="H20" s="16">
        <v>727200</v>
      </c>
      <c r="I20" s="491">
        <f>H20/'- 3 -'!$D20*100</f>
        <v>0.7909876141694685</v>
      </c>
    </row>
    <row r="21" spans="1:9" ht="14.1" customHeight="1" x14ac:dyDescent="0.2">
      <c r="A21" s="271" t="s">
        <v>117</v>
      </c>
      <c r="B21" s="272">
        <v>168000</v>
      </c>
      <c r="C21" s="273">
        <f>B21/'- 3 -'!$D21*100</f>
        <v>0.43996621687977533</v>
      </c>
      <c r="D21" s="272">
        <f>B21/'- 7 -'!$E21</f>
        <v>59.978579078900395</v>
      </c>
      <c r="E21" s="272">
        <v>832000</v>
      </c>
      <c r="F21" s="273">
        <f>E21/'- 3 -'!$D21*100</f>
        <v>2.1788803121665064</v>
      </c>
      <c r="G21" s="272">
        <f>E21/'- 7 -'!$E21</f>
        <v>297.03677258122099</v>
      </c>
      <c r="H21" s="272">
        <v>171200</v>
      </c>
      <c r="I21" s="492">
        <f>H21/'- 3 -'!$D21*100</f>
        <v>0.44834652577272344</v>
      </c>
    </row>
    <row r="22" spans="1:9" ht="14.1" customHeight="1" x14ac:dyDescent="0.2">
      <c r="A22" s="15" t="s">
        <v>118</v>
      </c>
      <c r="B22" s="16">
        <v>32314</v>
      </c>
      <c r="C22" s="267">
        <f>B22/'- 3 -'!$D22*100</f>
        <v>0.15799207203859594</v>
      </c>
      <c r="D22" s="16">
        <f>B22/'- 7 -'!$E22</f>
        <v>22.526315789473685</v>
      </c>
      <c r="E22" s="16">
        <v>363930</v>
      </c>
      <c r="F22" s="267">
        <f>E22/'- 3 -'!$D22*100</f>
        <v>1.7793542977349204</v>
      </c>
      <c r="G22" s="16">
        <f>E22/'- 7 -'!$E22</f>
        <v>253.69815266643431</v>
      </c>
      <c r="H22" s="16">
        <v>962641</v>
      </c>
      <c r="I22" s="491">
        <f>H22/'- 3 -'!$D22*100</f>
        <v>4.7066177576067973</v>
      </c>
    </row>
    <row r="23" spans="1:9" ht="14.1" customHeight="1" x14ac:dyDescent="0.2">
      <c r="A23" s="271" t="s">
        <v>119</v>
      </c>
      <c r="B23" s="272">
        <v>151000</v>
      </c>
      <c r="C23" s="273">
        <f>B23/'- 3 -'!$D23*100</f>
        <v>0.94565816085770571</v>
      </c>
      <c r="D23" s="272">
        <f>B23/'- 7 -'!$E23</f>
        <v>162.01716738197425</v>
      </c>
      <c r="E23" s="272">
        <v>313000</v>
      </c>
      <c r="F23" s="273">
        <f>E23/'- 3 -'!$D23*100</f>
        <v>1.960205326811006</v>
      </c>
      <c r="G23" s="272">
        <f>E23/'- 7 -'!$E23</f>
        <v>335.83690987124464</v>
      </c>
      <c r="H23" s="272">
        <v>0</v>
      </c>
      <c r="I23" s="492">
        <f>H23/'- 3 -'!$D23*100</f>
        <v>0</v>
      </c>
    </row>
    <row r="24" spans="1:9" ht="14.1" customHeight="1" x14ac:dyDescent="0.2">
      <c r="A24" s="15" t="s">
        <v>120</v>
      </c>
      <c r="B24" s="16">
        <v>293128</v>
      </c>
      <c r="C24" s="267">
        <f>B24/'- 3 -'!$D24*100</f>
        <v>0.49793320552399961</v>
      </c>
      <c r="D24" s="16">
        <f>B24/'- 7 -'!$E24</f>
        <v>78.797849462365591</v>
      </c>
      <c r="E24" s="16">
        <v>1809114</v>
      </c>
      <c r="F24" s="267">
        <f>E24/'- 3 -'!$D24*100</f>
        <v>3.0731214117325707</v>
      </c>
      <c r="G24" s="16">
        <f>E24/'- 7 -'!$E24</f>
        <v>486.32096774193548</v>
      </c>
      <c r="H24" s="16">
        <v>597360</v>
      </c>
      <c r="I24" s="491">
        <f>H24/'- 3 -'!$D24*100</f>
        <v>1.0147286497769452</v>
      </c>
    </row>
    <row r="25" spans="1:9" ht="14.1" customHeight="1" x14ac:dyDescent="0.2">
      <c r="A25" s="271" t="s">
        <v>121</v>
      </c>
      <c r="B25" s="272">
        <v>1037074</v>
      </c>
      <c r="C25" s="273">
        <f>B25/'- 3 -'!$D25*100</f>
        <v>0.53320213554994145</v>
      </c>
      <c r="D25" s="272">
        <f>B25/'- 7 -'!$E25</f>
        <v>68.471807738016636</v>
      </c>
      <c r="E25" s="272">
        <v>4097802</v>
      </c>
      <c r="F25" s="273">
        <f>E25/'- 3 -'!$D25*100</f>
        <v>2.1068475127723008</v>
      </c>
      <c r="G25" s="272">
        <f>E25/'- 7 -'!$E25</f>
        <v>270.55341344249308</v>
      </c>
      <c r="H25" s="272">
        <v>10309218</v>
      </c>
      <c r="I25" s="492">
        <f>H25/'- 3 -'!$D25*100</f>
        <v>5.3003903804838375</v>
      </c>
    </row>
    <row r="26" spans="1:9" ht="14.1" customHeight="1" x14ac:dyDescent="0.2">
      <c r="A26" s="15" t="s">
        <v>122</v>
      </c>
      <c r="B26" s="16">
        <v>156483</v>
      </c>
      <c r="C26" s="267">
        <f>B26/'- 3 -'!$D26*100</f>
        <v>0.37193975604186108</v>
      </c>
      <c r="D26" s="16">
        <f>B26/'- 7 -'!$E26</f>
        <v>50.756730457346741</v>
      </c>
      <c r="E26" s="16">
        <v>697320</v>
      </c>
      <c r="F26" s="267">
        <f>E26/'- 3 -'!$D26*100</f>
        <v>1.6574390233003622</v>
      </c>
      <c r="G26" s="16">
        <f>E26/'- 7 -'!$E26</f>
        <v>226.18228997729483</v>
      </c>
      <c r="H26" s="16">
        <v>106142</v>
      </c>
      <c r="I26" s="491">
        <f>H26/'- 3 -'!$D26*100</f>
        <v>0.25228574085233041</v>
      </c>
    </row>
    <row r="27" spans="1:9" ht="14.1" customHeight="1" x14ac:dyDescent="0.2">
      <c r="A27" s="271" t="s">
        <v>123</v>
      </c>
      <c r="B27" s="272">
        <v>219694</v>
      </c>
      <c r="C27" s="273">
        <f>B27/'- 3 -'!$D27*100</f>
        <v>0.5136143429915806</v>
      </c>
      <c r="D27" s="272">
        <f>B27/'- 7 -'!$E27</f>
        <v>73.085163007318698</v>
      </c>
      <c r="E27" s="272">
        <v>568142</v>
      </c>
      <c r="F27" s="273">
        <f>E27/'- 3 -'!$D27*100</f>
        <v>1.3282378219519997</v>
      </c>
      <c r="G27" s="272">
        <f>E27/'- 7 -'!$E27</f>
        <v>189.0026613439787</v>
      </c>
      <c r="H27" s="272">
        <v>2526407</v>
      </c>
      <c r="I27" s="492">
        <f>H27/'- 3 -'!$D27*100</f>
        <v>5.9063919425852793</v>
      </c>
    </row>
    <row r="28" spans="1:9" ht="14.1" customHeight="1" x14ac:dyDescent="0.2">
      <c r="A28" s="15" t="s">
        <v>124</v>
      </c>
      <c r="B28" s="16">
        <v>130725</v>
      </c>
      <c r="C28" s="267">
        <f>B28/'- 3 -'!$D28*100</f>
        <v>0.45412762144713525</v>
      </c>
      <c r="D28" s="16">
        <f>B28/'- 7 -'!$E28</f>
        <v>64.747399702823174</v>
      </c>
      <c r="E28" s="16">
        <v>423473</v>
      </c>
      <c r="F28" s="267">
        <f>E28/'- 3 -'!$D28*100</f>
        <v>1.4711094759004224</v>
      </c>
      <c r="G28" s="16">
        <f>E28/'- 7 -'!$E28</f>
        <v>209.74393263992076</v>
      </c>
      <c r="H28" s="16">
        <v>0</v>
      </c>
      <c r="I28" s="491">
        <f>H28/'- 3 -'!$D28*100</f>
        <v>0</v>
      </c>
    </row>
    <row r="29" spans="1:9" ht="14.1" customHeight="1" x14ac:dyDescent="0.2">
      <c r="A29" s="271" t="s">
        <v>125</v>
      </c>
      <c r="B29" s="272">
        <v>591051</v>
      </c>
      <c r="C29" s="273">
        <f>B29/'- 3 -'!$D29*100</f>
        <v>0.33205485641442523</v>
      </c>
      <c r="D29" s="272">
        <f>B29/'- 7 -'!$E29</f>
        <v>41.088008342022938</v>
      </c>
      <c r="E29" s="272">
        <v>3323307</v>
      </c>
      <c r="F29" s="273">
        <f>E29/'- 3 -'!$D29*100</f>
        <v>1.8670473930440084</v>
      </c>
      <c r="G29" s="272">
        <f>E29/'- 7 -'!$E29</f>
        <v>231.02586027111573</v>
      </c>
      <c r="H29" s="272">
        <v>621000</v>
      </c>
      <c r="I29" s="492">
        <f>H29/'- 3 -'!$D29*100</f>
        <v>0.34888032645805195</v>
      </c>
    </row>
    <row r="30" spans="1:9" ht="14.1" customHeight="1" x14ac:dyDescent="0.2">
      <c r="A30" s="15" t="s">
        <v>126</v>
      </c>
      <c r="B30" s="16">
        <v>137812</v>
      </c>
      <c r="C30" s="267">
        <f>B30/'- 3 -'!$D30*100</f>
        <v>0.8765774475880318</v>
      </c>
      <c r="D30" s="16">
        <f>B30/'- 7 -'!$E30</f>
        <v>131.68848542761586</v>
      </c>
      <c r="E30" s="16">
        <v>196410</v>
      </c>
      <c r="F30" s="267">
        <f>E30/'- 3 -'!$D30*100</f>
        <v>1.2493003256665989</v>
      </c>
      <c r="G30" s="16">
        <f>E30/'- 7 -'!$E30</f>
        <v>187.68275203057811</v>
      </c>
      <c r="H30" s="16">
        <v>0</v>
      </c>
      <c r="I30" s="491">
        <f>H30/'- 3 -'!$D30*100</f>
        <v>0</v>
      </c>
    </row>
    <row r="31" spans="1:9" ht="14.1" customHeight="1" x14ac:dyDescent="0.2">
      <c r="A31" s="271" t="s">
        <v>127</v>
      </c>
      <c r="B31" s="272">
        <v>178730</v>
      </c>
      <c r="C31" s="273">
        <f>B31/'- 3 -'!$D31*100</f>
        <v>0.43755151139002424</v>
      </c>
      <c r="D31" s="272">
        <f>B31/'- 7 -'!$E31</f>
        <v>53.320405727923628</v>
      </c>
      <c r="E31" s="272">
        <v>736567</v>
      </c>
      <c r="F31" s="273">
        <f>E31/'- 3 -'!$D31*100</f>
        <v>1.8032003809657919</v>
      </c>
      <c r="G31" s="272">
        <f>E31/'- 7 -'!$E31</f>
        <v>219.73955847255371</v>
      </c>
      <c r="H31" s="272">
        <v>1460700</v>
      </c>
      <c r="I31" s="492">
        <f>H31/'- 3 -'!$D31*100</f>
        <v>3.575960905765168</v>
      </c>
    </row>
    <row r="32" spans="1:9" ht="14.1" customHeight="1" x14ac:dyDescent="0.2">
      <c r="A32" s="15" t="s">
        <v>128</v>
      </c>
      <c r="B32" s="16">
        <v>150674</v>
      </c>
      <c r="C32" s="267">
        <f>B32/'- 3 -'!$D32*100</f>
        <v>0.47535443993615839</v>
      </c>
      <c r="D32" s="16">
        <f>B32/'- 7 -'!$E32</f>
        <v>64.514664953971305</v>
      </c>
      <c r="E32" s="16">
        <v>419541</v>
      </c>
      <c r="F32" s="267">
        <f>E32/'- 3 -'!$D32*100</f>
        <v>1.3235905138594304</v>
      </c>
      <c r="G32" s="16">
        <f>E32/'- 7 -'!$E32</f>
        <v>179.63648041104688</v>
      </c>
      <c r="H32" s="16">
        <v>0</v>
      </c>
      <c r="I32" s="491">
        <f>H32/'- 3 -'!$D32*100</f>
        <v>0</v>
      </c>
    </row>
    <row r="33" spans="1:9" ht="14.1" customHeight="1" x14ac:dyDescent="0.2">
      <c r="A33" s="271" t="s">
        <v>129</v>
      </c>
      <c r="B33" s="272">
        <v>211675</v>
      </c>
      <c r="C33" s="273">
        <f>B33/'- 3 -'!$D33*100</f>
        <v>0.73677997270007001</v>
      </c>
      <c r="D33" s="272">
        <f>B33/'- 7 -'!$E33</f>
        <v>102.49612628316871</v>
      </c>
      <c r="E33" s="272">
        <v>442835</v>
      </c>
      <c r="F33" s="273">
        <f>E33/'- 3 -'!$D33*100</f>
        <v>1.54138164266274</v>
      </c>
      <c r="G33" s="272">
        <f>E33/'- 7 -'!$E33</f>
        <v>214.42717412357158</v>
      </c>
      <c r="H33" s="272">
        <v>0</v>
      </c>
      <c r="I33" s="492">
        <f>H33/'- 3 -'!$D33*100</f>
        <v>0</v>
      </c>
    </row>
    <row r="34" spans="1:9" ht="14.1" customHeight="1" x14ac:dyDescent="0.2">
      <c r="A34" s="15" t="s">
        <v>130</v>
      </c>
      <c r="B34" s="16">
        <v>240897</v>
      </c>
      <c r="C34" s="267">
        <f>B34/'- 3 -'!$D34*100</f>
        <v>0.75342757519216397</v>
      </c>
      <c r="D34" s="16">
        <f>B34/'- 7 -'!$E34</f>
        <v>105.670482958284</v>
      </c>
      <c r="E34" s="16">
        <v>625605</v>
      </c>
      <c r="F34" s="267">
        <f>E34/'- 3 -'!$D34*100</f>
        <v>1.9566373104608763</v>
      </c>
      <c r="G34" s="16">
        <f>E34/'- 7 -'!$E34</f>
        <v>274.42426635083564</v>
      </c>
      <c r="H34" s="16">
        <v>860912</v>
      </c>
      <c r="I34" s="491">
        <f>H34/'- 3 -'!$D34*100</f>
        <v>2.6925816453249158</v>
      </c>
    </row>
    <row r="35" spans="1:9" ht="14.1" customHeight="1" x14ac:dyDescent="0.2">
      <c r="A35" s="271" t="s">
        <v>131</v>
      </c>
      <c r="B35" s="272">
        <v>1042973</v>
      </c>
      <c r="C35" s="273">
        <f>B35/'- 3 -'!$D35*100</f>
        <v>0.53084463262584924</v>
      </c>
      <c r="D35" s="272">
        <f>B35/'- 7 -'!$E35</f>
        <v>63.991962450532256</v>
      </c>
      <c r="E35" s="272">
        <v>3465620</v>
      </c>
      <c r="F35" s="273">
        <f>E35/'- 3 -'!$D35*100</f>
        <v>1.763905466125006</v>
      </c>
      <c r="G35" s="272">
        <f>E35/'- 7 -'!$E35</f>
        <v>212.63429149921771</v>
      </c>
      <c r="H35" s="272">
        <v>2686800</v>
      </c>
      <c r="I35" s="492">
        <f>H35/'- 3 -'!$D35*100</f>
        <v>1.367507460825095</v>
      </c>
    </row>
    <row r="36" spans="1:9" ht="14.1" customHeight="1" x14ac:dyDescent="0.2">
      <c r="A36" s="15" t="s">
        <v>132</v>
      </c>
      <c r="B36" s="16">
        <v>206435</v>
      </c>
      <c r="C36" s="267">
        <f>B36/'- 3 -'!$D36*100</f>
        <v>0.85377118634429316</v>
      </c>
      <c r="D36" s="16">
        <f>B36/'- 7 -'!$E36</f>
        <v>118.26697221426525</v>
      </c>
      <c r="E36" s="16">
        <v>365410</v>
      </c>
      <c r="F36" s="267">
        <f>E36/'- 3 -'!$D36*100</f>
        <v>1.5112579223584575</v>
      </c>
      <c r="G36" s="16">
        <f>E36/'- 7 -'!$E36</f>
        <v>209.34402749928387</v>
      </c>
      <c r="H36" s="16">
        <v>0</v>
      </c>
      <c r="I36" s="491">
        <f>H36/'- 3 -'!$D36*100</f>
        <v>0</v>
      </c>
    </row>
    <row r="37" spans="1:9" ht="14.1" customHeight="1" x14ac:dyDescent="0.2">
      <c r="A37" s="271" t="s">
        <v>133</v>
      </c>
      <c r="B37" s="272">
        <v>233300</v>
      </c>
      <c r="C37" s="273">
        <f>B37/'- 3 -'!$D37*100</f>
        <v>0.42333975691987208</v>
      </c>
      <c r="D37" s="272">
        <f>B37/'- 7 -'!$E37</f>
        <v>53.460128322639783</v>
      </c>
      <c r="E37" s="272">
        <v>926600</v>
      </c>
      <c r="F37" s="273">
        <f>E37/'- 3 -'!$D37*100</f>
        <v>1.6813828493868561</v>
      </c>
      <c r="G37" s="272">
        <f>E37/'- 7 -'!$E37</f>
        <v>212.3281393217232</v>
      </c>
      <c r="H37" s="272">
        <v>0</v>
      </c>
      <c r="I37" s="492">
        <f>H37/'- 3 -'!$D37*100</f>
        <v>0</v>
      </c>
    </row>
    <row r="38" spans="1:9" ht="14.1" customHeight="1" x14ac:dyDescent="0.2">
      <c r="A38" s="15" t="s">
        <v>134</v>
      </c>
      <c r="B38" s="16">
        <v>571890</v>
      </c>
      <c r="C38" s="267">
        <f>B38/'- 3 -'!$D38*100</f>
        <v>0.37856559721835809</v>
      </c>
      <c r="D38" s="16">
        <f>B38/'- 7 -'!$E38</f>
        <v>49.07073723228995</v>
      </c>
      <c r="E38" s="16">
        <v>2063520</v>
      </c>
      <c r="F38" s="267">
        <f>E38/'- 3 -'!$D38*100</f>
        <v>1.3659579310217458</v>
      </c>
      <c r="G38" s="16">
        <f>E38/'- 7 -'!$E38</f>
        <v>177.05930807248765</v>
      </c>
      <c r="H38" s="16">
        <v>482610</v>
      </c>
      <c r="I38" s="491">
        <f>H38/'- 3 -'!$D38*100</f>
        <v>0.31946623104714506</v>
      </c>
    </row>
    <row r="39" spans="1:9" ht="14.1" customHeight="1" x14ac:dyDescent="0.2">
      <c r="A39" s="271" t="s">
        <v>135</v>
      </c>
      <c r="B39" s="272">
        <v>305400</v>
      </c>
      <c r="C39" s="273">
        <f>B39/'- 3 -'!$D39*100</f>
        <v>1.3006592732662134</v>
      </c>
      <c r="D39" s="272">
        <f>B39/'- 7 -'!$E39</f>
        <v>204.88393935328057</v>
      </c>
      <c r="E39" s="272">
        <v>312400</v>
      </c>
      <c r="F39" s="273">
        <f>E39/'- 3 -'!$D39*100</f>
        <v>1.3304713718676002</v>
      </c>
      <c r="G39" s="272">
        <f>E39/'- 7 -'!$E39</f>
        <v>209.58003488528109</v>
      </c>
      <c r="H39" s="272">
        <v>0</v>
      </c>
      <c r="I39" s="492">
        <f>H39/'- 3 -'!$D39*100</f>
        <v>0</v>
      </c>
    </row>
    <row r="40" spans="1:9" ht="14.1" customHeight="1" x14ac:dyDescent="0.2">
      <c r="A40" s="15" t="s">
        <v>136</v>
      </c>
      <c r="B40" s="16">
        <v>421379</v>
      </c>
      <c r="C40" s="267">
        <f>B40/'- 3 -'!$D40*100</f>
        <v>0.38351542349917195</v>
      </c>
      <c r="D40" s="16">
        <f>B40/'- 7 -'!$E40</f>
        <v>51.24706597750076</v>
      </c>
      <c r="E40" s="16">
        <v>2802556</v>
      </c>
      <c r="F40" s="267">
        <f>E40/'- 3 -'!$D40*100</f>
        <v>2.5507285631703178</v>
      </c>
      <c r="G40" s="16">
        <f>E40/'- 7 -'!$E40</f>
        <v>340.83989054423836</v>
      </c>
      <c r="H40" s="16">
        <v>595500</v>
      </c>
      <c r="I40" s="491">
        <f>H40/'- 3 -'!$D40*100</f>
        <v>0.54199054697494864</v>
      </c>
    </row>
    <row r="41" spans="1:9" ht="14.1" customHeight="1" x14ac:dyDescent="0.2">
      <c r="A41" s="271" t="s">
        <v>137</v>
      </c>
      <c r="B41" s="272">
        <v>396665</v>
      </c>
      <c r="C41" s="273">
        <f>B41/'- 3 -'!$D41*100</f>
        <v>0.59478447199351081</v>
      </c>
      <c r="D41" s="272">
        <f>B41/'- 7 -'!$E41</f>
        <v>88.265465064530488</v>
      </c>
      <c r="E41" s="272">
        <v>1818680</v>
      </c>
      <c r="F41" s="273">
        <f>E41/'- 3 -'!$D41*100</f>
        <v>2.7270432821780553</v>
      </c>
      <c r="G41" s="272">
        <f>E41/'- 7 -'!$E41</f>
        <v>404.69069870939029</v>
      </c>
      <c r="H41" s="272">
        <v>588382</v>
      </c>
      <c r="I41" s="492">
        <f>H41/'- 3 -'!$D41*100</f>
        <v>0.88225701082900143</v>
      </c>
    </row>
    <row r="42" spans="1:9" ht="14.1" customHeight="1" x14ac:dyDescent="0.2">
      <c r="A42" s="15" t="s">
        <v>138</v>
      </c>
      <c r="B42" s="16">
        <v>171536</v>
      </c>
      <c r="C42" s="267">
        <f>B42/'- 3 -'!$D42*100</f>
        <v>0.80365132506706616</v>
      </c>
      <c r="D42" s="16">
        <f>B42/'- 7 -'!$E42</f>
        <v>125.34599926927292</v>
      </c>
      <c r="E42" s="16">
        <v>372780</v>
      </c>
      <c r="F42" s="267">
        <f>E42/'- 3 -'!$D42*100</f>
        <v>1.7464855246624671</v>
      </c>
      <c r="G42" s="16">
        <f>E42/'- 7 -'!$E42</f>
        <v>272.40043843624409</v>
      </c>
      <c r="H42" s="16">
        <v>0</v>
      </c>
      <c r="I42" s="491">
        <f>H42/'- 3 -'!$D42*100</f>
        <v>0</v>
      </c>
    </row>
    <row r="43" spans="1:9" ht="14.1" customHeight="1" x14ac:dyDescent="0.2">
      <c r="A43" s="271" t="s">
        <v>139</v>
      </c>
      <c r="B43" s="272">
        <v>131845</v>
      </c>
      <c r="C43" s="273">
        <f>B43/'- 3 -'!$D43*100</f>
        <v>0.95001006609323324</v>
      </c>
      <c r="D43" s="272">
        <f>B43/'- 7 -'!$E43</f>
        <v>131.18905472636817</v>
      </c>
      <c r="E43" s="272">
        <v>343917</v>
      </c>
      <c r="F43" s="273">
        <f>E43/'- 3 -'!$D43*100</f>
        <v>2.4780963396456936</v>
      </c>
      <c r="G43" s="272">
        <f>E43/'- 7 -'!$E43</f>
        <v>342.20597014925374</v>
      </c>
      <c r="H43" s="272">
        <v>0</v>
      </c>
      <c r="I43" s="492">
        <f>H43/'- 3 -'!$D43*100</f>
        <v>0</v>
      </c>
    </row>
    <row r="44" spans="1:9" ht="14.1" customHeight="1" x14ac:dyDescent="0.2">
      <c r="A44" s="15" t="s">
        <v>140</v>
      </c>
      <c r="B44" s="16">
        <v>87944</v>
      </c>
      <c r="C44" s="267">
        <f>B44/'- 3 -'!$D44*100</f>
        <v>0.78283314493317513</v>
      </c>
      <c r="D44" s="16">
        <f>B44/'- 7 -'!$E44</f>
        <v>126.81182408074982</v>
      </c>
      <c r="E44" s="16">
        <v>168265</v>
      </c>
      <c r="F44" s="267">
        <f>E44/'- 3 -'!$D44*100</f>
        <v>1.4978101875304821</v>
      </c>
      <c r="G44" s="16">
        <f>E44/'- 7 -'!$E44</f>
        <v>242.63157894736841</v>
      </c>
      <c r="H44" s="16">
        <v>0</v>
      </c>
      <c r="I44" s="491">
        <f>H44/'- 3 -'!$D44*100</f>
        <v>0</v>
      </c>
    </row>
    <row r="45" spans="1:9" ht="14.1" customHeight="1" x14ac:dyDescent="0.2">
      <c r="A45" s="271" t="s">
        <v>141</v>
      </c>
      <c r="B45" s="272">
        <v>151945</v>
      </c>
      <c r="C45" s="273">
        <f>B45/'- 3 -'!$D45*100</f>
        <v>0.67930129673697537</v>
      </c>
      <c r="D45" s="272">
        <f>B45/'- 7 -'!$E45</f>
        <v>73.226506024096381</v>
      </c>
      <c r="E45" s="272">
        <v>323261</v>
      </c>
      <c r="F45" s="273">
        <f>E45/'- 3 -'!$D45*100</f>
        <v>1.4452046232813938</v>
      </c>
      <c r="G45" s="272">
        <f>E45/'- 7 -'!$E45</f>
        <v>155.78843373493976</v>
      </c>
      <c r="H45" s="272">
        <v>232729</v>
      </c>
      <c r="I45" s="492">
        <f>H45/'- 3 -'!$D45*100</f>
        <v>1.0404627430208269</v>
      </c>
    </row>
    <row r="46" spans="1:9" ht="14.1" customHeight="1" x14ac:dyDescent="0.2">
      <c r="A46" s="15" t="s">
        <v>142</v>
      </c>
      <c r="B46" s="16">
        <v>799400</v>
      </c>
      <c r="C46" s="267">
        <f>B46/'- 3 -'!$D46*100</f>
        <v>0.19153468906700874</v>
      </c>
      <c r="D46" s="16">
        <f>B46/'- 7 -'!$E46</f>
        <v>26.72059364241067</v>
      </c>
      <c r="E46" s="16">
        <v>13420400</v>
      </c>
      <c r="F46" s="267">
        <f>E46/'- 3 -'!$D46*100</f>
        <v>3.2155018027957021</v>
      </c>
      <c r="G46" s="16">
        <f>E46/'- 7 -'!$E46</f>
        <v>448.58775946786108</v>
      </c>
      <c r="H46" s="16">
        <v>34402400</v>
      </c>
      <c r="I46" s="491">
        <f>H46/'- 3 -'!$D46*100</f>
        <v>8.2427482951699549</v>
      </c>
    </row>
    <row r="47" spans="1:9" ht="5.0999999999999996" customHeight="1" x14ac:dyDescent="0.2">
      <c r="A47"/>
      <c r="B47"/>
      <c r="C47"/>
      <c r="D47"/>
      <c r="E47" s="507"/>
      <c r="F47"/>
      <c r="G47"/>
      <c r="H47"/>
      <c r="I47"/>
    </row>
    <row r="48" spans="1:9" ht="14.1" customHeight="1" x14ac:dyDescent="0.2">
      <c r="A48" s="274" t="s">
        <v>143</v>
      </c>
      <c r="B48" s="275">
        <f>SUM(B11:B46)</f>
        <v>10306100</v>
      </c>
      <c r="C48" s="276">
        <f>B48/'- 3 -'!$D48*100</f>
        <v>0.41543919435826959</v>
      </c>
      <c r="D48" s="275">
        <f>B48/'- 7 -'!$E48</f>
        <v>56.569296990867549</v>
      </c>
      <c r="E48" s="275">
        <f>SUM(E11:E46)</f>
        <v>52897220</v>
      </c>
      <c r="F48" s="276">
        <f>E48/'- 3 -'!$D48*100</f>
        <v>2.1322884952205143</v>
      </c>
      <c r="G48" s="275">
        <f>E48/'- 7 -'!$E48</f>
        <v>290.34829355151402</v>
      </c>
      <c r="H48" s="275">
        <f>SUM(H11:H46)</f>
        <v>60985519</v>
      </c>
      <c r="I48" s="276">
        <f>H48/'- 3 -'!$D48*100</f>
        <v>2.4583280659881952</v>
      </c>
    </row>
    <row r="49" spans="1:9" ht="5.0999999999999996" customHeight="1" x14ac:dyDescent="0.2">
      <c r="A49" s="17" t="s">
        <v>1</v>
      </c>
      <c r="B49" s="18"/>
      <c r="C49" s="266"/>
      <c r="D49" s="18"/>
      <c r="E49" s="18"/>
      <c r="F49" s="266"/>
      <c r="H49" s="18"/>
      <c r="I49" s="18"/>
    </row>
    <row r="50" spans="1:9" ht="14.1" customHeight="1" x14ac:dyDescent="0.2">
      <c r="A50" s="15" t="s">
        <v>144</v>
      </c>
      <c r="B50" s="16">
        <v>17580</v>
      </c>
      <c r="C50" s="267">
        <f>B50/'- 3 -'!$D50*100</f>
        <v>0.48994702830962977</v>
      </c>
      <c r="D50" s="16">
        <f>B50/'- 7 -'!$E50</f>
        <v>102.20930232558139</v>
      </c>
      <c r="E50" s="16">
        <v>63800</v>
      </c>
      <c r="F50" s="267">
        <f>E50/'- 3 -'!$D50*100</f>
        <v>1.7780785213967225</v>
      </c>
      <c r="G50" s="16">
        <f>E50/'- 7 -'!$E50</f>
        <v>370.93023255813955</v>
      </c>
      <c r="H50" s="16">
        <v>30000</v>
      </c>
      <c r="I50" s="16">
        <f>H50/'- 3 -'!$D50*100</f>
        <v>0.8360870790266719</v>
      </c>
    </row>
    <row r="51" spans="1:9" ht="14.1" customHeight="1" x14ac:dyDescent="0.2">
      <c r="A51" s="360" t="s">
        <v>513</v>
      </c>
      <c r="B51" s="272">
        <v>109627</v>
      </c>
      <c r="C51" s="273">
        <f>B51/'- 3 -'!$D51*100</f>
        <v>0.31533480639342637</v>
      </c>
      <c r="D51" s="272">
        <f>B51/'- 7 -'!$E51</f>
        <v>61.793021813877459</v>
      </c>
      <c r="E51" s="272">
        <v>0</v>
      </c>
      <c r="F51" s="273">
        <f>E51/'- 3 -'!$D51*100</f>
        <v>0</v>
      </c>
      <c r="G51" s="272">
        <f>E51/'- 7 -'!$E51</f>
        <v>0</v>
      </c>
      <c r="H51" s="272">
        <v>0</v>
      </c>
      <c r="I51" s="272">
        <f>H51/'- 3 -'!$D51*100</f>
        <v>0</v>
      </c>
    </row>
    <row r="52" spans="1:9" ht="50.1" customHeight="1" x14ac:dyDescent="0.2">
      <c r="A52" s="164"/>
      <c r="B52" s="164"/>
      <c r="C52" s="164"/>
      <c r="D52" s="164"/>
      <c r="E52" s="164"/>
      <c r="F52" s="164"/>
      <c r="G52" s="164"/>
      <c r="H52" s="164"/>
      <c r="I52" s="164"/>
    </row>
    <row r="53" spans="1:9" ht="15" customHeight="1" x14ac:dyDescent="0.2">
      <c r="A53" s="669"/>
      <c r="B53" s="669"/>
      <c r="C53" s="669"/>
      <c r="D53" s="669"/>
      <c r="E53" s="669"/>
      <c r="F53" s="669"/>
      <c r="G53" s="669"/>
      <c r="H53" s="669"/>
      <c r="I53" s="669"/>
    </row>
    <row r="54" spans="1:9" ht="12" customHeight="1" x14ac:dyDescent="0.2">
      <c r="A54" s="669"/>
      <c r="B54" s="669"/>
      <c r="C54" s="669"/>
      <c r="D54" s="669"/>
      <c r="E54" s="669"/>
      <c r="F54" s="669"/>
      <c r="G54" s="669"/>
      <c r="H54" s="669"/>
      <c r="I54" s="669"/>
    </row>
    <row r="55" spans="1:9" ht="12" customHeight="1" x14ac:dyDescent="0.2">
      <c r="A55" s="669"/>
      <c r="B55" s="669"/>
      <c r="C55" s="669"/>
      <c r="D55" s="669"/>
      <c r="E55" s="669"/>
      <c r="F55" s="669"/>
      <c r="G55" s="669"/>
      <c r="H55" s="669"/>
      <c r="I55" s="669"/>
    </row>
    <row r="56" spans="1:9" ht="14.45" customHeight="1" x14ac:dyDescent="0.2">
      <c r="C56" s="90"/>
      <c r="D56" s="90"/>
      <c r="E56" s="165"/>
      <c r="F56" s="90"/>
      <c r="G56" s="90"/>
      <c r="H56" s="90"/>
      <c r="I56" s="90"/>
    </row>
    <row r="57" spans="1:9" ht="14.45" customHeight="1" x14ac:dyDescent="0.2">
      <c r="C57" s="90"/>
      <c r="D57" s="90"/>
      <c r="E57" s="165"/>
      <c r="F57" s="90"/>
      <c r="G57" s="90"/>
      <c r="H57" s="90"/>
      <c r="I57" s="90"/>
    </row>
    <row r="58" spans="1:9" ht="14.45" customHeight="1" x14ac:dyDescent="0.2"/>
    <row r="59" spans="1:9" ht="14.45" customHeight="1" x14ac:dyDescent="0.2"/>
  </sheetData>
  <mergeCells count="8">
    <mergeCell ref="A53:I55"/>
    <mergeCell ref="B5:I5"/>
    <mergeCell ref="D8:D9"/>
    <mergeCell ref="G8:G9"/>
    <mergeCell ref="I8:I9"/>
    <mergeCell ref="B6:D7"/>
    <mergeCell ref="E6:G7"/>
    <mergeCell ref="H6:I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8"/>
  <sheetViews>
    <sheetView showGridLines="0" showZeros="0" workbookViewId="0"/>
  </sheetViews>
  <sheetFormatPr defaultColWidth="15.83203125" defaultRowHeight="12" x14ac:dyDescent="0.2"/>
  <cols>
    <col min="1" max="1" width="30.83203125" style="1" customWidth="1"/>
    <col min="2" max="2" width="15.33203125" style="1" customWidth="1"/>
    <col min="3" max="3" width="8.83203125" style="1" customWidth="1"/>
    <col min="4" max="4" width="8.5" style="1" customWidth="1"/>
    <col min="5" max="5" width="15" style="1" customWidth="1"/>
    <col min="6" max="6" width="7.83203125" style="1" customWidth="1"/>
    <col min="7" max="7" width="8.83203125" style="1" customWidth="1"/>
    <col min="8" max="8" width="14.5" style="1" customWidth="1"/>
    <col min="9" max="9" width="7.83203125" style="1" customWidth="1"/>
    <col min="10" max="10" width="8.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5"/>
      <c r="D2" s="6"/>
      <c r="E2" s="6"/>
      <c r="F2" s="6"/>
      <c r="G2" s="6"/>
      <c r="H2" s="85"/>
      <c r="I2" s="85"/>
      <c r="J2" s="502" t="s">
        <v>526</v>
      </c>
    </row>
    <row r="3" spans="1:10" ht="15.95" customHeight="1" x14ac:dyDescent="0.2">
      <c r="A3" s="135"/>
      <c r="B3" s="7" t="str">
        <f>OPYEAR</f>
        <v>OPERATING FUND 2020/2021 BUDGET</v>
      </c>
      <c r="C3" s="7"/>
      <c r="D3" s="8"/>
      <c r="E3" s="8"/>
      <c r="F3" s="8"/>
      <c r="G3" s="8"/>
      <c r="H3" s="87"/>
      <c r="I3" s="87"/>
      <c r="J3" s="81"/>
    </row>
    <row r="4" spans="1:10" ht="15.95" customHeight="1" x14ac:dyDescent="0.2">
      <c r="B4" s="4"/>
      <c r="C4" s="4"/>
      <c r="D4" s="4"/>
      <c r="E4" s="4"/>
      <c r="F4" s="4"/>
      <c r="G4" s="4"/>
      <c r="H4" s="4"/>
      <c r="I4" s="4"/>
      <c r="J4" s="4"/>
    </row>
    <row r="5" spans="1:10" ht="15.95" customHeight="1" x14ac:dyDescent="0.2">
      <c r="B5" s="670" t="s">
        <v>244</v>
      </c>
      <c r="C5" s="671"/>
      <c r="D5" s="671"/>
      <c r="E5" s="671"/>
      <c r="F5" s="671"/>
      <c r="G5" s="671"/>
      <c r="H5" s="671"/>
      <c r="I5" s="671"/>
      <c r="J5" s="672"/>
    </row>
    <row r="6" spans="1:10" ht="15.95" customHeight="1" x14ac:dyDescent="0.2">
      <c r="B6" s="622" t="s">
        <v>409</v>
      </c>
      <c r="C6" s="676"/>
      <c r="D6" s="677"/>
      <c r="E6" s="622" t="s">
        <v>410</v>
      </c>
      <c r="F6" s="632"/>
      <c r="G6" s="623"/>
      <c r="H6" s="622" t="s">
        <v>412</v>
      </c>
      <c r="I6" s="632"/>
      <c r="J6" s="623"/>
    </row>
    <row r="7" spans="1:10" ht="15.95" customHeight="1" x14ac:dyDescent="0.2">
      <c r="B7" s="678"/>
      <c r="C7" s="679"/>
      <c r="D7" s="680"/>
      <c r="E7" s="624"/>
      <c r="F7" s="633"/>
      <c r="G7" s="625"/>
      <c r="H7" s="624"/>
      <c r="I7" s="633"/>
      <c r="J7" s="625"/>
    </row>
    <row r="8" spans="1:10" ht="15.95" customHeight="1" x14ac:dyDescent="0.2">
      <c r="A8" s="82"/>
      <c r="B8" s="138"/>
      <c r="C8" s="137"/>
      <c r="D8" s="540" t="s">
        <v>396</v>
      </c>
      <c r="E8" s="138"/>
      <c r="F8" s="137"/>
      <c r="G8" s="540" t="s">
        <v>396</v>
      </c>
      <c r="H8" s="138"/>
      <c r="I8" s="137"/>
      <c r="J8" s="540" t="s">
        <v>396</v>
      </c>
    </row>
    <row r="9" spans="1:10" ht="15.95" customHeight="1" x14ac:dyDescent="0.2">
      <c r="A9" s="27" t="s">
        <v>37</v>
      </c>
      <c r="B9" s="89" t="s">
        <v>38</v>
      </c>
      <c r="C9" s="89" t="s">
        <v>39</v>
      </c>
      <c r="D9" s="580"/>
      <c r="E9" s="89" t="s">
        <v>38</v>
      </c>
      <c r="F9" s="89" t="s">
        <v>39</v>
      </c>
      <c r="G9" s="580"/>
      <c r="H9" s="89" t="s">
        <v>38</v>
      </c>
      <c r="I9" s="89" t="s">
        <v>39</v>
      </c>
      <c r="J9" s="580"/>
    </row>
    <row r="10" spans="1:10" ht="5.0999999999999996" customHeight="1" x14ac:dyDescent="0.2">
      <c r="A10" s="29"/>
    </row>
    <row r="11" spans="1:10" ht="14.1" customHeight="1" x14ac:dyDescent="0.2">
      <c r="A11" s="271" t="s">
        <v>108</v>
      </c>
      <c r="B11" s="272">
        <v>809591</v>
      </c>
      <c r="C11" s="273">
        <f>B11/'- 3 -'!$D11*100</f>
        <v>3.645108375418459</v>
      </c>
      <c r="D11" s="493">
        <f>B11/'- 7 -'!$E11</f>
        <v>405.91175733266482</v>
      </c>
      <c r="E11" s="272">
        <v>1058349</v>
      </c>
      <c r="F11" s="273">
        <f>E11/'- 3 -'!$D11*100</f>
        <v>4.7651181942681564</v>
      </c>
      <c r="G11" s="272">
        <f>E11/'- 7 -'!$E11</f>
        <v>530.63374279267987</v>
      </c>
      <c r="H11" s="272">
        <v>342815</v>
      </c>
      <c r="I11" s="273">
        <f>H11/'- 3 -'!$D11*100</f>
        <v>1.5434927361088242</v>
      </c>
      <c r="J11" s="272">
        <f>H11/'- 7 -'!$E11</f>
        <v>171.88017046878917</v>
      </c>
    </row>
    <row r="12" spans="1:10" ht="14.1" customHeight="1" x14ac:dyDescent="0.2">
      <c r="A12" s="15" t="s">
        <v>109</v>
      </c>
      <c r="B12" s="16">
        <v>2631189</v>
      </c>
      <c r="C12" s="491">
        <f>B12/'- 3 -'!$D12*100</f>
        <v>7.5840401750585498</v>
      </c>
      <c r="D12" s="494">
        <f>B12/'- 7 -'!$E12</f>
        <v>1221.5362116991644</v>
      </c>
      <c r="E12" s="16">
        <v>1387399</v>
      </c>
      <c r="F12" s="267">
        <f>E12/'- 3 -'!$D12*100</f>
        <v>3.9989866766834528</v>
      </c>
      <c r="G12" s="16">
        <f>E12/'- 7 -'!$E12</f>
        <v>644.10352831940577</v>
      </c>
      <c r="H12" s="16">
        <v>512757</v>
      </c>
      <c r="I12" s="267">
        <f>H12/'- 3 -'!$D12*100</f>
        <v>1.4779514843070933</v>
      </c>
      <c r="J12" s="16">
        <f>H12/'- 7 -'!$E12</f>
        <v>238.04874651810584</v>
      </c>
    </row>
    <row r="13" spans="1:10" ht="14.1" customHeight="1" x14ac:dyDescent="0.2">
      <c r="A13" s="271" t="s">
        <v>110</v>
      </c>
      <c r="B13" s="272">
        <v>10696000</v>
      </c>
      <c r="C13" s="492">
        <f>B13/'- 3 -'!$D13*100</f>
        <v>9.9452989958930083</v>
      </c>
      <c r="D13" s="495">
        <f>B13/'- 7 -'!$E13</f>
        <v>1223.588628953841</v>
      </c>
      <c r="E13" s="272">
        <v>4711900</v>
      </c>
      <c r="F13" s="273">
        <f>E13/'- 3 -'!$D13*100</f>
        <v>4.3811943099054096</v>
      </c>
      <c r="G13" s="272">
        <f>E13/'- 7 -'!$E13</f>
        <v>539.02648286907277</v>
      </c>
      <c r="H13" s="272">
        <v>2618900</v>
      </c>
      <c r="I13" s="273">
        <f>H13/'- 3 -'!$D13*100</f>
        <v>2.435091954033676</v>
      </c>
      <c r="J13" s="272">
        <f>H13/'- 7 -'!$E13</f>
        <v>299.59389120860266</v>
      </c>
    </row>
    <row r="14" spans="1:10" ht="14.1" customHeight="1" x14ac:dyDescent="0.2">
      <c r="A14" s="15" t="s">
        <v>319</v>
      </c>
      <c r="B14" s="16">
        <v>3837302</v>
      </c>
      <c r="C14" s="491">
        <f>B14/'- 3 -'!$D14*100</f>
        <v>3.9522174654694839</v>
      </c>
      <c r="D14" s="494">
        <f>B14/'- 7 -'!$E14</f>
        <v>640.29734690472219</v>
      </c>
      <c r="E14" s="16">
        <v>3135504</v>
      </c>
      <c r="F14" s="267">
        <f>E14/'- 3 -'!$D14*100</f>
        <v>3.2294027605461935</v>
      </c>
      <c r="G14" s="16">
        <f>E14/'- 7 -'!$E14</f>
        <v>523.1943934590355</v>
      </c>
      <c r="H14" s="16">
        <v>1715321</v>
      </c>
      <c r="I14" s="267">
        <f>H14/'- 3 -'!$D14*100</f>
        <v>1.7666896207508764</v>
      </c>
      <c r="J14" s="16">
        <f>H14/'- 7 -'!$E14</f>
        <v>286.22075755047558</v>
      </c>
    </row>
    <row r="15" spans="1:10" ht="14.1" customHeight="1" x14ac:dyDescent="0.2">
      <c r="A15" s="271" t="s">
        <v>111</v>
      </c>
      <c r="B15" s="272">
        <v>1580000</v>
      </c>
      <c r="C15" s="492">
        <f>B15/'- 3 -'!$D15*100</f>
        <v>7.4751212116925467</v>
      </c>
      <c r="D15" s="495">
        <f>B15/'- 7 -'!$E15</f>
        <v>1132.6164874551971</v>
      </c>
      <c r="E15" s="272">
        <v>1015500</v>
      </c>
      <c r="F15" s="273">
        <f>E15/'- 3 -'!$D15*100</f>
        <v>4.8044212597935321</v>
      </c>
      <c r="G15" s="272">
        <f>E15/'- 7 -'!$E15</f>
        <v>727.95698924731187</v>
      </c>
      <c r="H15" s="272">
        <v>503850</v>
      </c>
      <c r="I15" s="273">
        <f>H15/'- 3 -'!$D15*100</f>
        <v>2.3837593813362594</v>
      </c>
      <c r="J15" s="272">
        <f>H15/'- 7 -'!$E15</f>
        <v>361.18279569892474</v>
      </c>
    </row>
    <row r="16" spans="1:10" ht="14.1" customHeight="1" x14ac:dyDescent="0.2">
      <c r="A16" s="15" t="s">
        <v>112</v>
      </c>
      <c r="B16" s="16">
        <v>1024411</v>
      </c>
      <c r="C16" s="491">
        <f>B16/'- 3 -'!$D16*100</f>
        <v>6.8496020333016538</v>
      </c>
      <c r="D16" s="494">
        <f>B16/'- 7 -'!$E16</f>
        <v>1080.6023206751054</v>
      </c>
      <c r="E16" s="16">
        <v>797008</v>
      </c>
      <c r="F16" s="267">
        <f>E16/'- 3 -'!$D16*100</f>
        <v>5.3290989821055064</v>
      </c>
      <c r="G16" s="16">
        <f>E16/'- 7 -'!$E16</f>
        <v>840.72573839662448</v>
      </c>
      <c r="H16" s="16">
        <v>240862</v>
      </c>
      <c r="I16" s="267">
        <f>H16/'- 3 -'!$D16*100</f>
        <v>1.6104950502728914</v>
      </c>
      <c r="J16" s="16">
        <f>H16/'- 7 -'!$E16</f>
        <v>254.07383966244726</v>
      </c>
    </row>
    <row r="17" spans="1:10" ht="14.1" customHeight="1" x14ac:dyDescent="0.2">
      <c r="A17" s="271" t="s">
        <v>113</v>
      </c>
      <c r="B17" s="272">
        <v>932860</v>
      </c>
      <c r="C17" s="492">
        <f>B17/'- 3 -'!$D17*100</f>
        <v>4.9591868902587324</v>
      </c>
      <c r="D17" s="495">
        <f>B17/'- 7 -'!$E17</f>
        <v>645.13139695712312</v>
      </c>
      <c r="E17" s="272">
        <v>726150</v>
      </c>
      <c r="F17" s="273">
        <f>E17/'- 3 -'!$D17*100</f>
        <v>3.860293677895267</v>
      </c>
      <c r="G17" s="272">
        <f>E17/'- 7 -'!$E17</f>
        <v>502.1784232365145</v>
      </c>
      <c r="H17" s="272">
        <v>170940</v>
      </c>
      <c r="I17" s="273">
        <f>H17/'- 3 -'!$D17*100</f>
        <v>0.90873593789081719</v>
      </c>
      <c r="J17" s="272">
        <f>H17/'- 7 -'!$E17</f>
        <v>118.21576763485477</v>
      </c>
    </row>
    <row r="18" spans="1:10" ht="14.1" customHeight="1" x14ac:dyDescent="0.2">
      <c r="A18" s="15" t="s">
        <v>114</v>
      </c>
      <c r="B18" s="16">
        <v>12647964</v>
      </c>
      <c r="C18" s="491">
        <f>B18/'- 3 -'!$D18*100</f>
        <v>9.0861354732574693</v>
      </c>
      <c r="D18" s="494">
        <f>B18/'- 7 -'!$E18</f>
        <v>2111.8657538821171</v>
      </c>
      <c r="E18" s="16">
        <v>3780171</v>
      </c>
      <c r="F18" s="267">
        <f>E18/'- 3 -'!$D18*100</f>
        <v>2.7156264690569296</v>
      </c>
      <c r="G18" s="16">
        <f>E18/'- 7 -'!$E18</f>
        <v>631.18567373518113</v>
      </c>
      <c r="H18" s="16">
        <v>3827829</v>
      </c>
      <c r="I18" s="267">
        <f>H18/'- 3 -'!$D18*100</f>
        <v>2.7498633663460512</v>
      </c>
      <c r="J18" s="16">
        <f>H18/'- 7 -'!$E18</f>
        <v>639.1432626481884</v>
      </c>
    </row>
    <row r="19" spans="1:10" ht="14.1" customHeight="1" x14ac:dyDescent="0.2">
      <c r="A19" s="271" t="s">
        <v>115</v>
      </c>
      <c r="B19" s="272">
        <v>3539500</v>
      </c>
      <c r="C19" s="492">
        <f>B19/'- 3 -'!$D19*100</f>
        <v>6.8662026475472162</v>
      </c>
      <c r="D19" s="495">
        <f>B19/'- 7 -'!$E19</f>
        <v>795.66145891873668</v>
      </c>
      <c r="E19" s="272">
        <v>2662300</v>
      </c>
      <c r="F19" s="273">
        <f>E19/'- 3 -'!$D19*100</f>
        <v>5.1645405589956086</v>
      </c>
      <c r="G19" s="272">
        <f>E19/'- 7 -'!$E19</f>
        <v>598.47139485219736</v>
      </c>
      <c r="H19" s="272">
        <v>1221500</v>
      </c>
      <c r="I19" s="273">
        <f>H19/'- 3 -'!$D19*100</f>
        <v>2.3695625184288529</v>
      </c>
      <c r="J19" s="272">
        <f>H19/'- 7 -'!$E19</f>
        <v>274.58693941778125</v>
      </c>
    </row>
    <row r="20" spans="1:10" ht="14.1" customHeight="1" x14ac:dyDescent="0.2">
      <c r="A20" s="15" t="s">
        <v>116</v>
      </c>
      <c r="B20" s="16">
        <v>4214900</v>
      </c>
      <c r="C20" s="491">
        <f>B20/'- 3 -'!$D20*100</f>
        <v>4.584617292303208</v>
      </c>
      <c r="D20" s="494">
        <f>B20/'- 7 -'!$E20</f>
        <v>517.67379022353225</v>
      </c>
      <c r="E20" s="16">
        <v>5119400</v>
      </c>
      <c r="F20" s="267">
        <f>E20/'- 3 -'!$D20*100</f>
        <v>5.568457084679836</v>
      </c>
      <c r="G20" s="16">
        <f>E20/'- 7 -'!$E20</f>
        <v>628.76443134365024</v>
      </c>
      <c r="H20" s="16">
        <v>2131600</v>
      </c>
      <c r="I20" s="267">
        <f>H20/'- 3 -'!$D20*100</f>
        <v>2.3185770054505483</v>
      </c>
      <c r="J20" s="16">
        <f>H20/'- 7 -'!$E20</f>
        <v>261.80299680668139</v>
      </c>
    </row>
    <row r="21" spans="1:10" ht="14.1" customHeight="1" x14ac:dyDescent="0.2">
      <c r="A21" s="271" t="s">
        <v>117</v>
      </c>
      <c r="B21" s="272">
        <v>2107500</v>
      </c>
      <c r="C21" s="492">
        <f>B21/'- 3 -'!$D21*100</f>
        <v>5.5192190599650388</v>
      </c>
      <c r="D21" s="495">
        <f>B21/'- 7 -'!$E21</f>
        <v>752.40985362370577</v>
      </c>
      <c r="E21" s="272">
        <v>2397300</v>
      </c>
      <c r="F21" s="273">
        <f>E21/'- 3 -'!$D21*100</f>
        <v>6.278160784082651</v>
      </c>
      <c r="G21" s="272">
        <f>E21/'- 7 -'!$E21</f>
        <v>855.87290253480899</v>
      </c>
      <c r="H21" s="272">
        <v>1161000</v>
      </c>
      <c r="I21" s="273">
        <f>H21/'- 3 -'!$D21*100</f>
        <v>3.0404808202227329</v>
      </c>
      <c r="J21" s="272">
        <f>H21/'- 7 -'!$E21</f>
        <v>414.49482327740094</v>
      </c>
    </row>
    <row r="22" spans="1:10" ht="14.1" customHeight="1" x14ac:dyDescent="0.2">
      <c r="A22" s="15" t="s">
        <v>118</v>
      </c>
      <c r="B22" s="16">
        <v>737270</v>
      </c>
      <c r="C22" s="491">
        <f>B22/'- 3 -'!$D22*100</f>
        <v>3.6047166847773608</v>
      </c>
      <c r="D22" s="494">
        <f>B22/'- 7 -'!$E22</f>
        <v>513.95608225862668</v>
      </c>
      <c r="E22" s="16">
        <v>1654595</v>
      </c>
      <c r="F22" s="267">
        <f>E22/'- 3 -'!$D22*100</f>
        <v>8.0897720008262883</v>
      </c>
      <c r="G22" s="16">
        <f>E22/'- 7 -'!$E22</f>
        <v>1153.429766469153</v>
      </c>
      <c r="H22" s="16">
        <v>723480</v>
      </c>
      <c r="I22" s="267">
        <f>H22/'- 3 -'!$D22*100</f>
        <v>3.537293565590252</v>
      </c>
      <c r="J22" s="16">
        <f>H22/'- 7 -'!$E22</f>
        <v>504.3429766469153</v>
      </c>
    </row>
    <row r="23" spans="1:10" ht="14.1" customHeight="1" x14ac:dyDescent="0.2">
      <c r="A23" s="271" t="s">
        <v>119</v>
      </c>
      <c r="B23" s="272">
        <v>1415000</v>
      </c>
      <c r="C23" s="492">
        <f>B23/'- 3 -'!$D23*100</f>
        <v>8.8616311100241951</v>
      </c>
      <c r="D23" s="495">
        <f>B23/'- 7 -'!$E23</f>
        <v>1518.2403433476395</v>
      </c>
      <c r="E23" s="272">
        <v>625000</v>
      </c>
      <c r="F23" s="273">
        <f>E23/'- 3 -'!$D23*100</f>
        <v>3.9141480167951395</v>
      </c>
      <c r="G23" s="272">
        <f>E23/'- 7 -'!$E23</f>
        <v>670.60085836909866</v>
      </c>
      <c r="H23" s="272">
        <v>361000</v>
      </c>
      <c r="I23" s="273">
        <f>H23/'- 3 -'!$D23*100</f>
        <v>2.2608118945008724</v>
      </c>
      <c r="J23" s="272">
        <f>H23/'- 7 -'!$E23</f>
        <v>387.33905579399141</v>
      </c>
    </row>
    <row r="24" spans="1:10" ht="14.1" customHeight="1" x14ac:dyDescent="0.2">
      <c r="A24" s="15" t="s">
        <v>120</v>
      </c>
      <c r="B24" s="16">
        <v>3367438</v>
      </c>
      <c r="C24" s="491">
        <f>B24/'- 3 -'!$D24*100</f>
        <v>5.7202286978498336</v>
      </c>
      <c r="D24" s="494">
        <f>B24/'- 7 -'!$E24</f>
        <v>905.22526881720432</v>
      </c>
      <c r="E24" s="16">
        <v>2716277</v>
      </c>
      <c r="F24" s="267">
        <f>E24/'- 3 -'!$D24*100</f>
        <v>4.6141089002112148</v>
      </c>
      <c r="G24" s="16">
        <f>E24/'- 7 -'!$E24</f>
        <v>730.18198924731178</v>
      </c>
      <c r="H24" s="16">
        <v>1505460</v>
      </c>
      <c r="I24" s="267">
        <f>H24/'- 3 -'!$D24*100</f>
        <v>2.5573078095172086</v>
      </c>
      <c r="J24" s="16">
        <f>H24/'- 7 -'!$E24</f>
        <v>404.69354838709677</v>
      </c>
    </row>
    <row r="25" spans="1:10" ht="14.1" customHeight="1" x14ac:dyDescent="0.2">
      <c r="A25" s="271" t="s">
        <v>121</v>
      </c>
      <c r="B25" s="272">
        <v>10992593</v>
      </c>
      <c r="C25" s="492">
        <f>B25/'- 3 -'!$D25*100</f>
        <v>5.6517414020902423</v>
      </c>
      <c r="D25" s="495">
        <f>B25/'- 7 -'!$E25</f>
        <v>725.77532021655884</v>
      </c>
      <c r="E25" s="272">
        <v>8167015</v>
      </c>
      <c r="F25" s="273">
        <f>E25/'- 3 -'!$D25*100</f>
        <v>4.1989962520209785</v>
      </c>
      <c r="G25" s="272">
        <f>E25/'- 7 -'!$E25</f>
        <v>539.21926581275579</v>
      </c>
      <c r="H25" s="272">
        <v>3160944</v>
      </c>
      <c r="I25" s="273">
        <f>H25/'- 3 -'!$D25*100</f>
        <v>1.625170519320486</v>
      </c>
      <c r="J25" s="272">
        <f>H25/'- 7 -'!$E25</f>
        <v>208.698270170342</v>
      </c>
    </row>
    <row r="26" spans="1:10" ht="14.1" customHeight="1" x14ac:dyDescent="0.2">
      <c r="A26" s="15" t="s">
        <v>122</v>
      </c>
      <c r="B26" s="16">
        <v>1912204</v>
      </c>
      <c r="C26" s="491">
        <f>B26/'- 3 -'!$D26*100</f>
        <v>4.5450604171844278</v>
      </c>
      <c r="D26" s="494">
        <f>B26/'- 7 -'!$E26</f>
        <v>620.24132338631205</v>
      </c>
      <c r="E26" s="16">
        <v>1798353</v>
      </c>
      <c r="F26" s="267">
        <f>E26/'- 3 -'!$D26*100</f>
        <v>4.2744513851162678</v>
      </c>
      <c r="G26" s="16">
        <f>E26/'- 7 -'!$E26</f>
        <v>583.31268245215699</v>
      </c>
      <c r="H26" s="16">
        <v>999566</v>
      </c>
      <c r="I26" s="267">
        <f>H26/'- 3 -'!$D26*100</f>
        <v>2.3758384884475561</v>
      </c>
      <c r="J26" s="16">
        <f>H26/'- 7 -'!$E26</f>
        <v>324.21861822899774</v>
      </c>
    </row>
    <row r="27" spans="1:10" ht="14.1" customHeight="1" x14ac:dyDescent="0.2">
      <c r="A27" s="271" t="s">
        <v>123</v>
      </c>
      <c r="B27" s="272">
        <v>2107754</v>
      </c>
      <c r="C27" s="492">
        <f>B27/'- 3 -'!$D27*100</f>
        <v>4.9276388335497376</v>
      </c>
      <c r="D27" s="495">
        <f>B27/'- 7 -'!$E27</f>
        <v>701.18230206254157</v>
      </c>
      <c r="E27" s="272">
        <v>2465458</v>
      </c>
      <c r="F27" s="273">
        <f>E27/'- 3 -'!$D27*100</f>
        <v>5.7639015669218843</v>
      </c>
      <c r="G27" s="272">
        <f>E27/'- 7 -'!$E27</f>
        <v>820.17897538256818</v>
      </c>
      <c r="H27" s="272">
        <v>1153837</v>
      </c>
      <c r="I27" s="273">
        <f>H27/'- 3 -'!$D27*100</f>
        <v>2.6975121426819868</v>
      </c>
      <c r="J27" s="272">
        <f>H27/'- 7 -'!$E27</f>
        <v>383.84464404524283</v>
      </c>
    </row>
    <row r="28" spans="1:10" ht="14.1" customHeight="1" x14ac:dyDescent="0.2">
      <c r="A28" s="15" t="s">
        <v>124</v>
      </c>
      <c r="B28" s="16">
        <v>1232094</v>
      </c>
      <c r="C28" s="491">
        <f>B28/'- 3 -'!$D28*100</f>
        <v>4.2801906109717862</v>
      </c>
      <c r="D28" s="494">
        <f>B28/'- 7 -'!$E28</f>
        <v>610.24962852897477</v>
      </c>
      <c r="E28" s="16">
        <v>1510416</v>
      </c>
      <c r="F28" s="267">
        <f>E28/'- 3 -'!$D28*100</f>
        <v>5.247057758467748</v>
      </c>
      <c r="G28" s="16">
        <f>E28/'- 7 -'!$E28</f>
        <v>748.10104011887074</v>
      </c>
      <c r="H28" s="16">
        <v>446254</v>
      </c>
      <c r="I28" s="267">
        <f>H28/'- 3 -'!$D28*100</f>
        <v>1.5502487479921203</v>
      </c>
      <c r="J28" s="16">
        <f>H28/'- 7 -'!$E28</f>
        <v>221.02724120851906</v>
      </c>
    </row>
    <row r="29" spans="1:10" ht="14.1" customHeight="1" x14ac:dyDescent="0.2">
      <c r="A29" s="271" t="s">
        <v>125</v>
      </c>
      <c r="B29" s="272">
        <v>12300620</v>
      </c>
      <c r="C29" s="492">
        <f>B29/'- 3 -'!$D29*100</f>
        <v>6.9105383594789735</v>
      </c>
      <c r="D29" s="495">
        <f>B29/'- 7 -'!$E29</f>
        <v>855.10045185957597</v>
      </c>
      <c r="E29" s="272">
        <v>12287329</v>
      </c>
      <c r="F29" s="273">
        <f>E29/'- 3 -'!$D29*100</f>
        <v>6.9030714216062616</v>
      </c>
      <c r="G29" s="272">
        <f>E29/'- 7 -'!$E29</f>
        <v>854.17650330205072</v>
      </c>
      <c r="H29" s="272">
        <v>3507755</v>
      </c>
      <c r="I29" s="273">
        <f>H29/'- 3 -'!$D29*100</f>
        <v>1.9706710298468018</v>
      </c>
      <c r="J29" s="272">
        <f>H29/'- 7 -'!$E29</f>
        <v>243.8481056656239</v>
      </c>
    </row>
    <row r="30" spans="1:10" ht="14.1" customHeight="1" x14ac:dyDescent="0.2">
      <c r="A30" s="15" t="s">
        <v>126</v>
      </c>
      <c r="B30" s="16">
        <v>499679</v>
      </c>
      <c r="C30" s="491">
        <f>B30/'- 3 -'!$D30*100</f>
        <v>3.178296102177895</v>
      </c>
      <c r="D30" s="494">
        <f>B30/'- 7 -'!$E30</f>
        <v>477.47634973721932</v>
      </c>
      <c r="E30" s="16">
        <v>656067</v>
      </c>
      <c r="F30" s="267">
        <f>E30/'- 3 -'!$D30*100</f>
        <v>4.1730294626501125</v>
      </c>
      <c r="G30" s="16">
        <f>E30/'- 7 -'!$E30</f>
        <v>626.91543239369321</v>
      </c>
      <c r="H30" s="16">
        <v>423090</v>
      </c>
      <c r="I30" s="267">
        <f>H30/'- 3 -'!$D30*100</f>
        <v>2.691138306533686</v>
      </c>
      <c r="J30" s="16">
        <f>H30/'- 7 -'!$E30</f>
        <v>404.29049211657906</v>
      </c>
    </row>
    <row r="31" spans="1:10" ht="14.1" customHeight="1" x14ac:dyDescent="0.2">
      <c r="A31" s="271" t="s">
        <v>127</v>
      </c>
      <c r="B31" s="272">
        <v>2176436</v>
      </c>
      <c r="C31" s="492">
        <f>B31/'- 3 -'!$D31*100</f>
        <v>5.3281646127883331</v>
      </c>
      <c r="D31" s="495">
        <f>B31/'- 7 -'!$E31</f>
        <v>649.29474940334126</v>
      </c>
      <c r="E31" s="272">
        <v>1538270</v>
      </c>
      <c r="F31" s="273">
        <f>E31/'- 3 -'!$D31*100</f>
        <v>3.7658611504835933</v>
      </c>
      <c r="G31" s="272">
        <f>E31/'- 7 -'!$E31</f>
        <v>458.91109785202866</v>
      </c>
      <c r="H31" s="272">
        <v>1205550</v>
      </c>
      <c r="I31" s="273">
        <f>H31/'- 3 -'!$D31*100</f>
        <v>2.9513244813755035</v>
      </c>
      <c r="J31" s="272">
        <f>H31/'- 7 -'!$E31</f>
        <v>359.65095465393796</v>
      </c>
    </row>
    <row r="32" spans="1:10" ht="14.1" customHeight="1" x14ac:dyDescent="0.2">
      <c r="A32" s="15" t="s">
        <v>128</v>
      </c>
      <c r="B32" s="16">
        <v>1025116</v>
      </c>
      <c r="C32" s="491">
        <f>B32/'- 3 -'!$D32*100</f>
        <v>3.2340910976651238</v>
      </c>
      <c r="D32" s="494">
        <f>B32/'- 7 -'!$E32</f>
        <v>438.92785270819951</v>
      </c>
      <c r="E32" s="16">
        <v>2121995</v>
      </c>
      <c r="F32" s="267">
        <f>E32/'- 3 -'!$D32*100</f>
        <v>6.6945839678533012</v>
      </c>
      <c r="G32" s="16">
        <f>E32/'- 7 -'!$E32</f>
        <v>908.58274459430527</v>
      </c>
      <c r="H32" s="16">
        <v>732893</v>
      </c>
      <c r="I32" s="267">
        <f>H32/'- 3 -'!$D32*100</f>
        <v>2.3121702586254491</v>
      </c>
      <c r="J32" s="16">
        <f>H32/'- 7 -'!$E32</f>
        <v>313.8056090772854</v>
      </c>
    </row>
    <row r="33" spans="1:10" ht="14.1" customHeight="1" x14ac:dyDescent="0.2">
      <c r="A33" s="271" t="s">
        <v>129</v>
      </c>
      <c r="B33" s="272">
        <v>1754268</v>
      </c>
      <c r="C33" s="492">
        <f>B33/'- 3 -'!$D33*100</f>
        <v>6.1061038344093843</v>
      </c>
      <c r="D33" s="495">
        <f>B33/'- 7 -'!$E33</f>
        <v>849.44218477629295</v>
      </c>
      <c r="E33" s="272">
        <v>1202282</v>
      </c>
      <c r="F33" s="273">
        <f>E33/'- 3 -'!$D33*100</f>
        <v>4.1847988621130767</v>
      </c>
      <c r="G33" s="272">
        <f>E33/'- 7 -'!$E33</f>
        <v>582.1625024210731</v>
      </c>
      <c r="H33" s="272">
        <v>468625</v>
      </c>
      <c r="I33" s="273">
        <f>H33/'- 3 -'!$D33*100</f>
        <v>1.6311492368327403</v>
      </c>
      <c r="J33" s="272">
        <f>H33/'- 7 -'!$E33</f>
        <v>226.91506875847378</v>
      </c>
    </row>
    <row r="34" spans="1:10" ht="14.1" customHeight="1" x14ac:dyDescent="0.2">
      <c r="A34" s="15" t="s">
        <v>130</v>
      </c>
      <c r="B34" s="16">
        <v>1428398</v>
      </c>
      <c r="C34" s="491">
        <f>B34/'- 3 -'!$D34*100</f>
        <v>4.4674464254404853</v>
      </c>
      <c r="D34" s="494">
        <f>B34/'- 7 -'!$E34</f>
        <v>626.57279466596492</v>
      </c>
      <c r="E34" s="16">
        <v>1762437</v>
      </c>
      <c r="F34" s="267">
        <f>E34/'- 3 -'!$D34*100</f>
        <v>5.5121841921607651</v>
      </c>
      <c r="G34" s="16">
        <f>E34/'- 7 -'!$E34</f>
        <v>773.10040794841427</v>
      </c>
      <c r="H34" s="16">
        <v>913743</v>
      </c>
      <c r="I34" s="267">
        <f>H34/'- 3 -'!$D34*100</f>
        <v>2.8578154681827233</v>
      </c>
      <c r="J34" s="16">
        <f>H34/'- 7 -'!$E34</f>
        <v>400.81721279115675</v>
      </c>
    </row>
    <row r="35" spans="1:10" ht="14.1" customHeight="1" x14ac:dyDescent="0.2">
      <c r="A35" s="271" t="s">
        <v>131</v>
      </c>
      <c r="B35" s="272">
        <v>16169983</v>
      </c>
      <c r="C35" s="492">
        <f>B35/'- 3 -'!$D35*100</f>
        <v>8.2300775621240696</v>
      </c>
      <c r="D35" s="495">
        <f>B35/'- 7 -'!$E35</f>
        <v>992.11479584010794</v>
      </c>
      <c r="E35" s="272">
        <v>10499867</v>
      </c>
      <c r="F35" s="273">
        <f>E35/'- 3 -'!$D35*100</f>
        <v>5.3441441343498619</v>
      </c>
      <c r="G35" s="272">
        <f>E35/'- 7 -'!$E35</f>
        <v>644.22290394821607</v>
      </c>
      <c r="H35" s="272">
        <v>3074000</v>
      </c>
      <c r="I35" s="273">
        <f>H35/'- 3 -'!$D35*100</f>
        <v>1.5645816341284584</v>
      </c>
      <c r="J35" s="272">
        <f>H35/'- 7 -'!$E35</f>
        <v>188.60631346442923</v>
      </c>
    </row>
    <row r="36" spans="1:10" ht="14.1" customHeight="1" x14ac:dyDescent="0.2">
      <c r="A36" s="15" t="s">
        <v>132</v>
      </c>
      <c r="B36" s="16">
        <v>691500</v>
      </c>
      <c r="C36" s="491">
        <f>B36/'- 3 -'!$D36*100</f>
        <v>2.8598967004484641</v>
      </c>
      <c r="D36" s="494">
        <f>B36/'- 7 -'!$E36</f>
        <v>396.16155829275277</v>
      </c>
      <c r="E36" s="16">
        <v>1465725</v>
      </c>
      <c r="F36" s="267">
        <f>E36/'- 3 -'!$D36*100</f>
        <v>6.0619263792694511</v>
      </c>
      <c r="G36" s="16">
        <f>E36/'- 7 -'!$E36</f>
        <v>839.7164136350616</v>
      </c>
      <c r="H36" s="16">
        <v>550950</v>
      </c>
      <c r="I36" s="267">
        <f>H36/'- 3 -'!$D36*100</f>
        <v>2.278611839641477</v>
      </c>
      <c r="J36" s="16">
        <f>H36/'- 7 -'!$E36</f>
        <v>315.64021770266402</v>
      </c>
    </row>
    <row r="37" spans="1:10" ht="14.1" customHeight="1" x14ac:dyDescent="0.2">
      <c r="A37" s="271" t="s">
        <v>133</v>
      </c>
      <c r="B37" s="272">
        <v>4807000</v>
      </c>
      <c r="C37" s="492">
        <f>B37/'- 3 -'!$D37*100</f>
        <v>8.7226498564673189</v>
      </c>
      <c r="D37" s="495">
        <f>B37/'- 7 -'!$E37</f>
        <v>1101.5123739688358</v>
      </c>
      <c r="E37" s="272">
        <v>2628000</v>
      </c>
      <c r="F37" s="273">
        <f>E37/'- 3 -'!$D37*100</f>
        <v>4.7686964474300204</v>
      </c>
      <c r="G37" s="272">
        <f>E37/'- 7 -'!$E37</f>
        <v>602.19981668194316</v>
      </c>
      <c r="H37" s="272">
        <v>1676200</v>
      </c>
      <c r="I37" s="273">
        <f>H37/'- 3 -'!$D37*100</f>
        <v>3.0415863718349319</v>
      </c>
      <c r="J37" s="272">
        <f>H37/'- 7 -'!$E37</f>
        <v>384.09715857011918</v>
      </c>
    </row>
    <row r="38" spans="1:10" ht="14.1" customHeight="1" x14ac:dyDescent="0.2">
      <c r="A38" s="15" t="s">
        <v>134</v>
      </c>
      <c r="B38" s="16">
        <v>15454330</v>
      </c>
      <c r="C38" s="491">
        <f>B38/'- 3 -'!$D38*100</f>
        <v>10.230075129936854</v>
      </c>
      <c r="D38" s="494">
        <f>B38/'- 7 -'!$E38</f>
        <v>1326.051105161999</v>
      </c>
      <c r="E38" s="16">
        <v>5183600</v>
      </c>
      <c r="F38" s="267">
        <f>E38/'- 3 -'!$D38*100</f>
        <v>3.4313113181574795</v>
      </c>
      <c r="G38" s="16">
        <f>E38/'- 7 -'!$E38</f>
        <v>444.77622185612302</v>
      </c>
      <c r="H38" s="16">
        <v>3263480</v>
      </c>
      <c r="I38" s="267">
        <f>H38/'- 3 -'!$D38*100</f>
        <v>2.1602777723166469</v>
      </c>
      <c r="J38" s="16">
        <f>H38/'- 7 -'!$E38</f>
        <v>280.02127951674908</v>
      </c>
    </row>
    <row r="39" spans="1:10" ht="14.1" customHeight="1" x14ac:dyDescent="0.2">
      <c r="A39" s="271" t="s">
        <v>135</v>
      </c>
      <c r="B39" s="272">
        <v>1720700</v>
      </c>
      <c r="C39" s="492">
        <f>B39/'- 3 -'!$D39*100</f>
        <v>7.3282397233437253</v>
      </c>
      <c r="D39" s="495">
        <f>B39/'- 7 -'!$E39</f>
        <v>1154.3673688447607</v>
      </c>
      <c r="E39" s="272">
        <v>657400</v>
      </c>
      <c r="F39" s="273">
        <f>E39/'- 3 -'!$D39*100</f>
        <v>2.7997819457930873</v>
      </c>
      <c r="G39" s="272">
        <f>E39/'- 7 -'!$E39</f>
        <v>441.03045753387903</v>
      </c>
      <c r="H39" s="272">
        <v>392200</v>
      </c>
      <c r="I39" s="273">
        <f>H39/'- 3 -'!$D39*100</f>
        <v>1.6703292959234086</v>
      </c>
      <c r="J39" s="272">
        <f>H39/'- 7 -'!$E39</f>
        <v>263.11552395008721</v>
      </c>
    </row>
    <row r="40" spans="1:10" ht="14.1" customHeight="1" x14ac:dyDescent="0.2">
      <c r="A40" s="15" t="s">
        <v>136</v>
      </c>
      <c r="B40" s="16">
        <v>12355301</v>
      </c>
      <c r="C40" s="491">
        <f>B40/'- 3 -'!$D40*100</f>
        <v>11.245098819530027</v>
      </c>
      <c r="D40" s="494">
        <f>B40/'- 7 -'!$E40</f>
        <v>1502.6209790209791</v>
      </c>
      <c r="E40" s="16">
        <v>6173418</v>
      </c>
      <c r="F40" s="267">
        <f>E40/'- 3 -'!$D40*100</f>
        <v>5.6186972267422233</v>
      </c>
      <c r="G40" s="16">
        <f>E40/'- 7 -'!$E40</f>
        <v>750.79574338704776</v>
      </c>
      <c r="H40" s="16">
        <v>2832175</v>
      </c>
      <c r="I40" s="267">
        <f>H40/'- 3 -'!$D40*100</f>
        <v>2.5776861081087747</v>
      </c>
      <c r="J40" s="16">
        <f>H40/'- 7 -'!$E40</f>
        <v>344.44207965947095</v>
      </c>
    </row>
    <row r="41" spans="1:10" ht="14.1" customHeight="1" x14ac:dyDescent="0.2">
      <c r="A41" s="271" t="s">
        <v>137</v>
      </c>
      <c r="B41" s="272">
        <v>5615563</v>
      </c>
      <c r="C41" s="492">
        <f>B41/'- 3 -'!$D41*100</f>
        <v>8.4203286750817323</v>
      </c>
      <c r="D41" s="495">
        <f>B41/'- 7 -'!$E41</f>
        <v>1249.5689808633733</v>
      </c>
      <c r="E41" s="272">
        <v>3467382</v>
      </c>
      <c r="F41" s="273">
        <f>E41/'- 3 -'!$D41*100</f>
        <v>5.1992108506417338</v>
      </c>
      <c r="G41" s="272">
        <f>E41/'- 7 -'!$E41</f>
        <v>771.55807743658215</v>
      </c>
      <c r="H41" s="272">
        <v>1096607</v>
      </c>
      <c r="I41" s="273">
        <f>H41/'- 3 -'!$D41*100</f>
        <v>1.6443215697865652</v>
      </c>
      <c r="J41" s="272">
        <f>H41/'- 7 -'!$E41</f>
        <v>244.01579884290166</v>
      </c>
    </row>
    <row r="42" spans="1:10" ht="14.1" customHeight="1" x14ac:dyDescent="0.2">
      <c r="A42" s="15" t="s">
        <v>138</v>
      </c>
      <c r="B42" s="16">
        <v>1877576</v>
      </c>
      <c r="C42" s="491">
        <f>B42/'- 3 -'!$D42*100</f>
        <v>8.7965000951061114</v>
      </c>
      <c r="D42" s="494">
        <f>B42/'- 7 -'!$E42</f>
        <v>1371.9956156375595</v>
      </c>
      <c r="E42" s="16">
        <v>810388</v>
      </c>
      <c r="F42" s="267">
        <f>E42/'- 3 -'!$D42*100</f>
        <v>3.7966921813406493</v>
      </c>
      <c r="G42" s="16">
        <f>E42/'- 7 -'!$E42</f>
        <v>592.17245158933133</v>
      </c>
      <c r="H42" s="16">
        <v>422363</v>
      </c>
      <c r="I42" s="267">
        <f>H42/'- 3 -'!$D42*100</f>
        <v>1.978783372640736</v>
      </c>
      <c r="J42" s="16">
        <f>H42/'- 7 -'!$E42</f>
        <v>308.63207891852392</v>
      </c>
    </row>
    <row r="43" spans="1:10" ht="14.1" customHeight="1" x14ac:dyDescent="0.2">
      <c r="A43" s="271" t="s">
        <v>139</v>
      </c>
      <c r="B43" s="272">
        <v>404630</v>
      </c>
      <c r="C43" s="492">
        <f>B43/'- 3 -'!$D43*100</f>
        <v>2.9155642841465732</v>
      </c>
      <c r="D43" s="495">
        <f>B43/'- 7 -'!$E43</f>
        <v>402.6169154228856</v>
      </c>
      <c r="E43" s="272">
        <v>1339867</v>
      </c>
      <c r="F43" s="273">
        <f>E43/'- 3 -'!$D43*100</f>
        <v>9.6544210036493006</v>
      </c>
      <c r="G43" s="272">
        <f>E43/'- 7 -'!$E43</f>
        <v>1333.2009950248755</v>
      </c>
      <c r="H43" s="272">
        <v>243869</v>
      </c>
      <c r="I43" s="273">
        <f>H43/'- 3 -'!$D43*100</f>
        <v>1.757199778589182</v>
      </c>
      <c r="J43" s="272">
        <f>H43/'- 7 -'!$E43</f>
        <v>242.65572139303484</v>
      </c>
    </row>
    <row r="44" spans="1:10" ht="14.1" customHeight="1" x14ac:dyDescent="0.2">
      <c r="A44" s="15" t="s">
        <v>140</v>
      </c>
      <c r="B44" s="16">
        <v>947318</v>
      </c>
      <c r="C44" s="491">
        <f>B44/'- 3 -'!$D44*100</f>
        <v>8.4325471799304754</v>
      </c>
      <c r="D44" s="494">
        <f>B44/'- 7 -'!$E44</f>
        <v>1365.9956741167989</v>
      </c>
      <c r="E44" s="16">
        <v>596194</v>
      </c>
      <c r="F44" s="267">
        <f>E44/'- 3 -'!$D44*100</f>
        <v>5.3070183754467548</v>
      </c>
      <c r="G44" s="16">
        <f>E44/'- 7 -'!$E44</f>
        <v>859.68853640951693</v>
      </c>
      <c r="H44" s="16">
        <v>85700</v>
      </c>
      <c r="I44" s="267">
        <f>H44/'- 3 -'!$D44*100</f>
        <v>0.7628581884014044</v>
      </c>
      <c r="J44" s="16">
        <f>H44/'- 7 -'!$E44</f>
        <v>123.57606344628695</v>
      </c>
    </row>
    <row r="45" spans="1:10" ht="14.1" customHeight="1" x14ac:dyDescent="0.2">
      <c r="A45" s="271" t="s">
        <v>141</v>
      </c>
      <c r="B45" s="272">
        <v>880641</v>
      </c>
      <c r="C45" s="492">
        <f>B45/'- 3 -'!$D45*100</f>
        <v>3.9370862697669993</v>
      </c>
      <c r="D45" s="495">
        <f>B45/'- 7 -'!$E45</f>
        <v>424.4053012048193</v>
      </c>
      <c r="E45" s="272">
        <v>1082793</v>
      </c>
      <c r="F45" s="273">
        <f>E45/'- 3 -'!$D45*100</f>
        <v>4.8408482608688654</v>
      </c>
      <c r="G45" s="272">
        <f>E45/'- 7 -'!$E45</f>
        <v>521.82795180722894</v>
      </c>
      <c r="H45" s="272">
        <v>524993</v>
      </c>
      <c r="I45" s="273">
        <f>H45/'- 3 -'!$D45*100</f>
        <v>2.3470889182127408</v>
      </c>
      <c r="J45" s="272">
        <f>H45/'- 7 -'!$E45</f>
        <v>253.00867469879518</v>
      </c>
    </row>
    <row r="46" spans="1:10" ht="14.1" customHeight="1" x14ac:dyDescent="0.2">
      <c r="A46" s="15" t="s">
        <v>142</v>
      </c>
      <c r="B46" s="16">
        <v>22156300</v>
      </c>
      <c r="C46" s="491">
        <f>B46/'- 3 -'!$D46*100</f>
        <v>5.3086064940897755</v>
      </c>
      <c r="D46" s="494">
        <f>B46/'- 7 -'!$E46</f>
        <v>740.59230537821304</v>
      </c>
      <c r="E46" s="16">
        <v>19626911</v>
      </c>
      <c r="F46" s="267">
        <f>E46/'- 3 -'!$D46*100</f>
        <v>4.7025697970113258</v>
      </c>
      <c r="G46" s="16">
        <f>E46/'- 7 -'!$E46</f>
        <v>656.04542567770829</v>
      </c>
      <c r="H46" s="16">
        <v>6073100</v>
      </c>
      <c r="I46" s="267">
        <f>H46/'- 3 -'!$D46*100</f>
        <v>1.4551029774491504</v>
      </c>
      <c r="J46" s="16">
        <f>H46/'- 7 -'!$E46</f>
        <v>202.99829528361801</v>
      </c>
    </row>
    <row r="47" spans="1:10" ht="5.0999999999999996" customHeight="1" x14ac:dyDescent="0.2">
      <c r="A47"/>
      <c r="B47"/>
      <c r="C47" s="499"/>
      <c r="D47" s="496"/>
      <c r="E47"/>
      <c r="F47"/>
      <c r="G47"/>
      <c r="H47" s="507"/>
      <c r="I47"/>
      <c r="J47"/>
    </row>
    <row r="48" spans="1:10" ht="14.1" customHeight="1" x14ac:dyDescent="0.2">
      <c r="A48" s="274" t="s">
        <v>143</v>
      </c>
      <c r="B48" s="275">
        <f>SUM(B11:B46)</f>
        <v>168050929</v>
      </c>
      <c r="C48" s="500">
        <f>B48/'- 3 -'!$D48*100</f>
        <v>6.7741378945400053</v>
      </c>
      <c r="D48" s="497">
        <f>B48/'- 7 -'!$E48</f>
        <v>922.41710367570624</v>
      </c>
      <c r="E48" s="275">
        <f>SUM(E11:E46)</f>
        <v>118828020</v>
      </c>
      <c r="F48" s="276">
        <f>E48/'- 3 -'!$D48*100</f>
        <v>4.7899609838822004</v>
      </c>
      <c r="G48" s="275">
        <f>E48/'- 7 -'!$E48</f>
        <v>652.23678736056786</v>
      </c>
      <c r="H48" s="275">
        <f>SUM(H11:H46)</f>
        <v>50285208</v>
      </c>
      <c r="I48" s="276">
        <f>H48/'- 3 -'!$D48*100</f>
        <v>2.0269982146163934</v>
      </c>
      <c r="J48" s="275">
        <f>H48/'- 7 -'!$E48</f>
        <v>276.01118421124858</v>
      </c>
    </row>
    <row r="49" spans="1:10" ht="5.0999999999999996" customHeight="1" x14ac:dyDescent="0.2">
      <c r="A49" s="17" t="s">
        <v>1</v>
      </c>
      <c r="B49" s="18"/>
      <c r="C49" s="501"/>
      <c r="D49" s="498"/>
      <c r="E49" s="18"/>
      <c r="F49" s="266"/>
      <c r="H49" s="18"/>
      <c r="I49" s="266"/>
      <c r="J49" s="18"/>
    </row>
    <row r="50" spans="1:10" ht="14.1" customHeight="1" x14ac:dyDescent="0.2">
      <c r="A50" s="15" t="s">
        <v>144</v>
      </c>
      <c r="B50" s="16">
        <v>232500</v>
      </c>
      <c r="C50" s="491">
        <f>B50/'- 3 -'!$D50*100</f>
        <v>6.479674862456708</v>
      </c>
      <c r="D50" s="494">
        <f>B50/'- 7 -'!$E50</f>
        <v>1351.7441860465117</v>
      </c>
      <c r="E50" s="16">
        <v>55700</v>
      </c>
      <c r="F50" s="267">
        <f>E50/'- 3 -'!$D50*100</f>
        <v>1.552335010059521</v>
      </c>
      <c r="G50" s="16">
        <f>E50/'- 7 -'!$E50</f>
        <v>323.83720930232556</v>
      </c>
      <c r="H50" s="16">
        <v>55900</v>
      </c>
      <c r="I50" s="267">
        <f>H50/'- 3 -'!$D50*100</f>
        <v>1.5579089239196988</v>
      </c>
      <c r="J50" s="16">
        <f>H50/'- 7 -'!$E50</f>
        <v>325</v>
      </c>
    </row>
    <row r="51" spans="1:10" ht="14.1" customHeight="1" x14ac:dyDescent="0.2">
      <c r="A51" s="360" t="s">
        <v>513</v>
      </c>
      <c r="B51" s="272">
        <v>758270</v>
      </c>
      <c r="C51" s="492">
        <f>B51/'- 3 -'!$D51*100</f>
        <v>2.1811134450814436</v>
      </c>
      <c r="D51" s="495">
        <f>B51/'- 7 -'!$E51</f>
        <v>427.4110816752156</v>
      </c>
      <c r="E51" s="272">
        <v>0</v>
      </c>
      <c r="F51" s="273">
        <f>E51/'- 3 -'!$D51*100</f>
        <v>0</v>
      </c>
      <c r="G51" s="272">
        <f>E51/'- 7 -'!$E51</f>
        <v>0</v>
      </c>
      <c r="H51" s="272">
        <v>412062</v>
      </c>
      <c r="I51" s="273">
        <f>H51/'- 3 -'!$D51*100</f>
        <v>1.1852690577329312</v>
      </c>
      <c r="J51" s="272">
        <f>H51/'- 7 -'!$E51</f>
        <v>232.26537399244688</v>
      </c>
    </row>
    <row r="52" spans="1:10" ht="50.1" customHeight="1" x14ac:dyDescent="0.2">
      <c r="A52" s="19"/>
      <c r="B52" s="19"/>
      <c r="C52" s="19"/>
      <c r="D52" s="19"/>
      <c r="E52" s="19"/>
      <c r="F52" s="19"/>
      <c r="G52" s="19"/>
      <c r="H52" s="19"/>
      <c r="I52" s="19"/>
      <c r="J52" s="19"/>
    </row>
    <row r="53" spans="1:10" ht="12" customHeight="1" x14ac:dyDescent="0.2">
      <c r="A53" s="673" t="s">
        <v>407</v>
      </c>
      <c r="B53" s="674"/>
      <c r="C53" s="674"/>
      <c r="D53" s="674"/>
      <c r="E53" s="674"/>
      <c r="F53" s="674"/>
      <c r="G53" s="674"/>
      <c r="H53" s="674"/>
      <c r="I53" s="674"/>
      <c r="J53" s="674"/>
    </row>
    <row r="54" spans="1:10" ht="12" customHeight="1" x14ac:dyDescent="0.2">
      <c r="A54" s="675"/>
      <c r="B54" s="675"/>
      <c r="C54" s="675"/>
      <c r="D54" s="675"/>
      <c r="E54" s="675"/>
      <c r="F54" s="675"/>
      <c r="G54" s="675"/>
      <c r="H54" s="675"/>
      <c r="I54" s="675"/>
      <c r="J54" s="675"/>
    </row>
    <row r="55" spans="1:10" ht="14.45" customHeight="1" x14ac:dyDescent="0.2">
      <c r="B55" s="90"/>
      <c r="C55" s="90"/>
    </row>
    <row r="56" spans="1:10" ht="14.45" customHeight="1" x14ac:dyDescent="0.2">
      <c r="B56" s="90"/>
      <c r="C56" s="90"/>
    </row>
    <row r="57" spans="1:10" ht="14.45" customHeight="1" x14ac:dyDescent="0.2"/>
    <row r="58" spans="1:10" ht="14.45" customHeight="1" x14ac:dyDescent="0.2"/>
  </sheetData>
  <mergeCells count="8">
    <mergeCell ref="A53:J54"/>
    <mergeCell ref="G8:G9"/>
    <mergeCell ref="J8:J9"/>
    <mergeCell ref="B5:J5"/>
    <mergeCell ref="B6:D7"/>
    <mergeCell ref="E6:G7"/>
    <mergeCell ref="H6:J7"/>
    <mergeCell ref="D8:D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9"/>
  <sheetViews>
    <sheetView showGridLines="0" showZeros="0" workbookViewId="0"/>
  </sheetViews>
  <sheetFormatPr defaultColWidth="15.83203125" defaultRowHeight="12" x14ac:dyDescent="0.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x14ac:dyDescent="0.2">
      <c r="A1" s="3"/>
      <c r="B1" s="4"/>
      <c r="C1" s="4"/>
      <c r="D1" s="4"/>
      <c r="E1" s="4"/>
    </row>
    <row r="2" spans="1:6" ht="15.95" customHeight="1" x14ac:dyDescent="0.2">
      <c r="A2" s="132"/>
      <c r="B2" s="5" t="str">
        <f>AEXP_BP</f>
        <v>ANALYSIS OF EXPENSE BY PROGRAM</v>
      </c>
      <c r="C2" s="6"/>
      <c r="D2" s="6"/>
      <c r="E2" s="150"/>
      <c r="F2" s="502" t="s">
        <v>537</v>
      </c>
    </row>
    <row r="3" spans="1:6" ht="15.95" customHeight="1" x14ac:dyDescent="0.2">
      <c r="A3" s="135"/>
      <c r="B3" s="7" t="str">
        <f>OPYEAR</f>
        <v>OPERATING FUND 2020/2021 BUDGET</v>
      </c>
      <c r="C3" s="8"/>
      <c r="D3" s="8"/>
      <c r="E3" s="81"/>
      <c r="F3" s="81"/>
    </row>
    <row r="4" spans="1:6" ht="15.95" customHeight="1" x14ac:dyDescent="0.2">
      <c r="B4" s="4"/>
      <c r="C4" s="4"/>
      <c r="D4" s="4"/>
      <c r="E4" s="4"/>
    </row>
    <row r="5" spans="1:6" ht="15.95" customHeight="1" x14ac:dyDescent="0.2">
      <c r="B5" s="670" t="s">
        <v>190</v>
      </c>
      <c r="C5" s="671"/>
      <c r="D5" s="671"/>
      <c r="E5" s="672"/>
    </row>
    <row r="6" spans="1:6" ht="15.95" customHeight="1" x14ac:dyDescent="0.2">
      <c r="B6" s="622" t="s">
        <v>413</v>
      </c>
      <c r="C6" s="623"/>
      <c r="D6" s="628" t="s">
        <v>71</v>
      </c>
      <c r="E6" s="615"/>
    </row>
    <row r="7" spans="1:6" ht="15.95" customHeight="1" x14ac:dyDescent="0.2">
      <c r="B7" s="624"/>
      <c r="C7" s="625"/>
      <c r="D7" s="629"/>
      <c r="E7" s="617"/>
    </row>
    <row r="8" spans="1:6" ht="15.95" customHeight="1" x14ac:dyDescent="0.2">
      <c r="A8" s="82"/>
      <c r="B8" s="138"/>
      <c r="C8" s="137"/>
      <c r="D8" s="137"/>
      <c r="E8" s="138"/>
    </row>
    <row r="9" spans="1:6" ht="15.95" customHeight="1" x14ac:dyDescent="0.2">
      <c r="A9" s="27" t="s">
        <v>37</v>
      </c>
      <c r="B9" s="89" t="s">
        <v>38</v>
      </c>
      <c r="C9" s="89" t="s">
        <v>39</v>
      </c>
      <c r="D9" s="89" t="s">
        <v>38</v>
      </c>
      <c r="E9" s="89" t="s">
        <v>39</v>
      </c>
    </row>
    <row r="10" spans="1:6" ht="5.0999999999999996" customHeight="1" x14ac:dyDescent="0.2">
      <c r="A10" s="29"/>
    </row>
    <row r="11" spans="1:6" ht="14.1" customHeight="1" x14ac:dyDescent="0.2">
      <c r="A11" s="271" t="s">
        <v>108</v>
      </c>
      <c r="B11" s="272">
        <v>0</v>
      </c>
      <c r="C11" s="273">
        <f>B11/'- 3 -'!$D11*100</f>
        <v>0</v>
      </c>
      <c r="D11" s="272">
        <v>0</v>
      </c>
      <c r="E11" s="273">
        <f>D11/'- 3 -'!$D11*100</f>
        <v>0</v>
      </c>
    </row>
    <row r="12" spans="1:6" ht="14.1" customHeight="1" x14ac:dyDescent="0.2">
      <c r="A12" s="15" t="s">
        <v>109</v>
      </c>
      <c r="B12" s="16">
        <v>141860</v>
      </c>
      <c r="C12" s="267">
        <f>B12/'- 3 -'!$D12*100</f>
        <v>0.40889192651451711</v>
      </c>
      <c r="D12" s="16">
        <v>447913</v>
      </c>
      <c r="E12" s="267">
        <f>D12/'- 3 -'!$D12*100</f>
        <v>1.2910475784639568</v>
      </c>
    </row>
    <row r="13" spans="1:6" ht="14.1" customHeight="1" x14ac:dyDescent="0.2">
      <c r="A13" s="271" t="s">
        <v>110</v>
      </c>
      <c r="B13" s="272">
        <v>0</v>
      </c>
      <c r="C13" s="273">
        <f>B13/'- 3 -'!$D13*100</f>
        <v>0</v>
      </c>
      <c r="D13" s="272">
        <v>0</v>
      </c>
      <c r="E13" s="273">
        <f>D13/'- 3 -'!$D13*100</f>
        <v>0</v>
      </c>
    </row>
    <row r="14" spans="1:6" ht="14.1" customHeight="1" x14ac:dyDescent="0.2">
      <c r="A14" s="15" t="s">
        <v>319</v>
      </c>
      <c r="B14" s="16">
        <v>112475</v>
      </c>
      <c r="C14" s="267">
        <f>B14/'- 3 -'!$D14*100</f>
        <v>0.11584328244914792</v>
      </c>
      <c r="D14" s="16">
        <v>148455</v>
      </c>
      <c r="E14" s="267">
        <f>D14/'- 3 -'!$D14*100</f>
        <v>0.15290077346955547</v>
      </c>
    </row>
    <row r="15" spans="1:6" ht="14.1" customHeight="1" x14ac:dyDescent="0.2">
      <c r="A15" s="271" t="s">
        <v>111</v>
      </c>
      <c r="B15" s="272">
        <v>0</v>
      </c>
      <c r="C15" s="273">
        <f>B15/'- 3 -'!$D15*100</f>
        <v>0</v>
      </c>
      <c r="D15" s="272">
        <v>0</v>
      </c>
      <c r="E15" s="273">
        <f>D15/'- 3 -'!$D15*100</f>
        <v>0</v>
      </c>
    </row>
    <row r="16" spans="1:6" ht="14.1" customHeight="1" x14ac:dyDescent="0.2">
      <c r="A16" s="15" t="s">
        <v>112</v>
      </c>
      <c r="B16" s="16">
        <v>22191</v>
      </c>
      <c r="C16" s="267">
        <f>B16/'- 3 -'!$D16*100</f>
        <v>0.14837747615068267</v>
      </c>
      <c r="D16" s="16">
        <v>71809</v>
      </c>
      <c r="E16" s="267">
        <f>D16/'- 3 -'!$D16*100</f>
        <v>0.48014231827787712</v>
      </c>
    </row>
    <row r="17" spans="1:5" ht="14.1" customHeight="1" x14ac:dyDescent="0.2">
      <c r="A17" s="271" t="s">
        <v>113</v>
      </c>
      <c r="B17" s="272">
        <v>0</v>
      </c>
      <c r="C17" s="273">
        <f>B17/'- 3 -'!$D17*100</f>
        <v>0</v>
      </c>
      <c r="D17" s="272">
        <v>0</v>
      </c>
      <c r="E17" s="273">
        <f>D17/'- 3 -'!$D17*100</f>
        <v>0</v>
      </c>
    </row>
    <row r="18" spans="1:5" ht="14.1" customHeight="1" x14ac:dyDescent="0.2">
      <c r="A18" s="15" t="s">
        <v>114</v>
      </c>
      <c r="B18" s="16">
        <v>235489</v>
      </c>
      <c r="C18" s="267">
        <f>B18/'- 3 -'!$D18*100</f>
        <v>0.16917228389185232</v>
      </c>
      <c r="D18" s="16">
        <v>1920568</v>
      </c>
      <c r="E18" s="267">
        <f>D18/'- 3 -'!$D18*100</f>
        <v>1.3797114724237949</v>
      </c>
    </row>
    <row r="19" spans="1:5" ht="14.1" customHeight="1" x14ac:dyDescent="0.2">
      <c r="A19" s="271" t="s">
        <v>115</v>
      </c>
      <c r="B19" s="272">
        <v>0</v>
      </c>
      <c r="C19" s="273">
        <f>B19/'- 3 -'!$D19*100</f>
        <v>0</v>
      </c>
      <c r="D19" s="272">
        <v>0</v>
      </c>
      <c r="E19" s="273">
        <f>D19/'- 3 -'!$D19*100</f>
        <v>0</v>
      </c>
    </row>
    <row r="20" spans="1:5" ht="14.1" customHeight="1" x14ac:dyDescent="0.2">
      <c r="A20" s="15" t="s">
        <v>116</v>
      </c>
      <c r="B20" s="16">
        <v>0</v>
      </c>
      <c r="C20" s="267">
        <f>B20/'- 3 -'!$D20*100</f>
        <v>0</v>
      </c>
      <c r="D20" s="16">
        <v>0</v>
      </c>
      <c r="E20" s="267">
        <f>D20/'- 3 -'!$D20*100</f>
        <v>0</v>
      </c>
    </row>
    <row r="21" spans="1:5" ht="14.1" customHeight="1" x14ac:dyDescent="0.2">
      <c r="A21" s="271" t="s">
        <v>117</v>
      </c>
      <c r="B21" s="272">
        <v>0</v>
      </c>
      <c r="C21" s="273">
        <f>B21/'- 3 -'!$D21*100</f>
        <v>0</v>
      </c>
      <c r="D21" s="272">
        <v>0</v>
      </c>
      <c r="E21" s="273">
        <f>D21/'- 3 -'!$D21*100</f>
        <v>0</v>
      </c>
    </row>
    <row r="22" spans="1:5" ht="14.1" customHeight="1" x14ac:dyDescent="0.2">
      <c r="A22" s="15" t="s">
        <v>118</v>
      </c>
      <c r="B22" s="16">
        <v>169835</v>
      </c>
      <c r="C22" s="267">
        <f>B22/'- 3 -'!$D22*100</f>
        <v>0.83037022821919115</v>
      </c>
      <c r="D22" s="16">
        <v>452095</v>
      </c>
      <c r="E22" s="267">
        <f>D22/'- 3 -'!$D22*100</f>
        <v>2.2104173363956501</v>
      </c>
    </row>
    <row r="23" spans="1:5" ht="14.1" customHeight="1" x14ac:dyDescent="0.2">
      <c r="A23" s="271" t="s">
        <v>119</v>
      </c>
      <c r="B23" s="272">
        <v>63895</v>
      </c>
      <c r="C23" s="273">
        <f>B23/'- 3 -'!$D23*100</f>
        <v>0.40015118005300071</v>
      </c>
      <c r="D23" s="272">
        <v>211755</v>
      </c>
      <c r="E23" s="273">
        <f>D23/'- 3 -'!$D23*100</f>
        <v>1.3261446612743275</v>
      </c>
    </row>
    <row r="24" spans="1:5" ht="14.1" customHeight="1" x14ac:dyDescent="0.2">
      <c r="A24" s="15" t="s">
        <v>120</v>
      </c>
      <c r="B24" s="16">
        <v>73897</v>
      </c>
      <c r="C24" s="267">
        <f>B24/'- 3 -'!$D24*100</f>
        <v>0.12552799489849825</v>
      </c>
      <c r="D24" s="16">
        <v>258636</v>
      </c>
      <c r="E24" s="267">
        <f>D24/'- 3 -'!$D24*100</f>
        <v>0.43934203673448174</v>
      </c>
    </row>
    <row r="25" spans="1:5" ht="14.1" customHeight="1" x14ac:dyDescent="0.2">
      <c r="A25" s="271" t="s">
        <v>121</v>
      </c>
      <c r="B25" s="272">
        <v>0</v>
      </c>
      <c r="C25" s="273">
        <f>B25/'- 3 -'!$D25*100</f>
        <v>0</v>
      </c>
      <c r="D25" s="272">
        <v>377259</v>
      </c>
      <c r="E25" s="273">
        <f>D25/'- 3 -'!$D25*100</f>
        <v>0.19396427299829649</v>
      </c>
    </row>
    <row r="26" spans="1:5" ht="14.1" customHeight="1" x14ac:dyDescent="0.2">
      <c r="A26" s="15" t="s">
        <v>122</v>
      </c>
      <c r="B26" s="16">
        <v>0</v>
      </c>
      <c r="C26" s="267">
        <f>B26/'- 3 -'!$D26*100</f>
        <v>0</v>
      </c>
      <c r="D26" s="16">
        <v>0</v>
      </c>
      <c r="E26" s="267">
        <f>D26/'- 3 -'!$D26*100</f>
        <v>0</v>
      </c>
    </row>
    <row r="27" spans="1:5" ht="14.1" customHeight="1" x14ac:dyDescent="0.2">
      <c r="A27" s="271" t="s">
        <v>123</v>
      </c>
      <c r="B27" s="272">
        <v>0</v>
      </c>
      <c r="C27" s="273">
        <f>B27/'- 3 -'!$D27*100</f>
        <v>0</v>
      </c>
      <c r="D27" s="272">
        <v>0</v>
      </c>
      <c r="E27" s="273">
        <f>D27/'- 3 -'!$D27*100</f>
        <v>0</v>
      </c>
    </row>
    <row r="28" spans="1:5" ht="14.1" customHeight="1" x14ac:dyDescent="0.2">
      <c r="A28" s="15" t="s">
        <v>124</v>
      </c>
      <c r="B28" s="16">
        <v>0</v>
      </c>
      <c r="C28" s="267">
        <f>B28/'- 3 -'!$D28*100</f>
        <v>0</v>
      </c>
      <c r="D28" s="16">
        <v>74132</v>
      </c>
      <c r="E28" s="267">
        <f>D28/'- 3 -'!$D28*100</f>
        <v>0.25752831388884323</v>
      </c>
    </row>
    <row r="29" spans="1:5" ht="14.1" customHeight="1" x14ac:dyDescent="0.2">
      <c r="A29" s="271" t="s">
        <v>125</v>
      </c>
      <c r="B29" s="272">
        <v>0</v>
      </c>
      <c r="C29" s="273">
        <f>B29/'- 3 -'!$D29*100</f>
        <v>0</v>
      </c>
      <c r="D29" s="272">
        <v>0</v>
      </c>
      <c r="E29" s="273">
        <f>D29/'- 3 -'!$D29*100</f>
        <v>0</v>
      </c>
    </row>
    <row r="30" spans="1:5" ht="14.1" customHeight="1" x14ac:dyDescent="0.2">
      <c r="A30" s="15" t="s">
        <v>126</v>
      </c>
      <c r="B30" s="16">
        <v>0</v>
      </c>
      <c r="C30" s="267">
        <f>B30/'- 3 -'!$D30*100</f>
        <v>0</v>
      </c>
      <c r="D30" s="16">
        <v>0</v>
      </c>
      <c r="E30" s="267">
        <f>D30/'- 3 -'!$D30*100</f>
        <v>0</v>
      </c>
    </row>
    <row r="31" spans="1:5" ht="14.1" customHeight="1" x14ac:dyDescent="0.2">
      <c r="A31" s="271" t="s">
        <v>127</v>
      </c>
      <c r="B31" s="272">
        <v>0</v>
      </c>
      <c r="C31" s="273">
        <f>B31/'- 3 -'!$D31*100</f>
        <v>0</v>
      </c>
      <c r="D31" s="272">
        <v>0</v>
      </c>
      <c r="E31" s="273">
        <f>D31/'- 3 -'!$D31*100</f>
        <v>0</v>
      </c>
    </row>
    <row r="32" spans="1:5" ht="14.1" customHeight="1" x14ac:dyDescent="0.2">
      <c r="A32" s="15" t="s">
        <v>128</v>
      </c>
      <c r="B32" s="16">
        <v>78641</v>
      </c>
      <c r="C32" s="267">
        <f>B32/'- 3 -'!$D32*100</f>
        <v>0.24810085688983788</v>
      </c>
      <c r="D32" s="16">
        <v>214504</v>
      </c>
      <c r="E32" s="267">
        <f>D32/'- 3 -'!$D32*100</f>
        <v>0.67672875734410531</v>
      </c>
    </row>
    <row r="33" spans="1:5" ht="14.1" customHeight="1" x14ac:dyDescent="0.2">
      <c r="A33" s="271" t="s">
        <v>129</v>
      </c>
      <c r="B33" s="272">
        <v>0</v>
      </c>
      <c r="C33" s="273">
        <f>B33/'- 3 -'!$D33*100</f>
        <v>0</v>
      </c>
      <c r="D33" s="272">
        <v>0</v>
      </c>
      <c r="E33" s="273">
        <f>D33/'- 3 -'!$D33*100</f>
        <v>0</v>
      </c>
    </row>
    <row r="34" spans="1:5" ht="14.1" customHeight="1" x14ac:dyDescent="0.2">
      <c r="A34" s="15" t="s">
        <v>130</v>
      </c>
      <c r="B34" s="16">
        <v>0</v>
      </c>
      <c r="C34" s="267">
        <f>B34/'- 3 -'!$D34*100</f>
        <v>0</v>
      </c>
      <c r="D34" s="16">
        <v>0</v>
      </c>
      <c r="E34" s="267">
        <f>D34/'- 3 -'!$D34*100</f>
        <v>0</v>
      </c>
    </row>
    <row r="35" spans="1:5" ht="14.1" customHeight="1" x14ac:dyDescent="0.2">
      <c r="A35" s="271" t="s">
        <v>131</v>
      </c>
      <c r="B35" s="272">
        <v>0</v>
      </c>
      <c r="C35" s="273">
        <f>B35/'- 3 -'!$D35*100</f>
        <v>0</v>
      </c>
      <c r="D35" s="272">
        <v>0</v>
      </c>
      <c r="E35" s="273">
        <f>D35/'- 3 -'!$D35*100</f>
        <v>0</v>
      </c>
    </row>
    <row r="36" spans="1:5" ht="14.1" customHeight="1" x14ac:dyDescent="0.2">
      <c r="A36" s="15" t="s">
        <v>132</v>
      </c>
      <c r="B36" s="16">
        <v>0</v>
      </c>
      <c r="C36" s="267">
        <f>B36/'- 3 -'!$D36*100</f>
        <v>0</v>
      </c>
      <c r="D36" s="16">
        <v>0</v>
      </c>
      <c r="E36" s="267">
        <f>D36/'- 3 -'!$D36*100</f>
        <v>0</v>
      </c>
    </row>
    <row r="37" spans="1:5" ht="14.1" customHeight="1" x14ac:dyDescent="0.2">
      <c r="A37" s="271" t="s">
        <v>133</v>
      </c>
      <c r="B37" s="272">
        <v>0</v>
      </c>
      <c r="C37" s="273">
        <f>B37/'- 3 -'!$D37*100</f>
        <v>0</v>
      </c>
      <c r="D37" s="272">
        <v>0</v>
      </c>
      <c r="E37" s="273">
        <f>D37/'- 3 -'!$D37*100</f>
        <v>0</v>
      </c>
    </row>
    <row r="38" spans="1:5" ht="14.1" customHeight="1" x14ac:dyDescent="0.2">
      <c r="A38" s="15" t="s">
        <v>134</v>
      </c>
      <c r="B38" s="16">
        <v>578768</v>
      </c>
      <c r="C38" s="267">
        <f>B38/'- 3 -'!$D38*100</f>
        <v>0.38311852553965736</v>
      </c>
      <c r="D38" s="16">
        <v>1544937</v>
      </c>
      <c r="E38" s="267">
        <f>D38/'- 3 -'!$D38*100</f>
        <v>1.0226791831816231</v>
      </c>
    </row>
    <row r="39" spans="1:5" ht="14.1" customHeight="1" x14ac:dyDescent="0.2">
      <c r="A39" s="271" t="s">
        <v>135</v>
      </c>
      <c r="B39" s="272">
        <v>0</v>
      </c>
      <c r="C39" s="273">
        <f>B39/'- 3 -'!$D39*100</f>
        <v>0</v>
      </c>
      <c r="D39" s="272">
        <v>0</v>
      </c>
      <c r="E39" s="273">
        <f>D39/'- 3 -'!$D39*100</f>
        <v>0</v>
      </c>
    </row>
    <row r="40" spans="1:5" ht="14.1" customHeight="1" x14ac:dyDescent="0.2">
      <c r="A40" s="15" t="s">
        <v>136</v>
      </c>
      <c r="B40" s="16">
        <v>0</v>
      </c>
      <c r="C40" s="267">
        <f>B40/'- 3 -'!$D40*100</f>
        <v>0</v>
      </c>
      <c r="D40" s="16">
        <v>0</v>
      </c>
      <c r="E40" s="267">
        <f>D40/'- 3 -'!$D40*100</f>
        <v>0</v>
      </c>
    </row>
    <row r="41" spans="1:5" ht="14.1" customHeight="1" x14ac:dyDescent="0.2">
      <c r="A41" s="271" t="s">
        <v>137</v>
      </c>
      <c r="B41" s="272">
        <v>360657</v>
      </c>
      <c r="C41" s="273">
        <f>B41/'- 3 -'!$D41*100</f>
        <v>0.5407918100053285</v>
      </c>
      <c r="D41" s="272">
        <v>633463</v>
      </c>
      <c r="E41" s="273">
        <f>D41/'- 3 -'!$D41*100</f>
        <v>0.9498543001838462</v>
      </c>
    </row>
    <row r="42" spans="1:5" ht="14.1" customHeight="1" x14ac:dyDescent="0.2">
      <c r="A42" s="15" t="s">
        <v>138</v>
      </c>
      <c r="B42" s="16">
        <v>0</v>
      </c>
      <c r="C42" s="267">
        <f>B42/'- 3 -'!$D42*100</f>
        <v>0</v>
      </c>
      <c r="D42" s="16">
        <v>0</v>
      </c>
      <c r="E42" s="267">
        <f>D42/'- 3 -'!$D42*100</f>
        <v>0</v>
      </c>
    </row>
    <row r="43" spans="1:5" ht="14.1" customHeight="1" x14ac:dyDescent="0.2">
      <c r="A43" s="271" t="s">
        <v>139</v>
      </c>
      <c r="B43" s="272">
        <v>0</v>
      </c>
      <c r="C43" s="273">
        <f>B43/'- 3 -'!$D43*100</f>
        <v>0</v>
      </c>
      <c r="D43" s="272">
        <v>203922</v>
      </c>
      <c r="E43" s="273">
        <f>D43/'- 3 -'!$D43*100</f>
        <v>1.4693613917696107</v>
      </c>
    </row>
    <row r="44" spans="1:5" ht="14.1" customHeight="1" x14ac:dyDescent="0.2">
      <c r="A44" s="15" t="s">
        <v>140</v>
      </c>
      <c r="B44" s="16">
        <v>0</v>
      </c>
      <c r="C44" s="267">
        <f>B44/'- 3 -'!$D44*100</f>
        <v>0</v>
      </c>
      <c r="D44" s="16">
        <v>0</v>
      </c>
      <c r="E44" s="267">
        <f>D44/'- 3 -'!$D44*100</f>
        <v>0</v>
      </c>
    </row>
    <row r="45" spans="1:5" ht="14.1" customHeight="1" x14ac:dyDescent="0.2">
      <c r="A45" s="271" t="s">
        <v>141</v>
      </c>
      <c r="B45" s="272">
        <v>187221</v>
      </c>
      <c r="C45" s="273">
        <f>B45/'- 3 -'!$D45*100</f>
        <v>0.83700989223991096</v>
      </c>
      <c r="D45" s="272">
        <v>254235</v>
      </c>
      <c r="E45" s="273">
        <f>D45/'- 3 -'!$D45*100</f>
        <v>1.1366097283617422</v>
      </c>
    </row>
    <row r="46" spans="1:5" ht="14.1" customHeight="1" x14ac:dyDescent="0.2">
      <c r="A46" s="15" t="s">
        <v>142</v>
      </c>
      <c r="B46" s="16">
        <v>102900</v>
      </c>
      <c r="C46" s="267">
        <f>B46/'- 3 -'!$D46*100</f>
        <v>2.4654640361515139E-2</v>
      </c>
      <c r="D46" s="16">
        <v>692900</v>
      </c>
      <c r="E46" s="267">
        <f>D46/'- 3 -'!$D46*100</f>
        <v>0.16601749568993041</v>
      </c>
    </row>
    <row r="47" spans="1:5" ht="5.0999999999999996" customHeight="1" x14ac:dyDescent="0.2">
      <c r="A47"/>
      <c r="B47"/>
      <c r="C47"/>
      <c r="D47"/>
      <c r="E47"/>
    </row>
    <row r="48" spans="1:5" ht="14.1" customHeight="1" x14ac:dyDescent="0.2">
      <c r="A48" s="274" t="s">
        <v>143</v>
      </c>
      <c r="B48" s="275">
        <f>SUM(B11:B46)</f>
        <v>2127829</v>
      </c>
      <c r="C48" s="276">
        <f>B48/'- 3 -'!$D48*100</f>
        <v>8.5772849622278297E-2</v>
      </c>
      <c r="D48" s="275">
        <f>SUM(D11:D46)</f>
        <v>7506583</v>
      </c>
      <c r="E48" s="276">
        <f>D48/'- 3 -'!$D48*100</f>
        <v>0.30259058168497127</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0</v>
      </c>
      <c r="E50" s="267">
        <f>D50/'- 3 -'!$D50*100</f>
        <v>0</v>
      </c>
    </row>
    <row r="51" spans="1:5" ht="14.1" customHeight="1" x14ac:dyDescent="0.2">
      <c r="A51" s="360" t="s">
        <v>513</v>
      </c>
      <c r="B51" s="272">
        <v>901467</v>
      </c>
      <c r="C51" s="273">
        <f>B51/'- 3 -'!$D51*100</f>
        <v>2.5930101335899267</v>
      </c>
      <c r="D51" s="272">
        <v>2006258</v>
      </c>
      <c r="E51" s="273">
        <f>D51/'- 3 -'!$D51*100</f>
        <v>5.7708682897941452</v>
      </c>
    </row>
    <row r="52" spans="1:5" ht="50.1" customHeight="1" x14ac:dyDescent="0.2"/>
    <row r="53" spans="1:5" ht="15" customHeight="1" x14ac:dyDescent="0.2">
      <c r="A53" s="131"/>
    </row>
    <row r="54" spans="1:5" ht="14.45" customHeight="1" x14ac:dyDescent="0.2"/>
    <row r="55" spans="1:5" ht="14.45" customHeight="1" x14ac:dyDescent="0.2"/>
    <row r="56" spans="1:5" ht="14.45" customHeight="1" x14ac:dyDescent="0.2"/>
    <row r="57" spans="1:5" ht="14.45" customHeight="1" x14ac:dyDescent="0.2"/>
    <row r="58" spans="1:5" ht="14.45" customHeight="1" x14ac:dyDescent="0.2">
      <c r="A58" s="20"/>
    </row>
    <row r="59" spans="1:5" ht="14.45" customHeight="1" x14ac:dyDescent="0.2"/>
  </sheetData>
  <mergeCells count="3">
    <mergeCell ref="B6:C7"/>
    <mergeCell ref="B5:E5"/>
    <mergeCell ref="D6:E7"/>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BC65536"/>
  <sheetViews>
    <sheetView showGridLines="0" showZeros="0" workbookViewId="0"/>
  </sheetViews>
  <sheetFormatPr defaultColWidth="15.83203125" defaultRowHeight="12" x14ac:dyDescent="0.2"/>
  <cols>
    <col min="1" max="1" width="32.83203125" style="1" customWidth="1"/>
    <col min="2" max="2" width="18.83203125" style="1" customWidth="1"/>
    <col min="3" max="3" width="19.83203125" style="1" customWidth="1"/>
    <col min="4" max="4" width="20.6640625" style="1" customWidth="1"/>
    <col min="5" max="5" width="19.83203125" style="1" customWidth="1"/>
    <col min="6" max="6" width="20.83203125" style="1" customWidth="1"/>
    <col min="7" max="16384" width="15.83203125" style="1"/>
  </cols>
  <sheetData>
    <row r="1" spans="1:55" ht="6.95" customHeight="1" x14ac:dyDescent="0.2">
      <c r="A1" s="3"/>
      <c r="B1" s="4"/>
      <c r="C1" s="4"/>
      <c r="D1" s="4"/>
      <c r="E1" s="4"/>
      <c r="F1" s="4"/>
      <c r="BA1" s="164"/>
      <c r="BB1" s="164"/>
      <c r="BC1" s="164"/>
    </row>
    <row r="2" spans="1:55" ht="15.95" customHeight="1" x14ac:dyDescent="0.2">
      <c r="A2" s="5" t="str">
        <f>IF(Lang=1,BA2,BB2)</f>
        <v>RECONCILIATION  OF  EXPENSES</v>
      </c>
      <c r="B2" s="6"/>
      <c r="C2" s="6"/>
      <c r="D2" s="6"/>
      <c r="E2" s="6"/>
      <c r="F2" s="6"/>
      <c r="BA2" s="457" t="s">
        <v>254</v>
      </c>
      <c r="BB2" s="458" t="s">
        <v>369</v>
      </c>
      <c r="BC2" s="164"/>
    </row>
    <row r="3" spans="1:55" ht="15.95" customHeight="1" x14ac:dyDescent="0.2">
      <c r="A3" s="7" t="str">
        <f>IF(Lang=1,BA3,BB3)</f>
        <v>OPERATING FUND 2020/2021 BUDGET</v>
      </c>
      <c r="B3" s="8"/>
      <c r="C3" s="9"/>
      <c r="D3" s="8"/>
      <c r="E3" s="8"/>
      <c r="F3" s="8"/>
      <c r="BA3" s="458" t="str">
        <f>"OPERATING FUND "&amp;YEAR&amp;"/"&amp;YEAR+1&amp;" BUDGET"</f>
        <v>OPERATING FUND 2020/2021 BUDGET</v>
      </c>
      <c r="BB3" s="458" t="str">
        <f>"FONDS DE FONCTIONNEMENT – BUDGET "&amp;YEAR&amp;" - "&amp;YEAR+1</f>
        <v>FONDS DE FONCTIONNEMENT – BUDGET 2020 - 2021</v>
      </c>
      <c r="BC3" s="164"/>
    </row>
    <row r="4" spans="1:55" ht="15.95" customHeight="1" x14ac:dyDescent="0.2">
      <c r="B4" s="4"/>
      <c r="C4" s="4"/>
      <c r="D4" s="4"/>
      <c r="E4" s="4"/>
      <c r="F4" s="4"/>
      <c r="BA4" s="164"/>
      <c r="BB4" s="164"/>
      <c r="BC4" s="164"/>
    </row>
    <row r="5" spans="1:55" ht="15.95" customHeight="1" x14ac:dyDescent="0.2">
      <c r="B5" s="4"/>
      <c r="C5" s="4"/>
      <c r="D5" s="4"/>
      <c r="E5" s="4"/>
      <c r="F5" s="4"/>
      <c r="BA5" s="164"/>
      <c r="BB5" s="164"/>
      <c r="BC5" s="164"/>
    </row>
    <row r="6" spans="1:55" ht="15.95" customHeight="1" x14ac:dyDescent="0.2">
      <c r="B6" s="10"/>
      <c r="C6" s="540" t="s">
        <v>364</v>
      </c>
      <c r="D6" s="543" t="s">
        <v>365</v>
      </c>
      <c r="E6" s="540" t="s">
        <v>366</v>
      </c>
      <c r="F6" s="540" t="s">
        <v>367</v>
      </c>
      <c r="BA6" s="164"/>
      <c r="BB6" s="164"/>
      <c r="BC6" s="164"/>
    </row>
    <row r="7" spans="1:55" ht="15.95" customHeight="1" x14ac:dyDescent="0.2">
      <c r="B7" s="10"/>
      <c r="C7" s="541"/>
      <c r="D7" s="544"/>
      <c r="E7" s="541"/>
      <c r="F7" s="541"/>
    </row>
    <row r="8" spans="1:55" ht="15.95" customHeight="1" x14ac:dyDescent="0.2">
      <c r="A8" s="12"/>
      <c r="B8" s="546" t="s">
        <v>368</v>
      </c>
      <c r="C8" s="541"/>
      <c r="D8" s="544"/>
      <c r="E8" s="541"/>
      <c r="F8" s="541"/>
    </row>
    <row r="9" spans="1:55" x14ac:dyDescent="0.2">
      <c r="A9" s="13" t="s">
        <v>37</v>
      </c>
      <c r="B9" s="547"/>
      <c r="C9" s="542"/>
      <c r="D9" s="545"/>
      <c r="E9" s="542"/>
      <c r="F9" s="542"/>
    </row>
    <row r="10" spans="1:55" ht="5.0999999999999996" customHeight="1" x14ac:dyDescent="0.2">
      <c r="A10" s="14"/>
    </row>
    <row r="11" spans="1:55" ht="14.1" customHeight="1" x14ac:dyDescent="0.2">
      <c r="A11" s="271" t="s">
        <v>108</v>
      </c>
      <c r="B11" s="272">
        <v>22292241</v>
      </c>
      <c r="C11" s="272">
        <f>-Data!L11</f>
        <v>-81900</v>
      </c>
      <c r="D11" s="272">
        <f>B11+C11</f>
        <v>22210341</v>
      </c>
      <c r="E11" s="272">
        <f>-'- 15 -'!H11-'- 16 -'!B11</f>
        <v>-24310</v>
      </c>
      <c r="F11" s="272">
        <f>D11+E11</f>
        <v>22186031</v>
      </c>
    </row>
    <row r="12" spans="1:55" ht="14.1" customHeight="1" x14ac:dyDescent="0.2">
      <c r="A12" s="15" t="s">
        <v>109</v>
      </c>
      <c r="B12" s="16">
        <v>35216764</v>
      </c>
      <c r="C12" s="16">
        <f>-Data!L12</f>
        <v>-523000</v>
      </c>
      <c r="D12" s="16">
        <f t="shared" ref="D12:D46" si="0">B12+C12</f>
        <v>34693764</v>
      </c>
      <c r="E12" s="16">
        <f>-'- 15 -'!H12-'- 16 -'!B12</f>
        <v>-675884</v>
      </c>
      <c r="F12" s="16">
        <f t="shared" ref="F12:F46" si="1">D12+E12</f>
        <v>34017880</v>
      </c>
    </row>
    <row r="13" spans="1:55" ht="14.1" customHeight="1" x14ac:dyDescent="0.2">
      <c r="A13" s="271" t="s">
        <v>110</v>
      </c>
      <c r="B13" s="272">
        <v>107646800</v>
      </c>
      <c r="C13" s="272">
        <f>-Data!L13</f>
        <v>-98500</v>
      </c>
      <c r="D13" s="272">
        <f t="shared" si="0"/>
        <v>107548300</v>
      </c>
      <c r="E13" s="272">
        <f>-'- 15 -'!H13-'- 16 -'!B13</f>
        <v>-429600</v>
      </c>
      <c r="F13" s="272">
        <f t="shared" si="1"/>
        <v>107118700</v>
      </c>
    </row>
    <row r="14" spans="1:55" ht="14.1" customHeight="1" x14ac:dyDescent="0.2">
      <c r="A14" s="15" t="s">
        <v>319</v>
      </c>
      <c r="B14" s="16">
        <v>98443009</v>
      </c>
      <c r="C14" s="16">
        <f>-Data!L14</f>
        <v>-1350629</v>
      </c>
      <c r="D14" s="16">
        <f t="shared" si="0"/>
        <v>97092380</v>
      </c>
      <c r="E14" s="16">
        <f>-'- 15 -'!H14-'- 16 -'!B14</f>
        <v>-1854756</v>
      </c>
      <c r="F14" s="16">
        <f t="shared" si="1"/>
        <v>95237624</v>
      </c>
    </row>
    <row r="15" spans="1:55" ht="14.1" customHeight="1" x14ac:dyDescent="0.2">
      <c r="A15" s="271" t="s">
        <v>111</v>
      </c>
      <c r="B15" s="272">
        <v>21226281</v>
      </c>
      <c r="C15" s="272">
        <f>-Data!L15</f>
        <v>-89500</v>
      </c>
      <c r="D15" s="272">
        <f t="shared" si="0"/>
        <v>21136781</v>
      </c>
      <c r="E15" s="272">
        <f>-'- 15 -'!H15-'- 16 -'!B15</f>
        <v>-70800</v>
      </c>
      <c r="F15" s="272">
        <f t="shared" si="1"/>
        <v>21065981</v>
      </c>
    </row>
    <row r="16" spans="1:55" ht="14.1" customHeight="1" x14ac:dyDescent="0.2">
      <c r="A16" s="15" t="s">
        <v>112</v>
      </c>
      <c r="B16" s="16">
        <v>14957074</v>
      </c>
      <c r="C16" s="16">
        <f>-Data!L16</f>
        <v>-1300</v>
      </c>
      <c r="D16" s="16">
        <f t="shared" si="0"/>
        <v>14955774</v>
      </c>
      <c r="E16" s="16">
        <f>-'- 15 -'!H16-'- 16 -'!B16</f>
        <v>-107090</v>
      </c>
      <c r="F16" s="16">
        <f t="shared" si="1"/>
        <v>14848684</v>
      </c>
    </row>
    <row r="17" spans="1:6" ht="14.1" customHeight="1" x14ac:dyDescent="0.2">
      <c r="A17" s="271" t="s">
        <v>113</v>
      </c>
      <c r="B17" s="272">
        <v>18917295</v>
      </c>
      <c r="C17" s="272">
        <f>-Data!L17</f>
        <v>-106550</v>
      </c>
      <c r="D17" s="272">
        <f t="shared" si="0"/>
        <v>18810745</v>
      </c>
      <c r="E17" s="272">
        <f>-'- 15 -'!H17-'- 16 -'!B17</f>
        <v>-295290</v>
      </c>
      <c r="F17" s="272">
        <f t="shared" si="1"/>
        <v>18515455</v>
      </c>
    </row>
    <row r="18" spans="1:6" ht="14.1" customHeight="1" x14ac:dyDescent="0.2">
      <c r="A18" s="15" t="s">
        <v>114</v>
      </c>
      <c r="B18" s="16">
        <v>144589127</v>
      </c>
      <c r="C18" s="16">
        <f>-Data!L18</f>
        <v>-5388429</v>
      </c>
      <c r="D18" s="16">
        <f t="shared" si="0"/>
        <v>139200698</v>
      </c>
      <c r="E18" s="16">
        <f>-'- 15 -'!H18-'- 16 -'!B18</f>
        <v>-4280321</v>
      </c>
      <c r="F18" s="16">
        <f t="shared" si="1"/>
        <v>134920377</v>
      </c>
    </row>
    <row r="19" spans="1:6" ht="14.1" customHeight="1" x14ac:dyDescent="0.2">
      <c r="A19" s="271" t="s">
        <v>115</v>
      </c>
      <c r="B19" s="272">
        <v>52078200</v>
      </c>
      <c r="C19" s="272">
        <f>-Data!L19</f>
        <v>-528600</v>
      </c>
      <c r="D19" s="272">
        <f t="shared" si="0"/>
        <v>51549600</v>
      </c>
      <c r="E19" s="272">
        <f>-'- 15 -'!H19-'- 16 -'!B19</f>
        <v>-87800</v>
      </c>
      <c r="F19" s="272">
        <f t="shared" si="1"/>
        <v>51461800</v>
      </c>
    </row>
    <row r="20" spans="1:6" ht="14.1" customHeight="1" x14ac:dyDescent="0.2">
      <c r="A20" s="15" t="s">
        <v>116</v>
      </c>
      <c r="B20" s="16">
        <v>94276500</v>
      </c>
      <c r="C20" s="16">
        <f>-Data!L20</f>
        <v>-2340800</v>
      </c>
      <c r="D20" s="16">
        <f t="shared" si="0"/>
        <v>91935700</v>
      </c>
      <c r="E20" s="16">
        <f>-'- 15 -'!H20-'- 16 -'!B20</f>
        <v>-114000</v>
      </c>
      <c r="F20" s="16">
        <f t="shared" si="1"/>
        <v>91821700</v>
      </c>
    </row>
    <row r="21" spans="1:6" ht="14.1" customHeight="1" x14ac:dyDescent="0.2">
      <c r="A21" s="271" t="s">
        <v>117</v>
      </c>
      <c r="B21" s="272">
        <v>38578000</v>
      </c>
      <c r="C21" s="272">
        <f>-Data!L21</f>
        <v>-393250</v>
      </c>
      <c r="D21" s="272">
        <f t="shared" si="0"/>
        <v>38184750</v>
      </c>
      <c r="E21" s="272">
        <f>-'- 15 -'!H21-'- 16 -'!B21</f>
        <v>-315000</v>
      </c>
      <c r="F21" s="272">
        <f t="shared" si="1"/>
        <v>37869750</v>
      </c>
    </row>
    <row r="22" spans="1:6" ht="14.1" customHeight="1" x14ac:dyDescent="0.2">
      <c r="A22" s="15" t="s">
        <v>118</v>
      </c>
      <c r="B22" s="16">
        <v>20473425</v>
      </c>
      <c r="C22" s="16">
        <f>-Data!L22</f>
        <v>-20500</v>
      </c>
      <c r="D22" s="16">
        <f t="shared" si="0"/>
        <v>20452925</v>
      </c>
      <c r="E22" s="16">
        <f>-'- 15 -'!H22-'- 16 -'!B22</f>
        <v>-698805</v>
      </c>
      <c r="F22" s="16">
        <f t="shared" si="1"/>
        <v>19754120</v>
      </c>
    </row>
    <row r="23" spans="1:6" ht="14.1" customHeight="1" x14ac:dyDescent="0.2">
      <c r="A23" s="271" t="s">
        <v>119</v>
      </c>
      <c r="B23" s="272">
        <v>16048415</v>
      </c>
      <c r="C23" s="272">
        <f>-Data!L23</f>
        <v>-80700</v>
      </c>
      <c r="D23" s="272">
        <f t="shared" si="0"/>
        <v>15967715</v>
      </c>
      <c r="E23" s="272">
        <f>-'- 15 -'!H23-'- 16 -'!B23</f>
        <v>-564650</v>
      </c>
      <c r="F23" s="272">
        <f t="shared" si="1"/>
        <v>15403065</v>
      </c>
    </row>
    <row r="24" spans="1:6" ht="14.1" customHeight="1" x14ac:dyDescent="0.2">
      <c r="A24" s="15" t="s">
        <v>120</v>
      </c>
      <c r="B24" s="16">
        <v>59050940</v>
      </c>
      <c r="C24" s="16">
        <f>-Data!L24</f>
        <v>-182000</v>
      </c>
      <c r="D24" s="16">
        <f t="shared" si="0"/>
        <v>58868940</v>
      </c>
      <c r="E24" s="16">
        <f>-'- 15 -'!H24-'- 16 -'!B24</f>
        <v>-755540</v>
      </c>
      <c r="F24" s="16">
        <f t="shared" si="1"/>
        <v>58113400</v>
      </c>
    </row>
    <row r="25" spans="1:6" ht="14.1" customHeight="1" x14ac:dyDescent="0.2">
      <c r="A25" s="271" t="s">
        <v>121</v>
      </c>
      <c r="B25" s="272">
        <v>195475221</v>
      </c>
      <c r="C25" s="272">
        <f>-Data!L25</f>
        <v>-976000</v>
      </c>
      <c r="D25" s="272">
        <f t="shared" si="0"/>
        <v>194499221</v>
      </c>
      <c r="E25" s="272">
        <f>-'- 15 -'!H25-'- 16 -'!B25</f>
        <v>-2274416</v>
      </c>
      <c r="F25" s="272">
        <f t="shared" si="1"/>
        <v>192224805</v>
      </c>
    </row>
    <row r="26" spans="1:6" ht="14.1" customHeight="1" x14ac:dyDescent="0.2">
      <c r="A26" s="15" t="s">
        <v>122</v>
      </c>
      <c r="B26" s="16">
        <v>42077136</v>
      </c>
      <c r="C26" s="16">
        <f>-Data!L26</f>
        <v>-5000</v>
      </c>
      <c r="D26" s="16">
        <f t="shared" si="0"/>
        <v>42072136</v>
      </c>
      <c r="E26" s="16">
        <f>-'- 15 -'!H26-'- 16 -'!B26</f>
        <v>-100358</v>
      </c>
      <c r="F26" s="16">
        <f t="shared" si="1"/>
        <v>41971778</v>
      </c>
    </row>
    <row r="27" spans="1:6" ht="14.1" customHeight="1" x14ac:dyDescent="0.2">
      <c r="A27" s="271" t="s">
        <v>123</v>
      </c>
      <c r="B27" s="272">
        <v>42782417</v>
      </c>
      <c r="C27" s="272">
        <f>-Data!L27</f>
        <v>-8300</v>
      </c>
      <c r="D27" s="272">
        <f t="shared" si="0"/>
        <v>42774117</v>
      </c>
      <c r="E27" s="272">
        <f>-'- 15 -'!H27-'- 16 -'!B27</f>
        <v>-57234</v>
      </c>
      <c r="F27" s="272">
        <f t="shared" si="1"/>
        <v>42716883</v>
      </c>
    </row>
    <row r="28" spans="1:6" ht="14.1" customHeight="1" x14ac:dyDescent="0.2">
      <c r="A28" s="15" t="s">
        <v>124</v>
      </c>
      <c r="B28" s="16">
        <v>28940961</v>
      </c>
      <c r="C28" s="16">
        <f>-Data!L28</f>
        <v>-155000</v>
      </c>
      <c r="D28" s="16">
        <f t="shared" si="0"/>
        <v>28785961</v>
      </c>
      <c r="E28" s="16">
        <f>-'- 15 -'!H28-'- 16 -'!B28</f>
        <v>-185794</v>
      </c>
      <c r="F28" s="16">
        <f t="shared" si="1"/>
        <v>28600167</v>
      </c>
    </row>
    <row r="29" spans="1:6" ht="14.1" customHeight="1" x14ac:dyDescent="0.2">
      <c r="A29" s="271" t="s">
        <v>125</v>
      </c>
      <c r="B29" s="272">
        <v>180065999</v>
      </c>
      <c r="C29" s="272">
        <f>-Data!L29</f>
        <v>-2068000</v>
      </c>
      <c r="D29" s="272">
        <f t="shared" si="0"/>
        <v>177997999</v>
      </c>
      <c r="E29" s="272">
        <f>-'- 15 -'!H29-'- 16 -'!B29</f>
        <v>-435378</v>
      </c>
      <c r="F29" s="272">
        <f t="shared" si="1"/>
        <v>177562621</v>
      </c>
    </row>
    <row r="30" spans="1:6" ht="14.1" customHeight="1" x14ac:dyDescent="0.2">
      <c r="A30" s="15" t="s">
        <v>126</v>
      </c>
      <c r="B30" s="16">
        <v>15756684</v>
      </c>
      <c r="C30" s="16">
        <f>-Data!L30</f>
        <v>-35084</v>
      </c>
      <c r="D30" s="16">
        <f t="shared" si="0"/>
        <v>15721600</v>
      </c>
      <c r="E30" s="16">
        <f>-'- 15 -'!H30-'- 16 -'!B30</f>
        <v>-14790</v>
      </c>
      <c r="F30" s="16">
        <f t="shared" si="1"/>
        <v>15706810</v>
      </c>
    </row>
    <row r="31" spans="1:6" ht="14.1" customHeight="1" x14ac:dyDescent="0.2">
      <c r="A31" s="271" t="s">
        <v>127</v>
      </c>
      <c r="B31" s="272">
        <v>40899762</v>
      </c>
      <c r="C31" s="272">
        <f>-Data!L31</f>
        <v>-52000</v>
      </c>
      <c r="D31" s="272">
        <f t="shared" si="0"/>
        <v>40847762</v>
      </c>
      <c r="E31" s="272">
        <f>-'- 15 -'!H31-'- 16 -'!B31</f>
        <v>-61035</v>
      </c>
      <c r="F31" s="272">
        <f t="shared" si="1"/>
        <v>40786727</v>
      </c>
    </row>
    <row r="32" spans="1:6" ht="14.1" customHeight="1" x14ac:dyDescent="0.2">
      <c r="A32" s="15" t="s">
        <v>128</v>
      </c>
      <c r="B32" s="16">
        <v>31930390</v>
      </c>
      <c r="C32" s="16">
        <f>-Data!L32</f>
        <v>-233200</v>
      </c>
      <c r="D32" s="16">
        <f t="shared" si="0"/>
        <v>31697190</v>
      </c>
      <c r="E32" s="16">
        <f>-'- 15 -'!H32-'- 16 -'!B32</f>
        <v>-327145</v>
      </c>
      <c r="F32" s="16">
        <f t="shared" si="1"/>
        <v>31370045</v>
      </c>
    </row>
    <row r="33" spans="1:7" ht="14.1" customHeight="1" x14ac:dyDescent="0.2">
      <c r="A33" s="271" t="s">
        <v>129</v>
      </c>
      <c r="B33" s="272">
        <v>28821744</v>
      </c>
      <c r="C33" s="272">
        <f>-Data!L33</f>
        <v>-92000</v>
      </c>
      <c r="D33" s="272">
        <f t="shared" si="0"/>
        <v>28729744</v>
      </c>
      <c r="E33" s="272">
        <f>-'- 15 -'!H33-'- 16 -'!B33</f>
        <v>-30908</v>
      </c>
      <c r="F33" s="272">
        <f t="shared" si="1"/>
        <v>28698836</v>
      </c>
    </row>
    <row r="34" spans="1:7" ht="14.1" customHeight="1" x14ac:dyDescent="0.2">
      <c r="A34" s="15" t="s">
        <v>130</v>
      </c>
      <c r="B34" s="16">
        <v>32436151</v>
      </c>
      <c r="C34" s="16">
        <f>-Data!L34</f>
        <v>-462673</v>
      </c>
      <c r="D34" s="16">
        <f t="shared" si="0"/>
        <v>31973478</v>
      </c>
      <c r="E34" s="16">
        <f>-'- 15 -'!H34-'- 16 -'!B34</f>
        <v>-63158</v>
      </c>
      <c r="F34" s="16">
        <f t="shared" si="1"/>
        <v>31910320</v>
      </c>
    </row>
    <row r="35" spans="1:7" ht="14.1" customHeight="1" x14ac:dyDescent="0.2">
      <c r="A35" s="271" t="s">
        <v>131</v>
      </c>
      <c r="B35" s="272">
        <v>196533048</v>
      </c>
      <c r="C35" s="272">
        <f>-Data!L35</f>
        <v>-58800</v>
      </c>
      <c r="D35" s="272">
        <f t="shared" si="0"/>
        <v>196474248</v>
      </c>
      <c r="E35" s="272">
        <f>-'- 15 -'!H35-'- 16 -'!B35</f>
        <v>-582788</v>
      </c>
      <c r="F35" s="272">
        <f t="shared" si="1"/>
        <v>195891460</v>
      </c>
    </row>
    <row r="36" spans="1:7" ht="14.1" customHeight="1" x14ac:dyDescent="0.2">
      <c r="A36" s="15" t="s">
        <v>132</v>
      </c>
      <c r="B36" s="16">
        <v>24579195</v>
      </c>
      <c r="C36" s="16">
        <f>-Data!L36</f>
        <v>-400000</v>
      </c>
      <c r="D36" s="16">
        <f t="shared" si="0"/>
        <v>24179195</v>
      </c>
      <c r="E36" s="16">
        <f>-'- 15 -'!H36-'- 16 -'!B36</f>
        <v>-30825</v>
      </c>
      <c r="F36" s="16">
        <f t="shared" si="1"/>
        <v>24148370</v>
      </c>
    </row>
    <row r="37" spans="1:7" ht="14.1" customHeight="1" x14ac:dyDescent="0.2">
      <c r="A37" s="271" t="s">
        <v>133</v>
      </c>
      <c r="B37" s="272">
        <v>55566000</v>
      </c>
      <c r="C37" s="272">
        <f>-Data!L37</f>
        <v>-456600</v>
      </c>
      <c r="D37" s="272">
        <f t="shared" si="0"/>
        <v>55109400</v>
      </c>
      <c r="E37" s="272">
        <f>-'- 15 -'!H37-'- 16 -'!B37</f>
        <v>-702529</v>
      </c>
      <c r="F37" s="272">
        <f t="shared" si="1"/>
        <v>54406871</v>
      </c>
    </row>
    <row r="38" spans="1:7" ht="14.1" customHeight="1" x14ac:dyDescent="0.2">
      <c r="A38" s="15" t="s">
        <v>134</v>
      </c>
      <c r="B38" s="16">
        <v>152232860</v>
      </c>
      <c r="C38" s="16">
        <f>-Data!L38</f>
        <v>-1165250</v>
      </c>
      <c r="D38" s="16">
        <f t="shared" si="0"/>
        <v>151067610</v>
      </c>
      <c r="E38" s="16">
        <f>-'- 15 -'!H38-'- 16 -'!B38</f>
        <v>-4630195</v>
      </c>
      <c r="F38" s="16">
        <f t="shared" si="1"/>
        <v>146437415</v>
      </c>
    </row>
    <row r="39" spans="1:7" ht="14.1" customHeight="1" x14ac:dyDescent="0.2">
      <c r="A39" s="271" t="s">
        <v>135</v>
      </c>
      <c r="B39" s="272">
        <v>23759400</v>
      </c>
      <c r="C39" s="272">
        <f>-Data!L39</f>
        <v>-279000</v>
      </c>
      <c r="D39" s="272">
        <f t="shared" si="0"/>
        <v>23480400</v>
      </c>
      <c r="E39" s="272">
        <f>-'- 15 -'!H39-'- 16 -'!B39</f>
        <v>-160800</v>
      </c>
      <c r="F39" s="272">
        <f t="shared" si="1"/>
        <v>23319600</v>
      </c>
    </row>
    <row r="40" spans="1:7" ht="14.1" customHeight="1" x14ac:dyDescent="0.2">
      <c r="A40" s="15" t="s">
        <v>136</v>
      </c>
      <c r="B40" s="16">
        <v>110306765</v>
      </c>
      <c r="C40" s="16">
        <f>-Data!L40</f>
        <v>-434000</v>
      </c>
      <c r="D40" s="16">
        <f t="shared" si="0"/>
        <v>109872765</v>
      </c>
      <c r="E40" s="16">
        <f>-'- 15 -'!H40-'- 16 -'!B40</f>
        <v>-1132616</v>
      </c>
      <c r="F40" s="16">
        <f t="shared" si="1"/>
        <v>108740149</v>
      </c>
    </row>
    <row r="41" spans="1:7" ht="14.1" customHeight="1" x14ac:dyDescent="0.2">
      <c r="A41" s="271" t="s">
        <v>137</v>
      </c>
      <c r="B41" s="272">
        <v>67504544</v>
      </c>
      <c r="C41" s="272">
        <f>-Data!L41</f>
        <v>-814000</v>
      </c>
      <c r="D41" s="272">
        <f t="shared" si="0"/>
        <v>66690544</v>
      </c>
      <c r="E41" s="272">
        <f>-'- 15 -'!H41-'- 16 -'!B41</f>
        <v>-1349074</v>
      </c>
      <c r="F41" s="272">
        <f t="shared" si="1"/>
        <v>65341470</v>
      </c>
    </row>
    <row r="42" spans="1:7" ht="14.1" customHeight="1" x14ac:dyDescent="0.2">
      <c r="A42" s="15" t="s">
        <v>138</v>
      </c>
      <c r="B42" s="16">
        <v>21407180</v>
      </c>
      <c r="C42" s="16">
        <f>-Data!L42</f>
        <v>-62600</v>
      </c>
      <c r="D42" s="16">
        <f t="shared" si="0"/>
        <v>21344580</v>
      </c>
      <c r="E42" s="16">
        <f>-'- 15 -'!H42-'- 16 -'!B42</f>
        <v>-64198</v>
      </c>
      <c r="F42" s="16">
        <f t="shared" si="1"/>
        <v>21280382</v>
      </c>
    </row>
    <row r="43" spans="1:7" ht="14.1" customHeight="1" x14ac:dyDescent="0.2">
      <c r="A43" s="271" t="s">
        <v>139</v>
      </c>
      <c r="B43" s="272">
        <v>13911274</v>
      </c>
      <c r="C43" s="272">
        <f>-Data!L43</f>
        <v>-33000</v>
      </c>
      <c r="D43" s="272">
        <f t="shared" si="0"/>
        <v>13878274</v>
      </c>
      <c r="E43" s="272">
        <f>-'- 15 -'!H43-'- 16 -'!B43</f>
        <v>-217692</v>
      </c>
      <c r="F43" s="272">
        <f t="shared" si="1"/>
        <v>13660582</v>
      </c>
    </row>
    <row r="44" spans="1:7" ht="14.1" customHeight="1" x14ac:dyDescent="0.2">
      <c r="A44" s="15" t="s">
        <v>140</v>
      </c>
      <c r="B44" s="16">
        <v>11388597</v>
      </c>
      <c r="C44" s="16">
        <f>-Data!L44</f>
        <v>-154530</v>
      </c>
      <c r="D44" s="16">
        <f t="shared" si="0"/>
        <v>11234067</v>
      </c>
      <c r="E44" s="16">
        <f>-'- 15 -'!H44-'- 16 -'!B44</f>
        <v>-24879</v>
      </c>
      <c r="F44" s="16">
        <f t="shared" si="1"/>
        <v>11209188</v>
      </c>
    </row>
    <row r="45" spans="1:7" ht="14.1" customHeight="1" x14ac:dyDescent="0.2">
      <c r="A45" s="271" t="s">
        <v>141</v>
      </c>
      <c r="B45" s="272">
        <v>22515136</v>
      </c>
      <c r="C45" s="272">
        <f>-Data!L45</f>
        <v>-147300</v>
      </c>
      <c r="D45" s="272">
        <f t="shared" si="0"/>
        <v>22367836</v>
      </c>
      <c r="E45" s="272">
        <f>-'- 15 -'!H45-'- 16 -'!B45</f>
        <v>-487221</v>
      </c>
      <c r="F45" s="272">
        <f t="shared" si="1"/>
        <v>21880615</v>
      </c>
    </row>
    <row r="46" spans="1:7" ht="14.1" customHeight="1" x14ac:dyDescent="0.2">
      <c r="A46" s="15" t="s">
        <v>142</v>
      </c>
      <c r="B46" s="16">
        <v>419847700</v>
      </c>
      <c r="C46" s="16">
        <f>-Data!L46</f>
        <v>-2482050</v>
      </c>
      <c r="D46" s="16">
        <f t="shared" si="0"/>
        <v>417365650</v>
      </c>
      <c r="E46" s="16">
        <f>-'- 15 -'!H46-'- 16 -'!B46</f>
        <v>-9722200</v>
      </c>
      <c r="F46" s="16">
        <f t="shared" si="1"/>
        <v>407643450</v>
      </c>
    </row>
    <row r="47" spans="1:7" ht="5.0999999999999996" customHeight="1" x14ac:dyDescent="0.2">
      <c r="A47"/>
      <c r="B47"/>
      <c r="C47"/>
      <c r="D47"/>
      <c r="E47"/>
      <c r="F47"/>
      <c r="G47"/>
    </row>
    <row r="48" spans="1:7" ht="14.1" customHeight="1" x14ac:dyDescent="0.2">
      <c r="A48" s="274" t="s">
        <v>143</v>
      </c>
      <c r="B48" s="275">
        <f>SUM(B11:B46)</f>
        <v>2502532235</v>
      </c>
      <c r="C48" s="275">
        <f>SUM(C11:C46)</f>
        <v>-21760045</v>
      </c>
      <c r="D48" s="275">
        <f>SUM(D11:D46)</f>
        <v>2480772190</v>
      </c>
      <c r="E48" s="275">
        <f>SUM(E11:E46)</f>
        <v>-32929079</v>
      </c>
      <c r="F48" s="275">
        <f>SUM(F11:F46)</f>
        <v>2447843111</v>
      </c>
    </row>
    <row r="49" spans="1:6" ht="5.0999999999999996" customHeight="1" x14ac:dyDescent="0.2">
      <c r="A49" s="17" t="s">
        <v>1</v>
      </c>
      <c r="B49" s="18"/>
      <c r="C49" s="18"/>
      <c r="D49" s="18"/>
      <c r="E49" s="18"/>
      <c r="F49" s="18"/>
    </row>
    <row r="50" spans="1:6" ht="14.1" customHeight="1" x14ac:dyDescent="0.2">
      <c r="A50" s="15" t="s">
        <v>144</v>
      </c>
      <c r="B50" s="16">
        <v>3630643</v>
      </c>
      <c r="C50" s="16">
        <f>-Data!L50</f>
        <v>-42500</v>
      </c>
      <c r="D50" s="16">
        <f>B50+C50</f>
        <v>3588143</v>
      </c>
      <c r="E50" s="16">
        <f>-'- 15 -'!H50-'- 16 -'!B50</f>
        <v>-202532</v>
      </c>
      <c r="F50" s="16">
        <f>D50+E50</f>
        <v>3385611</v>
      </c>
    </row>
    <row r="51" spans="1:6" ht="14.1" customHeight="1" x14ac:dyDescent="0.2">
      <c r="A51" s="360" t="s">
        <v>513</v>
      </c>
      <c r="B51" s="272">
        <v>34765271</v>
      </c>
      <c r="C51" s="272">
        <f>-Data!L51</f>
        <v>0</v>
      </c>
      <c r="D51" s="272">
        <f>B51+C51</f>
        <v>34765271</v>
      </c>
      <c r="E51" s="272">
        <f>-'- 15 -'!H51-'- 16 -'!B51</f>
        <v>-13522629</v>
      </c>
      <c r="F51" s="272">
        <f>D51+E51</f>
        <v>21242642</v>
      </c>
    </row>
    <row r="52" spans="1:6" ht="50.1" customHeight="1" x14ac:dyDescent="0.2">
      <c r="A52" s="19"/>
      <c r="B52" s="19"/>
      <c r="C52" s="19"/>
      <c r="D52" s="19"/>
      <c r="E52" s="19"/>
      <c r="F52" s="19"/>
    </row>
    <row r="53" spans="1:6" ht="15" customHeight="1" x14ac:dyDescent="0.2">
      <c r="A53" s="2" t="s">
        <v>327</v>
      </c>
      <c r="B53" s="20"/>
      <c r="C53" s="20"/>
      <c r="D53" s="20"/>
      <c r="E53" s="20"/>
      <c r="F53" s="20"/>
    </row>
    <row r="54" spans="1:6" ht="12" customHeight="1" x14ac:dyDescent="0.2">
      <c r="A54" s="427" t="s">
        <v>328</v>
      </c>
      <c r="B54" s="20"/>
      <c r="C54" s="20"/>
      <c r="D54" s="20"/>
      <c r="E54" s="20"/>
      <c r="F54" s="20"/>
    </row>
    <row r="55" spans="1:6" ht="12" customHeight="1" x14ac:dyDescent="0.2">
      <c r="A55" s="356" t="s">
        <v>357</v>
      </c>
      <c r="B55" s="20"/>
      <c r="C55" s="20"/>
      <c r="D55" s="20"/>
      <c r="E55" s="20"/>
      <c r="F55" s="20"/>
    </row>
    <row r="56" spans="1:6" ht="12" customHeight="1" x14ac:dyDescent="0.2">
      <c r="A56" s="427" t="s">
        <v>329</v>
      </c>
      <c r="B56" s="20"/>
      <c r="C56" s="20"/>
      <c r="D56" s="20"/>
      <c r="E56" s="20"/>
      <c r="F56" s="20"/>
    </row>
    <row r="57" spans="1:6" ht="12" customHeight="1" x14ac:dyDescent="0.2">
      <c r="A57" s="427" t="s">
        <v>330</v>
      </c>
    </row>
    <row r="58" spans="1:6" ht="12" customHeight="1" x14ac:dyDescent="0.2">
      <c r="A58" s="427" t="s">
        <v>331</v>
      </c>
    </row>
    <row r="59" spans="1:6" ht="14.45" customHeight="1" x14ac:dyDescent="0.2"/>
    <row r="64" spans="1:6" x14ac:dyDescent="0.2">
      <c r="B64" s="1">
        <v>0</v>
      </c>
    </row>
    <row r="65536" spans="2:2" x14ac:dyDescent="0.2">
      <c r="B65536" s="1">
        <v>0</v>
      </c>
    </row>
  </sheetData>
  <mergeCells count="5">
    <mergeCell ref="C6:C9"/>
    <mergeCell ref="D6:D9"/>
    <mergeCell ref="E6:E9"/>
    <mergeCell ref="F6:F9"/>
    <mergeCell ref="B8:B9"/>
  </mergeCells>
  <phoneticPr fontId="0" type="noConversion"/>
  <printOptions horizontalCentered="1"/>
  <pageMargins left="0.5" right="0.5" top="0.6" bottom="0" header="0.3" footer="0"/>
  <pageSetup scale="88"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9"/>
  <sheetViews>
    <sheetView showGridLines="0" showZeros="0" workbookViewId="0"/>
  </sheetViews>
  <sheetFormatPr defaultColWidth="15.83203125" defaultRowHeight="12" x14ac:dyDescent="0.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2" t="s">
        <v>527</v>
      </c>
    </row>
    <row r="3" spans="1:9" ht="15.95" customHeight="1" x14ac:dyDescent="0.2">
      <c r="A3" s="135"/>
      <c r="B3" s="7" t="str">
        <f>OPYEAR</f>
        <v>OPERATING FUND 2020/2021 BUDGET</v>
      </c>
      <c r="C3" s="8"/>
      <c r="D3" s="8"/>
      <c r="E3" s="8"/>
      <c r="F3" s="8"/>
      <c r="G3" s="87"/>
      <c r="H3" s="87"/>
      <c r="I3" s="81"/>
    </row>
    <row r="4" spans="1:9" ht="15.95" customHeight="1" x14ac:dyDescent="0.2">
      <c r="B4" s="4"/>
      <c r="C4" s="4"/>
      <c r="D4" s="4"/>
      <c r="E4" s="4"/>
      <c r="F4" s="4"/>
      <c r="G4" s="4"/>
      <c r="H4" s="4"/>
      <c r="I4" s="4"/>
    </row>
    <row r="5" spans="1:9" ht="15.95" customHeight="1" x14ac:dyDescent="0.2">
      <c r="B5" s="681" t="s">
        <v>7</v>
      </c>
      <c r="C5" s="682"/>
      <c r="D5" s="671"/>
      <c r="E5" s="671"/>
      <c r="F5" s="671"/>
      <c r="G5" s="671"/>
      <c r="H5" s="671"/>
      <c r="I5" s="672"/>
    </row>
    <row r="6" spans="1:9" ht="15.95" customHeight="1" x14ac:dyDescent="0.2">
      <c r="B6" s="503"/>
      <c r="C6" s="504"/>
      <c r="D6" s="632" t="s">
        <v>416</v>
      </c>
      <c r="E6" s="623"/>
      <c r="F6" s="301"/>
      <c r="G6" s="302"/>
      <c r="H6" s="268"/>
      <c r="I6" s="270"/>
    </row>
    <row r="7" spans="1:9" ht="15.95" customHeight="1" x14ac:dyDescent="0.2">
      <c r="B7" s="683" t="s">
        <v>414</v>
      </c>
      <c r="C7" s="684"/>
      <c r="D7" s="687"/>
      <c r="E7" s="688"/>
      <c r="F7" s="689" t="s">
        <v>417</v>
      </c>
      <c r="G7" s="688"/>
      <c r="H7" s="689" t="s">
        <v>418</v>
      </c>
      <c r="I7" s="688"/>
    </row>
    <row r="8" spans="1:9" ht="15.95" customHeight="1" x14ac:dyDescent="0.2">
      <c r="A8" s="249"/>
      <c r="B8" s="685"/>
      <c r="C8" s="686"/>
      <c r="D8" s="633"/>
      <c r="E8" s="625"/>
      <c r="F8" s="624"/>
      <c r="G8" s="625"/>
      <c r="H8" s="624"/>
      <c r="I8" s="625"/>
    </row>
    <row r="9" spans="1:9" ht="15.95" customHeight="1" x14ac:dyDescent="0.2">
      <c r="A9" s="27" t="s">
        <v>37</v>
      </c>
      <c r="B9" s="89" t="s">
        <v>38</v>
      </c>
      <c r="C9" s="89" t="s">
        <v>39</v>
      </c>
      <c r="D9" s="151" t="s">
        <v>38</v>
      </c>
      <c r="E9" s="151" t="s">
        <v>39</v>
      </c>
      <c r="F9" s="151" t="s">
        <v>38</v>
      </c>
      <c r="G9" s="151" t="s">
        <v>39</v>
      </c>
      <c r="H9" s="151" t="s">
        <v>38</v>
      </c>
      <c r="I9" s="151" t="s">
        <v>39</v>
      </c>
    </row>
    <row r="10" spans="1:9" ht="5.0999999999999996" customHeight="1" x14ac:dyDescent="0.2">
      <c r="A10" s="29"/>
    </row>
    <row r="11" spans="1:9" ht="14.1" customHeight="1" x14ac:dyDescent="0.2">
      <c r="A11" s="271" t="s">
        <v>108</v>
      </c>
      <c r="B11" s="272">
        <v>0</v>
      </c>
      <c r="C11" s="273">
        <f>B11/'- 3 -'!$D11*100</f>
        <v>0</v>
      </c>
      <c r="D11" s="272">
        <v>0</v>
      </c>
      <c r="E11" s="273">
        <f>D11/'- 3 -'!$D11*100</f>
        <v>0</v>
      </c>
      <c r="F11" s="272">
        <v>0</v>
      </c>
      <c r="G11" s="273">
        <f>F11/'- 3 -'!$D11*100</f>
        <v>0</v>
      </c>
      <c r="H11" s="272">
        <v>24310</v>
      </c>
      <c r="I11" s="273">
        <f>H11/'- 3 -'!$D11*100</f>
        <v>0.10945351987166699</v>
      </c>
    </row>
    <row r="12" spans="1:9" ht="14.1" customHeight="1" x14ac:dyDescent="0.2">
      <c r="A12" s="15" t="s">
        <v>109</v>
      </c>
      <c r="B12" s="16">
        <v>0</v>
      </c>
      <c r="C12" s="267">
        <f>B12/'- 3 -'!$D12*100</f>
        <v>0</v>
      </c>
      <c r="D12" s="16">
        <v>0</v>
      </c>
      <c r="E12" s="267">
        <f>D12/'- 3 -'!$D12*100</f>
        <v>0</v>
      </c>
      <c r="F12" s="16">
        <v>0</v>
      </c>
      <c r="G12" s="267">
        <f>F12/'- 3 -'!$D12*100</f>
        <v>0</v>
      </c>
      <c r="H12" s="16">
        <v>86111</v>
      </c>
      <c r="I12" s="267">
        <f>H12/'- 3 -'!$D12*100</f>
        <v>0.24820310647181437</v>
      </c>
    </row>
    <row r="13" spans="1:9" ht="14.1" customHeight="1" x14ac:dyDescent="0.2">
      <c r="A13" s="271" t="s">
        <v>110</v>
      </c>
      <c r="B13" s="272">
        <v>0</v>
      </c>
      <c r="C13" s="273">
        <f>B13/'- 3 -'!$D13*100</f>
        <v>0</v>
      </c>
      <c r="D13" s="272">
        <v>0</v>
      </c>
      <c r="E13" s="273">
        <f>D13/'- 3 -'!$D13*100</f>
        <v>0</v>
      </c>
      <c r="F13" s="272">
        <v>244300</v>
      </c>
      <c r="G13" s="273">
        <f>F13/'- 3 -'!$D13*100</f>
        <v>0.22715375324389134</v>
      </c>
      <c r="H13" s="272">
        <v>185300</v>
      </c>
      <c r="I13" s="273">
        <f>H13/'- 3 -'!$D13*100</f>
        <v>0.17229468062256681</v>
      </c>
    </row>
    <row r="14" spans="1:9" ht="14.1" customHeight="1" x14ac:dyDescent="0.2">
      <c r="A14" s="15" t="s">
        <v>319</v>
      </c>
      <c r="B14" s="16">
        <v>0</v>
      </c>
      <c r="C14" s="267">
        <f>B14/'- 3 -'!$D14*100</f>
        <v>0</v>
      </c>
      <c r="D14" s="16">
        <v>0</v>
      </c>
      <c r="E14" s="267">
        <f>D14/'- 3 -'!$D14*100</f>
        <v>0</v>
      </c>
      <c r="F14" s="16">
        <v>0</v>
      </c>
      <c r="G14" s="267">
        <f>F14/'- 3 -'!$D14*100</f>
        <v>0</v>
      </c>
      <c r="H14" s="16">
        <v>1593826</v>
      </c>
      <c r="I14" s="267">
        <f>H14/'- 3 -'!$D14*100</f>
        <v>1.641556216873044</v>
      </c>
    </row>
    <row r="15" spans="1:9" ht="14.1" customHeight="1" x14ac:dyDescent="0.2">
      <c r="A15" s="271" t="s">
        <v>111</v>
      </c>
      <c r="B15" s="272">
        <v>0</v>
      </c>
      <c r="C15" s="273">
        <f>B15/'- 3 -'!$D15*100</f>
        <v>0</v>
      </c>
      <c r="D15" s="272">
        <v>0</v>
      </c>
      <c r="E15" s="273">
        <f>D15/'- 3 -'!$D15*100</f>
        <v>0</v>
      </c>
      <c r="F15" s="272">
        <v>0</v>
      </c>
      <c r="G15" s="273">
        <f>F15/'- 3 -'!$D15*100</f>
        <v>0</v>
      </c>
      <c r="H15" s="272">
        <v>70800</v>
      </c>
      <c r="I15" s="273">
        <f>H15/'- 3 -'!$D15*100</f>
        <v>0.33496112771381792</v>
      </c>
    </row>
    <row r="16" spans="1:9" ht="14.1" customHeight="1" x14ac:dyDescent="0.2">
      <c r="A16" s="15" t="s">
        <v>112</v>
      </c>
      <c r="B16" s="16">
        <v>0</v>
      </c>
      <c r="C16" s="267">
        <f>B16/'- 3 -'!$D16*100</f>
        <v>0</v>
      </c>
      <c r="D16" s="16">
        <v>0</v>
      </c>
      <c r="E16" s="267">
        <f>D16/'- 3 -'!$D16*100</f>
        <v>0</v>
      </c>
      <c r="F16" s="16">
        <v>0</v>
      </c>
      <c r="G16" s="267">
        <f>F16/'- 3 -'!$D16*100</f>
        <v>0</v>
      </c>
      <c r="H16" s="16">
        <v>13090</v>
      </c>
      <c r="I16" s="267">
        <f>H16/'- 3 -'!$D16*100</f>
        <v>8.7524724564572845E-2</v>
      </c>
    </row>
    <row r="17" spans="1:9" ht="14.1" customHeight="1" x14ac:dyDescent="0.2">
      <c r="A17" s="271" t="s">
        <v>113</v>
      </c>
      <c r="B17" s="272">
        <v>0</v>
      </c>
      <c r="C17" s="273">
        <f>B17/'- 3 -'!$D17*100</f>
        <v>0</v>
      </c>
      <c r="D17" s="272">
        <v>0</v>
      </c>
      <c r="E17" s="273">
        <f>D17/'- 3 -'!$D17*100</f>
        <v>0</v>
      </c>
      <c r="F17" s="272">
        <v>80000</v>
      </c>
      <c r="G17" s="273">
        <f>F17/'- 3 -'!$D17*100</f>
        <v>0.42528884422174662</v>
      </c>
      <c r="H17" s="272">
        <v>215290</v>
      </c>
      <c r="I17" s="273">
        <f>H17/'- 3 -'!$D17*100</f>
        <v>1.1445054409062481</v>
      </c>
    </row>
    <row r="18" spans="1:9" ht="14.1" customHeight="1" x14ac:dyDescent="0.2">
      <c r="A18" s="15" t="s">
        <v>114</v>
      </c>
      <c r="B18" s="16">
        <v>0</v>
      </c>
      <c r="C18" s="267">
        <f>B18/'- 3 -'!$D18*100</f>
        <v>0</v>
      </c>
      <c r="D18" s="16">
        <v>0</v>
      </c>
      <c r="E18" s="267">
        <f>D18/'- 3 -'!$D18*100</f>
        <v>0</v>
      </c>
      <c r="F18" s="16">
        <v>560983</v>
      </c>
      <c r="G18" s="267">
        <f>F18/'- 3 -'!$D18*100</f>
        <v>0.40300300793031946</v>
      </c>
      <c r="H18" s="16">
        <v>1563281</v>
      </c>
      <c r="I18" s="267">
        <f>H18/'- 3 -'!$D18*100</f>
        <v>1.1230410640613311</v>
      </c>
    </row>
    <row r="19" spans="1:9" ht="14.1" customHeight="1" x14ac:dyDescent="0.2">
      <c r="A19" s="271" t="s">
        <v>115</v>
      </c>
      <c r="B19" s="272">
        <v>0</v>
      </c>
      <c r="C19" s="273">
        <f>B19/'- 3 -'!$D19*100</f>
        <v>0</v>
      </c>
      <c r="D19" s="272">
        <v>0</v>
      </c>
      <c r="E19" s="273">
        <f>D19/'- 3 -'!$D19*100</f>
        <v>0</v>
      </c>
      <c r="F19" s="272">
        <v>0</v>
      </c>
      <c r="G19" s="273">
        <f>F19/'- 3 -'!$D19*100</f>
        <v>0</v>
      </c>
      <c r="H19" s="272">
        <v>87800</v>
      </c>
      <c r="I19" s="273">
        <f>H19/'- 3 -'!$D19*100</f>
        <v>0.17032139919611403</v>
      </c>
    </row>
    <row r="20" spans="1:9" ht="14.1" customHeight="1" x14ac:dyDescent="0.2">
      <c r="A20" s="15" t="s">
        <v>116</v>
      </c>
      <c r="B20" s="16">
        <v>0</v>
      </c>
      <c r="C20" s="267">
        <f>B20/'- 3 -'!$D20*100</f>
        <v>0</v>
      </c>
      <c r="D20" s="16">
        <v>0</v>
      </c>
      <c r="E20" s="267">
        <f>D20/'- 3 -'!$D20*100</f>
        <v>0</v>
      </c>
      <c r="F20" s="16">
        <v>0</v>
      </c>
      <c r="G20" s="267">
        <f>F20/'- 3 -'!$D20*100</f>
        <v>0</v>
      </c>
      <c r="H20" s="16">
        <v>114000</v>
      </c>
      <c r="I20" s="267">
        <f>H20/'- 3 -'!$D20*100</f>
        <v>0.12399970849191336</v>
      </c>
    </row>
    <row r="21" spans="1:9" ht="14.1" customHeight="1" x14ac:dyDescent="0.2">
      <c r="A21" s="271" t="s">
        <v>117</v>
      </c>
      <c r="B21" s="272">
        <v>148000</v>
      </c>
      <c r="C21" s="273">
        <f>B21/'- 3 -'!$D21*100</f>
        <v>0.3875892862988497</v>
      </c>
      <c r="D21" s="272">
        <v>0</v>
      </c>
      <c r="E21" s="273">
        <f>D21/'- 3 -'!$D21*100</f>
        <v>0</v>
      </c>
      <c r="F21" s="272">
        <v>0</v>
      </c>
      <c r="G21" s="273">
        <f>F21/'- 3 -'!$D21*100</f>
        <v>0</v>
      </c>
      <c r="H21" s="272">
        <v>167000</v>
      </c>
      <c r="I21" s="273">
        <f>H21/'- 3 -'!$D21*100</f>
        <v>0.43734737035072901</v>
      </c>
    </row>
    <row r="22" spans="1:9" ht="14.1" customHeight="1" x14ac:dyDescent="0.2">
      <c r="A22" s="15" t="s">
        <v>118</v>
      </c>
      <c r="B22" s="16">
        <v>0</v>
      </c>
      <c r="C22" s="267">
        <f>B22/'- 3 -'!$D22*100</f>
        <v>0</v>
      </c>
      <c r="D22" s="16">
        <v>0</v>
      </c>
      <c r="E22" s="267">
        <f>D22/'- 3 -'!$D22*100</f>
        <v>0</v>
      </c>
      <c r="F22" s="16">
        <v>76875</v>
      </c>
      <c r="G22" s="267">
        <f>F22/'- 3 -'!$D22*100</f>
        <v>0.3758631100441624</v>
      </c>
      <c r="H22" s="16">
        <v>0</v>
      </c>
      <c r="I22" s="267">
        <f>H22/'- 3 -'!$D22*100</f>
        <v>0</v>
      </c>
    </row>
    <row r="23" spans="1:9" ht="14.1" customHeight="1" x14ac:dyDescent="0.2">
      <c r="A23" s="271" t="s">
        <v>119</v>
      </c>
      <c r="B23" s="272">
        <v>117000</v>
      </c>
      <c r="C23" s="273">
        <f>B23/'- 3 -'!$D23*100</f>
        <v>0.73272850874405016</v>
      </c>
      <c r="D23" s="272">
        <v>0</v>
      </c>
      <c r="E23" s="273">
        <f>D23/'- 3 -'!$D23*100</f>
        <v>0</v>
      </c>
      <c r="F23" s="272">
        <v>120000</v>
      </c>
      <c r="G23" s="273">
        <f>F23/'- 3 -'!$D23*100</f>
        <v>0.75151641922466683</v>
      </c>
      <c r="H23" s="272">
        <v>52000</v>
      </c>
      <c r="I23" s="273">
        <f>H23/'- 3 -'!$D23*100</f>
        <v>0.32565711499735561</v>
      </c>
    </row>
    <row r="24" spans="1:9" ht="14.1" customHeight="1" x14ac:dyDescent="0.2">
      <c r="A24" s="15" t="s">
        <v>120</v>
      </c>
      <c r="B24" s="16">
        <v>193268</v>
      </c>
      <c r="C24" s="267">
        <f>B24/'- 3 -'!$D24*100</f>
        <v>0.32830215730060708</v>
      </c>
      <c r="D24" s="16">
        <v>0</v>
      </c>
      <c r="E24" s="267">
        <f>D24/'- 3 -'!$D24*100</f>
        <v>0</v>
      </c>
      <c r="F24" s="16">
        <v>229739</v>
      </c>
      <c r="G24" s="267">
        <f>F24/'- 3 -'!$D24*100</f>
        <v>0.39025503092122943</v>
      </c>
      <c r="H24" s="16">
        <v>0</v>
      </c>
      <c r="I24" s="267">
        <f>H24/'- 3 -'!$D24*100</f>
        <v>0</v>
      </c>
    </row>
    <row r="25" spans="1:9" ht="14.1" customHeight="1" x14ac:dyDescent="0.2">
      <c r="A25" s="271" t="s">
        <v>121</v>
      </c>
      <c r="B25" s="272">
        <v>340088</v>
      </c>
      <c r="C25" s="273">
        <f>B25/'- 3 -'!$D25*100</f>
        <v>0.1748531424709408</v>
      </c>
      <c r="D25" s="272">
        <v>0</v>
      </c>
      <c r="E25" s="273">
        <f>D25/'- 3 -'!$D25*100</f>
        <v>0</v>
      </c>
      <c r="F25" s="272">
        <v>618570</v>
      </c>
      <c r="G25" s="273">
        <f>F25/'- 3 -'!$D25*100</f>
        <v>0.31803212209266379</v>
      </c>
      <c r="H25" s="272">
        <v>938499</v>
      </c>
      <c r="I25" s="273">
        <f>H25/'- 3 -'!$D25*100</f>
        <v>0.48252069863045877</v>
      </c>
    </row>
    <row r="26" spans="1:9" ht="14.1" customHeight="1" x14ac:dyDescent="0.2">
      <c r="A26" s="15" t="s">
        <v>122</v>
      </c>
      <c r="B26" s="16">
        <v>0</v>
      </c>
      <c r="C26" s="267">
        <f>B26/'- 3 -'!$D26*100</f>
        <v>0</v>
      </c>
      <c r="D26" s="16">
        <v>0</v>
      </c>
      <c r="E26" s="267">
        <f>D26/'- 3 -'!$D26*100</f>
        <v>0</v>
      </c>
      <c r="F26" s="16">
        <v>0</v>
      </c>
      <c r="G26" s="267">
        <f>F26/'- 3 -'!$D26*100</f>
        <v>0</v>
      </c>
      <c r="H26" s="16">
        <v>100358</v>
      </c>
      <c r="I26" s="267">
        <f>H26/'- 3 -'!$D26*100</f>
        <v>0.23853792448284536</v>
      </c>
    </row>
    <row r="27" spans="1:9" ht="14.1" customHeight="1" x14ac:dyDescent="0.2">
      <c r="A27" s="271" t="s">
        <v>123</v>
      </c>
      <c r="B27" s="272">
        <v>0</v>
      </c>
      <c r="C27" s="273">
        <f>B27/'- 3 -'!$D27*100</f>
        <v>0</v>
      </c>
      <c r="D27" s="272">
        <v>0</v>
      </c>
      <c r="E27" s="273">
        <f>D27/'- 3 -'!$D27*100</f>
        <v>0</v>
      </c>
      <c r="F27" s="272">
        <v>0</v>
      </c>
      <c r="G27" s="273">
        <f>F27/'- 3 -'!$D27*100</f>
        <v>0</v>
      </c>
      <c r="H27" s="272">
        <v>57234</v>
      </c>
      <c r="I27" s="273">
        <f>H27/'- 3 -'!$D27*100</f>
        <v>0.13380521683241292</v>
      </c>
    </row>
    <row r="28" spans="1:9" ht="14.1" customHeight="1" x14ac:dyDescent="0.2">
      <c r="A28" s="15" t="s">
        <v>124</v>
      </c>
      <c r="B28" s="16">
        <v>0</v>
      </c>
      <c r="C28" s="267">
        <f>B28/'- 3 -'!$D28*100</f>
        <v>0</v>
      </c>
      <c r="D28" s="16">
        <v>0</v>
      </c>
      <c r="E28" s="267">
        <f>D28/'- 3 -'!$D28*100</f>
        <v>0</v>
      </c>
      <c r="F28" s="16">
        <v>0</v>
      </c>
      <c r="G28" s="267">
        <f>F28/'- 3 -'!$D28*100</f>
        <v>0</v>
      </c>
      <c r="H28" s="16">
        <v>111662</v>
      </c>
      <c r="I28" s="267">
        <f>H28/'- 3 -'!$D28*100</f>
        <v>0.38790436768812409</v>
      </c>
    </row>
    <row r="29" spans="1:9" ht="14.1" customHeight="1" x14ac:dyDescent="0.2">
      <c r="A29" s="271" t="s">
        <v>125</v>
      </c>
      <c r="B29" s="272">
        <v>0</v>
      </c>
      <c r="C29" s="273">
        <f>B29/'- 3 -'!$D29*100</f>
        <v>0</v>
      </c>
      <c r="D29" s="272">
        <v>0</v>
      </c>
      <c r="E29" s="273">
        <f>D29/'- 3 -'!$D29*100</f>
        <v>0</v>
      </c>
      <c r="F29" s="272">
        <v>207974</v>
      </c>
      <c r="G29" s="273">
        <f>F29/'- 3 -'!$D29*100</f>
        <v>0.1168406393152768</v>
      </c>
      <c r="H29" s="272">
        <v>227404</v>
      </c>
      <c r="I29" s="273">
        <f>H29/'- 3 -'!$D29*100</f>
        <v>0.12775649236371472</v>
      </c>
    </row>
    <row r="30" spans="1:9" ht="14.1" customHeight="1" x14ac:dyDescent="0.2">
      <c r="A30" s="15" t="s">
        <v>126</v>
      </c>
      <c r="B30" s="16">
        <v>0</v>
      </c>
      <c r="C30" s="267">
        <f>B30/'- 3 -'!$D30*100</f>
        <v>0</v>
      </c>
      <c r="D30" s="16">
        <v>0</v>
      </c>
      <c r="E30" s="267">
        <f>D30/'- 3 -'!$D30*100</f>
        <v>0</v>
      </c>
      <c r="F30" s="16">
        <v>0</v>
      </c>
      <c r="G30" s="267">
        <f>F30/'- 3 -'!$D30*100</f>
        <v>0</v>
      </c>
      <c r="H30" s="16">
        <v>14790</v>
      </c>
      <c r="I30" s="267">
        <f>H30/'- 3 -'!$D30*100</f>
        <v>9.4074394463667818E-2</v>
      </c>
    </row>
    <row r="31" spans="1:9" ht="14.1" customHeight="1" x14ac:dyDescent="0.2">
      <c r="A31" s="271" t="s">
        <v>127</v>
      </c>
      <c r="B31" s="272">
        <v>0</v>
      </c>
      <c r="C31" s="273">
        <f>B31/'- 3 -'!$D31*100</f>
        <v>0</v>
      </c>
      <c r="D31" s="272">
        <v>0</v>
      </c>
      <c r="E31" s="273">
        <f>D31/'- 3 -'!$D31*100</f>
        <v>0</v>
      </c>
      <c r="F31" s="272">
        <v>0</v>
      </c>
      <c r="G31" s="273">
        <f>F31/'- 3 -'!$D31*100</f>
        <v>0</v>
      </c>
      <c r="H31" s="272">
        <v>61035</v>
      </c>
      <c r="I31" s="273">
        <f>H31/'- 3 -'!$D31*100</f>
        <v>0.14942067083136648</v>
      </c>
    </row>
    <row r="32" spans="1:9" ht="14.1" customHeight="1" x14ac:dyDescent="0.2">
      <c r="A32" s="15" t="s">
        <v>128</v>
      </c>
      <c r="B32" s="16">
        <v>0</v>
      </c>
      <c r="C32" s="267">
        <f>B32/'- 3 -'!$D32*100</f>
        <v>0</v>
      </c>
      <c r="D32" s="16">
        <v>0</v>
      </c>
      <c r="E32" s="267">
        <f>D32/'- 3 -'!$D32*100</f>
        <v>0</v>
      </c>
      <c r="F32" s="16">
        <v>0</v>
      </c>
      <c r="G32" s="267">
        <f>F32/'- 3 -'!$D32*100</f>
        <v>0</v>
      </c>
      <c r="H32" s="16">
        <v>34000</v>
      </c>
      <c r="I32" s="267">
        <f>H32/'- 3 -'!$D32*100</f>
        <v>0.10726502885587019</v>
      </c>
    </row>
    <row r="33" spans="1:9" ht="14.1" customHeight="1" x14ac:dyDescent="0.2">
      <c r="A33" s="271" t="s">
        <v>129</v>
      </c>
      <c r="B33" s="272">
        <v>0</v>
      </c>
      <c r="C33" s="273">
        <f>B33/'- 3 -'!$D33*100</f>
        <v>0</v>
      </c>
      <c r="D33" s="272">
        <v>0</v>
      </c>
      <c r="E33" s="273">
        <f>D33/'- 3 -'!$D33*100</f>
        <v>0</v>
      </c>
      <c r="F33" s="272">
        <v>0</v>
      </c>
      <c r="G33" s="273">
        <f>F33/'- 3 -'!$D33*100</f>
        <v>0</v>
      </c>
      <c r="H33" s="272">
        <v>30908</v>
      </c>
      <c r="I33" s="273">
        <f>H33/'- 3 -'!$D33*100</f>
        <v>0.10758188447484948</v>
      </c>
    </row>
    <row r="34" spans="1:9" ht="14.1" customHeight="1" x14ac:dyDescent="0.2">
      <c r="A34" s="15" t="s">
        <v>130</v>
      </c>
      <c r="B34" s="16">
        <v>0</v>
      </c>
      <c r="C34" s="267">
        <f>B34/'- 3 -'!$D34*100</f>
        <v>0</v>
      </c>
      <c r="D34" s="16">
        <v>0</v>
      </c>
      <c r="E34" s="267">
        <f>D34/'- 3 -'!$D34*100</f>
        <v>0</v>
      </c>
      <c r="F34" s="16">
        <v>0</v>
      </c>
      <c r="G34" s="267">
        <f>F34/'- 3 -'!$D34*100</f>
        <v>0</v>
      </c>
      <c r="H34" s="16">
        <v>63158</v>
      </c>
      <c r="I34" s="267">
        <f>H34/'- 3 -'!$D34*100</f>
        <v>0.19753246737811886</v>
      </c>
    </row>
    <row r="35" spans="1:9" ht="14.1" customHeight="1" x14ac:dyDescent="0.2">
      <c r="A35" s="271" t="s">
        <v>131</v>
      </c>
      <c r="B35" s="272">
        <v>361600</v>
      </c>
      <c r="C35" s="273">
        <f>B35/'- 3 -'!$D35*100</f>
        <v>0.18404447589487657</v>
      </c>
      <c r="D35" s="272">
        <v>0</v>
      </c>
      <c r="E35" s="273">
        <f>D35/'- 3 -'!$D35*100</f>
        <v>0</v>
      </c>
      <c r="F35" s="272">
        <v>0</v>
      </c>
      <c r="G35" s="273">
        <f>F35/'- 3 -'!$D35*100</f>
        <v>0</v>
      </c>
      <c r="H35" s="272">
        <v>221188</v>
      </c>
      <c r="I35" s="273">
        <f>H35/'- 3 -'!$D35*100</f>
        <v>0.11257862149954634</v>
      </c>
    </row>
    <row r="36" spans="1:9" ht="14.1" customHeight="1" x14ac:dyDescent="0.2">
      <c r="A36" s="15" t="s">
        <v>132</v>
      </c>
      <c r="B36" s="16">
        <v>0</v>
      </c>
      <c r="C36" s="267">
        <f>B36/'- 3 -'!$D36*100</f>
        <v>0</v>
      </c>
      <c r="D36" s="16">
        <v>0</v>
      </c>
      <c r="E36" s="267">
        <f>D36/'- 3 -'!$D36*100</f>
        <v>0</v>
      </c>
      <c r="F36" s="16">
        <v>0</v>
      </c>
      <c r="G36" s="267">
        <f>F36/'- 3 -'!$D36*100</f>
        <v>0</v>
      </c>
      <c r="H36" s="16">
        <v>30825</v>
      </c>
      <c r="I36" s="267">
        <f>H36/'- 3 -'!$D36*100</f>
        <v>0.12748563382693262</v>
      </c>
    </row>
    <row r="37" spans="1:9" ht="14.1" customHeight="1" x14ac:dyDescent="0.2">
      <c r="A37" s="271" t="s">
        <v>133</v>
      </c>
      <c r="B37" s="272">
        <v>0</v>
      </c>
      <c r="C37" s="273">
        <f>B37/'- 3 -'!$D37*100</f>
        <v>0</v>
      </c>
      <c r="D37" s="272">
        <v>0</v>
      </c>
      <c r="E37" s="273">
        <f>D37/'- 3 -'!$D37*100</f>
        <v>0</v>
      </c>
      <c r="F37" s="272">
        <v>5000</v>
      </c>
      <c r="G37" s="273">
        <f>F37/'- 3 -'!$D37*100</f>
        <v>9.072862342903389E-3</v>
      </c>
      <c r="H37" s="272">
        <v>697529</v>
      </c>
      <c r="I37" s="273">
        <f>H37/'- 3 -'!$D37*100</f>
        <v>1.2657169194366114</v>
      </c>
    </row>
    <row r="38" spans="1:9" ht="14.1" customHeight="1" x14ac:dyDescent="0.2">
      <c r="A38" s="15" t="s">
        <v>134</v>
      </c>
      <c r="B38" s="16">
        <v>0</v>
      </c>
      <c r="C38" s="267">
        <f>B38/'- 3 -'!$D38*100</f>
        <v>0</v>
      </c>
      <c r="D38" s="16">
        <v>645830</v>
      </c>
      <c r="E38" s="267">
        <f>D38/'- 3 -'!$D38*100</f>
        <v>0.4275105696052251</v>
      </c>
      <c r="F38" s="16">
        <v>1335800</v>
      </c>
      <c r="G38" s="267">
        <f>F38/'- 3 -'!$D38*100</f>
        <v>0.88423984466292938</v>
      </c>
      <c r="H38" s="16">
        <v>524860</v>
      </c>
      <c r="I38" s="267">
        <f>H38/'- 3 -'!$D38*100</f>
        <v>0.34743384104640301</v>
      </c>
    </row>
    <row r="39" spans="1:9" ht="14.1" customHeight="1" x14ac:dyDescent="0.2">
      <c r="A39" s="271" t="s">
        <v>135</v>
      </c>
      <c r="B39" s="272">
        <v>0</v>
      </c>
      <c r="C39" s="273">
        <f>B39/'- 3 -'!$D39*100</f>
        <v>0</v>
      </c>
      <c r="D39" s="272">
        <v>0</v>
      </c>
      <c r="E39" s="273">
        <f>D39/'- 3 -'!$D39*100</f>
        <v>0</v>
      </c>
      <c r="F39" s="272">
        <v>0</v>
      </c>
      <c r="G39" s="273">
        <f>F39/'- 3 -'!$D39*100</f>
        <v>0</v>
      </c>
      <c r="H39" s="272">
        <v>160800</v>
      </c>
      <c r="I39" s="273">
        <f>H39/'- 3 -'!$D39*100</f>
        <v>0.68482649358613989</v>
      </c>
    </row>
    <row r="40" spans="1:9" ht="14.1" customHeight="1" x14ac:dyDescent="0.2">
      <c r="A40" s="15" t="s">
        <v>136</v>
      </c>
      <c r="B40" s="16">
        <v>563397</v>
      </c>
      <c r="C40" s="267">
        <f>B40/'- 3 -'!$D40*100</f>
        <v>0.51277220519570976</v>
      </c>
      <c r="D40" s="16">
        <v>0</v>
      </c>
      <c r="E40" s="267">
        <f>D40/'- 3 -'!$D40*100</f>
        <v>0</v>
      </c>
      <c r="F40" s="16">
        <v>464957</v>
      </c>
      <c r="G40" s="267">
        <f>F40/'- 3 -'!$D40*100</f>
        <v>0.42317766372767629</v>
      </c>
      <c r="H40" s="16">
        <v>104262</v>
      </c>
      <c r="I40" s="267">
        <f>H40/'- 3 -'!$D40*100</f>
        <v>9.4893397831573634E-2</v>
      </c>
    </row>
    <row r="41" spans="1:9" ht="14.1" customHeight="1" x14ac:dyDescent="0.2">
      <c r="A41" s="271" t="s">
        <v>137</v>
      </c>
      <c r="B41" s="272">
        <v>0</v>
      </c>
      <c r="C41" s="273">
        <f>B41/'- 3 -'!$D41*100</f>
        <v>0</v>
      </c>
      <c r="D41" s="272">
        <v>0</v>
      </c>
      <c r="E41" s="273">
        <f>D41/'- 3 -'!$D41*100</f>
        <v>0</v>
      </c>
      <c r="F41" s="272">
        <v>0</v>
      </c>
      <c r="G41" s="273">
        <f>F41/'- 3 -'!$D41*100</f>
        <v>0</v>
      </c>
      <c r="H41" s="272">
        <v>354954</v>
      </c>
      <c r="I41" s="273">
        <f>H41/'- 3 -'!$D41*100</f>
        <v>0.53224037278808223</v>
      </c>
    </row>
    <row r="42" spans="1:9" ht="14.1" customHeight="1" x14ac:dyDescent="0.2">
      <c r="A42" s="15" t="s">
        <v>138</v>
      </c>
      <c r="B42" s="16">
        <v>0</v>
      </c>
      <c r="C42" s="267">
        <f>B42/'- 3 -'!$D42*100</f>
        <v>0</v>
      </c>
      <c r="D42" s="16">
        <v>0</v>
      </c>
      <c r="E42" s="267">
        <f>D42/'- 3 -'!$D42*100</f>
        <v>0</v>
      </c>
      <c r="F42" s="16">
        <v>0</v>
      </c>
      <c r="G42" s="267">
        <f>F42/'- 3 -'!$D42*100</f>
        <v>0</v>
      </c>
      <c r="H42" s="16">
        <v>64198</v>
      </c>
      <c r="I42" s="267">
        <f>H42/'- 3 -'!$D42*100</f>
        <v>0.30076956304598168</v>
      </c>
    </row>
    <row r="43" spans="1:9" ht="14.1" customHeight="1" x14ac:dyDescent="0.2">
      <c r="A43" s="271" t="s">
        <v>139</v>
      </c>
      <c r="B43" s="272">
        <v>0</v>
      </c>
      <c r="C43" s="273">
        <f>B43/'- 3 -'!$D43*100</f>
        <v>0</v>
      </c>
      <c r="D43" s="272">
        <v>0</v>
      </c>
      <c r="E43" s="273">
        <f>D43/'- 3 -'!$D43*100</f>
        <v>0</v>
      </c>
      <c r="F43" s="272">
        <v>0</v>
      </c>
      <c r="G43" s="273">
        <f>F43/'- 3 -'!$D43*100</f>
        <v>0</v>
      </c>
      <c r="H43" s="272">
        <v>13770</v>
      </c>
      <c r="I43" s="273">
        <f>H43/'- 3 -'!$D43*100</f>
        <v>9.921983093863114E-2</v>
      </c>
    </row>
    <row r="44" spans="1:9" ht="14.1" customHeight="1" x14ac:dyDescent="0.2">
      <c r="A44" s="15" t="s">
        <v>140</v>
      </c>
      <c r="B44" s="16">
        <v>0</v>
      </c>
      <c r="C44" s="267">
        <f>B44/'- 3 -'!$D44*100</f>
        <v>0</v>
      </c>
      <c r="D44" s="16">
        <v>0</v>
      </c>
      <c r="E44" s="267">
        <f>D44/'- 3 -'!$D44*100</f>
        <v>0</v>
      </c>
      <c r="F44" s="16">
        <v>0</v>
      </c>
      <c r="G44" s="267">
        <f>F44/'- 3 -'!$D44*100</f>
        <v>0</v>
      </c>
      <c r="H44" s="16">
        <v>24879</v>
      </c>
      <c r="I44" s="267">
        <f>H44/'- 3 -'!$D44*100</f>
        <v>0.22146031352670409</v>
      </c>
    </row>
    <row r="45" spans="1:9" ht="14.1" customHeight="1" x14ac:dyDescent="0.2">
      <c r="A45" s="271" t="s">
        <v>141</v>
      </c>
      <c r="B45" s="272">
        <v>0</v>
      </c>
      <c r="C45" s="273">
        <f>B45/'- 3 -'!$D45*100</f>
        <v>0</v>
      </c>
      <c r="D45" s="272">
        <v>0</v>
      </c>
      <c r="E45" s="273">
        <f>D45/'- 3 -'!$D45*100</f>
        <v>0</v>
      </c>
      <c r="F45" s="272">
        <v>0</v>
      </c>
      <c r="G45" s="273">
        <f>F45/'- 3 -'!$D45*100</f>
        <v>0</v>
      </c>
      <c r="H45" s="272">
        <v>45765</v>
      </c>
      <c r="I45" s="273">
        <f>H45/'- 3 -'!$D45*100</f>
        <v>0.20460182200906693</v>
      </c>
    </row>
    <row r="46" spans="1:9" ht="14.1" customHeight="1" x14ac:dyDescent="0.2">
      <c r="A46" s="15" t="s">
        <v>142</v>
      </c>
      <c r="B46" s="16">
        <v>0</v>
      </c>
      <c r="C46" s="267">
        <f>B46/'- 3 -'!$D46*100</f>
        <v>0</v>
      </c>
      <c r="D46" s="16">
        <v>3492300</v>
      </c>
      <c r="E46" s="267">
        <f>D46/'- 3 -'!$D46*100</f>
        <v>0.83674830451427906</v>
      </c>
      <c r="F46" s="16">
        <v>176600</v>
      </c>
      <c r="G46" s="267">
        <f>F46/'- 3 -'!$D46*100</f>
        <v>4.231301737457311E-2</v>
      </c>
      <c r="H46" s="16">
        <v>5257500</v>
      </c>
      <c r="I46" s="267">
        <f>H46/'- 3 -'!$D46*100</f>
        <v>1.2596867998121071</v>
      </c>
    </row>
    <row r="47" spans="1:9" ht="5.0999999999999996" customHeight="1" x14ac:dyDescent="0.2">
      <c r="A47"/>
      <c r="B47"/>
      <c r="C47"/>
      <c r="D47"/>
      <c r="E47"/>
      <c r="F47"/>
      <c r="G47"/>
      <c r="H47" s="507"/>
      <c r="I47"/>
    </row>
    <row r="48" spans="1:9" ht="14.1" customHeight="1" x14ac:dyDescent="0.2">
      <c r="A48" s="274" t="s">
        <v>143</v>
      </c>
      <c r="B48" s="275">
        <f>SUM(B11:B46)</f>
        <v>1723353</v>
      </c>
      <c r="C48" s="276">
        <f>B48/'- 3 -'!$D48*100</f>
        <v>6.9468410156597257E-2</v>
      </c>
      <c r="D48" s="275">
        <f>SUM(D11:D46)</f>
        <v>4138130</v>
      </c>
      <c r="E48" s="276">
        <f>D48/'- 3 -'!$D48*100</f>
        <v>0.16680814210514025</v>
      </c>
      <c r="F48" s="275">
        <f>SUM(F11:F46)</f>
        <v>4120798</v>
      </c>
      <c r="G48" s="276">
        <f>F48/'- 3 -'!$D48*100</f>
        <v>0.16610948867497582</v>
      </c>
      <c r="H48" s="275">
        <f>SUM(H11:H46)</f>
        <v>13312386</v>
      </c>
      <c r="I48" s="276">
        <f>H48/'- 3 -'!$D48*100</f>
        <v>0.53662267150777754</v>
      </c>
    </row>
    <row r="49" spans="1:9" ht="5.0999999999999996" customHeight="1" x14ac:dyDescent="0.2">
      <c r="A49" s="17" t="s">
        <v>1</v>
      </c>
      <c r="B49" s="18"/>
      <c r="C49" s="266"/>
      <c r="D49" s="18"/>
      <c r="E49" s="266"/>
      <c r="F49" s="18"/>
      <c r="G49" s="266"/>
      <c r="H49" s="18"/>
      <c r="I49" s="266"/>
    </row>
    <row r="50" spans="1:9" ht="14.1" customHeight="1" x14ac:dyDescent="0.2">
      <c r="A50" s="15" t="s">
        <v>144</v>
      </c>
      <c r="B50" s="16">
        <v>12000</v>
      </c>
      <c r="C50" s="267">
        <f>B50/'- 3 -'!$D50*100</f>
        <v>0.33443483161066884</v>
      </c>
      <c r="D50" s="16">
        <v>0</v>
      </c>
      <c r="E50" s="267">
        <f>D50/'- 3 -'!$D50*100</f>
        <v>0</v>
      </c>
      <c r="F50" s="16">
        <v>57208</v>
      </c>
      <c r="G50" s="267">
        <f>F50/'- 3 -'!$D50*100</f>
        <v>1.5943623205652617</v>
      </c>
      <c r="H50" s="16">
        <v>133324</v>
      </c>
      <c r="I50" s="267">
        <f>H50/'- 3 -'!$D50*100</f>
        <v>3.715682457471734</v>
      </c>
    </row>
    <row r="51" spans="1:9" ht="14.1" customHeight="1" x14ac:dyDescent="0.2">
      <c r="A51" s="360" t="s">
        <v>513</v>
      </c>
      <c r="B51" s="272">
        <v>93192</v>
      </c>
      <c r="C51" s="273">
        <f>B51/'- 3 -'!$D51*100</f>
        <v>0.26806061716015389</v>
      </c>
      <c r="D51" s="272">
        <v>2469380</v>
      </c>
      <c r="E51" s="273">
        <f>D51/'- 3 -'!$D51*100</f>
        <v>7.1030080565170923</v>
      </c>
      <c r="F51" s="272">
        <v>8052332</v>
      </c>
      <c r="G51" s="273">
        <f>F51/'- 3 -'!$D51*100</f>
        <v>23.161999801468543</v>
      </c>
      <c r="H51" s="272">
        <v>0</v>
      </c>
      <c r="I51" s="273">
        <f>H51/'- 3 -'!$D51*100</f>
        <v>0</v>
      </c>
    </row>
    <row r="52" spans="1:9" ht="50.1" customHeight="1" x14ac:dyDescent="0.2"/>
    <row r="53" spans="1:9" ht="15" customHeight="1" x14ac:dyDescent="0.2"/>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5:I5"/>
    <mergeCell ref="B7:C8"/>
    <mergeCell ref="D6:E8"/>
    <mergeCell ref="F7:G8"/>
    <mergeCell ref="H7:I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9"/>
  <sheetViews>
    <sheetView showGridLines="0" showZeros="0" workbookViewId="0"/>
  </sheetViews>
  <sheetFormatPr defaultColWidth="15.83203125" defaultRowHeight="12" x14ac:dyDescent="0.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6"/>
      <c r="E2" s="6"/>
      <c r="F2" s="6"/>
      <c r="G2" s="85"/>
      <c r="H2" s="85"/>
      <c r="I2" s="141"/>
      <c r="J2" s="502" t="s">
        <v>528</v>
      </c>
    </row>
    <row r="3" spans="1:10" ht="15.95" customHeight="1" x14ac:dyDescent="0.2">
      <c r="A3" s="135"/>
      <c r="B3" s="7" t="str">
        <f>OPYEAR</f>
        <v>OPERATING FUND 2020/2021 BUDGET</v>
      </c>
      <c r="C3" s="8"/>
      <c r="D3" s="8"/>
      <c r="E3" s="8"/>
      <c r="F3" s="8"/>
      <c r="G3" s="87"/>
      <c r="H3" s="87"/>
      <c r="I3" s="87"/>
      <c r="J3" s="81"/>
    </row>
    <row r="4" spans="1:10" ht="15.95" customHeight="1" x14ac:dyDescent="0.2">
      <c r="B4" s="4"/>
      <c r="C4" s="4"/>
      <c r="D4" s="4"/>
      <c r="E4" s="4"/>
      <c r="F4" s="4"/>
      <c r="G4" s="4"/>
      <c r="H4" s="4"/>
      <c r="I4" s="4"/>
      <c r="J4" s="4"/>
    </row>
    <row r="5" spans="1:10" ht="15.95" customHeight="1" x14ac:dyDescent="0.2">
      <c r="B5" s="670" t="s">
        <v>87</v>
      </c>
      <c r="C5" s="671"/>
      <c r="D5" s="671"/>
      <c r="E5" s="671"/>
      <c r="F5" s="671"/>
      <c r="G5" s="671"/>
      <c r="H5" s="671"/>
      <c r="I5" s="671"/>
      <c r="J5" s="672"/>
    </row>
    <row r="6" spans="1:10" ht="15.95" customHeight="1" x14ac:dyDescent="0.2">
      <c r="B6" s="268"/>
      <c r="C6" s="269"/>
      <c r="D6" s="270"/>
      <c r="E6" s="622" t="s">
        <v>419</v>
      </c>
      <c r="F6" s="632"/>
      <c r="G6" s="623"/>
      <c r="H6" s="622" t="s">
        <v>420</v>
      </c>
      <c r="I6" s="632"/>
      <c r="J6" s="623"/>
    </row>
    <row r="7" spans="1:10" ht="15.95" customHeight="1" x14ac:dyDescent="0.2">
      <c r="B7" s="629" t="s">
        <v>18</v>
      </c>
      <c r="C7" s="631"/>
      <c r="D7" s="617"/>
      <c r="E7" s="624"/>
      <c r="F7" s="633"/>
      <c r="G7" s="625"/>
      <c r="H7" s="624"/>
      <c r="I7" s="633"/>
      <c r="J7" s="625"/>
    </row>
    <row r="8" spans="1:10" ht="15.95" customHeight="1" x14ac:dyDescent="0.2">
      <c r="A8" s="82"/>
      <c r="B8" s="138"/>
      <c r="C8" s="137"/>
      <c r="D8" s="540" t="s">
        <v>396</v>
      </c>
      <c r="E8" s="138"/>
      <c r="F8" s="137"/>
      <c r="G8" s="540" t="s">
        <v>396</v>
      </c>
      <c r="H8" s="138"/>
      <c r="I8" s="137"/>
      <c r="J8" s="540" t="s">
        <v>396</v>
      </c>
    </row>
    <row r="9" spans="1:10" ht="15.95" customHeight="1" x14ac:dyDescent="0.2">
      <c r="A9" s="27" t="s">
        <v>37</v>
      </c>
      <c r="B9" s="89" t="s">
        <v>38</v>
      </c>
      <c r="C9" s="89" t="s">
        <v>39</v>
      </c>
      <c r="D9" s="580"/>
      <c r="E9" s="89" t="s">
        <v>38</v>
      </c>
      <c r="F9" s="89" t="s">
        <v>39</v>
      </c>
      <c r="G9" s="580"/>
      <c r="H9" s="89" t="s">
        <v>38</v>
      </c>
      <c r="I9" s="89" t="s">
        <v>39</v>
      </c>
      <c r="J9" s="580"/>
    </row>
    <row r="10" spans="1:10" ht="5.0999999999999996" customHeight="1" x14ac:dyDescent="0.2">
      <c r="A10" s="29"/>
    </row>
    <row r="11" spans="1:10" ht="14.1" customHeight="1" x14ac:dyDescent="0.2">
      <c r="A11" s="271" t="s">
        <v>108</v>
      </c>
      <c r="B11" s="272">
        <v>136908</v>
      </c>
      <c r="C11" s="273">
        <f>B11/'- 3 -'!$D11*100</f>
        <v>0.61641556966639999</v>
      </c>
      <c r="D11" s="272">
        <f>B11/'- 7 -'!$E11</f>
        <v>68.642767610930051</v>
      </c>
      <c r="E11" s="272">
        <v>157188</v>
      </c>
      <c r="F11" s="273">
        <f>E11/'- 3 -'!$D11*100</f>
        <v>0.70772438838287088</v>
      </c>
      <c r="G11" s="272">
        <f>E11/'- 7 -'!$E11</f>
        <v>78.810729506141897</v>
      </c>
      <c r="H11" s="272">
        <v>354665</v>
      </c>
      <c r="I11" s="273">
        <f>H11/'- 3 -'!$D11*100</f>
        <v>1.5968462618381232</v>
      </c>
      <c r="J11" s="272">
        <f>H11/'- 7 -'!$E11</f>
        <v>177.82150915016294</v>
      </c>
    </row>
    <row r="12" spans="1:10" ht="14.1" customHeight="1" x14ac:dyDescent="0.2">
      <c r="A12" s="15" t="s">
        <v>109</v>
      </c>
      <c r="B12" s="16">
        <v>175564</v>
      </c>
      <c r="C12" s="267">
        <f>B12/'- 3 -'!$D12*100</f>
        <v>0.50603906800080845</v>
      </c>
      <c r="D12" s="16">
        <f>B12/'- 7 -'!$E12</f>
        <v>81.506035283194052</v>
      </c>
      <c r="E12" s="16">
        <v>185749</v>
      </c>
      <c r="F12" s="267">
        <f>E12/'- 3 -'!$D12*100</f>
        <v>0.53539592878996933</v>
      </c>
      <c r="G12" s="16">
        <f>E12/'- 7 -'!$E12</f>
        <v>86.23444753946147</v>
      </c>
      <c r="H12" s="16">
        <v>708448</v>
      </c>
      <c r="I12" s="267">
        <f>H12/'- 3 -'!$D12*100</f>
        <v>2.0420038598291037</v>
      </c>
      <c r="J12" s="16">
        <f>H12/'- 7 -'!$E12</f>
        <v>328.89879294336117</v>
      </c>
    </row>
    <row r="13" spans="1:10" ht="14.1" customHeight="1" x14ac:dyDescent="0.2">
      <c r="A13" s="271" t="s">
        <v>110</v>
      </c>
      <c r="B13" s="272">
        <v>358700</v>
      </c>
      <c r="C13" s="273">
        <f>B13/'- 3 -'!$D13*100</f>
        <v>0.33352456524184948</v>
      </c>
      <c r="D13" s="272">
        <f>B13/'- 7 -'!$E13</f>
        <v>41.034147457530175</v>
      </c>
      <c r="E13" s="272">
        <v>598900</v>
      </c>
      <c r="F13" s="273">
        <f>E13/'- 3 -'!$D13*100</f>
        <v>0.55686607784595388</v>
      </c>
      <c r="G13" s="272">
        <f>E13/'- 7 -'!$E13</f>
        <v>68.5122690613739</v>
      </c>
      <c r="H13" s="272">
        <v>1735100</v>
      </c>
      <c r="I13" s="273">
        <f>H13/'- 3 -'!$D13*100</f>
        <v>1.613321642462038</v>
      </c>
      <c r="J13" s="272">
        <f>H13/'- 7 -'!$E13</f>
        <v>198.48996167705772</v>
      </c>
    </row>
    <row r="14" spans="1:10" ht="14.1" customHeight="1" x14ac:dyDescent="0.2">
      <c r="A14" s="15" t="s">
        <v>319</v>
      </c>
      <c r="B14" s="16">
        <v>973349</v>
      </c>
      <c r="C14" s="267">
        <f>B14/'- 3 -'!$D14*100</f>
        <v>1.0024978273269229</v>
      </c>
      <c r="D14" s="16">
        <f>B14/'- 7 -'!$E14</f>
        <v>162.41431670281995</v>
      </c>
      <c r="E14" s="16">
        <v>1490401</v>
      </c>
      <c r="F14" s="267">
        <f>E14/'- 3 -'!$D14*100</f>
        <v>1.5350339542608802</v>
      </c>
      <c r="G14" s="16">
        <f>E14/'- 7 -'!$E14</f>
        <v>248.69030535624896</v>
      </c>
      <c r="H14" s="16">
        <v>1096401</v>
      </c>
      <c r="I14" s="267">
        <f>H14/'- 3 -'!$D14*100</f>
        <v>1.1292348585954943</v>
      </c>
      <c r="J14" s="16">
        <f>H14/'- 7 -'!$E14</f>
        <v>182.94693809444351</v>
      </c>
    </row>
    <row r="15" spans="1:10" ht="14.1" customHeight="1" x14ac:dyDescent="0.2">
      <c r="A15" s="271" t="s">
        <v>111</v>
      </c>
      <c r="B15" s="272">
        <v>156734</v>
      </c>
      <c r="C15" s="273">
        <f>B15/'- 3 -'!$D15*100</f>
        <v>0.74152256202115163</v>
      </c>
      <c r="D15" s="272">
        <f>B15/'- 7 -'!$E15</f>
        <v>112.35412186379928</v>
      </c>
      <c r="E15" s="272">
        <v>218720</v>
      </c>
      <c r="F15" s="273">
        <f>E15/'- 3 -'!$D15*100</f>
        <v>1.034783867988224</v>
      </c>
      <c r="G15" s="272">
        <f>E15/'- 7 -'!$E15</f>
        <v>156.78853046594983</v>
      </c>
      <c r="H15" s="272">
        <v>347520</v>
      </c>
      <c r="I15" s="273">
        <f>H15/'- 3 -'!$D15*100</f>
        <v>1.6441481794224011</v>
      </c>
      <c r="J15" s="272">
        <f>H15/'- 7 -'!$E15</f>
        <v>249.11827956989248</v>
      </c>
    </row>
    <row r="16" spans="1:10" ht="14.1" customHeight="1" x14ac:dyDescent="0.2">
      <c r="A16" s="15" t="s">
        <v>112</v>
      </c>
      <c r="B16" s="16">
        <v>130012</v>
      </c>
      <c r="C16" s="267">
        <f>B16/'- 3 -'!$D16*100</f>
        <v>0.86930973950261614</v>
      </c>
      <c r="D16" s="16">
        <f>B16/'- 7 -'!$E16</f>
        <v>137.14345991561183</v>
      </c>
      <c r="E16" s="16">
        <v>100757</v>
      </c>
      <c r="F16" s="267">
        <f>E16/'- 3 -'!$D16*100</f>
        <v>0.67369966943870641</v>
      </c>
      <c r="G16" s="16">
        <f>E16/'- 7 -'!$E16</f>
        <v>106.28375527426161</v>
      </c>
      <c r="H16" s="16">
        <v>345716</v>
      </c>
      <c r="I16" s="267">
        <f>H16/'- 3 -'!$D16*100</f>
        <v>2.3115888218155742</v>
      </c>
      <c r="J16" s="16">
        <f>H16/'- 7 -'!$E16</f>
        <v>364.67932489451476</v>
      </c>
    </row>
    <row r="17" spans="1:10" ht="14.1" customHeight="1" x14ac:dyDescent="0.2">
      <c r="A17" s="271" t="s">
        <v>113</v>
      </c>
      <c r="B17" s="272">
        <v>127655</v>
      </c>
      <c r="C17" s="273">
        <f>B17/'- 3 -'!$D17*100</f>
        <v>0.67862809261408841</v>
      </c>
      <c r="D17" s="272">
        <f>B17/'- 7 -'!$E17</f>
        <v>88.281466113416315</v>
      </c>
      <c r="E17" s="272">
        <v>174360</v>
      </c>
      <c r="F17" s="273">
        <f>E17/'- 3 -'!$D17*100</f>
        <v>0.92691703598129682</v>
      </c>
      <c r="G17" s="272">
        <f>E17/'- 7 -'!$E17</f>
        <v>120.58091286307054</v>
      </c>
      <c r="H17" s="272">
        <v>311550</v>
      </c>
      <c r="I17" s="273">
        <f>H17/'- 3 -'!$D17*100</f>
        <v>1.6562342427160648</v>
      </c>
      <c r="J17" s="272">
        <f>H17/'- 7 -'!$E17</f>
        <v>215.4564315352697</v>
      </c>
    </row>
    <row r="18" spans="1:10" ht="14.1" customHeight="1" x14ac:dyDescent="0.2">
      <c r="A18" s="15" t="s">
        <v>114</v>
      </c>
      <c r="B18" s="16">
        <v>1237000</v>
      </c>
      <c r="C18" s="267">
        <f>B18/'- 3 -'!$D18*100</f>
        <v>0.88864496929462244</v>
      </c>
      <c r="D18" s="16">
        <f>B18/'- 7 -'!$E18</f>
        <v>206.54533311070296</v>
      </c>
      <c r="E18" s="16">
        <v>2309065</v>
      </c>
      <c r="F18" s="267">
        <f>E18/'- 3 -'!$D18*100</f>
        <v>1.6588027453712912</v>
      </c>
      <c r="G18" s="16">
        <f>E18/'- 7 -'!$E18</f>
        <v>385.55101018533981</v>
      </c>
      <c r="H18" s="16">
        <v>3120662</v>
      </c>
      <c r="I18" s="267">
        <f>H18/'- 3 -'!$D18*100</f>
        <v>2.2418436436288562</v>
      </c>
      <c r="J18" s="16">
        <f>H18/'- 7 -'!$E18</f>
        <v>521.06562030389046</v>
      </c>
    </row>
    <row r="19" spans="1:10" ht="14.1" customHeight="1" x14ac:dyDescent="0.2">
      <c r="A19" s="271" t="s">
        <v>115</v>
      </c>
      <c r="B19" s="272">
        <v>233000</v>
      </c>
      <c r="C19" s="273">
        <f>B19/'- 3 -'!$D19*100</f>
        <v>0.45199186802613406</v>
      </c>
      <c r="D19" s="272">
        <f>B19/'- 7 -'!$E19</f>
        <v>52.377205799707767</v>
      </c>
      <c r="E19" s="272">
        <v>392700</v>
      </c>
      <c r="F19" s="273">
        <f>E19/'- 3 -'!$D19*100</f>
        <v>0.76179058615391781</v>
      </c>
      <c r="G19" s="272">
        <f>E19/'- 7 -'!$E19</f>
        <v>88.276947285601892</v>
      </c>
      <c r="H19" s="272">
        <v>778600</v>
      </c>
      <c r="I19" s="273">
        <f>H19/'- 3 -'!$D19*100</f>
        <v>1.5103899933268154</v>
      </c>
      <c r="J19" s="272">
        <f>H19/'- 7 -'!$E19</f>
        <v>175.02528942340115</v>
      </c>
    </row>
    <row r="20" spans="1:10" ht="14.1" customHeight="1" x14ac:dyDescent="0.2">
      <c r="A20" s="15" t="s">
        <v>116</v>
      </c>
      <c r="B20" s="16">
        <v>298200</v>
      </c>
      <c r="C20" s="267">
        <f>B20/'- 3 -'!$D20*100</f>
        <v>0.32435713221305756</v>
      </c>
      <c r="D20" s="16">
        <f>B20/'- 7 -'!$E20</f>
        <v>36.624907885040528</v>
      </c>
      <c r="E20" s="16">
        <v>607200</v>
      </c>
      <c r="F20" s="267">
        <f>E20/'- 3 -'!$D20*100</f>
        <v>0.66046160523061226</v>
      </c>
      <c r="G20" s="16">
        <f>E20/'- 7 -'!$E20</f>
        <v>74.576271186440678</v>
      </c>
      <c r="H20" s="16">
        <v>1295400</v>
      </c>
      <c r="I20" s="267">
        <f>H20/'- 3 -'!$D20*100</f>
        <v>1.4090282664949525</v>
      </c>
      <c r="J20" s="16">
        <f>H20/'- 7 -'!$E20</f>
        <v>159.10095799557848</v>
      </c>
    </row>
    <row r="21" spans="1:10" ht="14.1" customHeight="1" x14ac:dyDescent="0.2">
      <c r="A21" s="271" t="s">
        <v>117</v>
      </c>
      <c r="B21" s="272">
        <v>179000</v>
      </c>
      <c r="C21" s="273">
        <f>B21/'- 3 -'!$D21*100</f>
        <v>0.46877352869928435</v>
      </c>
      <c r="D21" s="272">
        <f>B21/'- 7 -'!$E21</f>
        <v>63.905747947161728</v>
      </c>
      <c r="E21" s="272">
        <v>402000</v>
      </c>
      <c r="F21" s="273">
        <f>E21/'- 3 -'!$D21*100</f>
        <v>1.0527763046766052</v>
      </c>
      <c r="G21" s="272">
        <f>E21/'- 7 -'!$E21</f>
        <v>143.52017136736879</v>
      </c>
      <c r="H21" s="272">
        <v>669000</v>
      </c>
      <c r="I21" s="273">
        <f>H21/'- 3 -'!$D21*100</f>
        <v>1.7520083279319625</v>
      </c>
      <c r="J21" s="272">
        <f>H21/'- 7 -'!$E21</f>
        <v>238.84327026062121</v>
      </c>
    </row>
    <row r="22" spans="1:10" ht="14.1" customHeight="1" x14ac:dyDescent="0.2">
      <c r="A22" s="15" t="s">
        <v>118</v>
      </c>
      <c r="B22" s="16">
        <v>125600</v>
      </c>
      <c r="C22" s="267">
        <f>B22/'- 3 -'!$D22*100</f>
        <v>0.61409309426402336</v>
      </c>
      <c r="D22" s="16">
        <f>B22/'- 7 -'!$E22</f>
        <v>87.556639944231435</v>
      </c>
      <c r="E22" s="16">
        <v>145410</v>
      </c>
      <c r="F22" s="267">
        <f>E22/'- 3 -'!$D22*100</f>
        <v>0.71094965634499718</v>
      </c>
      <c r="G22" s="16">
        <f>E22/'- 7 -'!$E22</f>
        <v>101.3663297316138</v>
      </c>
      <c r="H22" s="16">
        <v>515675</v>
      </c>
      <c r="I22" s="267">
        <f>H22/'- 3 -'!$D22*100</f>
        <v>2.5212775189856709</v>
      </c>
      <c r="J22" s="16">
        <f>H22/'- 7 -'!$E22</f>
        <v>359.48065528058555</v>
      </c>
    </row>
    <row r="23" spans="1:10" ht="14.1" customHeight="1" x14ac:dyDescent="0.2">
      <c r="A23" s="271" t="s">
        <v>119</v>
      </c>
      <c r="B23" s="272">
        <v>111000</v>
      </c>
      <c r="C23" s="273">
        <f>B23/'- 3 -'!$D23*100</f>
        <v>0.69515268778281669</v>
      </c>
      <c r="D23" s="272">
        <f>B23/'- 7 -'!$E23</f>
        <v>119.09871244635193</v>
      </c>
      <c r="E23" s="272">
        <v>136000</v>
      </c>
      <c r="F23" s="273">
        <f>E23/'- 3 -'!$D23*100</f>
        <v>0.85171860845462233</v>
      </c>
      <c r="G23" s="272">
        <f>E23/'- 7 -'!$E23</f>
        <v>145.92274678111588</v>
      </c>
      <c r="H23" s="272">
        <v>309450</v>
      </c>
      <c r="I23" s="273">
        <f>H23/'- 3 -'!$D23*100</f>
        <v>1.9379729660756093</v>
      </c>
      <c r="J23" s="272">
        <f>H23/'- 7 -'!$E23</f>
        <v>332.02789699570815</v>
      </c>
    </row>
    <row r="24" spans="1:10" ht="14.1" customHeight="1" x14ac:dyDescent="0.2">
      <c r="A24" s="15" t="s">
        <v>120</v>
      </c>
      <c r="B24" s="16">
        <v>307280</v>
      </c>
      <c r="C24" s="267">
        <f>B24/'- 3 -'!$D24*100</f>
        <v>0.52197304724698623</v>
      </c>
      <c r="D24" s="16">
        <f>B24/'- 7 -'!$E24</f>
        <v>82.602150537634415</v>
      </c>
      <c r="E24" s="16">
        <v>342059</v>
      </c>
      <c r="F24" s="267">
        <f>E24/'- 3 -'!$D24*100</f>
        <v>0.58105173967800339</v>
      </c>
      <c r="G24" s="16">
        <f>E24/'- 7 -'!$E24</f>
        <v>91.951344086021507</v>
      </c>
      <c r="H24" s="16">
        <v>1054134</v>
      </c>
      <c r="I24" s="267">
        <f>H24/'- 3 -'!$D24*100</f>
        <v>1.7906454575197037</v>
      </c>
      <c r="J24" s="16">
        <f>H24/'- 7 -'!$E24</f>
        <v>283.36935483870968</v>
      </c>
    </row>
    <row r="25" spans="1:10" ht="14.1" customHeight="1" x14ac:dyDescent="0.2">
      <c r="A25" s="271" t="s">
        <v>121</v>
      </c>
      <c r="B25" s="272">
        <v>478466</v>
      </c>
      <c r="C25" s="273">
        <f>B25/'- 3 -'!$D25*100</f>
        <v>0.24599892870522089</v>
      </c>
      <c r="D25" s="272">
        <f>B25/'- 7 -'!$E25</f>
        <v>31.590254852766407</v>
      </c>
      <c r="E25" s="272">
        <v>597709</v>
      </c>
      <c r="F25" s="273">
        <f>E25/'- 3 -'!$D25*100</f>
        <v>0.30730662926408325</v>
      </c>
      <c r="G25" s="272">
        <f>E25/'- 7 -'!$E25</f>
        <v>39.46315858972666</v>
      </c>
      <c r="H25" s="272">
        <v>4140196</v>
      </c>
      <c r="I25" s="273">
        <f>H25/'- 3 -'!$D25*100</f>
        <v>2.1286440010985954</v>
      </c>
      <c r="J25" s="272">
        <f>H25/'- 7 -'!$E25</f>
        <v>273.35243628680837</v>
      </c>
    </row>
    <row r="26" spans="1:10" ht="14.1" customHeight="1" x14ac:dyDescent="0.2">
      <c r="A26" s="15" t="s">
        <v>122</v>
      </c>
      <c r="B26" s="16">
        <v>223599</v>
      </c>
      <c r="C26" s="267">
        <f>B26/'- 3 -'!$D26*100</f>
        <v>0.53146576632096842</v>
      </c>
      <c r="D26" s="16">
        <f>B26/'- 7 -'!$E26</f>
        <v>72.526435290301649</v>
      </c>
      <c r="E26" s="16">
        <v>389422</v>
      </c>
      <c r="F26" s="267">
        <f>E26/'- 3 -'!$D26*100</f>
        <v>0.92560548863028969</v>
      </c>
      <c r="G26" s="16">
        <f>E26/'- 7 -'!$E26</f>
        <v>126.31268245215699</v>
      </c>
      <c r="H26" s="16">
        <v>724025</v>
      </c>
      <c r="I26" s="267">
        <f>H26/'- 3 -'!$D26*100</f>
        <v>1.7209133379869279</v>
      </c>
      <c r="J26" s="16">
        <f>H26/'- 7 -'!$E26</f>
        <v>234.84430749270192</v>
      </c>
    </row>
    <row r="27" spans="1:10" ht="14.1" customHeight="1" x14ac:dyDescent="0.2">
      <c r="A27" s="271" t="s">
        <v>123</v>
      </c>
      <c r="B27" s="272">
        <v>233910</v>
      </c>
      <c r="C27" s="273">
        <f>B27/'- 3 -'!$D27*100</f>
        <v>0.54684939492731088</v>
      </c>
      <c r="D27" s="272">
        <f>B27/'- 7 -'!$E27</f>
        <v>77.814371257485035</v>
      </c>
      <c r="E27" s="272">
        <v>498073</v>
      </c>
      <c r="F27" s="273">
        <f>E27/'- 3 -'!$D27*100</f>
        <v>1.1644261411638257</v>
      </c>
      <c r="G27" s="272">
        <f>E27/'- 7 -'!$E27</f>
        <v>165.69294743845643</v>
      </c>
      <c r="H27" s="272">
        <v>843841</v>
      </c>
      <c r="I27" s="273">
        <f>H27/'- 3 -'!$D27*100</f>
        <v>1.972784148881437</v>
      </c>
      <c r="J27" s="272">
        <f>H27/'- 7 -'!$E27</f>
        <v>280.71889554224884</v>
      </c>
    </row>
    <row r="28" spans="1:10" ht="14.1" customHeight="1" x14ac:dyDescent="0.2">
      <c r="A28" s="15" t="s">
        <v>124</v>
      </c>
      <c r="B28" s="16">
        <v>147567</v>
      </c>
      <c r="C28" s="267">
        <f>B28/'- 3 -'!$D28*100</f>
        <v>0.51263530857976214</v>
      </c>
      <c r="D28" s="16">
        <f>B28/'- 7 -'!$E28</f>
        <v>73.089153046062407</v>
      </c>
      <c r="E28" s="16">
        <v>365332</v>
      </c>
      <c r="F28" s="267">
        <f>E28/'- 3 -'!$D28*100</f>
        <v>1.2691325469384191</v>
      </c>
      <c r="G28" s="16">
        <f>E28/'- 7 -'!$E28</f>
        <v>180.9470034670629</v>
      </c>
      <c r="H28" s="16">
        <v>507737</v>
      </c>
      <c r="I28" s="267">
        <f>H28/'- 3 -'!$D28*100</f>
        <v>1.7638355030078725</v>
      </c>
      <c r="J28" s="16">
        <f>H28/'- 7 -'!$E28</f>
        <v>251.47944526993561</v>
      </c>
    </row>
    <row r="29" spans="1:10" ht="14.1" customHeight="1" x14ac:dyDescent="0.2">
      <c r="A29" s="271" t="s">
        <v>125</v>
      </c>
      <c r="B29" s="272">
        <v>479862</v>
      </c>
      <c r="C29" s="273">
        <f>B29/'- 3 -'!$D29*100</f>
        <v>0.26958842385638282</v>
      </c>
      <c r="D29" s="272">
        <f>B29/'- 7 -'!$E29</f>
        <v>33.3584984358707</v>
      </c>
      <c r="E29" s="272">
        <v>2179775</v>
      </c>
      <c r="F29" s="273">
        <f>E29/'- 3 -'!$D29*100</f>
        <v>1.2246064631322062</v>
      </c>
      <c r="G29" s="272">
        <f>E29/'- 7 -'!$E29</f>
        <v>151.53110879388251</v>
      </c>
      <c r="H29" s="272">
        <v>1698163</v>
      </c>
      <c r="I29" s="273">
        <f>H29/'- 3 -'!$D29*100</f>
        <v>0.95403488215617527</v>
      </c>
      <c r="J29" s="272">
        <f>H29/'- 7 -'!$E29</f>
        <v>118.05095585679527</v>
      </c>
    </row>
    <row r="30" spans="1:10" ht="14.1" customHeight="1" x14ac:dyDescent="0.2">
      <c r="A30" s="15" t="s">
        <v>126</v>
      </c>
      <c r="B30" s="16">
        <v>117328</v>
      </c>
      <c r="C30" s="267">
        <f>B30/'- 3 -'!$D30*100</f>
        <v>0.74628536535721557</v>
      </c>
      <c r="D30" s="16">
        <f>B30/'- 7 -'!$E30</f>
        <v>112.1146679407549</v>
      </c>
      <c r="E30" s="16">
        <v>113785</v>
      </c>
      <c r="F30" s="267">
        <f>E30/'- 3 -'!$D30*100</f>
        <v>0.72374949114593934</v>
      </c>
      <c r="G30" s="16">
        <f>E30/'- 7 -'!$E30</f>
        <v>108.72909698996655</v>
      </c>
      <c r="H30" s="16">
        <v>285351</v>
      </c>
      <c r="I30" s="267">
        <f>H30/'- 3 -'!$D30*100</f>
        <v>1.8150251882760025</v>
      </c>
      <c r="J30" s="16">
        <f>H30/'- 7 -'!$E30</f>
        <v>272.67176301958909</v>
      </c>
    </row>
    <row r="31" spans="1:10" ht="14.1" customHeight="1" x14ac:dyDescent="0.2">
      <c r="A31" s="271" t="s">
        <v>127</v>
      </c>
      <c r="B31" s="272">
        <v>170900</v>
      </c>
      <c r="C31" s="273">
        <f>B31/'- 3 -'!$D31*100</f>
        <v>0.41838277455690226</v>
      </c>
      <c r="D31" s="272">
        <f>B31/'- 7 -'!$E31</f>
        <v>50.984486873508352</v>
      </c>
      <c r="E31" s="272">
        <v>272210</v>
      </c>
      <c r="F31" s="273">
        <f>E31/'- 3 -'!$D31*100</f>
        <v>0.66640125840921227</v>
      </c>
      <c r="G31" s="272">
        <f>E31/'- 7 -'!$E31</f>
        <v>81.2082338902148</v>
      </c>
      <c r="H31" s="272">
        <v>541600</v>
      </c>
      <c r="I31" s="273">
        <f>H31/'- 3 -'!$D31*100</f>
        <v>1.3258988338210549</v>
      </c>
      <c r="J31" s="272">
        <f>H31/'- 7 -'!$E31</f>
        <v>161.57517899761336</v>
      </c>
    </row>
    <row r="32" spans="1:10" ht="14.1" customHeight="1" x14ac:dyDescent="0.2">
      <c r="A32" s="15" t="s">
        <v>128</v>
      </c>
      <c r="B32" s="16">
        <v>209080</v>
      </c>
      <c r="C32" s="267">
        <f>B32/'- 3 -'!$D32*100</f>
        <v>0.65961683038780416</v>
      </c>
      <c r="D32" s="16">
        <f>B32/'- 7 -'!$E32</f>
        <v>89.522586169985019</v>
      </c>
      <c r="E32" s="16">
        <v>180380</v>
      </c>
      <c r="F32" s="267">
        <f>E32/'- 3 -'!$D32*100</f>
        <v>0.56907252661829011</v>
      </c>
      <c r="G32" s="16">
        <f>E32/'- 7 -'!$E32</f>
        <v>77.233997002783127</v>
      </c>
      <c r="H32" s="16">
        <v>624390</v>
      </c>
      <c r="I32" s="267">
        <f>H32/'- 3 -'!$D32*100</f>
        <v>1.9698591578622586</v>
      </c>
      <c r="J32" s="16">
        <f>H32/'- 7 -'!$E32</f>
        <v>267.34746307000643</v>
      </c>
    </row>
    <row r="33" spans="1:10" ht="14.1" customHeight="1" x14ac:dyDescent="0.2">
      <c r="A33" s="271" t="s">
        <v>129</v>
      </c>
      <c r="B33" s="272">
        <v>181220</v>
      </c>
      <c r="C33" s="273">
        <f>B33/'- 3 -'!$D33*100</f>
        <v>0.63077485131785371</v>
      </c>
      <c r="D33" s="272">
        <f>B33/'- 7 -'!$E33</f>
        <v>87.749370521014924</v>
      </c>
      <c r="E33" s="272">
        <v>212325</v>
      </c>
      <c r="F33" s="273">
        <f>E33/'- 3 -'!$D33*100</f>
        <v>0.73904243629877109</v>
      </c>
      <c r="G33" s="272">
        <f>E33/'- 7 -'!$E33</f>
        <v>102.8108657757118</v>
      </c>
      <c r="H33" s="272">
        <v>411075</v>
      </c>
      <c r="I33" s="273">
        <f>H33/'- 3 -'!$D33*100</f>
        <v>1.4308341905169779</v>
      </c>
      <c r="J33" s="272">
        <f>H33/'- 7 -'!$E33</f>
        <v>199.04851830331205</v>
      </c>
    </row>
    <row r="34" spans="1:10" ht="14.1" customHeight="1" x14ac:dyDescent="0.2">
      <c r="A34" s="15" t="s">
        <v>130</v>
      </c>
      <c r="B34" s="16">
        <v>171542</v>
      </c>
      <c r="C34" s="267">
        <f>B34/'- 3 -'!$D34*100</f>
        <v>0.53651341902810823</v>
      </c>
      <c r="D34" s="16">
        <f>B34/'- 7 -'!$E34</f>
        <v>75.247620300916793</v>
      </c>
      <c r="E34" s="16">
        <v>303585</v>
      </c>
      <c r="F34" s="267">
        <f>E34/'- 3 -'!$D34*100</f>
        <v>0.94949007424215781</v>
      </c>
      <c r="G34" s="16">
        <f>E34/'- 7 -'!$E34</f>
        <v>133.16883800500068</v>
      </c>
      <c r="H34" s="16">
        <v>628570</v>
      </c>
      <c r="I34" s="267">
        <f>H34/'- 3 -'!$D34*100</f>
        <v>1.9659106212968136</v>
      </c>
      <c r="J34" s="16">
        <f>H34/'- 7 -'!$E34</f>
        <v>275.72487608018599</v>
      </c>
    </row>
    <row r="35" spans="1:10" ht="14.1" customHeight="1" x14ac:dyDescent="0.2">
      <c r="A35" s="271" t="s">
        <v>131</v>
      </c>
      <c r="B35" s="272">
        <v>484975</v>
      </c>
      <c r="C35" s="273">
        <f>B35/'- 3 -'!$D35*100</f>
        <v>0.24683896487034779</v>
      </c>
      <c r="D35" s="272">
        <f>B35/'- 7 -'!$E35</f>
        <v>29.755805748995307</v>
      </c>
      <c r="E35" s="272">
        <v>1321026</v>
      </c>
      <c r="F35" s="273">
        <f>E35/'- 3 -'!$D35*100</f>
        <v>0.67236597846655199</v>
      </c>
      <c r="G35" s="272">
        <f>E35/'- 7 -'!$E35</f>
        <v>81.051998650182526</v>
      </c>
      <c r="H35" s="272">
        <v>2377838</v>
      </c>
      <c r="I35" s="273">
        <f>H35/'- 3 -'!$D35*100</f>
        <v>1.2102542822813094</v>
      </c>
      <c r="J35" s="272">
        <f>H35/'- 7 -'!$E35</f>
        <v>145.89305764334142</v>
      </c>
    </row>
    <row r="36" spans="1:10" ht="14.1" customHeight="1" x14ac:dyDescent="0.2">
      <c r="A36" s="15" t="s">
        <v>132</v>
      </c>
      <c r="B36" s="16">
        <v>168600</v>
      </c>
      <c r="C36" s="267">
        <f>B36/'- 3 -'!$D36*100</f>
        <v>0.69729368574925676</v>
      </c>
      <c r="D36" s="16">
        <f>B36/'- 7 -'!$E36</f>
        <v>96.591234603265534</v>
      </c>
      <c r="E36" s="16">
        <v>176235</v>
      </c>
      <c r="F36" s="267">
        <f>E36/'- 3 -'!$D36*100</f>
        <v>0.72887041938327557</v>
      </c>
      <c r="G36" s="16">
        <f>E36/'- 7 -'!$E36</f>
        <v>100.96533944428531</v>
      </c>
      <c r="H36" s="16">
        <v>505050</v>
      </c>
      <c r="I36" s="267">
        <f>H36/'- 3 -'!$D36*100</f>
        <v>2.0887792170086721</v>
      </c>
      <c r="J36" s="16">
        <f>H36/'- 7 -'!$E36</f>
        <v>289.34402749928387</v>
      </c>
    </row>
    <row r="37" spans="1:10" ht="14.1" customHeight="1" x14ac:dyDescent="0.2">
      <c r="A37" s="271" t="s">
        <v>133</v>
      </c>
      <c r="B37" s="272">
        <v>224000</v>
      </c>
      <c r="C37" s="273">
        <f>B37/'- 3 -'!$D37*100</f>
        <v>0.40646423296207179</v>
      </c>
      <c r="D37" s="272">
        <f>B37/'- 7 -'!$E37</f>
        <v>51.329055912007334</v>
      </c>
      <c r="E37" s="272">
        <v>468300</v>
      </c>
      <c r="F37" s="273">
        <f>E37/'- 3 -'!$D37*100</f>
        <v>0.84976428703633144</v>
      </c>
      <c r="G37" s="272">
        <f>E37/'- 7 -'!$E37</f>
        <v>107.30980751604034</v>
      </c>
      <c r="H37" s="272">
        <v>857500</v>
      </c>
      <c r="I37" s="273">
        <f>H37/'- 3 -'!$D37*100</f>
        <v>1.5559958918079311</v>
      </c>
      <c r="J37" s="272">
        <f>H37/'- 7 -'!$E37</f>
        <v>196.49404216315307</v>
      </c>
    </row>
    <row r="38" spans="1:10" ht="14.1" customHeight="1" x14ac:dyDescent="0.2">
      <c r="A38" s="15" t="s">
        <v>134</v>
      </c>
      <c r="B38" s="16">
        <v>411940</v>
      </c>
      <c r="C38" s="267">
        <f>B38/'- 3 -'!$D38*100</f>
        <v>0.27268585238093063</v>
      </c>
      <c r="D38" s="16">
        <f>B38/'- 7 -'!$E38</f>
        <v>35.346306974190007</v>
      </c>
      <c r="E38" s="16">
        <v>1237170</v>
      </c>
      <c r="F38" s="267">
        <f>E38/'- 3 -'!$D38*100</f>
        <v>0.8189511967522356</v>
      </c>
      <c r="G38" s="16">
        <f>E38/'- 7 -'!$E38</f>
        <v>106.15475700164745</v>
      </c>
      <c r="H38" s="16">
        <v>1934420</v>
      </c>
      <c r="I38" s="267">
        <f>H38/'- 3 -'!$D38*100</f>
        <v>1.2804995061482738</v>
      </c>
      <c r="J38" s="16">
        <f>H38/'- 7 -'!$E38</f>
        <v>165.98194673256452</v>
      </c>
    </row>
    <row r="39" spans="1:10" ht="14.1" customHeight="1" x14ac:dyDescent="0.2">
      <c r="A39" s="271" t="s">
        <v>135</v>
      </c>
      <c r="B39" s="272">
        <v>164000</v>
      </c>
      <c r="C39" s="273">
        <f>B39/'- 3 -'!$D39*100</f>
        <v>0.69845488151820245</v>
      </c>
      <c r="D39" s="272">
        <f>B39/'- 7 -'!$E39</f>
        <v>110.02280960686973</v>
      </c>
      <c r="E39" s="272">
        <v>224400</v>
      </c>
      <c r="F39" s="273">
        <f>E39/'- 3 -'!$D39*100</f>
        <v>0.95569070373588194</v>
      </c>
      <c r="G39" s="272">
        <f>E39/'- 7 -'!$E39</f>
        <v>150.5434053401315</v>
      </c>
      <c r="H39" s="272">
        <v>365700</v>
      </c>
      <c r="I39" s="273">
        <f>H39/'- 3 -'!$D39*100</f>
        <v>1.557469208361016</v>
      </c>
      <c r="J39" s="272">
        <f>H39/'- 7 -'!$E39</f>
        <v>245.33744800751376</v>
      </c>
    </row>
    <row r="40" spans="1:10" ht="14.1" customHeight="1" x14ac:dyDescent="0.2">
      <c r="A40" s="15" t="s">
        <v>136</v>
      </c>
      <c r="B40" s="16">
        <v>378622</v>
      </c>
      <c r="C40" s="267">
        <f>B40/'- 3 -'!$D40*100</f>
        <v>0.34460041121200508</v>
      </c>
      <c r="D40" s="16">
        <f>B40/'- 7 -'!$E40</f>
        <v>46.047065977500758</v>
      </c>
      <c r="E40" s="16">
        <v>792229</v>
      </c>
      <c r="F40" s="267">
        <f>E40/'- 3 -'!$D40*100</f>
        <v>0.72104219821900362</v>
      </c>
      <c r="G40" s="16">
        <f>E40/'- 7 -'!$E40</f>
        <v>96.348920644572814</v>
      </c>
      <c r="H40" s="16">
        <v>1446171</v>
      </c>
      <c r="I40" s="267">
        <f>H40/'- 3 -'!$D40*100</f>
        <v>1.3162233607209213</v>
      </c>
      <c r="J40" s="16">
        <f>H40/'- 7 -'!$E40</f>
        <v>175.87972027972029</v>
      </c>
    </row>
    <row r="41" spans="1:10" ht="14.1" customHeight="1" x14ac:dyDescent="0.2">
      <c r="A41" s="271" t="s">
        <v>137</v>
      </c>
      <c r="B41" s="272">
        <v>281000</v>
      </c>
      <c r="C41" s="273">
        <f>B41/'- 3 -'!$D41*100</f>
        <v>0.42134908961006523</v>
      </c>
      <c r="D41" s="272">
        <f>B41/'- 7 -'!$E41</f>
        <v>62.527814864263462</v>
      </c>
      <c r="E41" s="272">
        <v>436983</v>
      </c>
      <c r="F41" s="273">
        <f>E41/'- 3 -'!$D41*100</f>
        <v>0.65523981930631725</v>
      </c>
      <c r="G41" s="272">
        <f>E41/'- 7 -'!$E41</f>
        <v>97.236982643524698</v>
      </c>
      <c r="H41" s="272">
        <v>1253007</v>
      </c>
      <c r="I41" s="273">
        <f>H41/'- 3 -'!$D41*100</f>
        <v>1.8788375755339468</v>
      </c>
      <c r="J41" s="272">
        <f>H41/'- 7 -'!$E41</f>
        <v>278.81775700934577</v>
      </c>
    </row>
    <row r="42" spans="1:10" ht="14.1" customHeight="1" x14ac:dyDescent="0.2">
      <c r="A42" s="15" t="s">
        <v>138</v>
      </c>
      <c r="B42" s="16">
        <v>193925</v>
      </c>
      <c r="C42" s="267">
        <f>B42/'- 3 -'!$D42*100</f>
        <v>0.90854446421527146</v>
      </c>
      <c r="D42" s="16">
        <f>B42/'- 7 -'!$E42</f>
        <v>141.70624771647789</v>
      </c>
      <c r="E42" s="16">
        <v>210667</v>
      </c>
      <c r="F42" s="267">
        <f>E42/'- 3 -'!$D42*100</f>
        <v>0.98698123832841878</v>
      </c>
      <c r="G42" s="16">
        <f>E42/'- 7 -'!$E42</f>
        <v>153.94008037997807</v>
      </c>
      <c r="H42" s="16">
        <v>344076</v>
      </c>
      <c r="I42" s="267">
        <f>H42/'- 3 -'!$D42*100</f>
        <v>1.6120064203652635</v>
      </c>
      <c r="J42" s="16">
        <f>H42/'- 7 -'!$E42</f>
        <v>251.42564852027769</v>
      </c>
    </row>
    <row r="43" spans="1:10" ht="14.1" customHeight="1" x14ac:dyDescent="0.2">
      <c r="A43" s="271" t="s">
        <v>139</v>
      </c>
      <c r="B43" s="272">
        <v>71900</v>
      </c>
      <c r="C43" s="273">
        <f>B43/'- 3 -'!$D43*100</f>
        <v>0.51807595094317926</v>
      </c>
      <c r="D43" s="272">
        <f>B43/'- 7 -'!$E43</f>
        <v>71.542288557213936</v>
      </c>
      <c r="E43" s="272">
        <v>142854</v>
      </c>
      <c r="F43" s="273">
        <f>E43/'- 3 -'!$D43*100</f>
        <v>1.0293354922953677</v>
      </c>
      <c r="G43" s="272">
        <f>E43/'- 7 -'!$E43</f>
        <v>142.14328358208957</v>
      </c>
      <c r="H43" s="272">
        <v>222701</v>
      </c>
      <c r="I43" s="273">
        <f>H43/'- 3 -'!$D43*100</f>
        <v>1.6046736071070509</v>
      </c>
      <c r="J43" s="272">
        <f>H43/'- 7 -'!$E43</f>
        <v>221.59303482587066</v>
      </c>
    </row>
    <row r="44" spans="1:10" ht="14.1" customHeight="1" x14ac:dyDescent="0.2">
      <c r="A44" s="15" t="s">
        <v>140</v>
      </c>
      <c r="B44" s="16">
        <v>94390</v>
      </c>
      <c r="C44" s="267">
        <f>B44/'- 3 -'!$D44*100</f>
        <v>0.84021218673522247</v>
      </c>
      <c r="D44" s="16">
        <f>B44/'- 7 -'!$E44</f>
        <v>136.1067051189618</v>
      </c>
      <c r="E44" s="16">
        <v>52246</v>
      </c>
      <c r="F44" s="267">
        <f>E44/'- 3 -'!$D44*100</f>
        <v>0.46506754855565663</v>
      </c>
      <c r="G44" s="16">
        <f>E44/'- 7 -'!$E44</f>
        <v>75.336697909156456</v>
      </c>
      <c r="H44" s="16">
        <v>234343</v>
      </c>
      <c r="I44" s="267">
        <f>H44/'- 3 -'!$D44*100</f>
        <v>2.0860032257240411</v>
      </c>
      <c r="J44" s="16">
        <f>H44/'- 7 -'!$E44</f>
        <v>337.91348233597694</v>
      </c>
    </row>
    <row r="45" spans="1:10" ht="14.1" customHeight="1" x14ac:dyDescent="0.2">
      <c r="A45" s="271" t="s">
        <v>141</v>
      </c>
      <c r="B45" s="272">
        <v>132807</v>
      </c>
      <c r="C45" s="273">
        <f>B45/'- 3 -'!$D45*100</f>
        <v>0.59374094123365351</v>
      </c>
      <c r="D45" s="272">
        <f>B45/'- 7 -'!$E45</f>
        <v>64.0033734939759</v>
      </c>
      <c r="E45" s="272">
        <v>182082</v>
      </c>
      <c r="F45" s="273">
        <f>E45/'- 3 -'!$D45*100</f>
        <v>0.81403493838205898</v>
      </c>
      <c r="G45" s="272">
        <f>E45/'- 7 -'!$E45</f>
        <v>87.750361445783128</v>
      </c>
      <c r="H45" s="272">
        <v>386508</v>
      </c>
      <c r="I45" s="273">
        <f>H45/'- 3 -'!$D45*100</f>
        <v>1.7279633130357359</v>
      </c>
      <c r="J45" s="272">
        <f>H45/'- 7 -'!$E45</f>
        <v>186.26891566265061</v>
      </c>
    </row>
    <row r="46" spans="1:10" ht="14.1" customHeight="1" x14ac:dyDescent="0.2">
      <c r="A46" s="15" t="s">
        <v>142</v>
      </c>
      <c r="B46" s="16">
        <v>967700</v>
      </c>
      <c r="C46" s="267">
        <f>B46/'- 3 -'!$D46*100</f>
        <v>0.23185904254458892</v>
      </c>
      <c r="D46" s="16">
        <f>B46/'- 7 -'!$E46</f>
        <v>32.346157702978239</v>
      </c>
      <c r="E46" s="16">
        <v>3258500</v>
      </c>
      <c r="F46" s="267">
        <f>E46/'- 3 -'!$D46*100</f>
        <v>0.78073027811464601</v>
      </c>
      <c r="G46" s="16">
        <f>E46/'- 7 -'!$E46</f>
        <v>108.91800648460742</v>
      </c>
      <c r="H46" s="16">
        <v>6078400</v>
      </c>
      <c r="I46" s="267">
        <f>H46/'- 3 -'!$D46*100</f>
        <v>1.4563728471665074</v>
      </c>
      <c r="J46" s="16">
        <f>H46/'- 7 -'!$E46</f>
        <v>203.17545208409933</v>
      </c>
    </row>
    <row r="47" spans="1:10" ht="5.0999999999999996" customHeight="1" x14ac:dyDescent="0.2">
      <c r="A47"/>
      <c r="B47" s="507"/>
      <c r="C47"/>
      <c r="D47"/>
      <c r="E47"/>
      <c r="F47"/>
      <c r="G47"/>
      <c r="H47"/>
      <c r="I47"/>
      <c r="J47"/>
    </row>
    <row r="48" spans="1:10" ht="14.1" customHeight="1" x14ac:dyDescent="0.2">
      <c r="A48" s="274" t="s">
        <v>143</v>
      </c>
      <c r="B48" s="275">
        <f>SUM(B11:B46)</f>
        <v>10537335</v>
      </c>
      <c r="C48" s="276">
        <f>B48/'- 3 -'!$D48*100</f>
        <v>0.42476028401463178</v>
      </c>
      <c r="D48" s="275">
        <f>B48/'- 7 -'!$E48</f>
        <v>57.838526028979274</v>
      </c>
      <c r="E48" s="275">
        <f>SUM(E11:E46)</f>
        <v>20875797</v>
      </c>
      <c r="F48" s="276">
        <f>E48/'- 3 -'!$D48*100</f>
        <v>0.84150399154547117</v>
      </c>
      <c r="G48" s="275">
        <f>E48/'- 7 -'!$E48</f>
        <v>114.58545525601942</v>
      </c>
      <c r="H48" s="275">
        <f>SUM(H11:H46)</f>
        <v>39052983</v>
      </c>
      <c r="I48" s="276">
        <f>H48/'- 3 -'!$D48*100</f>
        <v>1.5742268942477946</v>
      </c>
      <c r="J48" s="275">
        <f>H48/'- 7 -'!$E48</f>
        <v>214.35846670479634</v>
      </c>
    </row>
    <row r="49" spans="1:10" ht="5.0999999999999996" customHeight="1" x14ac:dyDescent="0.2">
      <c r="A49" s="17" t="s">
        <v>1</v>
      </c>
      <c r="B49" s="18"/>
      <c r="C49" s="266"/>
      <c r="D49" s="18"/>
      <c r="E49" s="18"/>
      <c r="F49" s="266"/>
      <c r="H49" s="18"/>
      <c r="I49" s="266"/>
      <c r="J49" s="18"/>
    </row>
    <row r="50" spans="1:10" ht="14.1" customHeight="1" x14ac:dyDescent="0.2">
      <c r="A50" s="15" t="s">
        <v>144</v>
      </c>
      <c r="B50" s="16">
        <v>51700</v>
      </c>
      <c r="C50" s="267">
        <f>B50/'- 3 -'!$D50*100</f>
        <v>1.4408567328559647</v>
      </c>
      <c r="D50" s="16">
        <f>B50/'- 7 -'!$E50</f>
        <v>300.58139534883719</v>
      </c>
      <c r="E50" s="16">
        <v>12970</v>
      </c>
      <c r="F50" s="267">
        <f>E50/'- 3 -'!$D50*100</f>
        <v>0.3614683138325312</v>
      </c>
      <c r="G50" s="16">
        <f>E50/'- 7 -'!$E50</f>
        <v>75.406976744186053</v>
      </c>
      <c r="H50" s="16">
        <v>47414</v>
      </c>
      <c r="I50" s="267">
        <f>H50/'- 3 -'!$D50*100</f>
        <v>1.3214077588323543</v>
      </c>
      <c r="J50" s="16">
        <f>H50/'- 7 -'!$E50</f>
        <v>275.66279069767444</v>
      </c>
    </row>
    <row r="51" spans="1:10" ht="14.1" customHeight="1" x14ac:dyDescent="0.2">
      <c r="A51" s="360" t="s">
        <v>513</v>
      </c>
      <c r="B51" s="272">
        <v>52265</v>
      </c>
      <c r="C51" s="273">
        <f>B51/'- 3 -'!$D51*100</f>
        <v>0.1503368116992386</v>
      </c>
      <c r="D51" s="272">
        <f>B51/'- 7 -'!$E51</f>
        <v>29.46000789132518</v>
      </c>
      <c r="E51" s="272">
        <v>726438</v>
      </c>
      <c r="F51" s="273">
        <f>E51/'- 3 -'!$D51*100</f>
        <v>2.0895508048822631</v>
      </c>
      <c r="G51" s="272">
        <f>E51/'- 7 -'!$E51</f>
        <v>409.46846288258837</v>
      </c>
      <c r="H51" s="272">
        <v>4607018</v>
      </c>
      <c r="I51" s="273">
        <f>H51/'- 3 -'!$D51*100</f>
        <v>13.251782216799057</v>
      </c>
      <c r="J51" s="272">
        <f>H51/'- 7 -'!$E51</f>
        <v>2596.8197959528775</v>
      </c>
    </row>
    <row r="52" spans="1:10" ht="50.1" customHeight="1" x14ac:dyDescent="0.2">
      <c r="B52"/>
      <c r="C52"/>
      <c r="D52"/>
      <c r="E52"/>
      <c r="F52"/>
      <c r="G52"/>
      <c r="H52"/>
      <c r="I52"/>
      <c r="J52"/>
    </row>
    <row r="53" spans="1:10" ht="15" customHeight="1" x14ac:dyDescent="0.2"/>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B5:J5"/>
    <mergeCell ref="D8:D9"/>
    <mergeCell ref="G8:G9"/>
    <mergeCell ref="J8:J9"/>
    <mergeCell ref="B7:D7"/>
    <mergeCell ref="E6:G7"/>
    <mergeCell ref="H6:J7"/>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9"/>
  <sheetViews>
    <sheetView showGridLines="0" showZeros="0" workbookViewId="0"/>
  </sheetViews>
  <sheetFormatPr defaultColWidth="15.83203125" defaultRowHeight="12" x14ac:dyDescent="0.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x14ac:dyDescent="0.2">
      <c r="A1" s="3"/>
      <c r="B1" s="4"/>
      <c r="C1" s="4"/>
      <c r="D1" s="4"/>
      <c r="E1" s="4"/>
    </row>
    <row r="2" spans="1:5" ht="15.95" customHeight="1" x14ac:dyDescent="0.2">
      <c r="A2" s="132"/>
      <c r="B2" s="5" t="str">
        <f>AEXP_BP</f>
        <v>ANALYSIS OF EXPENSE BY PROGRAM</v>
      </c>
      <c r="C2" s="6"/>
      <c r="D2" s="6"/>
      <c r="E2" s="502" t="s">
        <v>529</v>
      </c>
    </row>
    <row r="3" spans="1:5" ht="15.95" customHeight="1" x14ac:dyDescent="0.2">
      <c r="A3" s="135"/>
      <c r="B3" s="7" t="str">
        <f>OPYEAR</f>
        <v>OPERATING FUND 2020/2021 BUDGET</v>
      </c>
      <c r="C3" s="8"/>
      <c r="D3" s="8"/>
      <c r="E3" s="81"/>
    </row>
    <row r="4" spans="1:5" ht="15.95" customHeight="1" x14ac:dyDescent="0.2">
      <c r="B4" s="4"/>
      <c r="C4" s="4"/>
      <c r="D4" s="4"/>
      <c r="E4" s="4"/>
    </row>
    <row r="5" spans="1:5" ht="15.95" customHeight="1" x14ac:dyDescent="0.2">
      <c r="B5" s="670" t="s">
        <v>238</v>
      </c>
      <c r="C5" s="671"/>
      <c r="D5" s="672"/>
      <c r="E5" s="55"/>
    </row>
    <row r="6" spans="1:5" ht="15.95" customHeight="1" x14ac:dyDescent="0.2">
      <c r="B6" s="622" t="s">
        <v>421</v>
      </c>
      <c r="C6" s="632"/>
      <c r="D6" s="623"/>
      <c r="E6" s="84"/>
    </row>
    <row r="7" spans="1:5" ht="15.95" customHeight="1" x14ac:dyDescent="0.2">
      <c r="B7" s="624"/>
      <c r="C7" s="633"/>
      <c r="D7" s="625"/>
      <c r="E7" s="84"/>
    </row>
    <row r="8" spans="1:5" ht="15.95" customHeight="1" x14ac:dyDescent="0.2">
      <c r="A8" s="82"/>
      <c r="B8" s="138"/>
      <c r="C8" s="137"/>
      <c r="D8" s="540" t="s">
        <v>396</v>
      </c>
      <c r="E8" s="84"/>
    </row>
    <row r="9" spans="1:5" ht="15.95" customHeight="1" x14ac:dyDescent="0.2">
      <c r="A9" s="27" t="s">
        <v>37</v>
      </c>
      <c r="B9" s="89" t="s">
        <v>38</v>
      </c>
      <c r="C9" s="89" t="s">
        <v>39</v>
      </c>
      <c r="D9" s="580"/>
    </row>
    <row r="10" spans="1:5" ht="5.0999999999999996" customHeight="1" x14ac:dyDescent="0.2">
      <c r="A10" s="29"/>
    </row>
    <row r="11" spans="1:5" ht="14.1" customHeight="1" x14ac:dyDescent="0.2">
      <c r="A11" s="271" t="s">
        <v>108</v>
      </c>
      <c r="B11" s="272">
        <v>14500</v>
      </c>
      <c r="C11" s="273">
        <f>B11/'- 3 -'!$D11*100</f>
        <v>6.5284904900829763E-2</v>
      </c>
      <c r="D11" s="272">
        <f>B11/'- 7 -'!$E11</f>
        <v>7.269992479318125</v>
      </c>
    </row>
    <row r="12" spans="1:5" ht="14.1" customHeight="1" x14ac:dyDescent="0.2">
      <c r="A12" s="15" t="s">
        <v>109</v>
      </c>
      <c r="B12" s="16">
        <v>64519</v>
      </c>
      <c r="C12" s="267">
        <f>B12/'- 3 -'!$D12*100</f>
        <v>0.18596713807126836</v>
      </c>
      <c r="D12" s="16">
        <f>B12/'- 7 -'!$E12</f>
        <v>29.953110492107708</v>
      </c>
    </row>
    <row r="13" spans="1:5" ht="14.1" customHeight="1" x14ac:dyDescent="0.2">
      <c r="A13" s="271" t="s">
        <v>110</v>
      </c>
      <c r="B13" s="272">
        <v>339000</v>
      </c>
      <c r="C13" s="273">
        <f>B13/'- 3 -'!$D13*100</f>
        <v>0.31520721387506823</v>
      </c>
      <c r="D13" s="272">
        <f>B13/'- 7 -'!$E13</f>
        <v>38.780529657381457</v>
      </c>
    </row>
    <row r="14" spans="1:5" ht="14.1" customHeight="1" x14ac:dyDescent="0.2">
      <c r="A14" s="15" t="s">
        <v>319</v>
      </c>
      <c r="B14" s="16">
        <v>129362</v>
      </c>
      <c r="C14" s="267">
        <f>B14/'- 3 -'!$D14*100</f>
        <v>0.13323599648087728</v>
      </c>
      <c r="D14" s="16">
        <f>B14/'- 7 -'!$E14</f>
        <v>21.585516435841814</v>
      </c>
    </row>
    <row r="15" spans="1:5" ht="14.1" customHeight="1" x14ac:dyDescent="0.2">
      <c r="A15" s="271" t="s">
        <v>111</v>
      </c>
      <c r="B15" s="272">
        <v>44000</v>
      </c>
      <c r="C15" s="273">
        <f>B15/'- 3 -'!$D15*100</f>
        <v>0.20816793247751395</v>
      </c>
      <c r="D15" s="272">
        <f>B15/'- 7 -'!$E15</f>
        <v>31.541218637992831</v>
      </c>
    </row>
    <row r="16" spans="1:5" ht="14.1" customHeight="1" x14ac:dyDescent="0.2">
      <c r="A16" s="15" t="s">
        <v>112</v>
      </c>
      <c r="B16" s="16">
        <v>35983</v>
      </c>
      <c r="C16" s="267">
        <f>B16/'- 3 -'!$D16*100</f>
        <v>0.24059604003109436</v>
      </c>
      <c r="D16" s="16">
        <f>B16/'- 7 -'!$E16</f>
        <v>37.956751054852319</v>
      </c>
    </row>
    <row r="17" spans="1:4" ht="14.1" customHeight="1" x14ac:dyDescent="0.2">
      <c r="A17" s="271" t="s">
        <v>113</v>
      </c>
      <c r="B17" s="272">
        <v>84640</v>
      </c>
      <c r="C17" s="273">
        <f>B17/'- 3 -'!$D17*100</f>
        <v>0.44995559718660794</v>
      </c>
      <c r="D17" s="272">
        <f>B17/'- 7 -'!$E17</f>
        <v>58.533886583679113</v>
      </c>
    </row>
    <row r="18" spans="1:4" ht="14.1" customHeight="1" x14ac:dyDescent="0.2">
      <c r="A18" s="15" t="s">
        <v>114</v>
      </c>
      <c r="B18" s="16">
        <v>751155</v>
      </c>
      <c r="C18" s="267">
        <f>B18/'- 3 -'!$D18*100</f>
        <v>0.5396201389737284</v>
      </c>
      <c r="D18" s="16">
        <f>B18/'- 7 -'!$E18</f>
        <v>125.42244114209385</v>
      </c>
    </row>
    <row r="19" spans="1:4" ht="14.1" customHeight="1" x14ac:dyDescent="0.2">
      <c r="A19" s="271" t="s">
        <v>115</v>
      </c>
      <c r="B19" s="272">
        <v>164100</v>
      </c>
      <c r="C19" s="273">
        <f>B19/'- 3 -'!$D19*100</f>
        <v>0.31833418688020859</v>
      </c>
      <c r="D19" s="272">
        <f>B19/'- 7 -'!$E19</f>
        <v>36.888838934472297</v>
      </c>
    </row>
    <row r="20" spans="1:4" ht="14.1" customHeight="1" x14ac:dyDescent="0.2">
      <c r="A20" s="15" t="s">
        <v>116</v>
      </c>
      <c r="B20" s="16">
        <v>108000</v>
      </c>
      <c r="C20" s="267">
        <f>B20/'- 3 -'!$D20*100</f>
        <v>0.11747340804497057</v>
      </c>
      <c r="D20" s="16">
        <f>B20/'- 7 -'!$E20</f>
        <v>13.264554163596168</v>
      </c>
    </row>
    <row r="21" spans="1:4" ht="14.1" customHeight="1" x14ac:dyDescent="0.2">
      <c r="A21" s="271" t="s">
        <v>117</v>
      </c>
      <c r="B21" s="272">
        <v>44000</v>
      </c>
      <c r="C21" s="273">
        <f>B21/'- 3 -'!$D21*100</f>
        <v>0.11522924727803639</v>
      </c>
      <c r="D21" s="272">
        <f>B21/'- 7 -'!$E21</f>
        <v>15.708675473045341</v>
      </c>
    </row>
    <row r="22" spans="1:4" ht="14.1" customHeight="1" x14ac:dyDescent="0.2">
      <c r="A22" s="15" t="s">
        <v>118</v>
      </c>
      <c r="B22" s="16">
        <v>75000</v>
      </c>
      <c r="C22" s="267">
        <f>B22/'- 3 -'!$D22*100</f>
        <v>0.36669571711625598</v>
      </c>
      <c r="D22" s="16">
        <f>B22/'- 7 -'!$E22</f>
        <v>52.283025444405716</v>
      </c>
    </row>
    <row r="23" spans="1:4" ht="14.1" customHeight="1" x14ac:dyDescent="0.2">
      <c r="A23" s="271" t="s">
        <v>119</v>
      </c>
      <c r="B23" s="272">
        <v>20000</v>
      </c>
      <c r="C23" s="273">
        <f>B23/'- 3 -'!$D23*100</f>
        <v>0.12525273653744448</v>
      </c>
      <c r="D23" s="272">
        <f>B23/'- 7 -'!$E23</f>
        <v>21.459227467811157</v>
      </c>
    </row>
    <row r="24" spans="1:4" ht="14.1" customHeight="1" x14ac:dyDescent="0.2">
      <c r="A24" s="15" t="s">
        <v>120</v>
      </c>
      <c r="B24" s="16">
        <v>161220</v>
      </c>
      <c r="C24" s="267">
        <f>B24/'- 3 -'!$D24*100</f>
        <v>0.27386258356274124</v>
      </c>
      <c r="D24" s="16">
        <f>B24/'- 7 -'!$E24</f>
        <v>43.338709677419352</v>
      </c>
    </row>
    <row r="25" spans="1:4" ht="14.1" customHeight="1" x14ac:dyDescent="0.2">
      <c r="A25" s="271" t="s">
        <v>121</v>
      </c>
      <c r="B25" s="272">
        <v>979545</v>
      </c>
      <c r="C25" s="273">
        <f>B25/'- 3 -'!$D25*100</f>
        <v>0.503624125054979</v>
      </c>
      <c r="D25" s="272">
        <f>B25/'- 7 -'!$E25</f>
        <v>64.67351115806153</v>
      </c>
    </row>
    <row r="26" spans="1:4" ht="14.1" customHeight="1" x14ac:dyDescent="0.2">
      <c r="A26" s="15" t="s">
        <v>122</v>
      </c>
      <c r="B26" s="16">
        <v>34000</v>
      </c>
      <c r="C26" s="267">
        <f>B26/'- 3 -'!$D26*100</f>
        <v>8.0813581701675422E-2</v>
      </c>
      <c r="D26" s="16">
        <f>B26/'- 7 -'!$E26</f>
        <v>11.028219266947778</v>
      </c>
    </row>
    <row r="27" spans="1:4" ht="14.1" customHeight="1" x14ac:dyDescent="0.2">
      <c r="A27" s="271" t="s">
        <v>123</v>
      </c>
      <c r="B27" s="272">
        <v>222750</v>
      </c>
      <c r="C27" s="273">
        <f>B27/'- 3 -'!$D27*100</f>
        <v>0.52075885049830484</v>
      </c>
      <c r="D27" s="272">
        <f>B27/'- 7 -'!$E27</f>
        <v>74.101796407185631</v>
      </c>
    </row>
    <row r="28" spans="1:4" ht="14.1" customHeight="1" x14ac:dyDescent="0.2">
      <c r="A28" s="15" t="s">
        <v>124</v>
      </c>
      <c r="B28" s="16">
        <v>82500</v>
      </c>
      <c r="C28" s="267">
        <f>B28/'- 3 -'!$D28*100</f>
        <v>0.28659803992647664</v>
      </c>
      <c r="D28" s="16">
        <f>B28/'- 7 -'!$E28</f>
        <v>40.861812778603266</v>
      </c>
    </row>
    <row r="29" spans="1:4" ht="14.1" customHeight="1" x14ac:dyDescent="0.2">
      <c r="A29" s="271" t="s">
        <v>125</v>
      </c>
      <c r="B29" s="272">
        <v>1030379</v>
      </c>
      <c r="C29" s="273">
        <f>B29/'- 3 -'!$D29*100</f>
        <v>0.57887111416348003</v>
      </c>
      <c r="D29" s="272">
        <f>B29/'- 7 -'!$E29</f>
        <v>71.628710462287103</v>
      </c>
    </row>
    <row r="30" spans="1:4" ht="14.1" customHeight="1" x14ac:dyDescent="0.2">
      <c r="A30" s="15" t="s">
        <v>126</v>
      </c>
      <c r="B30" s="16">
        <v>23968</v>
      </c>
      <c r="C30" s="267">
        <f>B30/'- 3 -'!$D30*100</f>
        <v>0.15245267657235906</v>
      </c>
      <c r="D30" s="16">
        <f>B30/'- 7 -'!$E30</f>
        <v>22.903010033444815</v>
      </c>
    </row>
    <row r="31" spans="1:4" ht="14.1" customHeight="1" x14ac:dyDescent="0.2">
      <c r="A31" s="271" t="s">
        <v>127</v>
      </c>
      <c r="B31" s="272">
        <v>85400</v>
      </c>
      <c r="C31" s="273">
        <f>B31/'- 3 -'!$D31*100</f>
        <v>0.20906898155154743</v>
      </c>
      <c r="D31" s="272">
        <f>B31/'- 7 -'!$E31</f>
        <v>25.477326968973745</v>
      </c>
    </row>
    <row r="32" spans="1:4" ht="14.1" customHeight="1" x14ac:dyDescent="0.2">
      <c r="A32" s="15" t="s">
        <v>128</v>
      </c>
      <c r="B32" s="16">
        <v>54000</v>
      </c>
      <c r="C32" s="267">
        <f>B32/'- 3 -'!$D32*100</f>
        <v>0.1703621046534409</v>
      </c>
      <c r="D32" s="16">
        <f>B32/'- 7 -'!$E32</f>
        <v>23.121387283236995</v>
      </c>
    </row>
    <row r="33" spans="1:5" ht="14.1" customHeight="1" x14ac:dyDescent="0.2">
      <c r="A33" s="271" t="s">
        <v>129</v>
      </c>
      <c r="B33" s="272">
        <v>43000</v>
      </c>
      <c r="C33" s="273">
        <f>B33/'- 3 -'!$D33*100</f>
        <v>0.14967066883714661</v>
      </c>
      <c r="D33" s="272">
        <f>B33/'- 7 -'!$E33</f>
        <v>20.821227968235522</v>
      </c>
    </row>
    <row r="34" spans="1:5" ht="14.1" customHeight="1" x14ac:dyDescent="0.2">
      <c r="A34" s="15" t="s">
        <v>130</v>
      </c>
      <c r="B34" s="16">
        <v>45077</v>
      </c>
      <c r="C34" s="267">
        <f>B34/'- 3 -'!$D34*100</f>
        <v>0.14098247303593311</v>
      </c>
      <c r="D34" s="16">
        <f>B34/'- 7 -'!$E34</f>
        <v>19.773215774005354</v>
      </c>
    </row>
    <row r="35" spans="1:5" ht="14.1" customHeight="1" x14ac:dyDescent="0.2">
      <c r="A35" s="271" t="s">
        <v>131</v>
      </c>
      <c r="B35" s="272">
        <v>862152</v>
      </c>
      <c r="C35" s="273">
        <f>B35/'- 3 -'!$D35*100</f>
        <v>0.43881170625475563</v>
      </c>
      <c r="D35" s="272">
        <f>B35/'- 7 -'!$E35</f>
        <v>52.897628616130319</v>
      </c>
    </row>
    <row r="36" spans="1:5" ht="14.1" customHeight="1" x14ac:dyDescent="0.2">
      <c r="A36" s="15" t="s">
        <v>132</v>
      </c>
      <c r="B36" s="16">
        <v>31500</v>
      </c>
      <c r="C36" s="267">
        <f>B36/'- 3 -'!$D36*100</f>
        <v>0.13027729004212091</v>
      </c>
      <c r="D36" s="16">
        <f>B36/'- 7 -'!$E36</f>
        <v>18.046405041535376</v>
      </c>
    </row>
    <row r="37" spans="1:5" ht="14.1" customHeight="1" x14ac:dyDescent="0.2">
      <c r="A37" s="271" t="s">
        <v>133</v>
      </c>
      <c r="B37" s="272">
        <v>90500</v>
      </c>
      <c r="C37" s="273">
        <f>B37/'- 3 -'!$D37*100</f>
        <v>0.16421880840655134</v>
      </c>
      <c r="D37" s="272">
        <f>B37/'- 7 -'!$E37</f>
        <v>20.737855178735106</v>
      </c>
    </row>
    <row r="38" spans="1:5" ht="14.1" customHeight="1" x14ac:dyDescent="0.2">
      <c r="A38" s="15" t="s">
        <v>134</v>
      </c>
      <c r="B38" s="16">
        <v>590740</v>
      </c>
      <c r="C38" s="267">
        <f>B38/'- 3 -'!$D38*100</f>
        <v>0.39104345398725771</v>
      </c>
      <c r="D38" s="16">
        <f>B38/'- 7 -'!$E38</f>
        <v>50.688152114222959</v>
      </c>
    </row>
    <row r="39" spans="1:5" ht="14.1" customHeight="1" x14ac:dyDescent="0.2">
      <c r="A39" s="271" t="s">
        <v>135</v>
      </c>
      <c r="B39" s="272">
        <v>55900</v>
      </c>
      <c r="C39" s="273">
        <f>B39/'- 3 -'!$D39*100</f>
        <v>0.23807090168821657</v>
      </c>
      <c r="D39" s="272">
        <f>B39/'- 7 -'!$E39</f>
        <v>37.501677176975718</v>
      </c>
    </row>
    <row r="40" spans="1:5" ht="14.1" customHeight="1" x14ac:dyDescent="0.2">
      <c r="A40" s="15" t="s">
        <v>136</v>
      </c>
      <c r="B40" s="16">
        <v>407657</v>
      </c>
      <c r="C40" s="267">
        <f>B40/'- 3 -'!$D40*100</f>
        <v>0.37102643225552756</v>
      </c>
      <c r="D40" s="16">
        <f>B40/'- 7 -'!$E40</f>
        <v>49.578230465186984</v>
      </c>
    </row>
    <row r="41" spans="1:5" ht="14.1" customHeight="1" x14ac:dyDescent="0.2">
      <c r="A41" s="271" t="s">
        <v>137</v>
      </c>
      <c r="B41" s="272">
        <v>118811</v>
      </c>
      <c r="C41" s="273">
        <f>B41/'- 3 -'!$D41*100</f>
        <v>0.17815269283153545</v>
      </c>
      <c r="D41" s="272">
        <f>B41/'- 7 -'!$E41</f>
        <v>26.437694704049843</v>
      </c>
    </row>
    <row r="42" spans="1:5" ht="14.1" customHeight="1" x14ac:dyDescent="0.2">
      <c r="A42" s="15" t="s">
        <v>138</v>
      </c>
      <c r="B42" s="16">
        <v>17000</v>
      </c>
      <c r="C42" s="267">
        <f>B42/'- 3 -'!$D42*100</f>
        <v>7.9645511881704864E-2</v>
      </c>
      <c r="D42" s="16">
        <f>B42/'- 7 -'!$E42</f>
        <v>12.422360248447205</v>
      </c>
    </row>
    <row r="43" spans="1:5" ht="14.1" customHeight="1" x14ac:dyDescent="0.2">
      <c r="A43" s="271" t="s">
        <v>139</v>
      </c>
      <c r="B43" s="272">
        <v>21582</v>
      </c>
      <c r="C43" s="273">
        <f>B43/'- 3 -'!$D43*100</f>
        <v>0.15550925136656044</v>
      </c>
      <c r="D43" s="272">
        <f>B43/'- 7 -'!$E43</f>
        <v>21.474626865671642</v>
      </c>
    </row>
    <row r="44" spans="1:5" ht="14.1" customHeight="1" x14ac:dyDescent="0.2">
      <c r="A44" s="15" t="s">
        <v>140</v>
      </c>
      <c r="B44" s="16">
        <v>10000</v>
      </c>
      <c r="C44" s="267">
        <f>B44/'- 3 -'!$D44*100</f>
        <v>8.9014957806464928E-2</v>
      </c>
      <c r="D44" s="16">
        <f>B44/'- 7 -'!$E44</f>
        <v>14.419610670511895</v>
      </c>
    </row>
    <row r="45" spans="1:5" ht="14.1" customHeight="1" x14ac:dyDescent="0.2">
      <c r="A45" s="271" t="s">
        <v>141</v>
      </c>
      <c r="B45" s="272">
        <v>55000</v>
      </c>
      <c r="C45" s="273">
        <f>B45/'- 3 -'!$D45*100</f>
        <v>0.24588878423464836</v>
      </c>
      <c r="D45" s="272">
        <f>B45/'- 7 -'!$E45</f>
        <v>26.506024096385541</v>
      </c>
    </row>
    <row r="46" spans="1:5" ht="14.1" customHeight="1" x14ac:dyDescent="0.2">
      <c r="A46" s="15" t="s">
        <v>142</v>
      </c>
      <c r="B46" s="16">
        <v>1088100</v>
      </c>
      <c r="C46" s="267">
        <f>B46/'- 3 -'!$D46*100</f>
        <v>0.26070664895398077</v>
      </c>
      <c r="D46" s="16">
        <f>B46/'- 7 -'!$E46</f>
        <v>36.370625396931509</v>
      </c>
    </row>
    <row r="47" spans="1:5" ht="5.0999999999999996" customHeight="1" x14ac:dyDescent="0.2">
      <c r="A47"/>
      <c r="B47"/>
      <c r="C47"/>
      <c r="D47"/>
    </row>
    <row r="48" spans="1:5" ht="14.1" customHeight="1" x14ac:dyDescent="0.2">
      <c r="A48" s="274" t="s">
        <v>143</v>
      </c>
      <c r="B48" s="275">
        <f>SUM(B11:B46)</f>
        <v>7985040</v>
      </c>
      <c r="C48" s="276">
        <f>B48/'- 3 -'!$D48*100</f>
        <v>0.3218771974382702</v>
      </c>
      <c r="D48" s="275">
        <f>B48/'- 7 -'!$E48</f>
        <v>43.829198168459165</v>
      </c>
      <c r="E48" s="29"/>
    </row>
    <row r="49" spans="1:4" ht="5.0999999999999996" customHeight="1" x14ac:dyDescent="0.2">
      <c r="A49" s="17" t="s">
        <v>1</v>
      </c>
      <c r="B49" s="18"/>
      <c r="C49" s="266"/>
      <c r="D49" s="18"/>
    </row>
    <row r="50" spans="1:4" ht="14.1" customHeight="1" x14ac:dyDescent="0.2">
      <c r="A50" s="15" t="s">
        <v>144</v>
      </c>
      <c r="B50" s="16">
        <v>9000</v>
      </c>
      <c r="C50" s="267">
        <f>B50/'- 3 -'!$D50*100</f>
        <v>0.25082612370800161</v>
      </c>
      <c r="D50" s="16">
        <f>B50/'- 7 -'!$E50</f>
        <v>52.325581395348834</v>
      </c>
    </row>
    <row r="51" spans="1:4" ht="14.1" customHeight="1" x14ac:dyDescent="0.2">
      <c r="A51" s="360" t="s">
        <v>513</v>
      </c>
      <c r="B51" s="272">
        <v>1598371</v>
      </c>
      <c r="C51" s="273">
        <f>B51/'- 3 -'!$D51*100</f>
        <v>4.5976083431076953</v>
      </c>
      <c r="D51" s="272">
        <f>B51/'- 7 -'!$E51</f>
        <v>900.94752268755997</v>
      </c>
    </row>
    <row r="52" spans="1:4" ht="50.1" customHeight="1" x14ac:dyDescent="0.2"/>
    <row r="53" spans="1:4" ht="15" customHeight="1" x14ac:dyDescent="0.2"/>
    <row r="54" spans="1:4" ht="14.45" customHeight="1" x14ac:dyDescent="0.2"/>
    <row r="55" spans="1:4" ht="14.45" customHeight="1" x14ac:dyDescent="0.2"/>
    <row r="56" spans="1:4" ht="14.45" customHeight="1" x14ac:dyDescent="0.2"/>
    <row r="57" spans="1:4" ht="14.45" customHeight="1" x14ac:dyDescent="0.2"/>
    <row r="58" spans="1:4" ht="14.45" customHeight="1" x14ac:dyDescent="0.2"/>
    <row r="59" spans="1:4" ht="14.45" customHeight="1" x14ac:dyDescent="0.2"/>
  </sheetData>
  <mergeCells count="3">
    <mergeCell ref="D8:D9"/>
    <mergeCell ref="B6:D7"/>
    <mergeCell ref="B5:D5"/>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9"/>
  <sheetViews>
    <sheetView showGridLines="0" showZeros="0" workbookViewId="0"/>
  </sheetViews>
  <sheetFormatPr defaultColWidth="15.83203125" defaultRowHeight="12" x14ac:dyDescent="0.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133"/>
      <c r="E2" s="6"/>
      <c r="F2" s="6"/>
      <c r="G2" s="6"/>
      <c r="H2" s="85"/>
      <c r="I2" s="85"/>
      <c r="J2" s="502" t="s">
        <v>530</v>
      </c>
    </row>
    <row r="3" spans="1:10" ht="15.95" customHeight="1" x14ac:dyDescent="0.2">
      <c r="A3" s="135"/>
      <c r="B3" s="7" t="str">
        <f>OPYEAR</f>
        <v>OPERATING FUND 2020/2021 BUDGET</v>
      </c>
      <c r="C3" s="8"/>
      <c r="D3" s="144"/>
      <c r="E3" s="8"/>
      <c r="F3" s="8"/>
      <c r="G3" s="8"/>
      <c r="H3" s="87"/>
      <c r="I3" s="87"/>
      <c r="J3" s="8"/>
    </row>
    <row r="4" spans="1:10" ht="15.95" customHeight="1" x14ac:dyDescent="0.2">
      <c r="B4" s="4"/>
      <c r="C4" s="4"/>
      <c r="D4" s="4"/>
      <c r="E4" s="4"/>
      <c r="F4" s="4"/>
      <c r="G4" s="4"/>
      <c r="H4" s="4"/>
      <c r="I4" s="4"/>
      <c r="J4" s="4"/>
    </row>
    <row r="5" spans="1:10" ht="15.95" customHeight="1" x14ac:dyDescent="0.2">
      <c r="B5" s="690" t="s">
        <v>250</v>
      </c>
      <c r="C5" s="691"/>
      <c r="D5" s="691"/>
      <c r="E5" s="691"/>
      <c r="F5" s="691"/>
      <c r="G5" s="691"/>
      <c r="H5" s="691"/>
      <c r="I5" s="691"/>
      <c r="J5" s="692"/>
    </row>
    <row r="6" spans="1:10" ht="22.15" customHeight="1" x14ac:dyDescent="0.2">
      <c r="B6" s="626" t="s">
        <v>422</v>
      </c>
      <c r="C6" s="632"/>
      <c r="D6" s="623"/>
      <c r="E6" s="626" t="s">
        <v>423</v>
      </c>
      <c r="F6" s="632"/>
      <c r="G6" s="623"/>
      <c r="H6" s="622" t="s">
        <v>424</v>
      </c>
      <c r="I6" s="630"/>
      <c r="J6" s="615"/>
    </row>
    <row r="7" spans="1:10" ht="15.95" customHeight="1" x14ac:dyDescent="0.2">
      <c r="B7" s="624"/>
      <c r="C7" s="633"/>
      <c r="D7" s="625"/>
      <c r="E7" s="624"/>
      <c r="F7" s="633"/>
      <c r="G7" s="625"/>
      <c r="H7" s="629"/>
      <c r="I7" s="631"/>
      <c r="J7" s="617"/>
    </row>
    <row r="8" spans="1:10" ht="15.95" customHeight="1" x14ac:dyDescent="0.2">
      <c r="A8" s="82"/>
      <c r="B8" s="138"/>
      <c r="C8" s="137"/>
      <c r="D8" s="540" t="s">
        <v>396</v>
      </c>
      <c r="E8" s="138"/>
      <c r="F8" s="137"/>
      <c r="G8" s="540" t="s">
        <v>396</v>
      </c>
      <c r="H8" s="138"/>
      <c r="I8" s="137"/>
      <c r="J8" s="540" t="s">
        <v>396</v>
      </c>
    </row>
    <row r="9" spans="1:10" ht="15.95" customHeight="1" x14ac:dyDescent="0.2">
      <c r="A9" s="27" t="s">
        <v>37</v>
      </c>
      <c r="B9" s="89" t="s">
        <v>38</v>
      </c>
      <c r="C9" s="89" t="s">
        <v>39</v>
      </c>
      <c r="D9" s="580"/>
      <c r="E9" s="89" t="s">
        <v>38</v>
      </c>
      <c r="F9" s="89" t="s">
        <v>39</v>
      </c>
      <c r="G9" s="580"/>
      <c r="H9" s="89" t="s">
        <v>38</v>
      </c>
      <c r="I9" s="89" t="s">
        <v>39</v>
      </c>
      <c r="J9" s="580"/>
    </row>
    <row r="10" spans="1:10" ht="5.0999999999999996" customHeight="1" x14ac:dyDescent="0.2">
      <c r="A10" s="29"/>
    </row>
    <row r="11" spans="1:10" ht="14.1" customHeight="1" x14ac:dyDescent="0.2">
      <c r="A11" s="271" t="s">
        <v>108</v>
      </c>
      <c r="B11" s="272">
        <v>0</v>
      </c>
      <c r="C11" s="273">
        <f>B11/'- 3 -'!$D11*100</f>
        <v>0</v>
      </c>
      <c r="D11" s="272">
        <f>B11/'- 7 -'!$C11</f>
        <v>0</v>
      </c>
      <c r="E11" s="272">
        <v>158641</v>
      </c>
      <c r="F11" s="273">
        <f>E11/'- 3 -'!$D11*100</f>
        <v>0.71426638609465742</v>
      </c>
      <c r="G11" s="272">
        <f>E11/'- 7 -'!$E11</f>
        <v>79.53923289044873</v>
      </c>
      <c r="H11" s="272">
        <v>274449</v>
      </c>
      <c r="I11" s="273">
        <f>H11/'- 3 -'!$D11*100</f>
        <v>1.2356811631122637</v>
      </c>
      <c r="J11" s="272">
        <f>H11/'- 7 -'!$E11</f>
        <v>137.60290799699172</v>
      </c>
    </row>
    <row r="12" spans="1:10" ht="14.1" customHeight="1" x14ac:dyDescent="0.2">
      <c r="A12" s="15" t="s">
        <v>109</v>
      </c>
      <c r="B12" s="16">
        <v>0</v>
      </c>
      <c r="C12" s="267">
        <f>B12/'- 3 -'!$D12*100</f>
        <v>0</v>
      </c>
      <c r="D12" s="16">
        <f>B12/'- 7 -'!$C12</f>
        <v>0</v>
      </c>
      <c r="E12" s="16">
        <v>0</v>
      </c>
      <c r="F12" s="267">
        <f>E12/'- 3 -'!$D12*100</f>
        <v>0</v>
      </c>
      <c r="G12" s="16">
        <f>E12/'- 7 -'!$E12</f>
        <v>0</v>
      </c>
      <c r="H12" s="16">
        <v>288343</v>
      </c>
      <c r="I12" s="267">
        <f>H12/'- 3 -'!$D12*100</f>
        <v>0.83110901428856199</v>
      </c>
      <c r="J12" s="16">
        <f>H12/'- 7 -'!$E12</f>
        <v>133.863974001857</v>
      </c>
    </row>
    <row r="13" spans="1:10" ht="14.1" customHeight="1" x14ac:dyDescent="0.2">
      <c r="A13" s="271" t="s">
        <v>110</v>
      </c>
      <c r="B13" s="272">
        <v>124400</v>
      </c>
      <c r="C13" s="273">
        <f>B13/'- 3 -'!$D13*100</f>
        <v>0.11566895989987755</v>
      </c>
      <c r="D13" s="272">
        <f>B13/'- 7 -'!$C13</f>
        <v>14.230967225304582</v>
      </c>
      <c r="E13" s="272">
        <v>595400</v>
      </c>
      <c r="F13" s="273">
        <f>E13/'- 3 -'!$D13*100</f>
        <v>0.55361172608028208</v>
      </c>
      <c r="G13" s="272">
        <f>E13/'- 7 -'!$E13</f>
        <v>68.111880112108906</v>
      </c>
      <c r="H13" s="272">
        <v>939200</v>
      </c>
      <c r="I13" s="273">
        <f>H13/'- 3 -'!$D13*100</f>
        <v>0.87328205094827172</v>
      </c>
      <c r="J13" s="272">
        <f>H13/'- 7 -'!$E13</f>
        <v>107.44151461419665</v>
      </c>
    </row>
    <row r="14" spans="1:10" ht="14.1" customHeight="1" x14ac:dyDescent="0.2">
      <c r="A14" s="15" t="s">
        <v>319</v>
      </c>
      <c r="B14" s="16">
        <v>189018</v>
      </c>
      <c r="C14" s="267">
        <f>B14/'- 3 -'!$D14*100</f>
        <v>0.19467851133116729</v>
      </c>
      <c r="D14" s="16">
        <f>B14/'- 7 -'!$C14</f>
        <v>31.53979642916736</v>
      </c>
      <c r="E14" s="16">
        <v>1856513</v>
      </c>
      <c r="F14" s="267">
        <f>E14/'- 3 -'!$D14*100</f>
        <v>1.9121098895711488</v>
      </c>
      <c r="G14" s="16">
        <f>E14/'- 7 -'!$E14</f>
        <v>309.78024361755382</v>
      </c>
      <c r="H14" s="16">
        <v>813598</v>
      </c>
      <c r="I14" s="267">
        <f>H14/'- 3 -'!$D14*100</f>
        <v>0.83796277318570223</v>
      </c>
      <c r="J14" s="16">
        <f>H14/'- 7 -'!$E14</f>
        <v>135.75805105956951</v>
      </c>
    </row>
    <row r="15" spans="1:10" ht="14.1" customHeight="1" x14ac:dyDescent="0.2">
      <c r="A15" s="271" t="s">
        <v>111</v>
      </c>
      <c r="B15" s="272">
        <v>78070</v>
      </c>
      <c r="C15" s="273">
        <f>B15/'- 3 -'!$D15*100</f>
        <v>0.36935614746635259</v>
      </c>
      <c r="D15" s="272">
        <f>B15/'- 7 -'!$C15</f>
        <v>55.964157706093189</v>
      </c>
      <c r="E15" s="272">
        <v>102540</v>
      </c>
      <c r="F15" s="273">
        <f>E15/'- 3 -'!$D15*100</f>
        <v>0.48512590446009735</v>
      </c>
      <c r="G15" s="272">
        <f>E15/'- 7 -'!$E15</f>
        <v>73.505376344086017</v>
      </c>
      <c r="H15" s="272">
        <v>252170</v>
      </c>
      <c r="I15" s="273">
        <f>H15/'- 3 -'!$D15*100</f>
        <v>1.1930388075648795</v>
      </c>
      <c r="J15" s="272">
        <f>H15/'- 7 -'!$E15</f>
        <v>180.76702508960574</v>
      </c>
    </row>
    <row r="16" spans="1:10" ht="14.1" customHeight="1" x14ac:dyDescent="0.2">
      <c r="A16" s="15" t="s">
        <v>112</v>
      </c>
      <c r="B16" s="16">
        <v>0</v>
      </c>
      <c r="C16" s="267">
        <f>B16/'- 3 -'!$D16*100</f>
        <v>0</v>
      </c>
      <c r="D16" s="16">
        <f>B16/'- 7 -'!$C16</f>
        <v>0</v>
      </c>
      <c r="E16" s="16">
        <v>0</v>
      </c>
      <c r="F16" s="267">
        <f>E16/'- 3 -'!$D16*100</f>
        <v>0</v>
      </c>
      <c r="G16" s="16">
        <f>E16/'- 7 -'!$E16</f>
        <v>0</v>
      </c>
      <c r="H16" s="16">
        <v>137250</v>
      </c>
      <c r="I16" s="267">
        <f>H16/'- 3 -'!$D16*100</f>
        <v>0.91770576367361523</v>
      </c>
      <c r="J16" s="16">
        <f>H16/'- 7 -'!$E16</f>
        <v>144.77848101265823</v>
      </c>
    </row>
    <row r="17" spans="1:10" ht="14.1" customHeight="1" x14ac:dyDescent="0.2">
      <c r="A17" s="271" t="s">
        <v>113</v>
      </c>
      <c r="B17" s="272">
        <v>0</v>
      </c>
      <c r="C17" s="273">
        <f>B17/'- 3 -'!$D17*100</f>
        <v>0</v>
      </c>
      <c r="D17" s="272">
        <f>B17/'- 7 -'!$C17</f>
        <v>0</v>
      </c>
      <c r="E17" s="272">
        <v>62770</v>
      </c>
      <c r="F17" s="273">
        <f>E17/'- 3 -'!$D17*100</f>
        <v>0.33369225939748798</v>
      </c>
      <c r="G17" s="272">
        <f>E17/'- 7 -'!$E17</f>
        <v>43.409405255878283</v>
      </c>
      <c r="H17" s="272">
        <v>224330</v>
      </c>
      <c r="I17" s="273">
        <f>H17/'- 3 -'!$D17*100</f>
        <v>1.1925630803033054</v>
      </c>
      <c r="J17" s="272">
        <f>H17/'- 7 -'!$E17</f>
        <v>155.13831258644538</v>
      </c>
    </row>
    <row r="18" spans="1:10" ht="14.1" customHeight="1" x14ac:dyDescent="0.2">
      <c r="A18" s="15" t="s">
        <v>114</v>
      </c>
      <c r="B18" s="16">
        <v>0</v>
      </c>
      <c r="C18" s="267">
        <f>B18/'- 3 -'!$D18*100</f>
        <v>0</v>
      </c>
      <c r="D18" s="16">
        <f>B18/'- 7 -'!$C18</f>
        <v>0</v>
      </c>
      <c r="E18" s="16">
        <v>3176806</v>
      </c>
      <c r="F18" s="267">
        <f>E18/'- 3 -'!$D18*100</f>
        <v>2.2821767747170352</v>
      </c>
      <c r="G18" s="16">
        <f>E18/'- 7 -'!$E18</f>
        <v>530.44014025713807</v>
      </c>
      <c r="H18" s="16">
        <v>1992332</v>
      </c>
      <c r="I18" s="267">
        <f>H18/'- 3 -'!$D18*100</f>
        <v>1.431265811612525</v>
      </c>
      <c r="J18" s="16">
        <f>H18/'- 7 -'!$E18</f>
        <v>332.66521956921019</v>
      </c>
    </row>
    <row r="19" spans="1:10" ht="14.1" customHeight="1" x14ac:dyDescent="0.2">
      <c r="A19" s="271" t="s">
        <v>115</v>
      </c>
      <c r="B19" s="272">
        <v>48000</v>
      </c>
      <c r="C19" s="273">
        <f>B19/'- 3 -'!$D19*100</f>
        <v>9.3114204571907444E-2</v>
      </c>
      <c r="D19" s="272">
        <f>B19/'- 7 -'!$C19</f>
        <v>10.790153984489153</v>
      </c>
      <c r="E19" s="272">
        <v>257300</v>
      </c>
      <c r="F19" s="273">
        <f>E19/'- 3 -'!$D19*100</f>
        <v>0.49913093409066217</v>
      </c>
      <c r="G19" s="272">
        <f>E19/'- 7 -'!$E19</f>
        <v>57.839721254355403</v>
      </c>
      <c r="H19" s="272">
        <v>539000</v>
      </c>
      <c r="I19" s="273">
        <f>H19/'- 3 -'!$D19*100</f>
        <v>1.045594922172044</v>
      </c>
      <c r="J19" s="272">
        <f>H19/'- 7 -'!$E19</f>
        <v>121.16443745082613</v>
      </c>
    </row>
    <row r="20" spans="1:10" ht="14.1" customHeight="1" x14ac:dyDescent="0.2">
      <c r="A20" s="15" t="s">
        <v>116</v>
      </c>
      <c r="B20" s="16">
        <v>15000</v>
      </c>
      <c r="C20" s="267">
        <f>B20/'- 3 -'!$D20*100</f>
        <v>1.6315751117357023E-2</v>
      </c>
      <c r="D20" s="16">
        <f>B20/'- 7 -'!$C20</f>
        <v>1.8422991893883567</v>
      </c>
      <c r="E20" s="16">
        <v>320700</v>
      </c>
      <c r="F20" s="267">
        <f>E20/'- 3 -'!$D20*100</f>
        <v>0.3488307588890931</v>
      </c>
      <c r="G20" s="16">
        <f>E20/'- 7 -'!$E20</f>
        <v>39.388356669123063</v>
      </c>
      <c r="H20" s="16">
        <v>1013900</v>
      </c>
      <c r="I20" s="267">
        <f>H20/'- 3 -'!$D20*100</f>
        <v>1.1028360038592189</v>
      </c>
      <c r="J20" s="16">
        <f>H20/'- 7 -'!$E20</f>
        <v>124.52714320805698</v>
      </c>
    </row>
    <row r="21" spans="1:10" ht="14.1" customHeight="1" x14ac:dyDescent="0.2">
      <c r="A21" s="271" t="s">
        <v>117</v>
      </c>
      <c r="B21" s="272">
        <v>0</v>
      </c>
      <c r="C21" s="273">
        <f>B21/'- 3 -'!$D21*100</f>
        <v>0</v>
      </c>
      <c r="D21" s="272">
        <f>B21/'- 7 -'!$C21</f>
        <v>0</v>
      </c>
      <c r="E21" s="272">
        <v>0</v>
      </c>
      <c r="F21" s="273">
        <f>E21/'- 3 -'!$D21*100</f>
        <v>0</v>
      </c>
      <c r="G21" s="272">
        <f>E21/'- 7 -'!$E21</f>
        <v>0</v>
      </c>
      <c r="H21" s="272">
        <v>547643</v>
      </c>
      <c r="I21" s="273">
        <f>H21/'- 3 -'!$D21*100</f>
        <v>1.4341929697064928</v>
      </c>
      <c r="J21" s="272">
        <f>H21/'- 7 -'!$E21</f>
        <v>195.51695822920385</v>
      </c>
    </row>
    <row r="22" spans="1:10" ht="14.1" customHeight="1" x14ac:dyDescent="0.2">
      <c r="A22" s="15" t="s">
        <v>118</v>
      </c>
      <c r="B22" s="16">
        <v>21515</v>
      </c>
      <c r="C22" s="267">
        <f>B22/'- 3 -'!$D22*100</f>
        <v>0.1051927780500833</v>
      </c>
      <c r="D22" s="16">
        <f>B22/'- 7 -'!$C22</f>
        <v>14.998257232485187</v>
      </c>
      <c r="E22" s="16">
        <v>75055</v>
      </c>
      <c r="F22" s="267">
        <f>E22/'- 3 -'!$D22*100</f>
        <v>0.36696462730880791</v>
      </c>
      <c r="G22" s="16">
        <f>E22/'- 7 -'!$E22</f>
        <v>52.32136632973161</v>
      </c>
      <c r="H22" s="16">
        <v>187490</v>
      </c>
      <c r="I22" s="267">
        <f>H22/'- 3 -'!$D22*100</f>
        <v>0.91669040002835789</v>
      </c>
      <c r="J22" s="16">
        <f>H22/'- 7 -'!$E22</f>
        <v>130.70059254095503</v>
      </c>
    </row>
    <row r="23" spans="1:10" ht="14.1" customHeight="1" x14ac:dyDescent="0.2">
      <c r="A23" s="271" t="s">
        <v>119</v>
      </c>
      <c r="B23" s="272">
        <v>0</v>
      </c>
      <c r="C23" s="273">
        <f>B23/'- 3 -'!$D23*100</f>
        <v>0</v>
      </c>
      <c r="D23" s="272">
        <f>B23/'- 7 -'!$C23</f>
        <v>0</v>
      </c>
      <c r="E23" s="272">
        <v>83000</v>
      </c>
      <c r="F23" s="273">
        <f>E23/'- 3 -'!$D23*100</f>
        <v>0.51979885663039449</v>
      </c>
      <c r="G23" s="272">
        <f>E23/'- 7 -'!$E23</f>
        <v>89.055793991416309</v>
      </c>
      <c r="H23" s="272">
        <v>103800</v>
      </c>
      <c r="I23" s="273">
        <f>H23/'- 3 -'!$D23*100</f>
        <v>0.65006170262933682</v>
      </c>
      <c r="J23" s="272">
        <f>H23/'- 7 -'!$E23</f>
        <v>111.37339055793991</v>
      </c>
    </row>
    <row r="24" spans="1:10" ht="14.1" customHeight="1" x14ac:dyDescent="0.2">
      <c r="A24" s="15" t="s">
        <v>120</v>
      </c>
      <c r="B24" s="16">
        <v>73585</v>
      </c>
      <c r="C24" s="267">
        <f>B24/'- 3 -'!$D24*100</f>
        <v>0.12499800404084055</v>
      </c>
      <c r="D24" s="16">
        <f>B24/'- 7 -'!$C24</f>
        <v>19.780913978494624</v>
      </c>
      <c r="E24" s="16">
        <v>16549</v>
      </c>
      <c r="F24" s="267">
        <f>E24/'- 3 -'!$D24*100</f>
        <v>2.8111598408260791E-2</v>
      </c>
      <c r="G24" s="16">
        <f>E24/'- 7 -'!$E24</f>
        <v>4.4486559139784942</v>
      </c>
      <c r="H24" s="16">
        <v>573900</v>
      </c>
      <c r="I24" s="267">
        <f>H24/'- 3 -'!$D24*100</f>
        <v>0.97487741413383699</v>
      </c>
      <c r="J24" s="16">
        <f>H24/'- 7 -'!$E24</f>
        <v>154.2741935483871</v>
      </c>
    </row>
    <row r="25" spans="1:10" ht="14.1" customHeight="1" x14ac:dyDescent="0.2">
      <c r="A25" s="271" t="s">
        <v>121</v>
      </c>
      <c r="B25" s="272">
        <v>499185</v>
      </c>
      <c r="C25" s="273">
        <f>B25/'- 3 -'!$D25*100</f>
        <v>0.25665141352931176</v>
      </c>
      <c r="D25" s="272">
        <f>B25/'- 7 -'!$C25</f>
        <v>32.958206787270569</v>
      </c>
      <c r="E25" s="272">
        <v>2165347</v>
      </c>
      <c r="F25" s="273">
        <f>E25/'- 3 -'!$D25*100</f>
        <v>1.1132934049129173</v>
      </c>
      <c r="G25" s="272">
        <f>E25/'- 7 -'!$E25</f>
        <v>142.96494123861086</v>
      </c>
      <c r="H25" s="272">
        <v>4381226</v>
      </c>
      <c r="I25" s="273">
        <f>H25/'- 3 -'!$D25*100</f>
        <v>2.2525673766066139</v>
      </c>
      <c r="J25" s="272">
        <f>H25/'- 7 -'!$E25</f>
        <v>289.2662089000396</v>
      </c>
    </row>
    <row r="26" spans="1:10" ht="14.1" customHeight="1" x14ac:dyDescent="0.2">
      <c r="A26" s="15" t="s">
        <v>122</v>
      </c>
      <c r="B26" s="16">
        <v>21142</v>
      </c>
      <c r="C26" s="267">
        <f>B26/'- 3 -'!$D26*100</f>
        <v>5.0251786598141814E-2</v>
      </c>
      <c r="D26" s="16">
        <f>B26/'- 7 -'!$C26</f>
        <v>6.857606227700292</v>
      </c>
      <c r="E26" s="16">
        <v>341767</v>
      </c>
      <c r="F26" s="267">
        <f>E26/'- 3 -'!$D26*100</f>
        <v>0.81233574639519124</v>
      </c>
      <c r="G26" s="16">
        <f>E26/'- 7 -'!$E26</f>
        <v>110.85533571196886</v>
      </c>
      <c r="H26" s="16">
        <v>546768</v>
      </c>
      <c r="I26" s="267">
        <f>H26/'- 3 -'!$D26*100</f>
        <v>1.2995964835253433</v>
      </c>
      <c r="J26" s="16">
        <f>H26/'- 7 -'!$E26</f>
        <v>177.34933506325009</v>
      </c>
    </row>
    <row r="27" spans="1:10" ht="14.1" customHeight="1" x14ac:dyDescent="0.2">
      <c r="A27" s="271" t="s">
        <v>123</v>
      </c>
      <c r="B27" s="272">
        <v>0</v>
      </c>
      <c r="C27" s="273">
        <f>B27/'- 3 -'!$D27*100</f>
        <v>0</v>
      </c>
      <c r="D27" s="272">
        <f>B27/'- 7 -'!$C27</f>
        <v>0</v>
      </c>
      <c r="E27" s="272">
        <v>601309</v>
      </c>
      <c r="F27" s="273">
        <f>E27/'- 3 -'!$D27*100</f>
        <v>1.4057777043065554</v>
      </c>
      <c r="G27" s="272">
        <f>E27/'- 7 -'!$E27</f>
        <v>200.03626081170992</v>
      </c>
      <c r="H27" s="272">
        <v>827171</v>
      </c>
      <c r="I27" s="273">
        <f>H27/'- 3 -'!$D27*100</f>
        <v>1.9338119826062101</v>
      </c>
      <c r="J27" s="272">
        <f>H27/'- 7 -'!$E27</f>
        <v>275.17332002661345</v>
      </c>
    </row>
    <row r="28" spans="1:10" ht="14.1" customHeight="1" x14ac:dyDescent="0.2">
      <c r="A28" s="15" t="s">
        <v>124</v>
      </c>
      <c r="B28" s="16">
        <v>44764</v>
      </c>
      <c r="C28" s="267">
        <f>B28/'- 3 -'!$D28*100</f>
        <v>0.15550635950628849</v>
      </c>
      <c r="D28" s="16">
        <f>B28/'- 7 -'!$C28</f>
        <v>22.17137196631996</v>
      </c>
      <c r="E28" s="16">
        <v>852</v>
      </c>
      <c r="F28" s="267">
        <f>E28/'- 3 -'!$D28*100</f>
        <v>2.9597761214225225E-3</v>
      </c>
      <c r="G28" s="16">
        <f>E28/'- 7 -'!$E28</f>
        <v>0.42199108469539376</v>
      </c>
      <c r="H28" s="16">
        <v>298128</v>
      </c>
      <c r="I28" s="267">
        <f>H28/'- 3 -'!$D28*100</f>
        <v>1.035671520572129</v>
      </c>
      <c r="J28" s="16">
        <f>H28/'- 7 -'!$E28</f>
        <v>147.66121842496284</v>
      </c>
    </row>
    <row r="29" spans="1:10" ht="14.1" customHeight="1" x14ac:dyDescent="0.2">
      <c r="A29" s="271" t="s">
        <v>125</v>
      </c>
      <c r="B29" s="272">
        <v>412175</v>
      </c>
      <c r="C29" s="273">
        <f>B29/'- 3 -'!$D29*100</f>
        <v>0.23156159188059186</v>
      </c>
      <c r="D29" s="272">
        <f>B29/'- 7 -'!$C29</f>
        <v>28.653110879388251</v>
      </c>
      <c r="E29" s="272">
        <v>525617</v>
      </c>
      <c r="F29" s="273">
        <f>E29/'- 3 -'!$D29*100</f>
        <v>0.29529376900467291</v>
      </c>
      <c r="G29" s="272">
        <f>E29/'- 7 -'!$E29</f>
        <v>36.539242266249566</v>
      </c>
      <c r="H29" s="272">
        <v>3807036</v>
      </c>
      <c r="I29" s="273">
        <f>H29/'- 3 -'!$D29*100</f>
        <v>2.1388083132327798</v>
      </c>
      <c r="J29" s="272">
        <f>H29/'- 7 -'!$E29</f>
        <v>264.65318039624611</v>
      </c>
    </row>
    <row r="30" spans="1:10" ht="14.1" customHeight="1" x14ac:dyDescent="0.2">
      <c r="A30" s="15" t="s">
        <v>126</v>
      </c>
      <c r="B30" s="16">
        <v>0</v>
      </c>
      <c r="C30" s="267">
        <f>B30/'- 3 -'!$D30*100</f>
        <v>0</v>
      </c>
      <c r="D30" s="16">
        <f>B30/'- 7 -'!$C30</f>
        <v>0</v>
      </c>
      <c r="E30" s="16">
        <v>0</v>
      </c>
      <c r="F30" s="267">
        <f>E30/'- 3 -'!$D30*100</f>
        <v>0</v>
      </c>
      <c r="G30" s="16">
        <f>E30/'- 7 -'!$E30</f>
        <v>0</v>
      </c>
      <c r="H30" s="16">
        <v>364706</v>
      </c>
      <c r="I30" s="267">
        <f>H30/'- 3 -'!$D30*100</f>
        <v>2.3197766130673725</v>
      </c>
      <c r="J30" s="16">
        <f>H30/'- 7 -'!$E30</f>
        <v>348.5007166746297</v>
      </c>
    </row>
    <row r="31" spans="1:10" ht="14.1" customHeight="1" x14ac:dyDescent="0.2">
      <c r="A31" s="271" t="s">
        <v>127</v>
      </c>
      <c r="B31" s="272">
        <v>79814</v>
      </c>
      <c r="C31" s="273">
        <f>B31/'- 3 -'!$D31*100</f>
        <v>0.19539381374186426</v>
      </c>
      <c r="D31" s="272">
        <f>B31/'- 7 -'!$C31</f>
        <v>23.810859188544153</v>
      </c>
      <c r="E31" s="272">
        <v>107255</v>
      </c>
      <c r="F31" s="273">
        <f>E31/'- 3 -'!$D31*100</f>
        <v>0.26257252478116183</v>
      </c>
      <c r="G31" s="272">
        <f>E31/'- 7 -'!$E31</f>
        <v>31.997315035799524</v>
      </c>
      <c r="H31" s="272">
        <v>450283</v>
      </c>
      <c r="I31" s="273">
        <f>H31/'- 3 -'!$D31*100</f>
        <v>1.1023443585477217</v>
      </c>
      <c r="J31" s="272">
        <f>H31/'- 7 -'!$E31</f>
        <v>134.33263723150358</v>
      </c>
    </row>
    <row r="32" spans="1:10" ht="14.1" customHeight="1" x14ac:dyDescent="0.2">
      <c r="A32" s="15" t="s">
        <v>128</v>
      </c>
      <c r="B32" s="16">
        <v>0</v>
      </c>
      <c r="C32" s="267">
        <f>B32/'- 3 -'!$D32*100</f>
        <v>0</v>
      </c>
      <c r="D32" s="16">
        <f>B32/'- 7 -'!$C32</f>
        <v>0</v>
      </c>
      <c r="E32" s="16">
        <v>135167</v>
      </c>
      <c r="F32" s="267">
        <f>E32/'- 3 -'!$D32*100</f>
        <v>0.42643212221651194</v>
      </c>
      <c r="G32" s="16">
        <f>E32/'- 7 -'!$E32</f>
        <v>57.874973239135088</v>
      </c>
      <c r="H32" s="16">
        <v>352572</v>
      </c>
      <c r="I32" s="267">
        <f>H32/'- 3 -'!$D32*100</f>
        <v>1.112313110405055</v>
      </c>
      <c r="J32" s="16">
        <f>H32/'- 7 -'!$E32</f>
        <v>150.96210661528582</v>
      </c>
    </row>
    <row r="33" spans="1:10" ht="14.1" customHeight="1" x14ac:dyDescent="0.2">
      <c r="A33" s="271" t="s">
        <v>129</v>
      </c>
      <c r="B33" s="272">
        <v>0</v>
      </c>
      <c r="C33" s="273">
        <f>B33/'- 3 -'!$D33*100</f>
        <v>0</v>
      </c>
      <c r="D33" s="272">
        <f>B33/'- 7 -'!$C33</f>
        <v>0</v>
      </c>
      <c r="E33" s="272">
        <v>89050</v>
      </c>
      <c r="F33" s="273">
        <f>E33/'- 3 -'!$D33*100</f>
        <v>0.30995751302204433</v>
      </c>
      <c r="G33" s="272">
        <f>E33/'- 7 -'!$E33</f>
        <v>43.119310478404032</v>
      </c>
      <c r="H33" s="272">
        <v>407650</v>
      </c>
      <c r="I33" s="273">
        <f>H33/'- 3 -'!$D33*100</f>
        <v>1.4189127477084376</v>
      </c>
      <c r="J33" s="272">
        <f>H33/'- 7 -'!$E33</f>
        <v>197.3900832849119</v>
      </c>
    </row>
    <row r="34" spans="1:10" ht="14.1" customHeight="1" x14ac:dyDescent="0.2">
      <c r="A34" s="15" t="s">
        <v>130</v>
      </c>
      <c r="B34" s="16">
        <v>6983</v>
      </c>
      <c r="C34" s="267">
        <f>B34/'- 3 -'!$D34*100</f>
        <v>2.1839976245311817E-2</v>
      </c>
      <c r="D34" s="16">
        <f>B34/'- 7 -'!$C34</f>
        <v>3.0631223406588588</v>
      </c>
      <c r="E34" s="16">
        <v>108641</v>
      </c>
      <c r="F34" s="267">
        <f>E34/'- 3 -'!$D34*100</f>
        <v>0.33978474284217686</v>
      </c>
      <c r="G34" s="16">
        <f>E34/'- 7 -'!$E34</f>
        <v>47.65583190770716</v>
      </c>
      <c r="H34" s="16">
        <v>212057</v>
      </c>
      <c r="I34" s="267">
        <f>H34/'- 3 -'!$D34*100</f>
        <v>0.66322781650466678</v>
      </c>
      <c r="J34" s="16">
        <f>H34/'- 7 -'!$E34</f>
        <v>93.019695573979035</v>
      </c>
    </row>
    <row r="35" spans="1:10" ht="14.1" customHeight="1" x14ac:dyDescent="0.2">
      <c r="A35" s="271" t="s">
        <v>131</v>
      </c>
      <c r="B35" s="272">
        <v>413170</v>
      </c>
      <c r="C35" s="273">
        <f>B35/'- 3 -'!$D35*100</f>
        <v>0.21029219055720727</v>
      </c>
      <c r="D35" s="272">
        <f>B35/'- 7 -'!$C35</f>
        <v>25.350185599901831</v>
      </c>
      <c r="E35" s="272">
        <v>752495</v>
      </c>
      <c r="F35" s="273">
        <f>E35/'- 3 -'!$D35*100</f>
        <v>0.38299930278903521</v>
      </c>
      <c r="G35" s="272">
        <f>E35/'- 7 -'!$E35</f>
        <v>46.169586158235418</v>
      </c>
      <c r="H35" s="272">
        <v>4841550</v>
      </c>
      <c r="I35" s="273">
        <f>H35/'- 3 -'!$D35*100</f>
        <v>2.464216073752322</v>
      </c>
      <c r="J35" s="272">
        <f>H35/'- 7 -'!$E35</f>
        <v>297.05494370647608</v>
      </c>
    </row>
    <row r="36" spans="1:10" ht="14.1" customHeight="1" x14ac:dyDescent="0.2">
      <c r="A36" s="15" t="s">
        <v>132</v>
      </c>
      <c r="B36" s="16">
        <v>23725</v>
      </c>
      <c r="C36" s="267">
        <f>B36/'- 3 -'!$D36*100</f>
        <v>9.8121546230137108E-2</v>
      </c>
      <c r="D36" s="16">
        <f>B36/'- 7 -'!$C36</f>
        <v>13.592093955886565</v>
      </c>
      <c r="E36" s="16">
        <v>93060</v>
      </c>
      <c r="F36" s="267">
        <f>E36/'- 3 -'!$D36*100</f>
        <v>0.38487633686729439</v>
      </c>
      <c r="G36" s="16">
        <f>E36/'- 7 -'!$E36</f>
        <v>53.314236608421659</v>
      </c>
      <c r="H36" s="16">
        <v>235850</v>
      </c>
      <c r="I36" s="267">
        <f>H36/'- 3 -'!$D36*100</f>
        <v>0.97542536052172124</v>
      </c>
      <c r="J36" s="16">
        <f>H36/'- 7 -'!$E36</f>
        <v>135.11887711257521</v>
      </c>
    </row>
    <row r="37" spans="1:10" ht="14.1" customHeight="1" x14ac:dyDescent="0.2">
      <c r="A37" s="271" t="s">
        <v>133</v>
      </c>
      <c r="B37" s="272">
        <v>70000</v>
      </c>
      <c r="C37" s="273">
        <f>B37/'- 3 -'!$D37*100</f>
        <v>0.12702007280064742</v>
      </c>
      <c r="D37" s="272">
        <f>B37/'- 7 -'!$C37</f>
        <v>16.040329972502292</v>
      </c>
      <c r="E37" s="272">
        <v>497000</v>
      </c>
      <c r="F37" s="273">
        <f>E37/'- 3 -'!$D37*100</f>
        <v>0.90184251688459682</v>
      </c>
      <c r="G37" s="272">
        <f>E37/'- 7 -'!$E37</f>
        <v>113.88634280476627</v>
      </c>
      <c r="H37" s="272">
        <v>580750</v>
      </c>
      <c r="I37" s="273">
        <f>H37/'- 3 -'!$D37*100</f>
        <v>1.0538129611282285</v>
      </c>
      <c r="J37" s="272">
        <f>H37/'- 7 -'!$E37</f>
        <v>133.07745187901008</v>
      </c>
    </row>
    <row r="38" spans="1:10" ht="14.1" customHeight="1" x14ac:dyDescent="0.2">
      <c r="A38" s="15" t="s">
        <v>134</v>
      </c>
      <c r="B38" s="16">
        <v>85920</v>
      </c>
      <c r="C38" s="267">
        <f>B38/'- 3 -'!$D38*100</f>
        <v>5.6875196476597459E-2</v>
      </c>
      <c r="D38" s="16">
        <f>B38/'- 7 -'!$C38</f>
        <v>7.3723228995057664</v>
      </c>
      <c r="E38" s="16">
        <v>557070</v>
      </c>
      <c r="F38" s="267">
        <f>E38/'- 3 -'!$D38*100</f>
        <v>0.36875542017246449</v>
      </c>
      <c r="G38" s="16">
        <f>E38/'- 7 -'!$E38</f>
        <v>47.799114497528834</v>
      </c>
      <c r="H38" s="16">
        <v>1947905</v>
      </c>
      <c r="I38" s="267">
        <f>H38/'- 3 -'!$D38*100</f>
        <v>1.2894259729137172</v>
      </c>
      <c r="J38" s="16">
        <f>H38/'- 7 -'!$E38</f>
        <v>167.13902045579351</v>
      </c>
    </row>
    <row r="39" spans="1:10" ht="14.1" customHeight="1" x14ac:dyDescent="0.2">
      <c r="A39" s="271" t="s">
        <v>135</v>
      </c>
      <c r="B39" s="272">
        <v>0</v>
      </c>
      <c r="C39" s="273">
        <f>B39/'- 3 -'!$D39*100</f>
        <v>0</v>
      </c>
      <c r="D39" s="272">
        <f>B39/'- 7 -'!$C39</f>
        <v>0</v>
      </c>
      <c r="E39" s="272">
        <v>114900</v>
      </c>
      <c r="F39" s="273">
        <f>E39/'- 3 -'!$D39*100</f>
        <v>0.48934430418561869</v>
      </c>
      <c r="G39" s="272">
        <f>E39/'- 7 -'!$E39</f>
        <v>77.083053803837387</v>
      </c>
      <c r="H39" s="272">
        <v>259600</v>
      </c>
      <c r="I39" s="273">
        <f>H39/'- 3 -'!$D39*100</f>
        <v>1.1056029709885693</v>
      </c>
      <c r="J39" s="272">
        <f>H39/'- 7 -'!$E39</f>
        <v>174.15805715819135</v>
      </c>
    </row>
    <row r="40" spans="1:10" ht="14.1" customHeight="1" x14ac:dyDescent="0.2">
      <c r="A40" s="15" t="s">
        <v>136</v>
      </c>
      <c r="B40" s="16">
        <v>6113</v>
      </c>
      <c r="C40" s="267">
        <f>B40/'- 3 -'!$D40*100</f>
        <v>5.5637081673515724E-3</v>
      </c>
      <c r="D40" s="16">
        <f>B40/'- 7 -'!$C40</f>
        <v>0.74344785649133471</v>
      </c>
      <c r="E40" s="16">
        <v>693420</v>
      </c>
      <c r="F40" s="267">
        <f>E40/'- 3 -'!$D40*100</f>
        <v>0.63111181374201331</v>
      </c>
      <c r="G40" s="16">
        <f>E40/'- 7 -'!$E40</f>
        <v>84.332015810276687</v>
      </c>
      <c r="H40" s="16">
        <v>1282265</v>
      </c>
      <c r="I40" s="267">
        <f>H40/'- 3 -'!$D40*100</f>
        <v>1.167045354688216</v>
      </c>
      <c r="J40" s="16">
        <f>H40/'- 7 -'!$E40</f>
        <v>155.94588020674976</v>
      </c>
    </row>
    <row r="41" spans="1:10" ht="14.1" customHeight="1" x14ac:dyDescent="0.2">
      <c r="A41" s="271" t="s">
        <v>137</v>
      </c>
      <c r="B41" s="272">
        <v>74102</v>
      </c>
      <c r="C41" s="273">
        <f>B41/'- 3 -'!$D41*100</f>
        <v>0.11111320369496462</v>
      </c>
      <c r="D41" s="272">
        <f>B41/'- 7 -'!$C41</f>
        <v>16.489096573208723</v>
      </c>
      <c r="E41" s="272">
        <v>447827</v>
      </c>
      <c r="F41" s="273">
        <f>E41/'- 3 -'!$D41*100</f>
        <v>0.67149999556158968</v>
      </c>
      <c r="G41" s="272">
        <f>E41/'- 7 -'!$E41</f>
        <v>99.649977748108583</v>
      </c>
      <c r="H41" s="272">
        <v>656007</v>
      </c>
      <c r="I41" s="273">
        <f>H41/'- 3 -'!$D41*100</f>
        <v>0.98365819298160162</v>
      </c>
      <c r="J41" s="272">
        <f>H41/'- 7 -'!$E41</f>
        <v>145.9739652870494</v>
      </c>
    </row>
    <row r="42" spans="1:10" ht="14.1" customHeight="1" x14ac:dyDescent="0.2">
      <c r="A42" s="15" t="s">
        <v>138</v>
      </c>
      <c r="B42" s="16">
        <v>17714</v>
      </c>
      <c r="C42" s="267">
        <f>B42/'- 3 -'!$D42*100</f>
        <v>8.299062338073647E-2</v>
      </c>
      <c r="D42" s="16">
        <f>B42/'- 7 -'!$C42</f>
        <v>12.944099378881987</v>
      </c>
      <c r="E42" s="16">
        <v>0</v>
      </c>
      <c r="F42" s="267">
        <f>E42/'- 3 -'!$D42*100</f>
        <v>0</v>
      </c>
      <c r="G42" s="16">
        <f>E42/'- 7 -'!$E42</f>
        <v>0</v>
      </c>
      <c r="H42" s="16">
        <v>325109</v>
      </c>
      <c r="I42" s="267">
        <f>H42/'- 3 -'!$D42*100</f>
        <v>1.5231454542558345</v>
      </c>
      <c r="J42" s="16">
        <f>H42/'- 7 -'!$E42</f>
        <v>237.56594811837778</v>
      </c>
    </row>
    <row r="43" spans="1:10" ht="14.1" customHeight="1" x14ac:dyDescent="0.2">
      <c r="A43" s="271" t="s">
        <v>139</v>
      </c>
      <c r="B43" s="272">
        <v>0</v>
      </c>
      <c r="C43" s="273">
        <f>B43/'- 3 -'!$D43*100</f>
        <v>0</v>
      </c>
      <c r="D43" s="272">
        <f>B43/'- 7 -'!$C43</f>
        <v>0</v>
      </c>
      <c r="E43" s="272">
        <v>74586</v>
      </c>
      <c r="F43" s="273">
        <f>E43/'- 3 -'!$D43*100</f>
        <v>0.5374299426571344</v>
      </c>
      <c r="G43" s="272">
        <f>E43/'- 7 -'!$E43</f>
        <v>74.214925373134335</v>
      </c>
      <c r="H43" s="272">
        <v>236972</v>
      </c>
      <c r="I43" s="273">
        <f>H43/'- 3 -'!$D43*100</f>
        <v>1.7075033970362596</v>
      </c>
      <c r="J43" s="272">
        <f>H43/'- 7 -'!$E43</f>
        <v>235.79303482587065</v>
      </c>
    </row>
    <row r="44" spans="1:10" ht="14.1" customHeight="1" x14ac:dyDescent="0.2">
      <c r="A44" s="15" t="s">
        <v>140</v>
      </c>
      <c r="B44" s="16">
        <v>0</v>
      </c>
      <c r="C44" s="267">
        <f>B44/'- 3 -'!$D44*100</f>
        <v>0</v>
      </c>
      <c r="D44" s="16">
        <f>B44/'- 7 -'!$C44</f>
        <v>0</v>
      </c>
      <c r="E44" s="16">
        <v>0</v>
      </c>
      <c r="F44" s="267">
        <f>E44/'- 3 -'!$D44*100</f>
        <v>0</v>
      </c>
      <c r="G44" s="16">
        <f>E44/'- 7 -'!$E44</f>
        <v>0</v>
      </c>
      <c r="H44" s="16">
        <v>135910</v>
      </c>
      <c r="I44" s="267">
        <f>H44/'- 3 -'!$D44*100</f>
        <v>1.2098022915476647</v>
      </c>
      <c r="J44" s="16">
        <f>H44/'- 7 -'!$E44</f>
        <v>195.97692862292718</v>
      </c>
    </row>
    <row r="45" spans="1:10" ht="14.1" customHeight="1" x14ac:dyDescent="0.2">
      <c r="A45" s="271" t="s">
        <v>141</v>
      </c>
      <c r="B45" s="272">
        <v>0</v>
      </c>
      <c r="C45" s="273">
        <f>B45/'- 3 -'!$D45*100</f>
        <v>0</v>
      </c>
      <c r="D45" s="272">
        <f>B45/'- 7 -'!$C45</f>
        <v>0</v>
      </c>
      <c r="E45" s="272">
        <v>0</v>
      </c>
      <c r="F45" s="273">
        <f>E45/'- 3 -'!$D45*100</f>
        <v>0</v>
      </c>
      <c r="G45" s="272">
        <f>E45/'- 7 -'!$E45</f>
        <v>0</v>
      </c>
      <c r="H45" s="272">
        <v>219592</v>
      </c>
      <c r="I45" s="273">
        <f>H45/'- 3 -'!$D45*100</f>
        <v>0.98173108923008923</v>
      </c>
      <c r="J45" s="272">
        <f>H45/'- 7 -'!$E45</f>
        <v>105.82746987951808</v>
      </c>
    </row>
    <row r="46" spans="1:10" ht="14.1" customHeight="1" x14ac:dyDescent="0.2">
      <c r="A46" s="15" t="s">
        <v>142</v>
      </c>
      <c r="B46" s="16">
        <v>698700</v>
      </c>
      <c r="C46" s="267">
        <f>B46/'- 3 -'!$D46*100</f>
        <v>0.16740716443722667</v>
      </c>
      <c r="D46" s="16">
        <f>B46/'- 7 -'!$C46</f>
        <v>23.354614433265368</v>
      </c>
      <c r="E46" s="16">
        <v>1832200</v>
      </c>
      <c r="F46" s="267">
        <f>E46/'- 3 -'!$D46*100</f>
        <v>0.43899156530969907</v>
      </c>
      <c r="G46" s="16">
        <f>E46/'- 7 -'!$E46</f>
        <v>61.242771668282245</v>
      </c>
      <c r="H46" s="16">
        <v>2090900</v>
      </c>
      <c r="I46" s="267">
        <f>H46/'- 3 -'!$D46*100</f>
        <v>0.50097558340031101</v>
      </c>
      <c r="J46" s="16">
        <f>H46/'- 7 -'!$E46</f>
        <v>69.890029080455932</v>
      </c>
    </row>
    <row r="47" spans="1:10" ht="5.0999999999999996" customHeight="1" x14ac:dyDescent="0.2">
      <c r="A47"/>
      <c r="B47"/>
      <c r="C47"/>
      <c r="D47"/>
      <c r="E47"/>
      <c r="F47"/>
      <c r="G47"/>
      <c r="H47"/>
      <c r="I47"/>
      <c r="J47"/>
    </row>
    <row r="48" spans="1:10" ht="14.1" customHeight="1" x14ac:dyDescent="0.2">
      <c r="A48" s="274" t="s">
        <v>143</v>
      </c>
      <c r="B48" s="275">
        <f>SUM(B11:B46)</f>
        <v>3003095</v>
      </c>
      <c r="C48" s="276">
        <f>B48/'- 3 -'!$D48*100</f>
        <v>0.1210548478455815</v>
      </c>
      <c r="D48" s="275">
        <f>B48/'- 7 -'!$C48</f>
        <v>16.483730309893108</v>
      </c>
      <c r="E48" s="275">
        <f>SUM(E11:E46)</f>
        <v>15842837</v>
      </c>
      <c r="F48" s="276">
        <f>E48/'- 3 -'!$D48*100</f>
        <v>0.63862522580116476</v>
      </c>
      <c r="G48" s="275">
        <f>E48/'- 7 -'!$E48</f>
        <v>86.959970447686814</v>
      </c>
      <c r="H48" s="275">
        <f>SUM(H11:H46)</f>
        <v>32347412</v>
      </c>
      <c r="I48" s="276">
        <f>H48/'- 3 -'!$D48*100</f>
        <v>1.303925129860473</v>
      </c>
      <c r="J48" s="275">
        <f>H48/'- 7 -'!$E48</f>
        <v>177.55216389458212</v>
      </c>
    </row>
    <row r="49" spans="1:10" ht="5.0999999999999996" customHeight="1" x14ac:dyDescent="0.2">
      <c r="A49" s="17" t="s">
        <v>1</v>
      </c>
      <c r="B49" s="18"/>
      <c r="C49" s="266"/>
      <c r="D49" s="18"/>
      <c r="E49" s="18"/>
      <c r="F49" s="266"/>
      <c r="H49" s="18"/>
      <c r="I49" s="266"/>
      <c r="J49" s="18"/>
    </row>
    <row r="50" spans="1:10" ht="14.1" customHeight="1" x14ac:dyDescent="0.2">
      <c r="A50" s="15" t="s">
        <v>144</v>
      </c>
      <c r="B50" s="16">
        <v>0</v>
      </c>
      <c r="C50" s="267">
        <f>B50/'- 3 -'!$D50*100</f>
        <v>0</v>
      </c>
      <c r="D50" s="16">
        <f>B50/'- 7 -'!$C50</f>
        <v>0</v>
      </c>
      <c r="E50" s="16">
        <v>0</v>
      </c>
      <c r="F50" s="267">
        <f>E50/'- 3 -'!$D50*100</f>
        <v>0</v>
      </c>
      <c r="G50" s="16">
        <f>E50/'- 7 -'!$E50</f>
        <v>0</v>
      </c>
      <c r="H50" s="16">
        <v>13500</v>
      </c>
      <c r="I50" s="267">
        <f>H50/'- 3 -'!$D50*100</f>
        <v>0.37623918556200242</v>
      </c>
      <c r="J50" s="16">
        <f>H50/'- 7 -'!$E50</f>
        <v>78.488372093023258</v>
      </c>
    </row>
    <row r="51" spans="1:10" ht="14.1" customHeight="1" x14ac:dyDescent="0.2">
      <c r="A51" s="360" t="s">
        <v>513</v>
      </c>
      <c r="B51" s="272">
        <v>0</v>
      </c>
      <c r="C51" s="273">
        <f>B51/'- 3 -'!$D51*100</f>
        <v>0</v>
      </c>
      <c r="D51" s="272">
        <f>B51/'- 7 -'!$C51</f>
        <v>0</v>
      </c>
      <c r="E51" s="272">
        <v>669184</v>
      </c>
      <c r="F51" s="273">
        <f>E51/'- 3 -'!$D51*100</f>
        <v>1.9248634650367029</v>
      </c>
      <c r="G51" s="272">
        <f>E51/'- 7 -'!$E51</f>
        <v>377.19632489713098</v>
      </c>
      <c r="H51" s="272">
        <v>0</v>
      </c>
      <c r="I51" s="273">
        <f>H51/'- 3 -'!$D51*100</f>
        <v>0</v>
      </c>
      <c r="J51" s="272">
        <f>H51/'- 7 -'!$E51</f>
        <v>0</v>
      </c>
    </row>
    <row r="52" spans="1:10" ht="50.1" customHeight="1" x14ac:dyDescent="0.2">
      <c r="A52" s="164"/>
      <c r="B52" s="164"/>
      <c r="C52" s="164"/>
      <c r="D52" s="164"/>
      <c r="E52" s="164"/>
      <c r="F52" s="164"/>
      <c r="G52" s="164"/>
      <c r="H52" s="164"/>
      <c r="I52" s="164"/>
      <c r="J52" s="164"/>
    </row>
    <row r="53" spans="1:10" ht="15" customHeight="1" x14ac:dyDescent="0.2">
      <c r="A53" s="130"/>
      <c r="B53" s="164"/>
      <c r="C53" s="164"/>
      <c r="D53" s="164"/>
      <c r="E53" s="164"/>
      <c r="F53" s="164"/>
      <c r="G53" s="164"/>
      <c r="H53" s="164"/>
      <c r="I53" s="164"/>
      <c r="J53" s="164"/>
    </row>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D8:D9"/>
    <mergeCell ref="G8:G9"/>
    <mergeCell ref="J8:J9"/>
    <mergeCell ref="B5:J5"/>
    <mergeCell ref="B6:D7"/>
    <mergeCell ref="E6:G7"/>
    <mergeCell ref="H6:J7"/>
  </mergeCells>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59"/>
  <sheetViews>
    <sheetView showGridLines="0" showZeros="0" workbookViewId="0"/>
  </sheetViews>
  <sheetFormatPr defaultColWidth="15.83203125" defaultRowHeight="12" x14ac:dyDescent="0.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x14ac:dyDescent="0.2">
      <c r="A1" s="3"/>
      <c r="B1" s="32"/>
      <c r="C1" s="32"/>
      <c r="D1" s="32"/>
      <c r="E1" s="32"/>
      <c r="F1" s="32"/>
      <c r="G1" s="32"/>
    </row>
    <row r="2" spans="1:7" ht="15.95" customHeight="1" x14ac:dyDescent="0.2">
      <c r="A2" s="132"/>
      <c r="B2" s="5" t="str">
        <f>AEXP_BP</f>
        <v>ANALYSIS OF EXPENSE BY PROGRAM</v>
      </c>
      <c r="C2" s="155"/>
      <c r="D2" s="35"/>
      <c r="E2" s="35"/>
      <c r="F2" s="35"/>
      <c r="G2" s="502" t="s">
        <v>531</v>
      </c>
    </row>
    <row r="3" spans="1:7" ht="15.95" customHeight="1" x14ac:dyDescent="0.2">
      <c r="A3" s="135"/>
      <c r="B3" s="175" t="str">
        <f>OPYEAR</f>
        <v>OPERATING FUND 2020/2021 BUDGET</v>
      </c>
      <c r="C3" s="39"/>
      <c r="D3" s="156"/>
      <c r="E3" s="39"/>
      <c r="F3" s="39"/>
      <c r="G3" s="41"/>
    </row>
    <row r="4" spans="1:7" ht="15.95" customHeight="1" x14ac:dyDescent="0.2">
      <c r="B4" s="32"/>
      <c r="C4" s="32"/>
      <c r="D4" s="32"/>
      <c r="E4" s="32"/>
      <c r="F4" s="32"/>
      <c r="G4" s="32"/>
    </row>
    <row r="5" spans="1:7" ht="15.95" customHeight="1" x14ac:dyDescent="0.2">
      <c r="B5" s="367" t="s">
        <v>251</v>
      </c>
      <c r="C5" s="157"/>
      <c r="D5" s="158"/>
      <c r="E5" s="158"/>
      <c r="F5" s="158"/>
      <c r="G5" s="159"/>
    </row>
    <row r="6" spans="1:7" ht="15.95" customHeight="1" x14ac:dyDescent="0.2">
      <c r="B6" s="648" t="s">
        <v>425</v>
      </c>
      <c r="C6" s="649"/>
      <c r="D6" s="650"/>
      <c r="E6" s="346"/>
      <c r="F6" s="347"/>
      <c r="G6" s="348"/>
    </row>
    <row r="7" spans="1:7" ht="15.95" customHeight="1" x14ac:dyDescent="0.2">
      <c r="B7" s="651"/>
      <c r="C7" s="652"/>
      <c r="D7" s="653"/>
      <c r="E7" s="645" t="s">
        <v>298</v>
      </c>
      <c r="F7" s="646"/>
      <c r="G7" s="647"/>
    </row>
    <row r="8" spans="1:7" ht="15.95" customHeight="1" x14ac:dyDescent="0.2">
      <c r="A8" s="82"/>
      <c r="B8" s="160"/>
      <c r="C8" s="161"/>
      <c r="D8" s="540" t="s">
        <v>396</v>
      </c>
      <c r="E8" s="162"/>
      <c r="F8" s="161"/>
      <c r="G8" s="540" t="s">
        <v>396</v>
      </c>
    </row>
    <row r="9" spans="1:7" ht="15.95" customHeight="1" x14ac:dyDescent="0.2">
      <c r="A9" s="27" t="s">
        <v>37</v>
      </c>
      <c r="B9" s="43" t="s">
        <v>38</v>
      </c>
      <c r="C9" s="43" t="s">
        <v>39</v>
      </c>
      <c r="D9" s="580"/>
      <c r="E9" s="163" t="s">
        <v>38</v>
      </c>
      <c r="F9" s="43" t="s">
        <v>39</v>
      </c>
      <c r="G9" s="580"/>
    </row>
    <row r="10" spans="1:7" ht="5.0999999999999996" customHeight="1" x14ac:dyDescent="0.2">
      <c r="A10" s="29"/>
      <c r="B10" s="46"/>
      <c r="C10" s="46"/>
      <c r="D10" s="46"/>
      <c r="E10" s="46"/>
      <c r="F10" s="46"/>
      <c r="G10" s="46"/>
    </row>
    <row r="11" spans="1:7" ht="14.1" customHeight="1" x14ac:dyDescent="0.2">
      <c r="A11" s="271" t="s">
        <v>108</v>
      </c>
      <c r="B11" s="272">
        <v>181438</v>
      </c>
      <c r="C11" s="273">
        <f>B11/'- 3 -'!$D11*100</f>
        <v>0.81690776382046548</v>
      </c>
      <c r="D11" s="272">
        <f>B11/'- 7 -'!$E11</f>
        <v>90.969165204311864</v>
      </c>
      <c r="E11" s="272">
        <v>15831</v>
      </c>
      <c r="F11" s="273">
        <f>E11/'- 3 -'!$D11*100</f>
        <v>7.127760893000247E-2</v>
      </c>
      <c r="G11" s="272">
        <f>E11/'- 7 -'!$E11</f>
        <v>7.937327651040361</v>
      </c>
    </row>
    <row r="12" spans="1:7" ht="14.1" customHeight="1" x14ac:dyDescent="0.2">
      <c r="A12" s="15" t="s">
        <v>109</v>
      </c>
      <c r="B12" s="16">
        <v>438451</v>
      </c>
      <c r="C12" s="267">
        <f>B12/'- 3 -'!$D12*100</f>
        <v>1.2637746656719058</v>
      </c>
      <c r="D12" s="16">
        <f>B12/'- 7 -'!$E12</f>
        <v>203.55199628597958</v>
      </c>
      <c r="E12" s="16">
        <v>162559</v>
      </c>
      <c r="F12" s="267">
        <f>E12/'- 3 -'!$D12*100</f>
        <v>0.46855394531420691</v>
      </c>
      <c r="G12" s="16">
        <f>E12/'- 7 -'!$E12</f>
        <v>75.468430826369541</v>
      </c>
    </row>
    <row r="13" spans="1:7" ht="14.1" customHeight="1" x14ac:dyDescent="0.2">
      <c r="A13" s="271" t="s">
        <v>110</v>
      </c>
      <c r="B13" s="272">
        <v>1557200</v>
      </c>
      <c r="C13" s="273">
        <f>B13/'- 3 -'!$D13*100</f>
        <v>1.4479075912868915</v>
      </c>
      <c r="D13" s="272">
        <f>B13/'- 7 -'!$E13</f>
        <v>178.13876337013099</v>
      </c>
      <c r="E13" s="272">
        <v>120400</v>
      </c>
      <c r="F13" s="273">
        <f>E13/'- 3 -'!$D13*100</f>
        <v>0.11194970073910979</v>
      </c>
      <c r="G13" s="272">
        <f>E13/'- 7 -'!$E13</f>
        <v>13.77337985471601</v>
      </c>
    </row>
    <row r="14" spans="1:7" ht="14.1" customHeight="1" x14ac:dyDescent="0.2">
      <c r="A14" s="15" t="s">
        <v>319</v>
      </c>
      <c r="B14" s="16">
        <v>731010</v>
      </c>
      <c r="C14" s="267">
        <f>B14/'- 3 -'!$D14*100</f>
        <v>0.75290151503135461</v>
      </c>
      <c r="D14" s="16">
        <f>B14/'- 7 -'!$E14</f>
        <v>121.977306858001</v>
      </c>
      <c r="E14" s="16">
        <v>156262</v>
      </c>
      <c r="F14" s="267">
        <f>E14/'- 3 -'!$D14*100</f>
        <v>0.16094156925600137</v>
      </c>
      <c r="G14" s="16">
        <f>E14/'- 7 -'!$E14</f>
        <v>26.074086434173203</v>
      </c>
    </row>
    <row r="15" spans="1:7" ht="14.1" customHeight="1" x14ac:dyDescent="0.2">
      <c r="A15" s="271" t="s">
        <v>111</v>
      </c>
      <c r="B15" s="272">
        <v>166975</v>
      </c>
      <c r="C15" s="273">
        <f>B15/'- 3 -'!$D15*100</f>
        <v>0.78997364830529304</v>
      </c>
      <c r="D15" s="272">
        <f>B15/'- 7 -'!$E15</f>
        <v>119.69534050179212</v>
      </c>
      <c r="E15" s="272">
        <v>3700</v>
      </c>
      <c r="F15" s="273">
        <f>E15/'- 3 -'!$D15*100</f>
        <v>1.750503068560913E-2</v>
      </c>
      <c r="G15" s="272">
        <f>E15/'- 7 -'!$E15</f>
        <v>2.6523297491039428</v>
      </c>
    </row>
    <row r="16" spans="1:7" ht="14.1" customHeight="1" x14ac:dyDescent="0.2">
      <c r="A16" s="15" t="s">
        <v>112</v>
      </c>
      <c r="B16" s="16">
        <v>99535</v>
      </c>
      <c r="C16" s="267">
        <f>B16/'- 3 -'!$D16*100</f>
        <v>0.66552891211113507</v>
      </c>
      <c r="D16" s="16">
        <f>B16/'- 7 -'!$E16</f>
        <v>104.99472573839662</v>
      </c>
      <c r="E16" s="16">
        <v>43002</v>
      </c>
      <c r="F16" s="267">
        <f>E16/'- 3 -'!$D16*100</f>
        <v>0.28752774680869075</v>
      </c>
      <c r="G16" s="16">
        <f>E16/'- 7 -'!$E16</f>
        <v>45.360759493670884</v>
      </c>
    </row>
    <row r="17" spans="1:7" ht="14.1" customHeight="1" x14ac:dyDescent="0.2">
      <c r="A17" s="271" t="s">
        <v>113</v>
      </c>
      <c r="B17" s="272">
        <v>97940</v>
      </c>
      <c r="C17" s="273">
        <f>B17/'- 3 -'!$D17*100</f>
        <v>0.52065986753847326</v>
      </c>
      <c r="D17" s="272">
        <f>B17/'- 7 -'!$E17</f>
        <v>67.731673582295983</v>
      </c>
      <c r="E17" s="272">
        <v>1500</v>
      </c>
      <c r="F17" s="273">
        <f>E17/'- 3 -'!$D17*100</f>
        <v>7.9741658291577512E-3</v>
      </c>
      <c r="G17" s="272">
        <f>E17/'- 7 -'!$E17</f>
        <v>1.0373443983402491</v>
      </c>
    </row>
    <row r="18" spans="1:7" ht="14.1" customHeight="1" x14ac:dyDescent="0.2">
      <c r="A18" s="15" t="s">
        <v>114</v>
      </c>
      <c r="B18" s="16">
        <v>975783</v>
      </c>
      <c r="C18" s="267">
        <f>B18/'- 3 -'!$D18*100</f>
        <v>0.70099001946096562</v>
      </c>
      <c r="D18" s="16">
        <f>B18/'- 7 -'!$E18</f>
        <v>162.92920353982302</v>
      </c>
      <c r="E18" s="16">
        <v>1735245</v>
      </c>
      <c r="F18" s="267">
        <f>E18/'- 3 -'!$D18*100</f>
        <v>1.2465778009245327</v>
      </c>
      <c r="G18" s="16">
        <f>E18/'- 7 -'!$E18</f>
        <v>289.73868759392218</v>
      </c>
    </row>
    <row r="19" spans="1:7" ht="14.1" customHeight="1" x14ac:dyDescent="0.2">
      <c r="A19" s="271" t="s">
        <v>115</v>
      </c>
      <c r="B19" s="272">
        <v>621600</v>
      </c>
      <c r="C19" s="273">
        <f>B19/'- 3 -'!$D19*100</f>
        <v>1.2058289492062013</v>
      </c>
      <c r="D19" s="272">
        <f>B19/'- 7 -'!$E19</f>
        <v>139.73249409913453</v>
      </c>
      <c r="E19" s="272">
        <v>284800</v>
      </c>
      <c r="F19" s="273">
        <f>E19/'- 3 -'!$D19*100</f>
        <v>0.5524776137933175</v>
      </c>
      <c r="G19" s="272">
        <f>E19/'- 7 -'!$E19</f>
        <v>64.021580307968975</v>
      </c>
    </row>
    <row r="20" spans="1:7" ht="14.1" customHeight="1" x14ac:dyDescent="0.2">
      <c r="A20" s="15" t="s">
        <v>116</v>
      </c>
      <c r="B20" s="16">
        <v>859100</v>
      </c>
      <c r="C20" s="267">
        <f>B20/'- 3 -'!$D20*100</f>
        <v>0.93445745232809463</v>
      </c>
      <c r="D20" s="16">
        <f>B20/'- 7 -'!$E20</f>
        <v>105.51461557356915</v>
      </c>
      <c r="E20" s="16">
        <v>212200</v>
      </c>
      <c r="F20" s="267">
        <f>E20/'- 3 -'!$D20*100</f>
        <v>0.23081349247354399</v>
      </c>
      <c r="G20" s="16">
        <f>E20/'- 7 -'!$E20</f>
        <v>26.062392532547285</v>
      </c>
    </row>
    <row r="21" spans="1:7" ht="14.1" customHeight="1" x14ac:dyDescent="0.2">
      <c r="A21" s="271" t="s">
        <v>117</v>
      </c>
      <c r="B21" s="272">
        <v>501992</v>
      </c>
      <c r="C21" s="273">
        <f>B21/'- 3 -'!$D21*100</f>
        <v>1.3146400068090009</v>
      </c>
      <c r="D21" s="272">
        <f>B21/'- 7 -'!$E21</f>
        <v>179.21885041056765</v>
      </c>
      <c r="E21" s="272">
        <v>138415</v>
      </c>
      <c r="F21" s="273">
        <f>E21/'- 3 -'!$D21*100</f>
        <v>0.36248764231794106</v>
      </c>
      <c r="G21" s="272">
        <f>E21/'- 7 -'!$E21</f>
        <v>49.416279900035704</v>
      </c>
    </row>
    <row r="22" spans="1:7" ht="14.1" customHeight="1" x14ac:dyDescent="0.2">
      <c r="A22" s="15" t="s">
        <v>118</v>
      </c>
      <c r="B22" s="16">
        <v>198593</v>
      </c>
      <c r="C22" s="267">
        <f>B22/'- 3 -'!$D22*100</f>
        <v>0.97097603399024845</v>
      </c>
      <c r="D22" s="16">
        <f>B22/'- 7 -'!$E22</f>
        <v>138.44057162774484</v>
      </c>
      <c r="E22" s="16">
        <v>1000</v>
      </c>
      <c r="F22" s="267">
        <f>E22/'- 3 -'!$D22*100</f>
        <v>4.8892762282167464E-3</v>
      </c>
      <c r="G22" s="16">
        <f>E22/'- 7 -'!$E22</f>
        <v>0.69710700592540953</v>
      </c>
    </row>
    <row r="23" spans="1:7" ht="14.1" customHeight="1" x14ac:dyDescent="0.2">
      <c r="A23" s="271" t="s">
        <v>119</v>
      </c>
      <c r="B23" s="272">
        <v>193000</v>
      </c>
      <c r="C23" s="273">
        <f>B23/'- 3 -'!$D23*100</f>
        <v>1.208688907586339</v>
      </c>
      <c r="D23" s="272">
        <f>B23/'- 7 -'!$E23</f>
        <v>207.08154506437768</v>
      </c>
      <c r="E23" s="272">
        <v>7000</v>
      </c>
      <c r="F23" s="273">
        <f>E23/'- 3 -'!$D23*100</f>
        <v>4.3838457788105564E-2</v>
      </c>
      <c r="G23" s="272">
        <f>E23/'- 7 -'!$E23</f>
        <v>7.5107296137339059</v>
      </c>
    </row>
    <row r="24" spans="1:7" ht="14.1" customHeight="1" x14ac:dyDescent="0.2">
      <c r="A24" s="15" t="s">
        <v>120</v>
      </c>
      <c r="B24" s="16">
        <v>401245</v>
      </c>
      <c r="C24" s="267">
        <f>B24/'- 3 -'!$D24*100</f>
        <v>0.68159032590021151</v>
      </c>
      <c r="D24" s="16">
        <f>B24/'- 7 -'!$E24</f>
        <v>107.86155913978494</v>
      </c>
      <c r="E24" s="16">
        <v>175061</v>
      </c>
      <c r="F24" s="267">
        <f>E24/'- 3 -'!$D24*100</f>
        <v>0.29737413311671657</v>
      </c>
      <c r="G24" s="16">
        <f>E24/'- 7 -'!$E24</f>
        <v>47.05940860215054</v>
      </c>
    </row>
    <row r="25" spans="1:7" ht="14.1" customHeight="1" x14ac:dyDescent="0.2">
      <c r="A25" s="271" t="s">
        <v>121</v>
      </c>
      <c r="B25" s="272">
        <v>1396652</v>
      </c>
      <c r="C25" s="273">
        <f>B25/'- 3 -'!$D25*100</f>
        <v>0.71807588370752395</v>
      </c>
      <c r="D25" s="272">
        <f>B25/'- 7 -'!$E25</f>
        <v>92.212597385448305</v>
      </c>
      <c r="E25" s="272">
        <v>378994</v>
      </c>
      <c r="F25" s="273">
        <f>E25/'- 3 -'!$D25*100</f>
        <v>0.19485630741934951</v>
      </c>
      <c r="G25" s="272">
        <f>E25/'- 7 -'!$E25</f>
        <v>25.022712267265284</v>
      </c>
    </row>
    <row r="26" spans="1:7" ht="14.1" customHeight="1" x14ac:dyDescent="0.2">
      <c r="A26" s="15" t="s">
        <v>122</v>
      </c>
      <c r="B26" s="16">
        <v>358042</v>
      </c>
      <c r="C26" s="267">
        <f>B26/'- 3 -'!$D26*100</f>
        <v>0.85101930645974322</v>
      </c>
      <c r="D26" s="16">
        <f>B26/'- 7 -'!$E26</f>
        <v>116.1342847875446</v>
      </c>
      <c r="E26" s="16">
        <v>288401</v>
      </c>
      <c r="F26" s="267">
        <f>E26/'- 3 -'!$D26*100</f>
        <v>0.68549169930426157</v>
      </c>
      <c r="G26" s="16">
        <f>E26/'- 7 -'!$E26</f>
        <v>93.545572494323707</v>
      </c>
    </row>
    <row r="27" spans="1:7" ht="14.1" customHeight="1" x14ac:dyDescent="0.2">
      <c r="A27" s="271" t="s">
        <v>123</v>
      </c>
      <c r="B27" s="272">
        <v>188400</v>
      </c>
      <c r="C27" s="273">
        <f>B27/'- 3 -'!$D27*100</f>
        <v>0.44045327691977837</v>
      </c>
      <c r="D27" s="272">
        <f>B27/'- 7 -'!$E27</f>
        <v>62.674650698602797</v>
      </c>
      <c r="E27" s="272">
        <v>29000</v>
      </c>
      <c r="F27" s="273">
        <f>E27/'- 3 -'!$D27*100</f>
        <v>6.7798009716951033E-2</v>
      </c>
      <c r="G27" s="272">
        <f>E27/'- 7 -'!$E27</f>
        <v>9.6473719228210246</v>
      </c>
    </row>
    <row r="28" spans="1:7" ht="14.1" customHeight="1" x14ac:dyDescent="0.2">
      <c r="A28" s="15" t="s">
        <v>124</v>
      </c>
      <c r="B28" s="16">
        <v>337726</v>
      </c>
      <c r="C28" s="267">
        <f>B28/'- 3 -'!$D28*100</f>
        <v>1.1732316319055667</v>
      </c>
      <c r="D28" s="16">
        <f>B28/'- 7 -'!$E28</f>
        <v>167.27389796929174</v>
      </c>
      <c r="E28" s="16">
        <v>0</v>
      </c>
      <c r="F28" s="267">
        <f>E28/'- 3 -'!$D28*100</f>
        <v>0</v>
      </c>
      <c r="G28" s="16">
        <f>E28/'- 7 -'!$E28</f>
        <v>0</v>
      </c>
    </row>
    <row r="29" spans="1:7" ht="14.1" customHeight="1" x14ac:dyDescent="0.2">
      <c r="A29" s="271" t="s">
        <v>125</v>
      </c>
      <c r="B29" s="272">
        <v>1533510</v>
      </c>
      <c r="C29" s="273">
        <f>B29/'- 3 -'!$D29*100</f>
        <v>0.86153215688677487</v>
      </c>
      <c r="D29" s="272">
        <f>B29/'- 7 -'!$E29</f>
        <v>106.60479666319083</v>
      </c>
      <c r="E29" s="272">
        <v>549260</v>
      </c>
      <c r="F29" s="273">
        <f>E29/'- 3 -'!$D29*100</f>
        <v>0.30857650259315555</v>
      </c>
      <c r="G29" s="272">
        <f>E29/'- 7 -'!$E29</f>
        <v>38.182829336114011</v>
      </c>
    </row>
    <row r="30" spans="1:7" ht="14.1" customHeight="1" x14ac:dyDescent="0.2">
      <c r="A30" s="15" t="s">
        <v>126</v>
      </c>
      <c r="B30" s="16">
        <v>187417</v>
      </c>
      <c r="C30" s="267">
        <f>B30/'- 3 -'!$D30*100</f>
        <v>1.1920987685731732</v>
      </c>
      <c r="D30" s="16">
        <f>B30/'- 7 -'!$E30</f>
        <v>179.08934543717152</v>
      </c>
      <c r="E30" s="16">
        <v>9909</v>
      </c>
      <c r="F30" s="267">
        <f>E30/'- 3 -'!$D30*100</f>
        <v>6.3027936087929989E-2</v>
      </c>
      <c r="G30" s="16">
        <f>E30/'- 7 -'!$E30</f>
        <v>9.468705207835642</v>
      </c>
    </row>
    <row r="31" spans="1:7" ht="14.1" customHeight="1" x14ac:dyDescent="0.2">
      <c r="A31" s="271" t="s">
        <v>127</v>
      </c>
      <c r="B31" s="272">
        <v>470954</v>
      </c>
      <c r="C31" s="273">
        <f>B31/'- 3 -'!$D31*100</f>
        <v>1.152949334164256</v>
      </c>
      <c r="D31" s="272">
        <f>B31/'- 7 -'!$E31</f>
        <v>140.49940334128877</v>
      </c>
      <c r="E31" s="272">
        <v>691238</v>
      </c>
      <c r="F31" s="273">
        <f>E31/'- 3 -'!$D31*100</f>
        <v>1.6922297970694209</v>
      </c>
      <c r="G31" s="272">
        <f>E31/'- 7 -'!$E31</f>
        <v>206.21658711217185</v>
      </c>
    </row>
    <row r="32" spans="1:7" ht="14.1" customHeight="1" x14ac:dyDescent="0.2">
      <c r="A32" s="15" t="s">
        <v>128</v>
      </c>
      <c r="B32" s="16">
        <v>488271</v>
      </c>
      <c r="C32" s="267">
        <f>B32/'- 3 -'!$D32*100</f>
        <v>1.5404236148377821</v>
      </c>
      <c r="D32" s="16">
        <f>B32/'- 7 -'!$E32</f>
        <v>209.06486833654463</v>
      </c>
      <c r="E32" s="16">
        <v>3500</v>
      </c>
      <c r="F32" s="267">
        <f>E32/'- 3 -'!$D32*100</f>
        <v>1.1041988264574873E-2</v>
      </c>
      <c r="G32" s="16">
        <f>E32/'- 7 -'!$E32</f>
        <v>1.49860843502462</v>
      </c>
    </row>
    <row r="33" spans="1:7" ht="14.1" customHeight="1" x14ac:dyDescent="0.2">
      <c r="A33" s="271" t="s">
        <v>129</v>
      </c>
      <c r="B33" s="272">
        <v>221550</v>
      </c>
      <c r="C33" s="273">
        <f>B33/'- 3 -'!$D33*100</f>
        <v>0.77115201583418214</v>
      </c>
      <c r="D33" s="272">
        <f>B33/'- 7 -'!$E33</f>
        <v>107.27774549680419</v>
      </c>
      <c r="E33" s="272">
        <v>13125</v>
      </c>
      <c r="F33" s="273">
        <f>E33/'- 3 -'!$D33*100</f>
        <v>4.568436112761743E-2</v>
      </c>
      <c r="G33" s="272">
        <f>E33/'- 7 -'!$E33</f>
        <v>6.3553166763509594</v>
      </c>
    </row>
    <row r="34" spans="1:7" ht="14.1" customHeight="1" x14ac:dyDescent="0.2">
      <c r="A34" s="15" t="s">
        <v>130</v>
      </c>
      <c r="B34" s="16">
        <v>292852</v>
      </c>
      <c r="C34" s="267">
        <f>B34/'- 3 -'!$D34*100</f>
        <v>0.9159216272937214</v>
      </c>
      <c r="D34" s="16">
        <f>B34/'- 7 -'!$E34</f>
        <v>128.46076238101506</v>
      </c>
      <c r="E34" s="16">
        <v>58485</v>
      </c>
      <c r="F34" s="267">
        <f>E34/'- 3 -'!$D34*100</f>
        <v>0.18291722908593178</v>
      </c>
      <c r="G34" s="16">
        <f>E34/'- 7 -'!$E34</f>
        <v>25.654691406764051</v>
      </c>
    </row>
    <row r="35" spans="1:7" ht="14.1" customHeight="1" x14ac:dyDescent="0.2">
      <c r="A35" s="271" t="s">
        <v>131</v>
      </c>
      <c r="B35" s="272">
        <v>2301032</v>
      </c>
      <c r="C35" s="273">
        <f>B35/'- 3 -'!$D35*100</f>
        <v>1.1711621362205187</v>
      </c>
      <c r="D35" s="272">
        <f>B35/'- 7 -'!$E35</f>
        <v>141.1805994416664</v>
      </c>
      <c r="E35" s="272">
        <v>439000</v>
      </c>
      <c r="F35" s="273">
        <f>E35/'- 3 -'!$D35*100</f>
        <v>0.22343895165334846</v>
      </c>
      <c r="G35" s="272">
        <f>E35/'- 7 -'!$E35</f>
        <v>26.934994017854404</v>
      </c>
    </row>
    <row r="36" spans="1:7" ht="14.1" customHeight="1" x14ac:dyDescent="0.2">
      <c r="A36" s="15" t="s">
        <v>132</v>
      </c>
      <c r="B36" s="16">
        <v>153500</v>
      </c>
      <c r="C36" s="267">
        <f>B36/'- 3 -'!$D36*100</f>
        <v>0.63484330226874797</v>
      </c>
      <c r="D36" s="16">
        <f>B36/'- 7 -'!$E36</f>
        <v>87.940418218275568</v>
      </c>
      <c r="E36" s="16">
        <v>20400</v>
      </c>
      <c r="F36" s="267">
        <f>E36/'- 3 -'!$D36*100</f>
        <v>8.4370054503468794E-2</v>
      </c>
      <c r="G36" s="16">
        <f>E36/'- 7 -'!$E36</f>
        <v>11.687195645946721</v>
      </c>
    </row>
    <row r="37" spans="1:7" ht="14.1" customHeight="1" x14ac:dyDescent="0.2">
      <c r="A37" s="271" t="s">
        <v>133</v>
      </c>
      <c r="B37" s="272">
        <v>419582</v>
      </c>
      <c r="C37" s="273">
        <f>B37/'- 3 -'!$D37*100</f>
        <v>0.76136194551201786</v>
      </c>
      <c r="D37" s="272">
        <f>B37/'- 7 -'!$E37</f>
        <v>96.146196150320804</v>
      </c>
      <c r="E37" s="272">
        <v>86500</v>
      </c>
      <c r="F37" s="273">
        <f>E37/'- 3 -'!$D37*100</f>
        <v>0.15696051853222862</v>
      </c>
      <c r="G37" s="272">
        <f>E37/'- 7 -'!$E37</f>
        <v>19.821264894592119</v>
      </c>
    </row>
    <row r="38" spans="1:7" ht="14.1" customHeight="1" x14ac:dyDescent="0.2">
      <c r="A38" s="15" t="s">
        <v>134</v>
      </c>
      <c r="B38" s="16">
        <v>1172800</v>
      </c>
      <c r="C38" s="267">
        <f>B38/'- 3 -'!$D38*100</f>
        <v>0.77634113626342538</v>
      </c>
      <c r="D38" s="16">
        <f>B38/'- 7 -'!$E38</f>
        <v>100.63152114222954</v>
      </c>
      <c r="E38" s="16">
        <v>2086960</v>
      </c>
      <c r="F38" s="267">
        <f>E38/'- 3 -'!$D38*100</f>
        <v>1.3814741624627542</v>
      </c>
      <c r="G38" s="16">
        <f>E38/'- 7 -'!$E38</f>
        <v>179.07056562328393</v>
      </c>
    </row>
    <row r="39" spans="1:7" ht="14.1" customHeight="1" x14ac:dyDescent="0.2">
      <c r="A39" s="271" t="s">
        <v>135</v>
      </c>
      <c r="B39" s="272">
        <v>95350</v>
      </c>
      <c r="C39" s="273">
        <f>B39/'- 3 -'!$D39*100</f>
        <v>0.40608337166317443</v>
      </c>
      <c r="D39" s="272">
        <f>B39/'- 7 -'!$E39</f>
        <v>63.967529853750172</v>
      </c>
      <c r="E39" s="272">
        <v>35000</v>
      </c>
      <c r="F39" s="273">
        <f>E39/'- 3 -'!$D39*100</f>
        <v>0.14906049300693344</v>
      </c>
      <c r="G39" s="272">
        <f>E39/'- 7 -'!$E39</f>
        <v>23.480477660002684</v>
      </c>
    </row>
    <row r="40" spans="1:7" ht="14.1" customHeight="1" x14ac:dyDescent="0.2">
      <c r="A40" s="15" t="s">
        <v>136</v>
      </c>
      <c r="B40" s="16">
        <v>1781352</v>
      </c>
      <c r="C40" s="267">
        <f>B40/'- 3 -'!$D40*100</f>
        <v>1.6212862213852541</v>
      </c>
      <c r="D40" s="16">
        <f>B40/'- 7 -'!$E40</f>
        <v>216.64359987838247</v>
      </c>
      <c r="E40" s="16">
        <v>338185</v>
      </c>
      <c r="F40" s="267">
        <f>E40/'- 3 -'!$D40*100</f>
        <v>0.30779693220608401</v>
      </c>
      <c r="G40" s="16">
        <f>E40/'- 7 -'!$E40</f>
        <v>41.12921860747948</v>
      </c>
    </row>
    <row r="41" spans="1:7" ht="14.1" customHeight="1" x14ac:dyDescent="0.2">
      <c r="A41" s="271" t="s">
        <v>137</v>
      </c>
      <c r="B41" s="272">
        <v>680931</v>
      </c>
      <c r="C41" s="273">
        <f>B41/'- 3 -'!$D41*100</f>
        <v>1.0210308076059478</v>
      </c>
      <c r="D41" s="272">
        <f>B41/'- 7 -'!$E41</f>
        <v>151.52002670226969</v>
      </c>
      <c r="E41" s="272">
        <v>32401</v>
      </c>
      <c r="F41" s="273">
        <f>E41/'- 3 -'!$D41*100</f>
        <v>4.8584099119059518E-2</v>
      </c>
      <c r="G41" s="272">
        <f>E41/'- 7 -'!$E41</f>
        <v>7.2098353360035601</v>
      </c>
    </row>
    <row r="42" spans="1:7" ht="14.1" customHeight="1" x14ac:dyDescent="0.2">
      <c r="A42" s="15" t="s">
        <v>138</v>
      </c>
      <c r="B42" s="16">
        <v>119189</v>
      </c>
      <c r="C42" s="267">
        <f>B42/'- 3 -'!$D42*100</f>
        <v>0.55840405386285419</v>
      </c>
      <c r="D42" s="16">
        <f>B42/'- 7 -'!$E42</f>
        <v>87.094629156010228</v>
      </c>
      <c r="E42" s="16">
        <v>54686</v>
      </c>
      <c r="F42" s="267">
        <f>E42/'- 3 -'!$D42*100</f>
        <v>0.25620555663311251</v>
      </c>
      <c r="G42" s="16">
        <f>E42/'- 7 -'!$E42</f>
        <v>39.960540738034346</v>
      </c>
    </row>
    <row r="43" spans="1:7" ht="14.1" customHeight="1" x14ac:dyDescent="0.2">
      <c r="A43" s="271" t="s">
        <v>139</v>
      </c>
      <c r="B43" s="272">
        <v>107012</v>
      </c>
      <c r="C43" s="273">
        <f>B43/'- 3 -'!$D43*100</f>
        <v>0.77107571157623789</v>
      </c>
      <c r="D43" s="272">
        <f>B43/'- 7 -'!$E43</f>
        <v>106.47960199004976</v>
      </c>
      <c r="E43" s="272">
        <v>16230</v>
      </c>
      <c r="F43" s="273">
        <f>E43/'- 3 -'!$D43*100</f>
        <v>0.11694537807799442</v>
      </c>
      <c r="G43" s="272">
        <f>E43/'- 7 -'!$E43</f>
        <v>16.149253731343283</v>
      </c>
    </row>
    <row r="44" spans="1:7" ht="14.1" customHeight="1" x14ac:dyDescent="0.2">
      <c r="A44" s="15" t="s">
        <v>140</v>
      </c>
      <c r="B44" s="16">
        <v>32577</v>
      </c>
      <c r="C44" s="267">
        <f>B44/'- 3 -'!$D44*100</f>
        <v>0.28998402804612078</v>
      </c>
      <c r="D44" s="16">
        <f>B44/'- 7 -'!$E44</f>
        <v>46.974765681326602</v>
      </c>
      <c r="E44" s="16">
        <v>80000</v>
      </c>
      <c r="F44" s="267">
        <f>E44/'- 3 -'!$D44*100</f>
        <v>0.71211966245171943</v>
      </c>
      <c r="G44" s="16">
        <f>E44/'- 7 -'!$E44</f>
        <v>115.35688536409516</v>
      </c>
    </row>
    <row r="45" spans="1:7" ht="14.1" customHeight="1" x14ac:dyDescent="0.2">
      <c r="A45" s="271" t="s">
        <v>141</v>
      </c>
      <c r="B45" s="272">
        <v>120236</v>
      </c>
      <c r="C45" s="273">
        <f>B45/'- 3 -'!$D45*100</f>
        <v>0.53753970656794881</v>
      </c>
      <c r="D45" s="272">
        <f>B45/'- 7 -'!$E45</f>
        <v>57.945060240963855</v>
      </c>
      <c r="E45" s="272">
        <v>188678</v>
      </c>
      <c r="F45" s="273">
        <f>E45/'- 3 -'!$D45*100</f>
        <v>0.84352370966954515</v>
      </c>
      <c r="G45" s="272">
        <f>E45/'- 7 -'!$E45</f>
        <v>90.929156626506028</v>
      </c>
    </row>
    <row r="46" spans="1:7" ht="14.1" customHeight="1" x14ac:dyDescent="0.2">
      <c r="A46" s="15" t="s">
        <v>142</v>
      </c>
      <c r="B46" s="16">
        <v>2516574</v>
      </c>
      <c r="C46" s="267">
        <f>B46/'- 3 -'!$D46*100</f>
        <v>0.60296624794110398</v>
      </c>
      <c r="D46" s="16">
        <f>B46/'- 7 -'!$E46</f>
        <v>84.118527927265433</v>
      </c>
      <c r="E46" s="16">
        <v>2986686</v>
      </c>
      <c r="F46" s="267">
        <f>E46/'- 3 -'!$D46*100</f>
        <v>0.7156041710667852</v>
      </c>
      <c r="G46" s="16">
        <f>E46/'- 7 -'!$E46</f>
        <v>99.832402981582376</v>
      </c>
    </row>
    <row r="47" spans="1:7" ht="5.0999999999999996" customHeight="1" x14ac:dyDescent="0.2">
      <c r="A47"/>
      <c r="B47" s="507"/>
      <c r="C47"/>
      <c r="D47"/>
      <c r="E47"/>
      <c r="F47"/>
      <c r="G47"/>
    </row>
    <row r="48" spans="1:7" ht="14.1" customHeight="1" x14ac:dyDescent="0.2">
      <c r="A48" s="274" t="s">
        <v>143</v>
      </c>
      <c r="B48" s="275">
        <f>SUM(B11:B46)</f>
        <v>21999371</v>
      </c>
      <c r="C48" s="276">
        <f>B48/'- 3 -'!$D48*100</f>
        <v>0.88679529255767731</v>
      </c>
      <c r="D48" s="275">
        <f>B48/'- 7 -'!$E48</f>
        <v>120.75265635994981</v>
      </c>
      <c r="E48" s="275">
        <f>SUM(E11:E46)</f>
        <v>11443613</v>
      </c>
      <c r="F48" s="276">
        <f>E48/'- 3 -'!$D48*100</f>
        <v>0.4612923768707678</v>
      </c>
      <c r="G48" s="275">
        <f>E48/'- 7 -'!$E48</f>
        <v>62.813008067605857</v>
      </c>
    </row>
    <row r="49" spans="1:7" ht="5.0999999999999996" customHeight="1" x14ac:dyDescent="0.2">
      <c r="A49" s="17" t="s">
        <v>1</v>
      </c>
      <c r="B49" s="18"/>
      <c r="C49" s="266"/>
      <c r="D49" s="18"/>
      <c r="E49" s="18"/>
      <c r="F49" s="266"/>
    </row>
    <row r="50" spans="1:7" ht="14.1" customHeight="1" x14ac:dyDescent="0.2">
      <c r="A50" s="15" t="s">
        <v>144</v>
      </c>
      <c r="B50" s="16">
        <v>46244</v>
      </c>
      <c r="C50" s="267">
        <f>B50/'- 3 -'!$D50*100</f>
        <v>1.288800362750314</v>
      </c>
      <c r="D50" s="16">
        <f>B50/'- 7 -'!$E50</f>
        <v>268.86046511627904</v>
      </c>
      <c r="E50" s="16">
        <v>86165</v>
      </c>
      <c r="F50" s="267">
        <f>E50/'- 3 -'!$D50*100</f>
        <v>2.4013814388111063</v>
      </c>
      <c r="G50" s="16">
        <f>E50/'- 7 -'!$E50</f>
        <v>500.9593023255814</v>
      </c>
    </row>
    <row r="51" spans="1:7" ht="14.1" customHeight="1" x14ac:dyDescent="0.2">
      <c r="A51" s="360" t="s">
        <v>513</v>
      </c>
      <c r="B51" s="272">
        <v>0</v>
      </c>
      <c r="C51" s="273">
        <f>B51/'- 3 -'!$D51*100</f>
        <v>0</v>
      </c>
      <c r="D51" s="272">
        <f>B51/'- 7 -'!$E51</f>
        <v>0</v>
      </c>
      <c r="E51" s="272">
        <v>0</v>
      </c>
      <c r="F51" s="273">
        <f>E51/'- 3 -'!$D51*100</f>
        <v>0</v>
      </c>
      <c r="G51" s="272">
        <f>E51/'- 7 -'!$E51</f>
        <v>0</v>
      </c>
    </row>
    <row r="52" spans="1:7" ht="50.1" customHeight="1" x14ac:dyDescent="0.2">
      <c r="A52" s="19"/>
      <c r="B52" s="51"/>
      <c r="C52" s="51"/>
      <c r="D52" s="51"/>
      <c r="E52" s="51"/>
      <c r="F52" s="51"/>
      <c r="G52" s="51"/>
    </row>
    <row r="53" spans="1:7" ht="15" customHeight="1" x14ac:dyDescent="0.2">
      <c r="A53" s="568" t="s">
        <v>426</v>
      </c>
      <c r="B53" s="599"/>
      <c r="C53" s="599"/>
      <c r="D53" s="599"/>
      <c r="E53" s="599"/>
      <c r="F53" s="599"/>
      <c r="G53" s="599"/>
    </row>
    <row r="54" spans="1:7" x14ac:dyDescent="0.2">
      <c r="A54" s="589"/>
      <c r="B54" s="589"/>
      <c r="C54" s="589"/>
      <c r="D54" s="589"/>
      <c r="E54" s="589"/>
      <c r="F54" s="589"/>
      <c r="G54" s="589"/>
    </row>
    <row r="56" spans="1:7" ht="14.45" customHeight="1" x14ac:dyDescent="0.2"/>
    <row r="57" spans="1:7" ht="14.45" customHeight="1" x14ac:dyDescent="0.2"/>
    <row r="58" spans="1:7" ht="14.45" customHeight="1" x14ac:dyDescent="0.2"/>
    <row r="59" spans="1:7" ht="14.45" customHeight="1" x14ac:dyDescent="0.2"/>
  </sheetData>
  <mergeCells count="5">
    <mergeCell ref="D8:D9"/>
    <mergeCell ref="G8:G9"/>
    <mergeCell ref="E7:G7"/>
    <mergeCell ref="B6:D7"/>
    <mergeCell ref="A53:G54"/>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66"/>
  <sheetViews>
    <sheetView showGridLines="0" showZeros="0" workbookViewId="0"/>
  </sheetViews>
  <sheetFormatPr defaultColWidth="15.83203125" defaultRowHeight="12" x14ac:dyDescent="0.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6"/>
      <c r="E2" s="6"/>
      <c r="F2" s="85"/>
      <c r="G2" s="502" t="s">
        <v>532</v>
      </c>
    </row>
    <row r="3" spans="1:7" ht="15.95" customHeight="1" x14ac:dyDescent="0.2">
      <c r="A3" s="135"/>
      <c r="B3" s="7" t="str">
        <f>OPYEAR</f>
        <v>OPERATING FUND 2020/2021 BUDGET</v>
      </c>
      <c r="C3" s="8"/>
      <c r="D3" s="8"/>
      <c r="E3" s="8"/>
      <c r="F3" s="87"/>
      <c r="G3" s="81"/>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70" t="s">
        <v>8</v>
      </c>
      <c r="C6" s="671"/>
      <c r="D6" s="671"/>
      <c r="E6" s="671"/>
      <c r="F6" s="671"/>
      <c r="G6" s="672"/>
    </row>
    <row r="7" spans="1:7" ht="15.95" customHeight="1" x14ac:dyDescent="0.2">
      <c r="B7" s="277"/>
      <c r="C7" s="270"/>
      <c r="D7" s="268"/>
      <c r="E7" s="270"/>
      <c r="F7" s="622" t="s">
        <v>427</v>
      </c>
      <c r="G7" s="623"/>
    </row>
    <row r="8" spans="1:7" ht="15.95" customHeight="1" x14ac:dyDescent="0.2">
      <c r="A8" s="82"/>
      <c r="B8" s="616" t="s">
        <v>14</v>
      </c>
      <c r="C8" s="617"/>
      <c r="D8" s="629" t="s">
        <v>29</v>
      </c>
      <c r="E8" s="617"/>
      <c r="F8" s="624"/>
      <c r="G8" s="625"/>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108</v>
      </c>
      <c r="B11" s="272">
        <v>89427</v>
      </c>
      <c r="C11" s="273">
        <f>B11/'- 3 -'!$D11*100</f>
        <v>0.40263677176320706</v>
      </c>
      <c r="D11" s="272">
        <v>1080023</v>
      </c>
      <c r="E11" s="273">
        <f>D11/'- 3 -'!$D11*100</f>
        <v>4.8627033686695764</v>
      </c>
      <c r="F11" s="272">
        <v>16500</v>
      </c>
      <c r="G11" s="273">
        <f>F11/'- 3 -'!$D11*100</f>
        <v>7.4289719369909718E-2</v>
      </c>
    </row>
    <row r="12" spans="1:7" ht="14.1" customHeight="1" x14ac:dyDescent="0.2">
      <c r="A12" s="15" t="s">
        <v>109</v>
      </c>
      <c r="B12" s="16">
        <v>140121</v>
      </c>
      <c r="C12" s="267">
        <f>B12/'- 3 -'!$D12*100</f>
        <v>0.40387949834442871</v>
      </c>
      <c r="D12" s="16">
        <v>2087332</v>
      </c>
      <c r="E12" s="267">
        <f>D12/'- 3 -'!$D12*100</f>
        <v>6.01644722088961</v>
      </c>
      <c r="F12" s="16">
        <v>0</v>
      </c>
      <c r="G12" s="267">
        <f>F12/'- 3 -'!$D12*100</f>
        <v>0</v>
      </c>
    </row>
    <row r="13" spans="1:7" ht="14.1" customHeight="1" x14ac:dyDescent="0.2">
      <c r="A13" s="271" t="s">
        <v>110</v>
      </c>
      <c r="B13" s="272">
        <v>219700</v>
      </c>
      <c r="C13" s="273">
        <f>B13/'- 3 -'!$D13*100</f>
        <v>0.20428030940516959</v>
      </c>
      <c r="D13" s="272">
        <v>2367800</v>
      </c>
      <c r="E13" s="273">
        <f>D13/'- 3 -'!$D13*100</f>
        <v>2.2016154602164795</v>
      </c>
      <c r="F13" s="272">
        <v>0</v>
      </c>
      <c r="G13" s="273">
        <f>F13/'- 3 -'!$D13*100</f>
        <v>0</v>
      </c>
    </row>
    <row r="14" spans="1:7" ht="14.1" customHeight="1" x14ac:dyDescent="0.2">
      <c r="A14" s="15" t="s">
        <v>319</v>
      </c>
      <c r="B14" s="16">
        <v>290398</v>
      </c>
      <c r="C14" s="267">
        <f>B14/'- 3 -'!$D14*100</f>
        <v>0.29909453244425566</v>
      </c>
      <c r="D14" s="16">
        <v>9644389</v>
      </c>
      <c r="E14" s="267">
        <f>D14/'- 3 -'!$D14*100</f>
        <v>9.9332089706730855</v>
      </c>
      <c r="F14" s="16">
        <v>372648</v>
      </c>
      <c r="G14" s="267">
        <f>F14/'- 3 -'!$D14*100</f>
        <v>0.38380766853176329</v>
      </c>
    </row>
    <row r="15" spans="1:7" ht="14.1" customHeight="1" x14ac:dyDescent="0.2">
      <c r="A15" s="271" t="s">
        <v>111</v>
      </c>
      <c r="B15" s="272">
        <v>185980</v>
      </c>
      <c r="C15" s="273">
        <f>B15/'- 3 -'!$D15*100</f>
        <v>0.87988800186745553</v>
      </c>
      <c r="D15" s="272">
        <v>1422890</v>
      </c>
      <c r="E15" s="273">
        <f>D15/'- 3 -'!$D15*100</f>
        <v>6.7318197600665872</v>
      </c>
      <c r="F15" s="272">
        <v>0</v>
      </c>
      <c r="G15" s="273">
        <f>F15/'- 3 -'!$D15*100</f>
        <v>0</v>
      </c>
    </row>
    <row r="16" spans="1:7" ht="14.1" customHeight="1" x14ac:dyDescent="0.2">
      <c r="A16" s="15" t="s">
        <v>112</v>
      </c>
      <c r="B16" s="16">
        <v>0</v>
      </c>
      <c r="C16" s="267">
        <f>B16/'- 3 -'!$D16*100</f>
        <v>0</v>
      </c>
      <c r="D16" s="16">
        <v>372233</v>
      </c>
      <c r="E16" s="267">
        <f>D16/'- 3 -'!$D16*100</f>
        <v>2.4888915812715546</v>
      </c>
      <c r="F16" s="16">
        <v>375</v>
      </c>
      <c r="G16" s="267">
        <f>F16/'- 3 -'!$D16*100</f>
        <v>2.5073927969224462E-3</v>
      </c>
    </row>
    <row r="17" spans="1:7" ht="14.1" customHeight="1" x14ac:dyDescent="0.2">
      <c r="A17" s="271" t="s">
        <v>113</v>
      </c>
      <c r="B17" s="272">
        <v>73395</v>
      </c>
      <c r="C17" s="273">
        <f>B17/'- 3 -'!$D17*100</f>
        <v>0.39017593402068873</v>
      </c>
      <c r="D17" s="272">
        <v>1367580</v>
      </c>
      <c r="E17" s="273">
        <f>D17/'- 3 -'!$D17*100</f>
        <v>7.2702064697597031</v>
      </c>
      <c r="F17" s="272">
        <v>1500</v>
      </c>
      <c r="G17" s="273">
        <f>F17/'- 3 -'!$D17*100</f>
        <v>7.9741658291577512E-3</v>
      </c>
    </row>
    <row r="18" spans="1:7" ht="14.1" customHeight="1" x14ac:dyDescent="0.2">
      <c r="A18" s="15" t="s">
        <v>114</v>
      </c>
      <c r="B18" s="16">
        <v>354925</v>
      </c>
      <c r="C18" s="267">
        <f>B18/'- 3 -'!$D18*100</f>
        <v>0.25497357779053664</v>
      </c>
      <c r="D18" s="16">
        <v>7882749</v>
      </c>
      <c r="E18" s="267">
        <f>D18/'- 3 -'!$D18*100</f>
        <v>5.6628660008587026</v>
      </c>
      <c r="F18" s="16">
        <v>87380</v>
      </c>
      <c r="G18" s="267">
        <f>F18/'- 3 -'!$D18*100</f>
        <v>6.2772673740472199E-2</v>
      </c>
    </row>
    <row r="19" spans="1:7" ht="14.1" customHeight="1" x14ac:dyDescent="0.2">
      <c r="A19" s="271" t="s">
        <v>115</v>
      </c>
      <c r="B19" s="272">
        <v>158100</v>
      </c>
      <c r="C19" s="273">
        <f>B19/'- 3 -'!$D19*100</f>
        <v>0.30669491130872012</v>
      </c>
      <c r="D19" s="272">
        <v>2811300</v>
      </c>
      <c r="E19" s="273">
        <f>D19/'- 3 -'!$D19*100</f>
        <v>5.4535825690209041</v>
      </c>
      <c r="F19" s="272">
        <v>30000</v>
      </c>
      <c r="G19" s="273">
        <f>F19/'- 3 -'!$D19*100</f>
        <v>5.8196377857442153E-2</v>
      </c>
    </row>
    <row r="20" spans="1:7" ht="14.1" customHeight="1" x14ac:dyDescent="0.2">
      <c r="A20" s="15" t="s">
        <v>116</v>
      </c>
      <c r="B20" s="16">
        <v>327800</v>
      </c>
      <c r="C20" s="267">
        <f>B20/'- 3 -'!$D20*100</f>
        <v>0.35655354775130882</v>
      </c>
      <c r="D20" s="16">
        <v>3502800</v>
      </c>
      <c r="E20" s="267">
        <f>D20/'- 3 -'!$D20*100</f>
        <v>3.8100542009252121</v>
      </c>
      <c r="F20" s="16">
        <v>1500</v>
      </c>
      <c r="G20" s="267">
        <f>F20/'- 3 -'!$D20*100</f>
        <v>1.6315751117357022E-3</v>
      </c>
    </row>
    <row r="21" spans="1:7" ht="14.1" customHeight="1" x14ac:dyDescent="0.2">
      <c r="A21" s="271" t="s">
        <v>117</v>
      </c>
      <c r="B21" s="272">
        <v>156544</v>
      </c>
      <c r="C21" s="273">
        <f>B21/'- 3 -'!$D21*100</f>
        <v>0.40996471104302107</v>
      </c>
      <c r="D21" s="272">
        <v>2005456</v>
      </c>
      <c r="E21" s="273">
        <f>D21/'- 3 -'!$D21*100</f>
        <v>5.2519814847550395</v>
      </c>
      <c r="F21" s="272">
        <v>1000</v>
      </c>
      <c r="G21" s="273">
        <f>F21/'- 3 -'!$D21*100</f>
        <v>2.6188465290462818E-3</v>
      </c>
    </row>
    <row r="22" spans="1:7" ht="14.1" customHeight="1" x14ac:dyDescent="0.2">
      <c r="A22" s="15" t="s">
        <v>118</v>
      </c>
      <c r="B22" s="16">
        <v>90395</v>
      </c>
      <c r="C22" s="267">
        <f>B22/'- 3 -'!$D22*100</f>
        <v>0.44196612464965279</v>
      </c>
      <c r="D22" s="16">
        <v>431555</v>
      </c>
      <c r="E22" s="267">
        <f>D22/'- 3 -'!$D22*100</f>
        <v>2.1099916026680781</v>
      </c>
      <c r="F22" s="16">
        <v>15000</v>
      </c>
      <c r="G22" s="267">
        <f>F22/'- 3 -'!$D22*100</f>
        <v>7.3339143423251194E-2</v>
      </c>
    </row>
    <row r="23" spans="1:7" ht="14.1" customHeight="1" x14ac:dyDescent="0.2">
      <c r="A23" s="271" t="s">
        <v>119</v>
      </c>
      <c r="B23" s="272">
        <v>97550</v>
      </c>
      <c r="C23" s="273">
        <f>B23/'- 3 -'!$D23*100</f>
        <v>0.61092022246138533</v>
      </c>
      <c r="D23" s="272">
        <v>1610490</v>
      </c>
      <c r="E23" s="273">
        <f>D23/'- 3 -'!$D23*100</f>
        <v>10.085913983309446</v>
      </c>
      <c r="F23" s="272">
        <v>4500</v>
      </c>
      <c r="G23" s="273">
        <f>F23/'- 3 -'!$D23*100</f>
        <v>2.8181865720925004E-2</v>
      </c>
    </row>
    <row r="24" spans="1:7" ht="14.1" customHeight="1" x14ac:dyDescent="0.2">
      <c r="A24" s="15" t="s">
        <v>120</v>
      </c>
      <c r="B24" s="16">
        <v>208485</v>
      </c>
      <c r="C24" s="267">
        <f>B24/'- 3 -'!$D24*100</f>
        <v>0.35415110243194459</v>
      </c>
      <c r="D24" s="16">
        <v>2470867</v>
      </c>
      <c r="E24" s="267">
        <f>D24/'- 3 -'!$D24*100</f>
        <v>4.1972337195132106</v>
      </c>
      <c r="F24" s="16">
        <v>5000</v>
      </c>
      <c r="G24" s="267">
        <f>F24/'- 3 -'!$D24*100</f>
        <v>8.4934432316939971E-3</v>
      </c>
    </row>
    <row r="25" spans="1:7" ht="14.1" customHeight="1" x14ac:dyDescent="0.2">
      <c r="A25" s="271" t="s">
        <v>121</v>
      </c>
      <c r="B25" s="272">
        <v>406954</v>
      </c>
      <c r="C25" s="273">
        <f>B25/'- 3 -'!$D25*100</f>
        <v>0.20923168633153549</v>
      </c>
      <c r="D25" s="272">
        <v>4382212</v>
      </c>
      <c r="E25" s="273">
        <f>D25/'- 3 -'!$D25*100</f>
        <v>2.2530743195110277</v>
      </c>
      <c r="F25" s="272">
        <v>10000</v>
      </c>
      <c r="G25" s="273">
        <f>F25/'- 3 -'!$D25*100</f>
        <v>5.141408766876244E-3</v>
      </c>
    </row>
    <row r="26" spans="1:7" ht="14.1" customHeight="1" x14ac:dyDescent="0.2">
      <c r="A26" s="15" t="s">
        <v>122</v>
      </c>
      <c r="B26" s="16">
        <v>211077</v>
      </c>
      <c r="C26" s="267">
        <f>B26/'- 3 -'!$D26*100</f>
        <v>0.50170259955425123</v>
      </c>
      <c r="D26" s="16">
        <v>2672427</v>
      </c>
      <c r="E26" s="267">
        <f>D26/'- 3 -'!$D26*100</f>
        <v>6.3520116972430403</v>
      </c>
      <c r="F26" s="16">
        <v>10500</v>
      </c>
      <c r="G26" s="267">
        <f>F26/'- 3 -'!$D26*100</f>
        <v>2.4957135525517409E-2</v>
      </c>
    </row>
    <row r="27" spans="1:7" ht="14.1" customHeight="1" x14ac:dyDescent="0.2">
      <c r="A27" s="271" t="s">
        <v>123</v>
      </c>
      <c r="B27" s="272">
        <v>0</v>
      </c>
      <c r="C27" s="273">
        <f>B27/'- 3 -'!$D27*100</f>
        <v>0</v>
      </c>
      <c r="D27" s="272">
        <v>0</v>
      </c>
      <c r="E27" s="273">
        <f>D27/'- 3 -'!$D27*100</f>
        <v>0</v>
      </c>
      <c r="F27" s="272">
        <v>235000</v>
      </c>
      <c r="G27" s="273">
        <f>F27/'- 3 -'!$D27*100</f>
        <v>0.54939766494770659</v>
      </c>
    </row>
    <row r="28" spans="1:7" ht="14.1" customHeight="1" x14ac:dyDescent="0.2">
      <c r="A28" s="15" t="s">
        <v>124</v>
      </c>
      <c r="B28" s="16">
        <v>57975</v>
      </c>
      <c r="C28" s="267">
        <f>B28/'- 3 -'!$D28*100</f>
        <v>0.20140025896651495</v>
      </c>
      <c r="D28" s="16">
        <v>1773138</v>
      </c>
      <c r="E28" s="267">
        <f>D28/'- 3 -'!$D28*100</f>
        <v>6.1597318220503388</v>
      </c>
      <c r="F28" s="16">
        <v>4500</v>
      </c>
      <c r="G28" s="267">
        <f>F28/'- 3 -'!$D28*100</f>
        <v>1.5632620359625999E-2</v>
      </c>
    </row>
    <row r="29" spans="1:7" ht="14.1" customHeight="1" x14ac:dyDescent="0.2">
      <c r="A29" s="271" t="s">
        <v>125</v>
      </c>
      <c r="B29" s="272">
        <v>210542</v>
      </c>
      <c r="C29" s="273">
        <f>B29/'- 3 -'!$D29*100</f>
        <v>0.11828335216285213</v>
      </c>
      <c r="D29" s="272">
        <v>3405752</v>
      </c>
      <c r="E29" s="273">
        <f>D29/'- 3 -'!$D29*100</f>
        <v>1.9133653294608102</v>
      </c>
      <c r="F29" s="272">
        <v>150000</v>
      </c>
      <c r="G29" s="273">
        <f>F29/'- 3 -'!$D29*100</f>
        <v>8.4270610255568104E-2</v>
      </c>
    </row>
    <row r="30" spans="1:7" ht="14.1" customHeight="1" x14ac:dyDescent="0.2">
      <c r="A30" s="15" t="s">
        <v>126</v>
      </c>
      <c r="B30" s="16">
        <v>62878</v>
      </c>
      <c r="C30" s="267">
        <f>B30/'- 3 -'!$D30*100</f>
        <v>0.39994657032363118</v>
      </c>
      <c r="D30" s="16">
        <v>1091349</v>
      </c>
      <c r="E30" s="267">
        <f>D30/'- 3 -'!$D30*100</f>
        <v>6.9417171280276815</v>
      </c>
      <c r="F30" s="16">
        <v>0</v>
      </c>
      <c r="G30" s="267">
        <f>F30/'- 3 -'!$D30*100</f>
        <v>0</v>
      </c>
    </row>
    <row r="31" spans="1:7" ht="14.1" customHeight="1" x14ac:dyDescent="0.2">
      <c r="A31" s="271" t="s">
        <v>127</v>
      </c>
      <c r="B31" s="272">
        <v>97710</v>
      </c>
      <c r="C31" s="273">
        <f>B31/'- 3 -'!$D31*100</f>
        <v>0.23920527151524237</v>
      </c>
      <c r="D31" s="272">
        <v>1086243</v>
      </c>
      <c r="E31" s="273">
        <f>D31/'- 3 -'!$D31*100</f>
        <v>2.6592472801814702</v>
      </c>
      <c r="F31" s="272">
        <v>5000</v>
      </c>
      <c r="G31" s="273">
        <f>F31/'- 3 -'!$D31*100</f>
        <v>1.224057269037163E-2</v>
      </c>
    </row>
    <row r="32" spans="1:7" ht="14.1" customHeight="1" x14ac:dyDescent="0.2">
      <c r="A32" s="15" t="s">
        <v>128</v>
      </c>
      <c r="B32" s="16">
        <v>155608</v>
      </c>
      <c r="C32" s="267">
        <f>B32/'- 3 -'!$D32*100</f>
        <v>0.49092048853541903</v>
      </c>
      <c r="D32" s="16">
        <v>2111628</v>
      </c>
      <c r="E32" s="267">
        <f>D32/'- 3 -'!$D32*100</f>
        <v>6.661877598613632</v>
      </c>
      <c r="F32" s="16">
        <v>0</v>
      </c>
      <c r="G32" s="267">
        <f>F32/'- 3 -'!$D32*100</f>
        <v>0</v>
      </c>
    </row>
    <row r="33" spans="1:7" ht="14.1" customHeight="1" x14ac:dyDescent="0.2">
      <c r="A33" s="271" t="s">
        <v>129</v>
      </c>
      <c r="B33" s="272">
        <v>123145</v>
      </c>
      <c r="C33" s="273">
        <f>B33/'- 3 -'!$D33*100</f>
        <v>0.42863243055698647</v>
      </c>
      <c r="D33" s="272">
        <v>2274162</v>
      </c>
      <c r="E33" s="273">
        <f>D33/'- 3 -'!$D33*100</f>
        <v>7.9157057577679772</v>
      </c>
      <c r="F33" s="272">
        <v>0</v>
      </c>
      <c r="G33" s="273">
        <f>F33/'- 3 -'!$D33*100</f>
        <v>0</v>
      </c>
    </row>
    <row r="34" spans="1:7" ht="14.1" customHeight="1" x14ac:dyDescent="0.2">
      <c r="A34" s="15" t="s">
        <v>130</v>
      </c>
      <c r="B34" s="16">
        <v>160165</v>
      </c>
      <c r="C34" s="267">
        <f>B34/'- 3 -'!$D34*100</f>
        <v>0.50093080271092183</v>
      </c>
      <c r="D34" s="16">
        <v>2480716</v>
      </c>
      <c r="E34" s="267">
        <f>D34/'- 3 -'!$D34*100</f>
        <v>7.758667981006008</v>
      </c>
      <c r="F34" s="16">
        <v>0</v>
      </c>
      <c r="G34" s="267">
        <f>F34/'- 3 -'!$D34*100</f>
        <v>0</v>
      </c>
    </row>
    <row r="35" spans="1:7" ht="14.1" customHeight="1" x14ac:dyDescent="0.2">
      <c r="A35" s="271" t="s">
        <v>131</v>
      </c>
      <c r="B35" s="272">
        <v>376888</v>
      </c>
      <c r="C35" s="273">
        <f>B35/'- 3 -'!$D35*100</f>
        <v>0.19182564831600732</v>
      </c>
      <c r="D35" s="272">
        <v>4326000</v>
      </c>
      <c r="E35" s="273">
        <f>D35/'- 3 -'!$D35*100</f>
        <v>2.2018152730122678</v>
      </c>
      <c r="F35" s="272">
        <v>30700</v>
      </c>
      <c r="G35" s="273">
        <f>F35/'- 3 -'!$D35*100</f>
        <v>1.5625457439083824E-2</v>
      </c>
    </row>
    <row r="36" spans="1:7" ht="14.1" customHeight="1" x14ac:dyDescent="0.2">
      <c r="A36" s="15" t="s">
        <v>132</v>
      </c>
      <c r="B36" s="16">
        <v>61120</v>
      </c>
      <c r="C36" s="267">
        <f>B36/'- 3 -'!$D36*100</f>
        <v>0.25277930055156927</v>
      </c>
      <c r="D36" s="16">
        <v>1629580</v>
      </c>
      <c r="E36" s="267">
        <f>D36/'- 3 -'!$D36*100</f>
        <v>6.7395957557726804</v>
      </c>
      <c r="F36" s="16">
        <v>6000</v>
      </c>
      <c r="G36" s="267">
        <f>F36/'- 3 -'!$D36*100</f>
        <v>2.4814721912784939E-2</v>
      </c>
    </row>
    <row r="37" spans="1:7" ht="14.1" customHeight="1" x14ac:dyDescent="0.2">
      <c r="A37" s="271" t="s">
        <v>133</v>
      </c>
      <c r="B37" s="272">
        <v>277500</v>
      </c>
      <c r="C37" s="273">
        <f>B37/'- 3 -'!$D37*100</f>
        <v>0.50354386003113816</v>
      </c>
      <c r="D37" s="272">
        <v>3132500</v>
      </c>
      <c r="E37" s="273">
        <f>D37/'- 3 -'!$D37*100</f>
        <v>5.6841482578289728</v>
      </c>
      <c r="F37" s="272">
        <v>2000</v>
      </c>
      <c r="G37" s="273">
        <f>F37/'- 3 -'!$D37*100</f>
        <v>3.629144937161355E-3</v>
      </c>
    </row>
    <row r="38" spans="1:7" ht="14.1" customHeight="1" x14ac:dyDescent="0.2">
      <c r="A38" s="15" t="s">
        <v>134</v>
      </c>
      <c r="B38" s="16">
        <v>385580</v>
      </c>
      <c r="C38" s="267">
        <f>B38/'- 3 -'!$D38*100</f>
        <v>0.2552367115624587</v>
      </c>
      <c r="D38" s="16">
        <v>3249310</v>
      </c>
      <c r="E38" s="267">
        <f>D38/'- 3 -'!$D38*100</f>
        <v>2.1508978661938185</v>
      </c>
      <c r="F38" s="16">
        <v>200000</v>
      </c>
      <c r="G38" s="267">
        <f>F38/'- 3 -'!$D38*100</f>
        <v>0.13239105325092521</v>
      </c>
    </row>
    <row r="39" spans="1:7" ht="14.1" customHeight="1" x14ac:dyDescent="0.2">
      <c r="A39" s="271" t="s">
        <v>135</v>
      </c>
      <c r="B39" s="272">
        <v>121000</v>
      </c>
      <c r="C39" s="273">
        <f>B39/'- 3 -'!$D39*100</f>
        <v>0.51532341868111275</v>
      </c>
      <c r="D39" s="272">
        <v>2126100</v>
      </c>
      <c r="E39" s="273">
        <f>D39/'- 3 -'!$D39*100</f>
        <v>9.0547861194868915</v>
      </c>
      <c r="F39" s="272">
        <v>1000</v>
      </c>
      <c r="G39" s="273">
        <f>F39/'- 3 -'!$D39*100</f>
        <v>4.2588712287695268E-3</v>
      </c>
    </row>
    <row r="40" spans="1:7" ht="14.1" customHeight="1" x14ac:dyDescent="0.2">
      <c r="A40" s="15" t="s">
        <v>136</v>
      </c>
      <c r="B40" s="16">
        <v>167201</v>
      </c>
      <c r="C40" s="267">
        <f>B40/'- 3 -'!$D40*100</f>
        <v>0.15217692937826766</v>
      </c>
      <c r="D40" s="16">
        <v>2105989</v>
      </c>
      <c r="E40" s="267">
        <f>D40/'- 3 -'!$D40*100</f>
        <v>1.9167525273437871</v>
      </c>
      <c r="F40" s="16">
        <v>4200</v>
      </c>
      <c r="G40" s="267">
        <f>F40/'- 3 -'!$D40*100</f>
        <v>3.8226033539794872E-3</v>
      </c>
    </row>
    <row r="41" spans="1:7" ht="14.1" customHeight="1" x14ac:dyDescent="0.2">
      <c r="A41" s="271" t="s">
        <v>137</v>
      </c>
      <c r="B41" s="272">
        <v>487944</v>
      </c>
      <c r="C41" s="273">
        <f>B41/'- 3 -'!$D41*100</f>
        <v>0.73165395082097395</v>
      </c>
      <c r="D41" s="272">
        <v>4578366</v>
      </c>
      <c r="E41" s="273">
        <f>D41/'- 3 -'!$D41*100</f>
        <v>6.8650901992942197</v>
      </c>
      <c r="F41" s="272">
        <v>8000</v>
      </c>
      <c r="G41" s="273">
        <f>F41/'- 3 -'!$D41*100</f>
        <v>1.1995703618791893E-2</v>
      </c>
    </row>
    <row r="42" spans="1:7" ht="14.1" customHeight="1" x14ac:dyDescent="0.2">
      <c r="A42" s="15" t="s">
        <v>138</v>
      </c>
      <c r="B42" s="16">
        <v>123958</v>
      </c>
      <c r="C42" s="267">
        <f>B42/'- 3 -'!$D42*100</f>
        <v>0.58074696246072777</v>
      </c>
      <c r="D42" s="16">
        <v>1655704</v>
      </c>
      <c r="E42" s="267">
        <f>D42/'- 3 -'!$D42*100</f>
        <v>7.7570230943874279</v>
      </c>
      <c r="F42" s="16">
        <v>0</v>
      </c>
      <c r="G42" s="267">
        <f>F42/'- 3 -'!$D42*100</f>
        <v>0</v>
      </c>
    </row>
    <row r="43" spans="1:7" ht="14.1" customHeight="1" x14ac:dyDescent="0.2">
      <c r="A43" s="271" t="s">
        <v>139</v>
      </c>
      <c r="B43" s="272">
        <v>86482</v>
      </c>
      <c r="C43" s="273">
        <f>B43/'- 3 -'!$D43*100</f>
        <v>0.62314665353919374</v>
      </c>
      <c r="D43" s="272">
        <v>970782</v>
      </c>
      <c r="E43" s="273">
        <f>D43/'- 3 -'!$D43*100</f>
        <v>6.9949764646525932</v>
      </c>
      <c r="F43" s="272">
        <v>0</v>
      </c>
      <c r="G43" s="273">
        <f>F43/'- 3 -'!$D43*100</f>
        <v>0</v>
      </c>
    </row>
    <row r="44" spans="1:7" ht="14.1" customHeight="1" x14ac:dyDescent="0.2">
      <c r="A44" s="15" t="s">
        <v>140</v>
      </c>
      <c r="B44" s="16">
        <v>32961</v>
      </c>
      <c r="C44" s="267">
        <f>B44/'- 3 -'!$D44*100</f>
        <v>0.29340220242588905</v>
      </c>
      <c r="D44" s="16">
        <v>1080435</v>
      </c>
      <c r="E44" s="267">
        <f>D44/'- 3 -'!$D44*100</f>
        <v>9.6174875937627924</v>
      </c>
      <c r="F44" s="16">
        <v>0</v>
      </c>
      <c r="G44" s="267">
        <f>F44/'- 3 -'!$D44*100</f>
        <v>0</v>
      </c>
    </row>
    <row r="45" spans="1:7" ht="14.1" customHeight="1" x14ac:dyDescent="0.2">
      <c r="A45" s="271" t="s">
        <v>141</v>
      </c>
      <c r="B45" s="272">
        <v>53401</v>
      </c>
      <c r="C45" s="273">
        <f>B45/'- 3 -'!$D45*100</f>
        <v>0.23874012667117195</v>
      </c>
      <c r="D45" s="272">
        <v>814278</v>
      </c>
      <c r="E45" s="273">
        <f>D45/'- 3 -'!$D45*100</f>
        <v>3.6403968627094727</v>
      </c>
      <c r="F45" s="272">
        <v>20000</v>
      </c>
      <c r="G45" s="273">
        <f>F45/'- 3 -'!$D45*100</f>
        <v>8.9414103358053942E-2</v>
      </c>
    </row>
    <row r="46" spans="1:7" ht="14.1" customHeight="1" x14ac:dyDescent="0.2">
      <c r="A46" s="15" t="s">
        <v>142</v>
      </c>
      <c r="B46" s="16">
        <v>688000</v>
      </c>
      <c r="C46" s="267">
        <f>B46/'- 3 -'!$D46*100</f>
        <v>0.16484346519652493</v>
      </c>
      <c r="D46" s="16">
        <v>6328000</v>
      </c>
      <c r="E46" s="267">
        <f>D46/'- 3 -'!$D46*100</f>
        <v>1.5161765229122235</v>
      </c>
      <c r="F46" s="16">
        <v>0</v>
      </c>
      <c r="G46" s="267">
        <f>F46/'- 3 -'!$D46*100</f>
        <v>0</v>
      </c>
    </row>
    <row r="47" spans="1:7" ht="5.0999999999999996" customHeight="1" x14ac:dyDescent="0.2">
      <c r="A47"/>
      <c r="B47"/>
      <c r="C47"/>
      <c r="D47"/>
      <c r="E47"/>
      <c r="F47"/>
      <c r="G47"/>
    </row>
    <row r="48" spans="1:7" ht="14.1" customHeight="1" x14ac:dyDescent="0.2">
      <c r="A48" s="274" t="s">
        <v>143</v>
      </c>
      <c r="B48" s="275">
        <f>SUM(B11:B46)</f>
        <v>6740909</v>
      </c>
      <c r="C48" s="276">
        <f>B48/'- 3 -'!$D48*100</f>
        <v>0.27172624020748959</v>
      </c>
      <c r="D48" s="275">
        <f>SUM(D11:D46)</f>
        <v>92332135</v>
      </c>
      <c r="E48" s="276">
        <f>D48/'- 3 -'!$D48*100</f>
        <v>3.7219110796304111</v>
      </c>
      <c r="F48" s="275">
        <f>SUM(F11:F46)</f>
        <v>1222303</v>
      </c>
      <c r="G48" s="276">
        <f>F48/'- 3 -'!$D48*100</f>
        <v>4.9271069908277232E-2</v>
      </c>
    </row>
    <row r="49" spans="1:7" ht="5.0999999999999996" customHeight="1" x14ac:dyDescent="0.2">
      <c r="A49" s="17" t="s">
        <v>1</v>
      </c>
      <c r="B49" s="18"/>
      <c r="C49" s="266"/>
      <c r="D49" s="18"/>
      <c r="E49" s="266"/>
      <c r="F49" s="18"/>
      <c r="G49" s="266"/>
    </row>
    <row r="50" spans="1:7" ht="14.1" customHeight="1" x14ac:dyDescent="0.2">
      <c r="A50" s="15" t="s">
        <v>144</v>
      </c>
      <c r="B50" s="16">
        <v>0</v>
      </c>
      <c r="C50" s="267">
        <f>B50/'- 3 -'!$D50*100</f>
        <v>0</v>
      </c>
      <c r="D50" s="16">
        <v>0</v>
      </c>
      <c r="E50" s="267">
        <f>D50/'- 3 -'!$D50*100</f>
        <v>0</v>
      </c>
      <c r="F50" s="16">
        <v>12800</v>
      </c>
      <c r="G50" s="267">
        <f>F50/'- 3 -'!$D50*100</f>
        <v>0.35673048705138005</v>
      </c>
    </row>
    <row r="51" spans="1:7" ht="14.1" customHeight="1" x14ac:dyDescent="0.2">
      <c r="A51" s="360" t="s">
        <v>513</v>
      </c>
      <c r="B51" s="272">
        <v>0</v>
      </c>
      <c r="C51" s="273">
        <f>B51/'- 3 -'!$D51*100</f>
        <v>0</v>
      </c>
      <c r="D51" s="272">
        <v>0</v>
      </c>
      <c r="E51" s="273">
        <f>D51/'- 3 -'!$D51*100</f>
        <v>0</v>
      </c>
      <c r="F51" s="272">
        <v>0</v>
      </c>
      <c r="G51" s="273">
        <f>F51/'- 3 -'!$D51*100</f>
        <v>0</v>
      </c>
    </row>
    <row r="52" spans="1:7" ht="50.1" customHeight="1" x14ac:dyDescent="0.2"/>
    <row r="53" spans="1:7" ht="15" customHeight="1" x14ac:dyDescent="0.2">
      <c r="D53" s="72"/>
      <c r="E53" s="72"/>
    </row>
    <row r="54" spans="1:7" ht="14.45" customHeight="1" x14ac:dyDescent="0.2">
      <c r="D54" s="72"/>
      <c r="E54" s="72"/>
    </row>
    <row r="55" spans="1:7" ht="14.45" customHeight="1" x14ac:dyDescent="0.2">
      <c r="D55" s="72"/>
      <c r="E55" s="72"/>
    </row>
    <row r="56" spans="1:7" ht="14.45" customHeight="1" x14ac:dyDescent="0.2">
      <c r="D56" s="72"/>
      <c r="E56" s="72"/>
    </row>
    <row r="57" spans="1:7" ht="14.45" customHeight="1" x14ac:dyDescent="0.2"/>
    <row r="58" spans="1:7" ht="14.45" customHeight="1" x14ac:dyDescent="0.2"/>
    <row r="59" spans="1:7" ht="14.45" customHeight="1" x14ac:dyDescent="0.2"/>
    <row r="60" spans="1:7" ht="12" customHeight="1" x14ac:dyDescent="0.2"/>
    <row r="61" spans="1:7" ht="12" customHeight="1" x14ac:dyDescent="0.2"/>
    <row r="62" spans="1:7" ht="12" customHeight="1" x14ac:dyDescent="0.2"/>
    <row r="63" spans="1:7" ht="12" customHeight="1" x14ac:dyDescent="0.2"/>
    <row r="64" spans="1:7" ht="12" customHeight="1" x14ac:dyDescent="0.2"/>
    <row r="65" ht="12" customHeight="1" x14ac:dyDescent="0.2"/>
    <row r="66" ht="12" customHeight="1" x14ac:dyDescent="0.2"/>
  </sheetData>
  <mergeCells count="4">
    <mergeCell ref="B6:G6"/>
    <mergeCell ref="B8:C8"/>
    <mergeCell ref="D8:E8"/>
    <mergeCell ref="F7:G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2" t="s">
        <v>533</v>
      </c>
    </row>
    <row r="3" spans="1:6" ht="15.95" customHeight="1" x14ac:dyDescent="0.2">
      <c r="A3" s="135"/>
      <c r="B3" s="7" t="str">
        <f>OPYEAR</f>
        <v>OPERATING FUND 2020/2021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81" t="s">
        <v>237</v>
      </c>
      <c r="C6" s="682"/>
      <c r="D6" s="671"/>
      <c r="E6" s="672"/>
      <c r="F6" s="55"/>
    </row>
    <row r="7" spans="1:6" ht="15.95" customHeight="1" x14ac:dyDescent="0.2">
      <c r="B7" s="693" t="s">
        <v>428</v>
      </c>
      <c r="C7" s="694"/>
      <c r="D7" s="676" t="s">
        <v>429</v>
      </c>
      <c r="E7" s="615"/>
      <c r="F7" s="4"/>
    </row>
    <row r="8" spans="1:6" ht="15.95" customHeight="1" x14ac:dyDescent="0.2">
      <c r="A8" s="249"/>
      <c r="B8" s="695"/>
      <c r="C8" s="696"/>
      <c r="D8" s="631"/>
      <c r="E8" s="617"/>
      <c r="F8" s="4"/>
    </row>
    <row r="9" spans="1:6" ht="15.95" customHeight="1" x14ac:dyDescent="0.2">
      <c r="A9" s="27" t="s">
        <v>37</v>
      </c>
      <c r="B9" s="89" t="s">
        <v>38</v>
      </c>
      <c r="C9" s="89" t="s">
        <v>39</v>
      </c>
      <c r="D9" s="151" t="s">
        <v>38</v>
      </c>
      <c r="E9" s="151" t="s">
        <v>39</v>
      </c>
    </row>
    <row r="10" spans="1:6" ht="5.0999999999999996" customHeight="1" x14ac:dyDescent="0.2">
      <c r="A10" s="29"/>
    </row>
    <row r="11" spans="1:6" ht="14.1" customHeight="1" x14ac:dyDescent="0.2">
      <c r="A11" s="271" t="s">
        <v>108</v>
      </c>
      <c r="B11" s="272">
        <v>0</v>
      </c>
      <c r="C11" s="273">
        <f>B11/'- 3 -'!$D11*100</f>
        <v>0</v>
      </c>
      <c r="D11" s="272">
        <v>140000</v>
      </c>
      <c r="E11" s="273">
        <f>D11/'- 3 -'!$D11*100</f>
        <v>0.63033701283559762</v>
      </c>
    </row>
    <row r="12" spans="1:6" ht="14.1" customHeight="1" x14ac:dyDescent="0.2">
      <c r="A12" s="15" t="s">
        <v>109</v>
      </c>
      <c r="B12" s="16">
        <v>0</v>
      </c>
      <c r="C12" s="267">
        <f>B12/'- 3 -'!$D12*100</f>
        <v>0</v>
      </c>
      <c r="D12" s="16">
        <v>305398</v>
      </c>
      <c r="E12" s="267">
        <f>D12/'- 3 -'!$D12*100</f>
        <v>0.88026770459382842</v>
      </c>
    </row>
    <row r="13" spans="1:6" ht="14.1" customHeight="1" x14ac:dyDescent="0.2">
      <c r="A13" s="271" t="s">
        <v>110</v>
      </c>
      <c r="B13" s="272">
        <v>0</v>
      </c>
      <c r="C13" s="273">
        <f>B13/'- 3 -'!$D13*100</f>
        <v>0</v>
      </c>
      <c r="D13" s="272">
        <v>79700</v>
      </c>
      <c r="E13" s="273">
        <f>D13/'- 3 -'!$D13*100</f>
        <v>7.4106238778297751E-2</v>
      </c>
    </row>
    <row r="14" spans="1:6" ht="14.1" customHeight="1" x14ac:dyDescent="0.2">
      <c r="A14" s="15" t="s">
        <v>319</v>
      </c>
      <c r="B14" s="16">
        <v>30426</v>
      </c>
      <c r="C14" s="267">
        <f>B14/'- 3 -'!$D14*100</f>
        <v>3.1337165697246268E-2</v>
      </c>
      <c r="D14" s="16">
        <v>329696</v>
      </c>
      <c r="E14" s="267">
        <f>D14/'- 3 -'!$D14*100</f>
        <v>0.33956938742257631</v>
      </c>
    </row>
    <row r="15" spans="1:6" ht="14.1" customHeight="1" x14ac:dyDescent="0.2">
      <c r="A15" s="271" t="s">
        <v>111</v>
      </c>
      <c r="B15" s="272">
        <v>0</v>
      </c>
      <c r="C15" s="273">
        <f>B15/'- 3 -'!$D15*100</f>
        <v>0</v>
      </c>
      <c r="D15" s="272">
        <v>175000</v>
      </c>
      <c r="E15" s="273">
        <f>D15/'- 3 -'!$D15*100</f>
        <v>0.82794064053556693</v>
      </c>
    </row>
    <row r="16" spans="1:6" ht="14.1" customHeight="1" x14ac:dyDescent="0.2">
      <c r="A16" s="15" t="s">
        <v>112</v>
      </c>
      <c r="B16" s="16">
        <v>0</v>
      </c>
      <c r="C16" s="267">
        <f>B16/'- 3 -'!$D16*100</f>
        <v>0</v>
      </c>
      <c r="D16" s="16">
        <v>169176</v>
      </c>
      <c r="E16" s="267">
        <f>D16/'- 3 -'!$D16*100</f>
        <v>1.1311751568324047</v>
      </c>
    </row>
    <row r="17" spans="1:5" ht="14.1" customHeight="1" x14ac:dyDescent="0.2">
      <c r="A17" s="271" t="s">
        <v>113</v>
      </c>
      <c r="B17" s="272">
        <v>0</v>
      </c>
      <c r="C17" s="273">
        <f>B17/'- 3 -'!$D17*100</f>
        <v>0</v>
      </c>
      <c r="D17" s="272">
        <v>36750</v>
      </c>
      <c r="E17" s="273">
        <f>D17/'- 3 -'!$D17*100</f>
        <v>0.19536706281436489</v>
      </c>
    </row>
    <row r="18" spans="1:5" ht="14.1" customHeight="1" x14ac:dyDescent="0.2">
      <c r="A18" s="15" t="s">
        <v>114</v>
      </c>
      <c r="B18" s="16">
        <v>2593908</v>
      </c>
      <c r="C18" s="267">
        <f>B18/'- 3 -'!$D18*100</f>
        <v>1.8634303112474337</v>
      </c>
      <c r="D18" s="16">
        <v>1208394</v>
      </c>
      <c r="E18" s="267">
        <f>D18/'- 3 -'!$D18*100</f>
        <v>0.86809478498448334</v>
      </c>
    </row>
    <row r="19" spans="1:5" ht="14.1" customHeight="1" x14ac:dyDescent="0.2">
      <c r="A19" s="271" t="s">
        <v>115</v>
      </c>
      <c r="B19" s="272">
        <v>0</v>
      </c>
      <c r="C19" s="273">
        <f>B19/'- 3 -'!$D19*100</f>
        <v>0</v>
      </c>
      <c r="D19" s="272">
        <v>292500</v>
      </c>
      <c r="E19" s="273">
        <f>D19/'- 3 -'!$D19*100</f>
        <v>0.56741468411006102</v>
      </c>
    </row>
    <row r="20" spans="1:5" ht="14.1" customHeight="1" x14ac:dyDescent="0.2">
      <c r="A20" s="15" t="s">
        <v>116</v>
      </c>
      <c r="B20" s="16">
        <v>0</v>
      </c>
      <c r="C20" s="267">
        <f>B20/'- 3 -'!$D20*100</f>
        <v>0</v>
      </c>
      <c r="D20" s="16">
        <v>419700</v>
      </c>
      <c r="E20" s="267">
        <f>D20/'- 3 -'!$D20*100</f>
        <v>0.45651471626364948</v>
      </c>
    </row>
    <row r="21" spans="1:5" ht="14.1" customHeight="1" x14ac:dyDescent="0.2">
      <c r="A21" s="271" t="s">
        <v>117</v>
      </c>
      <c r="B21" s="272">
        <v>0</v>
      </c>
      <c r="C21" s="273">
        <f>B21/'- 3 -'!$D21*100</f>
        <v>0</v>
      </c>
      <c r="D21" s="272">
        <v>140000</v>
      </c>
      <c r="E21" s="273">
        <f>D21/'- 3 -'!$D21*100</f>
        <v>0.36663851406647946</v>
      </c>
    </row>
    <row r="22" spans="1:5" ht="14.1" customHeight="1" x14ac:dyDescent="0.2">
      <c r="A22" s="15" t="s">
        <v>118</v>
      </c>
      <c r="B22" s="16">
        <v>0</v>
      </c>
      <c r="C22" s="267">
        <f>B22/'- 3 -'!$D22*100</f>
        <v>0</v>
      </c>
      <c r="D22" s="16">
        <v>53113</v>
      </c>
      <c r="E22" s="267">
        <f>D22/'- 3 -'!$D22*100</f>
        <v>0.25968412830927606</v>
      </c>
    </row>
    <row r="23" spans="1:5" ht="14.1" customHeight="1" x14ac:dyDescent="0.2">
      <c r="A23" s="271" t="s">
        <v>119</v>
      </c>
      <c r="B23" s="272">
        <v>0</v>
      </c>
      <c r="C23" s="273">
        <f>B23/'- 3 -'!$D23*100</f>
        <v>0</v>
      </c>
      <c r="D23" s="272">
        <v>20000</v>
      </c>
      <c r="E23" s="273">
        <f>D23/'- 3 -'!$D23*100</f>
        <v>0.12525273653744448</v>
      </c>
    </row>
    <row r="24" spans="1:5" ht="14.1" customHeight="1" x14ac:dyDescent="0.2">
      <c r="A24" s="15" t="s">
        <v>120</v>
      </c>
      <c r="B24" s="16">
        <v>0</v>
      </c>
      <c r="C24" s="267">
        <f>B24/'- 3 -'!$D24*100</f>
        <v>0</v>
      </c>
      <c r="D24" s="16">
        <v>93000</v>
      </c>
      <c r="E24" s="267">
        <f>D24/'- 3 -'!$D24*100</f>
        <v>0.15797804410950833</v>
      </c>
    </row>
    <row r="25" spans="1:5" ht="14.1" customHeight="1" x14ac:dyDescent="0.2">
      <c r="A25" s="271" t="s">
        <v>121</v>
      </c>
      <c r="B25" s="272">
        <v>0</v>
      </c>
      <c r="C25" s="273">
        <f>B25/'- 3 -'!$D25*100</f>
        <v>0</v>
      </c>
      <c r="D25" s="272">
        <v>79829</v>
      </c>
      <c r="E25" s="273">
        <f>D25/'- 3 -'!$D25*100</f>
        <v>4.1043352045096369E-2</v>
      </c>
    </row>
    <row r="26" spans="1:5" ht="14.1" customHeight="1" x14ac:dyDescent="0.2">
      <c r="A26" s="15" t="s">
        <v>122</v>
      </c>
      <c r="B26" s="16">
        <v>0</v>
      </c>
      <c r="C26" s="267">
        <f>B26/'- 3 -'!$D26*100</f>
        <v>0</v>
      </c>
      <c r="D26" s="16">
        <v>225323</v>
      </c>
      <c r="E26" s="267">
        <f>D26/'- 3 -'!$D26*100</f>
        <v>0.53556349028725336</v>
      </c>
    </row>
    <row r="27" spans="1:5" ht="14.1" customHeight="1" x14ac:dyDescent="0.2">
      <c r="A27" s="271" t="s">
        <v>123</v>
      </c>
      <c r="B27" s="272">
        <v>0</v>
      </c>
      <c r="C27" s="273">
        <f>B27/'- 3 -'!$D27*100</f>
        <v>0</v>
      </c>
      <c r="D27" s="272">
        <v>155000</v>
      </c>
      <c r="E27" s="273">
        <f>D27/'- 3 -'!$D27*100</f>
        <v>0.36236867262508304</v>
      </c>
    </row>
    <row r="28" spans="1:5" ht="14.1" customHeight="1" x14ac:dyDescent="0.2">
      <c r="A28" s="15" t="s">
        <v>124</v>
      </c>
      <c r="B28" s="16">
        <v>0</v>
      </c>
      <c r="C28" s="267">
        <f>B28/'- 3 -'!$D28*100</f>
        <v>0</v>
      </c>
      <c r="D28" s="16">
        <v>104997</v>
      </c>
      <c r="E28" s="267">
        <f>D28/'- 3 -'!$D28*100</f>
        <v>0.36475071997770026</v>
      </c>
    </row>
    <row r="29" spans="1:5" ht="14.1" customHeight="1" x14ac:dyDescent="0.2">
      <c r="A29" s="271" t="s">
        <v>125</v>
      </c>
      <c r="B29" s="272">
        <v>0</v>
      </c>
      <c r="C29" s="273">
        <f>B29/'- 3 -'!$D29*100</f>
        <v>0</v>
      </c>
      <c r="D29" s="272">
        <v>200000</v>
      </c>
      <c r="E29" s="273">
        <f>D29/'- 3 -'!$D29*100</f>
        <v>0.1123608136740908</v>
      </c>
    </row>
    <row r="30" spans="1:5" ht="14.1" customHeight="1" x14ac:dyDescent="0.2">
      <c r="A30" s="15" t="s">
        <v>126</v>
      </c>
      <c r="B30" s="16">
        <v>0</v>
      </c>
      <c r="C30" s="267">
        <f>B30/'- 3 -'!$D30*100</f>
        <v>0</v>
      </c>
      <c r="D30" s="16">
        <v>59896</v>
      </c>
      <c r="E30" s="267">
        <f>D30/'- 3 -'!$D30*100</f>
        <v>0.38097903521270099</v>
      </c>
    </row>
    <row r="31" spans="1:5" ht="14.1" customHeight="1" x14ac:dyDescent="0.2">
      <c r="A31" s="271" t="s">
        <v>127</v>
      </c>
      <c r="B31" s="272">
        <v>0</v>
      </c>
      <c r="C31" s="273">
        <f>B31/'- 3 -'!$D31*100</f>
        <v>0</v>
      </c>
      <c r="D31" s="272">
        <v>44250</v>
      </c>
      <c r="E31" s="273">
        <f>D31/'- 3 -'!$D31*100</f>
        <v>0.10832906830978892</v>
      </c>
    </row>
    <row r="32" spans="1:5" ht="14.1" customHeight="1" x14ac:dyDescent="0.2">
      <c r="A32" s="15" t="s">
        <v>128</v>
      </c>
      <c r="B32" s="16">
        <v>0</v>
      </c>
      <c r="C32" s="267">
        <f>B32/'- 3 -'!$D32*100</f>
        <v>0</v>
      </c>
      <c r="D32" s="16">
        <v>142204</v>
      </c>
      <c r="E32" s="267">
        <f>D32/'- 3 -'!$D32*100</f>
        <v>0.44863282833588713</v>
      </c>
    </row>
    <row r="33" spans="1:5" ht="14.1" customHeight="1" x14ac:dyDescent="0.2">
      <c r="A33" s="271" t="s">
        <v>129</v>
      </c>
      <c r="B33" s="272">
        <v>0</v>
      </c>
      <c r="C33" s="273">
        <f>B33/'- 3 -'!$D33*100</f>
        <v>0</v>
      </c>
      <c r="D33" s="272">
        <v>78000</v>
      </c>
      <c r="E33" s="273">
        <f>D33/'- 3 -'!$D33*100</f>
        <v>0.27149563184412645</v>
      </c>
    </row>
    <row r="34" spans="1:5" ht="14.1" customHeight="1" x14ac:dyDescent="0.2">
      <c r="A34" s="15" t="s">
        <v>130</v>
      </c>
      <c r="B34" s="16">
        <v>0</v>
      </c>
      <c r="C34" s="267">
        <f>B34/'- 3 -'!$D34*100</f>
        <v>0</v>
      </c>
      <c r="D34" s="16">
        <v>151568</v>
      </c>
      <c r="E34" s="267">
        <f>D34/'- 3 -'!$D34*100</f>
        <v>0.47404289267498517</v>
      </c>
    </row>
    <row r="35" spans="1:5" ht="14.1" customHeight="1" x14ac:dyDescent="0.2">
      <c r="A35" s="271" t="s">
        <v>131</v>
      </c>
      <c r="B35" s="272">
        <v>0</v>
      </c>
      <c r="C35" s="273">
        <f>B35/'- 3 -'!$D35*100</f>
        <v>0</v>
      </c>
      <c r="D35" s="272">
        <v>275308</v>
      </c>
      <c r="E35" s="273">
        <f>D35/'- 3 -'!$D35*100</f>
        <v>0.14012421617717555</v>
      </c>
    </row>
    <row r="36" spans="1:5" ht="14.1" customHeight="1" x14ac:dyDescent="0.2">
      <c r="A36" s="15" t="s">
        <v>132</v>
      </c>
      <c r="B36" s="16">
        <v>0</v>
      </c>
      <c r="C36" s="267">
        <f>B36/'- 3 -'!$D36*100</f>
        <v>0</v>
      </c>
      <c r="D36" s="16">
        <v>102500</v>
      </c>
      <c r="E36" s="267">
        <f>D36/'- 3 -'!$D36*100</f>
        <v>0.42391816601007604</v>
      </c>
    </row>
    <row r="37" spans="1:5" ht="14.1" customHeight="1" x14ac:dyDescent="0.2">
      <c r="A37" s="271" t="s">
        <v>133</v>
      </c>
      <c r="B37" s="272">
        <v>0</v>
      </c>
      <c r="C37" s="273">
        <f>B37/'- 3 -'!$D37*100</f>
        <v>0</v>
      </c>
      <c r="D37" s="272">
        <v>50397</v>
      </c>
      <c r="E37" s="273">
        <f>D37/'- 3 -'!$D37*100</f>
        <v>9.1449008699060419E-2</v>
      </c>
    </row>
    <row r="38" spans="1:5" ht="14.1" customHeight="1" x14ac:dyDescent="0.2">
      <c r="A38" s="15" t="s">
        <v>134</v>
      </c>
      <c r="B38" s="16">
        <v>0</v>
      </c>
      <c r="C38" s="267">
        <f>B38/'- 3 -'!$D38*100</f>
        <v>0</v>
      </c>
      <c r="D38" s="16">
        <v>382900</v>
      </c>
      <c r="E38" s="267">
        <f>D38/'- 3 -'!$D38*100</f>
        <v>0.25346267144889634</v>
      </c>
    </row>
    <row r="39" spans="1:5" ht="14.1" customHeight="1" x14ac:dyDescent="0.2">
      <c r="A39" s="271" t="s">
        <v>135</v>
      </c>
      <c r="B39" s="272">
        <v>0</v>
      </c>
      <c r="C39" s="273">
        <f>B39/'- 3 -'!$D39*100</f>
        <v>0</v>
      </c>
      <c r="D39" s="272">
        <v>16400</v>
      </c>
      <c r="E39" s="273">
        <f>D39/'- 3 -'!$D39*100</f>
        <v>6.9845488151820248E-2</v>
      </c>
    </row>
    <row r="40" spans="1:5" ht="14.1" customHeight="1" x14ac:dyDescent="0.2">
      <c r="A40" s="15" t="s">
        <v>136</v>
      </c>
      <c r="B40" s="16">
        <v>0</v>
      </c>
      <c r="C40" s="267">
        <f>B40/'- 3 -'!$D40*100</f>
        <v>0</v>
      </c>
      <c r="D40" s="16">
        <v>120646</v>
      </c>
      <c r="E40" s="267">
        <f>D40/'- 3 -'!$D40*100</f>
        <v>0.10980519148671647</v>
      </c>
    </row>
    <row r="41" spans="1:5" ht="14.1" customHeight="1" x14ac:dyDescent="0.2">
      <c r="A41" s="271" t="s">
        <v>137</v>
      </c>
      <c r="B41" s="272">
        <v>0</v>
      </c>
      <c r="C41" s="273">
        <f>B41/'- 3 -'!$D41*100</f>
        <v>0</v>
      </c>
      <c r="D41" s="272">
        <v>158000</v>
      </c>
      <c r="E41" s="273">
        <f>D41/'- 3 -'!$D41*100</f>
        <v>0.2369151464711399</v>
      </c>
    </row>
    <row r="42" spans="1:5" ht="14.1" customHeight="1" x14ac:dyDescent="0.2">
      <c r="A42" s="15" t="s">
        <v>138</v>
      </c>
      <c r="B42" s="16">
        <v>0</v>
      </c>
      <c r="C42" s="267">
        <f>B42/'- 3 -'!$D42*100</f>
        <v>0</v>
      </c>
      <c r="D42" s="16">
        <v>91924</v>
      </c>
      <c r="E42" s="267">
        <f>D42/'- 3 -'!$D42*100</f>
        <v>0.43066670789493167</v>
      </c>
    </row>
    <row r="43" spans="1:5" ht="14.1" customHeight="1" x14ac:dyDescent="0.2">
      <c r="A43" s="271" t="s">
        <v>139</v>
      </c>
      <c r="B43" s="272">
        <v>0</v>
      </c>
      <c r="C43" s="273">
        <f>B43/'- 3 -'!$D43*100</f>
        <v>0</v>
      </c>
      <c r="D43" s="272">
        <v>32000</v>
      </c>
      <c r="E43" s="273">
        <f>D43/'- 3 -'!$D43*100</f>
        <v>0.23057622295106725</v>
      </c>
    </row>
    <row r="44" spans="1:5" ht="14.1" customHeight="1" x14ac:dyDescent="0.2">
      <c r="A44" s="15" t="s">
        <v>140</v>
      </c>
      <c r="B44" s="16">
        <v>0</v>
      </c>
      <c r="C44" s="267">
        <f>B44/'- 3 -'!$D44*100</f>
        <v>0</v>
      </c>
      <c r="D44" s="16">
        <v>52800</v>
      </c>
      <c r="E44" s="267">
        <f>D44/'- 3 -'!$D44*100</f>
        <v>0.46999897721813483</v>
      </c>
    </row>
    <row r="45" spans="1:5" ht="14.1" customHeight="1" x14ac:dyDescent="0.2">
      <c r="A45" s="271" t="s">
        <v>141</v>
      </c>
      <c r="B45" s="272">
        <v>0</v>
      </c>
      <c r="C45" s="273">
        <f>B45/'- 3 -'!$D45*100</f>
        <v>0</v>
      </c>
      <c r="D45" s="272">
        <v>68060</v>
      </c>
      <c r="E45" s="273">
        <f>D45/'- 3 -'!$D45*100</f>
        <v>0.30427619372745757</v>
      </c>
    </row>
    <row r="46" spans="1:5" ht="14.1" customHeight="1" x14ac:dyDescent="0.2">
      <c r="A46" s="15" t="s">
        <v>142</v>
      </c>
      <c r="B46" s="16">
        <v>0</v>
      </c>
      <c r="C46" s="267">
        <f>B46/'- 3 -'!$D46*100</f>
        <v>0</v>
      </c>
      <c r="D46" s="16">
        <v>441100</v>
      </c>
      <c r="E46" s="267">
        <f>D46/'- 3 -'!$D46*100</f>
        <v>0.10568670421248132</v>
      </c>
    </row>
    <row r="47" spans="1:5" ht="5.0999999999999996" customHeight="1" x14ac:dyDescent="0.2">
      <c r="A47"/>
      <c r="B47"/>
      <c r="C47"/>
      <c r="D47"/>
      <c r="E47"/>
    </row>
    <row r="48" spans="1:5" ht="14.1" customHeight="1" x14ac:dyDescent="0.2">
      <c r="A48" s="274" t="s">
        <v>143</v>
      </c>
      <c r="B48" s="275">
        <f>SUM(B11:B46)</f>
        <v>2624334</v>
      </c>
      <c r="C48" s="276">
        <f>B48/'- 3 -'!$D48*100</f>
        <v>0.10578698078681703</v>
      </c>
      <c r="D48" s="275">
        <f>SUM(D11:D46)</f>
        <v>6495529</v>
      </c>
      <c r="E48" s="276">
        <f>D48/'- 3 -'!$D48*100</f>
        <v>0.26183496518477178</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54484</v>
      </c>
      <c r="E50" s="267">
        <f>D50/'- 3 -'!$D50*100</f>
        <v>1.51844561378964</v>
      </c>
    </row>
    <row r="51" spans="1:5" ht="14.1" customHeight="1" x14ac:dyDescent="0.2">
      <c r="A51" s="360" t="s">
        <v>513</v>
      </c>
      <c r="B51" s="272">
        <v>0</v>
      </c>
      <c r="C51" s="273">
        <f>B51/'- 3 -'!$D51*100</f>
        <v>0</v>
      </c>
      <c r="D51" s="272">
        <v>0</v>
      </c>
      <c r="E51" s="273">
        <f>D51/'- 3 -'!$D51*100</f>
        <v>0</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7:C8"/>
    <mergeCell ref="D7:E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9"/>
  <sheetViews>
    <sheetView showGridLines="0" showZeros="0" workbookViewId="0"/>
  </sheetViews>
  <sheetFormatPr defaultColWidth="15.83203125" defaultRowHeight="12" x14ac:dyDescent="0.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133"/>
      <c r="E2" s="6"/>
      <c r="F2" s="85"/>
      <c r="G2" s="502" t="s">
        <v>534</v>
      </c>
    </row>
    <row r="3" spans="1:7" ht="15.95" customHeight="1" x14ac:dyDescent="0.2">
      <c r="A3" s="135"/>
      <c r="B3" s="7" t="str">
        <f>OPYEAR</f>
        <v>OPERATING FUND 2020/2021 BUDGET</v>
      </c>
      <c r="C3" s="8"/>
      <c r="D3" s="144"/>
      <c r="E3" s="8"/>
      <c r="F3" s="87"/>
      <c r="G3" s="87"/>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70" t="s">
        <v>9</v>
      </c>
      <c r="C6" s="671"/>
      <c r="D6" s="671"/>
      <c r="E6" s="671"/>
      <c r="F6" s="671"/>
      <c r="G6" s="672"/>
    </row>
    <row r="7" spans="1:7" ht="15.95" customHeight="1" x14ac:dyDescent="0.2">
      <c r="B7" s="277"/>
      <c r="C7" s="270"/>
      <c r="D7" s="697" t="s">
        <v>20</v>
      </c>
      <c r="E7" s="698"/>
      <c r="F7" s="698"/>
      <c r="G7" s="699"/>
    </row>
    <row r="8" spans="1:7" ht="15.95" customHeight="1" x14ac:dyDescent="0.2">
      <c r="A8" s="82"/>
      <c r="B8" s="616" t="s">
        <v>14</v>
      </c>
      <c r="C8" s="617"/>
      <c r="D8" s="700" t="s">
        <v>23</v>
      </c>
      <c r="E8" s="701"/>
      <c r="F8" s="700" t="s">
        <v>107</v>
      </c>
      <c r="G8" s="701"/>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108</v>
      </c>
      <c r="B11" s="272">
        <v>80534</v>
      </c>
      <c r="C11" s="273">
        <f>B11/'- 3 -'!$D11*100</f>
        <v>0.36259686422644299</v>
      </c>
      <c r="D11" s="272">
        <v>1789262</v>
      </c>
      <c r="E11" s="273">
        <f>D11/'- 3 -'!$D11*100</f>
        <v>8.0559861732874793</v>
      </c>
      <c r="F11" s="272">
        <v>267800</v>
      </c>
      <c r="G11" s="273">
        <f>F11/'- 3 -'!$D11*100</f>
        <v>1.2057446574098074</v>
      </c>
    </row>
    <row r="12" spans="1:7" ht="14.1" customHeight="1" x14ac:dyDescent="0.2">
      <c r="A12" s="15" t="s">
        <v>109</v>
      </c>
      <c r="B12" s="16">
        <v>132957</v>
      </c>
      <c r="C12" s="267">
        <f>B12/'- 3 -'!$D12*100</f>
        <v>0.38323025429007934</v>
      </c>
      <c r="D12" s="16">
        <v>2686214</v>
      </c>
      <c r="E12" s="267">
        <f>D12/'- 3 -'!$D12*100</f>
        <v>7.7426421647417669</v>
      </c>
      <c r="F12" s="16">
        <v>343400</v>
      </c>
      <c r="G12" s="267">
        <f>F12/'- 3 -'!$D12*100</f>
        <v>0.98980323956777938</v>
      </c>
    </row>
    <row r="13" spans="1:7" ht="14.1" customHeight="1" x14ac:dyDescent="0.2">
      <c r="A13" s="271" t="s">
        <v>110</v>
      </c>
      <c r="B13" s="272">
        <v>430100</v>
      </c>
      <c r="C13" s="273">
        <f>B13/'- 3 -'!$D13*100</f>
        <v>0.39991334126155409</v>
      </c>
      <c r="D13" s="272">
        <v>7402400</v>
      </c>
      <c r="E13" s="273">
        <f>D13/'- 3 -'!$D13*100</f>
        <v>6.8828610029168296</v>
      </c>
      <c r="F13" s="272">
        <v>749000</v>
      </c>
      <c r="G13" s="273">
        <f>F13/'- 3 -'!$D13*100</f>
        <v>0.69643127785376435</v>
      </c>
    </row>
    <row r="14" spans="1:7" ht="14.1" customHeight="1" x14ac:dyDescent="0.2">
      <c r="A14" s="15" t="s">
        <v>319</v>
      </c>
      <c r="B14" s="16">
        <v>428885</v>
      </c>
      <c r="C14" s="267">
        <f>B14/'- 3 -'!$D14*100</f>
        <v>0.44172879478286559</v>
      </c>
      <c r="D14" s="16">
        <v>8772681</v>
      </c>
      <c r="E14" s="267">
        <f>D14/'- 3 -'!$D14*100</f>
        <v>9.0353959806114545</v>
      </c>
      <c r="F14" s="16">
        <v>1040400</v>
      </c>
      <c r="G14" s="267">
        <f>F14/'- 3 -'!$D14*100</f>
        <v>1.071556799823014</v>
      </c>
    </row>
    <row r="15" spans="1:7" ht="14.1" customHeight="1" x14ac:dyDescent="0.2">
      <c r="A15" s="271" t="s">
        <v>111</v>
      </c>
      <c r="B15" s="272">
        <v>87850</v>
      </c>
      <c r="C15" s="273">
        <f>B15/'- 3 -'!$D15*100</f>
        <v>0.4156262015488546</v>
      </c>
      <c r="D15" s="272">
        <v>2344540</v>
      </c>
      <c r="E15" s="273">
        <f>D15/'- 3 -'!$D15*100</f>
        <v>11.092228282064331</v>
      </c>
      <c r="F15" s="272">
        <v>140000</v>
      </c>
      <c r="G15" s="273">
        <f>F15/'- 3 -'!$D15*100</f>
        <v>0.6623525124284535</v>
      </c>
    </row>
    <row r="16" spans="1:7" ht="14.1" customHeight="1" x14ac:dyDescent="0.2">
      <c r="A16" s="15" t="s">
        <v>112</v>
      </c>
      <c r="B16" s="16">
        <v>106484</v>
      </c>
      <c r="C16" s="267">
        <f>B16/'- 3 -'!$D16*100</f>
        <v>0.71199257223330592</v>
      </c>
      <c r="D16" s="16">
        <v>1995614</v>
      </c>
      <c r="E16" s="267">
        <f>D16/'- 3 -'!$D16*100</f>
        <v>13.343435117433575</v>
      </c>
      <c r="F16" s="16">
        <v>80000</v>
      </c>
      <c r="G16" s="267">
        <f>F16/'- 3 -'!$D16*100</f>
        <v>0.53491046334345516</v>
      </c>
    </row>
    <row r="17" spans="1:7" ht="14.1" customHeight="1" x14ac:dyDescent="0.2">
      <c r="A17" s="271" t="s">
        <v>113</v>
      </c>
      <c r="B17" s="272">
        <v>73375</v>
      </c>
      <c r="C17" s="273">
        <f>B17/'- 3 -'!$D17*100</f>
        <v>0.39006961180963323</v>
      </c>
      <c r="D17" s="272">
        <v>1590165</v>
      </c>
      <c r="E17" s="273">
        <f>D17/'- 3 -'!$D17*100</f>
        <v>8.4534929371484235</v>
      </c>
      <c r="F17" s="272">
        <v>70000</v>
      </c>
      <c r="G17" s="273">
        <f>F17/'- 3 -'!$D17*100</f>
        <v>0.37212773869402832</v>
      </c>
    </row>
    <row r="18" spans="1:7" ht="14.1" customHeight="1" x14ac:dyDescent="0.2">
      <c r="A18" s="15" t="s">
        <v>114</v>
      </c>
      <c r="B18" s="16">
        <v>973090</v>
      </c>
      <c r="C18" s="267">
        <f>B18/'- 3 -'!$D18*100</f>
        <v>0.69905540272506395</v>
      </c>
      <c r="D18" s="16">
        <v>18025353</v>
      </c>
      <c r="E18" s="267">
        <f>D18/'- 3 -'!$D18*100</f>
        <v>12.949182912861543</v>
      </c>
      <c r="F18" s="16">
        <v>2011312</v>
      </c>
      <c r="G18" s="267">
        <f>F18/'- 3 -'!$D18*100</f>
        <v>1.4449008007129389</v>
      </c>
    </row>
    <row r="19" spans="1:7" ht="14.1" customHeight="1" x14ac:dyDescent="0.2">
      <c r="A19" s="271" t="s">
        <v>115</v>
      </c>
      <c r="B19" s="272">
        <v>136400</v>
      </c>
      <c r="C19" s="273">
        <f>B19/'- 3 -'!$D19*100</f>
        <v>0.26459953132517033</v>
      </c>
      <c r="D19" s="272">
        <v>4488650</v>
      </c>
      <c r="E19" s="273">
        <f>D19/'- 3 -'!$D19*100</f>
        <v>8.7074390489935904</v>
      </c>
      <c r="F19" s="272">
        <v>110000</v>
      </c>
      <c r="G19" s="273">
        <f>F19/'- 3 -'!$D19*100</f>
        <v>0.21338671881062121</v>
      </c>
    </row>
    <row r="20" spans="1:7" ht="14.1" customHeight="1" x14ac:dyDescent="0.2">
      <c r="A20" s="15" t="s">
        <v>116</v>
      </c>
      <c r="B20" s="16">
        <v>233500</v>
      </c>
      <c r="C20" s="267">
        <f>B20/'- 3 -'!$D20*100</f>
        <v>0.253981859060191</v>
      </c>
      <c r="D20" s="16">
        <v>7873100</v>
      </c>
      <c r="E20" s="267">
        <f>D20/'- 3 -'!$D20*100</f>
        <v>8.5637026748042384</v>
      </c>
      <c r="F20" s="16">
        <v>657500</v>
      </c>
      <c r="G20" s="267">
        <f>F20/'- 3 -'!$D20*100</f>
        <v>0.71517375731081612</v>
      </c>
    </row>
    <row r="21" spans="1:7" ht="14.1" customHeight="1" x14ac:dyDescent="0.2">
      <c r="A21" s="271" t="s">
        <v>117</v>
      </c>
      <c r="B21" s="272">
        <v>165000</v>
      </c>
      <c r="C21" s="273">
        <f>B21/'- 3 -'!$D21*100</f>
        <v>0.43210967729263644</v>
      </c>
      <c r="D21" s="272">
        <v>2826000</v>
      </c>
      <c r="E21" s="273">
        <f>D21/'- 3 -'!$D21*100</f>
        <v>7.4008602910847916</v>
      </c>
      <c r="F21" s="272">
        <v>360000</v>
      </c>
      <c r="G21" s="273">
        <f>F21/'- 3 -'!$D21*100</f>
        <v>0.94278475045666132</v>
      </c>
    </row>
    <row r="22" spans="1:7" ht="14.1" customHeight="1" x14ac:dyDescent="0.2">
      <c r="A22" s="15" t="s">
        <v>118</v>
      </c>
      <c r="B22" s="16">
        <v>96005</v>
      </c>
      <c r="C22" s="267">
        <f>B22/'- 3 -'!$D22*100</f>
        <v>0.46939496428994876</v>
      </c>
      <c r="D22" s="16">
        <v>2259816</v>
      </c>
      <c r="E22" s="267">
        <f>D22/'- 3 -'!$D22*100</f>
        <v>11.048864648943855</v>
      </c>
      <c r="F22" s="16">
        <v>57400</v>
      </c>
      <c r="G22" s="267">
        <f>F22/'- 3 -'!$D22*100</f>
        <v>0.28064445549964123</v>
      </c>
    </row>
    <row r="23" spans="1:7" ht="14.1" customHeight="1" x14ac:dyDescent="0.2">
      <c r="A23" s="271" t="s">
        <v>119</v>
      </c>
      <c r="B23" s="272">
        <v>76345</v>
      </c>
      <c r="C23" s="273">
        <f>B23/'- 3 -'!$D23*100</f>
        <v>0.4781210085475599</v>
      </c>
      <c r="D23" s="272">
        <v>1372750</v>
      </c>
      <c r="E23" s="273">
        <f>D23/'- 3 -'!$D23*100</f>
        <v>8.5970347040888448</v>
      </c>
      <c r="F23" s="272">
        <v>140382</v>
      </c>
      <c r="G23" s="273">
        <f>F23/'- 3 -'!$D23*100</f>
        <v>0.87916148302997643</v>
      </c>
    </row>
    <row r="24" spans="1:7" ht="14.1" customHeight="1" x14ac:dyDescent="0.2">
      <c r="A24" s="15" t="s">
        <v>120</v>
      </c>
      <c r="B24" s="16">
        <v>143762</v>
      </c>
      <c r="C24" s="267">
        <f>B24/'- 3 -'!$D24*100</f>
        <v>0.24420687717495848</v>
      </c>
      <c r="D24" s="16">
        <v>5497352</v>
      </c>
      <c r="E24" s="267">
        <f>D24/'- 3 -'!$D24*100</f>
        <v>9.33828942732789</v>
      </c>
      <c r="F24" s="16">
        <v>555800</v>
      </c>
      <c r="G24" s="267">
        <f>F24/'- 3 -'!$D24*100</f>
        <v>0.94413114963510458</v>
      </c>
    </row>
    <row r="25" spans="1:7" ht="14.1" customHeight="1" x14ac:dyDescent="0.2">
      <c r="A25" s="271" t="s">
        <v>121</v>
      </c>
      <c r="B25" s="272">
        <v>712361</v>
      </c>
      <c r="C25" s="273">
        <f>B25/'- 3 -'!$D25*100</f>
        <v>0.36625390905807276</v>
      </c>
      <c r="D25" s="272">
        <v>18528776</v>
      </c>
      <c r="E25" s="273">
        <f>D25/'- 3 -'!$D25*100</f>
        <v>9.5264011365886141</v>
      </c>
      <c r="F25" s="272">
        <v>430020</v>
      </c>
      <c r="G25" s="273">
        <f>F25/'- 3 -'!$D25*100</f>
        <v>0.22109085979321225</v>
      </c>
    </row>
    <row r="26" spans="1:7" ht="14.1" customHeight="1" x14ac:dyDescent="0.2">
      <c r="A26" s="15" t="s">
        <v>122</v>
      </c>
      <c r="B26" s="16">
        <v>230992</v>
      </c>
      <c r="C26" s="267">
        <f>B26/'- 3 -'!$D26*100</f>
        <v>0.54903796660098259</v>
      </c>
      <c r="D26" s="16">
        <v>4519200</v>
      </c>
      <c r="E26" s="267">
        <f>D26/'- 3 -'!$D26*100</f>
        <v>10.741551130182694</v>
      </c>
      <c r="F26" s="16">
        <v>259700</v>
      </c>
      <c r="G26" s="267">
        <f>F26/'- 3 -'!$D26*100</f>
        <v>0.61727315199779731</v>
      </c>
    </row>
    <row r="27" spans="1:7" ht="14.1" customHeight="1" x14ac:dyDescent="0.2">
      <c r="A27" s="271" t="s">
        <v>123</v>
      </c>
      <c r="B27" s="272">
        <v>210312</v>
      </c>
      <c r="C27" s="273">
        <f>B27/'- 3 -'!$D27*100</f>
        <v>0.491680517916945</v>
      </c>
      <c r="D27" s="272">
        <v>4295239</v>
      </c>
      <c r="E27" s="273">
        <f>D27/'- 3 -'!$D27*100</f>
        <v>10.041677774435414</v>
      </c>
      <c r="F27" s="272">
        <v>781000</v>
      </c>
      <c r="G27" s="273">
        <f>F27/'- 3 -'!$D27*100</f>
        <v>1.825870537549612</v>
      </c>
    </row>
    <row r="28" spans="1:7" ht="14.1" customHeight="1" x14ac:dyDescent="0.2">
      <c r="A28" s="15" t="s">
        <v>124</v>
      </c>
      <c r="B28" s="16">
        <v>72929</v>
      </c>
      <c r="C28" s="267">
        <f>B28/'- 3 -'!$D28*100</f>
        <v>0.2533491933793699</v>
      </c>
      <c r="D28" s="16">
        <v>3024889</v>
      </c>
      <c r="E28" s="267">
        <f>D28/'- 3 -'!$D28*100</f>
        <v>10.508209192668607</v>
      </c>
      <c r="F28" s="16">
        <v>156017</v>
      </c>
      <c r="G28" s="267">
        <f>F28/'- 3 -'!$D28*100</f>
        <v>0.54198989569950429</v>
      </c>
    </row>
    <row r="29" spans="1:7" ht="14.1" customHeight="1" x14ac:dyDescent="0.2">
      <c r="A29" s="271" t="s">
        <v>125</v>
      </c>
      <c r="B29" s="272">
        <v>1013913</v>
      </c>
      <c r="C29" s="273">
        <f>B29/'- 3 -'!$D29*100</f>
        <v>0.56962044837369208</v>
      </c>
      <c r="D29" s="272">
        <v>15867821</v>
      </c>
      <c r="E29" s="273">
        <f>D29/'- 3 -'!$D29*100</f>
        <v>8.9146063939741254</v>
      </c>
      <c r="F29" s="272">
        <v>1993850</v>
      </c>
      <c r="G29" s="273">
        <f>F29/'- 3 -'!$D29*100</f>
        <v>1.1201530417204297</v>
      </c>
    </row>
    <row r="30" spans="1:7" ht="14.1" customHeight="1" x14ac:dyDescent="0.2">
      <c r="A30" s="15" t="s">
        <v>126</v>
      </c>
      <c r="B30" s="16">
        <v>123932</v>
      </c>
      <c r="C30" s="267">
        <f>B30/'- 3 -'!$D30*100</f>
        <v>0.78829126806431915</v>
      </c>
      <c r="D30" s="16">
        <v>1235424</v>
      </c>
      <c r="E30" s="267">
        <f>D30/'- 3 -'!$D30*100</f>
        <v>7.8581314878892732</v>
      </c>
      <c r="F30" s="16">
        <v>119275</v>
      </c>
      <c r="G30" s="267">
        <f>F30/'- 3 -'!$D30*100</f>
        <v>0.75866960105841641</v>
      </c>
    </row>
    <row r="31" spans="1:7" ht="14.1" customHeight="1" x14ac:dyDescent="0.2">
      <c r="A31" s="271" t="s">
        <v>127</v>
      </c>
      <c r="B31" s="272">
        <v>137625</v>
      </c>
      <c r="C31" s="273">
        <f>B31/'- 3 -'!$D31*100</f>
        <v>0.33692176330247908</v>
      </c>
      <c r="D31" s="272">
        <v>3438285</v>
      </c>
      <c r="E31" s="273">
        <f>D31/'- 3 -'!$D31*100</f>
        <v>8.4173154945428834</v>
      </c>
      <c r="F31" s="272">
        <v>155000</v>
      </c>
      <c r="G31" s="273">
        <f>F31/'- 3 -'!$D31*100</f>
        <v>0.37945775340152055</v>
      </c>
    </row>
    <row r="32" spans="1:7" ht="14.1" customHeight="1" x14ac:dyDescent="0.2">
      <c r="A32" s="15" t="s">
        <v>128</v>
      </c>
      <c r="B32" s="16">
        <v>174745</v>
      </c>
      <c r="C32" s="267">
        <f>B32/'- 3 -'!$D32*100</f>
        <v>0.55129492551232462</v>
      </c>
      <c r="D32" s="16">
        <v>2605993</v>
      </c>
      <c r="E32" s="267">
        <f>D32/'- 3 -'!$D32*100</f>
        <v>8.2215268924469331</v>
      </c>
      <c r="F32" s="16">
        <v>236314</v>
      </c>
      <c r="G32" s="267">
        <f>F32/'- 3 -'!$D32*100</f>
        <v>0.74553611850135615</v>
      </c>
    </row>
    <row r="33" spans="1:7" ht="14.1" customHeight="1" x14ac:dyDescent="0.2">
      <c r="A33" s="271" t="s">
        <v>129</v>
      </c>
      <c r="B33" s="272">
        <v>118000</v>
      </c>
      <c r="C33" s="273">
        <f>B33/'- 3 -'!$D33*100</f>
        <v>0.41072416099496051</v>
      </c>
      <c r="D33" s="272">
        <v>2747475</v>
      </c>
      <c r="E33" s="273">
        <f>D33/'- 3 -'!$D33*100</f>
        <v>9.5631725782171948</v>
      </c>
      <c r="F33" s="272">
        <v>336500</v>
      </c>
      <c r="G33" s="273">
        <f>F33/'- 3 -'!$D33*100</f>
        <v>1.1712600014813916</v>
      </c>
    </row>
    <row r="34" spans="1:7" ht="14.1" customHeight="1" x14ac:dyDescent="0.2">
      <c r="A34" s="15" t="s">
        <v>130</v>
      </c>
      <c r="B34" s="16">
        <v>130882</v>
      </c>
      <c r="C34" s="267">
        <f>B34/'- 3 -'!$D34*100</f>
        <v>0.40934552068436225</v>
      </c>
      <c r="D34" s="16">
        <v>2326327</v>
      </c>
      <c r="E34" s="267">
        <f>D34/'- 3 -'!$D34*100</f>
        <v>7.275802150770085</v>
      </c>
      <c r="F34" s="16">
        <v>285484</v>
      </c>
      <c r="G34" s="267">
        <f>F34/'- 3 -'!$D34*100</f>
        <v>0.89287752805622211</v>
      </c>
    </row>
    <row r="35" spans="1:7" ht="14.1" customHeight="1" x14ac:dyDescent="0.2">
      <c r="A35" s="271" t="s">
        <v>131</v>
      </c>
      <c r="B35" s="272">
        <v>911322</v>
      </c>
      <c r="C35" s="273">
        <f>B35/'- 3 -'!$D35*100</f>
        <v>0.46383788678504062</v>
      </c>
      <c r="D35" s="272">
        <v>19707025</v>
      </c>
      <c r="E35" s="273">
        <f>D35/'- 3 -'!$D35*100</f>
        <v>10.030334866073645</v>
      </c>
      <c r="F35" s="272">
        <v>743600</v>
      </c>
      <c r="G35" s="273">
        <f>F35/'- 3 -'!$D35*100</f>
        <v>0.37847199191214109</v>
      </c>
    </row>
    <row r="36" spans="1:7" ht="14.1" customHeight="1" x14ac:dyDescent="0.2">
      <c r="A36" s="15" t="s">
        <v>132</v>
      </c>
      <c r="B36" s="16">
        <v>65385</v>
      </c>
      <c r="C36" s="267">
        <f>B36/'- 3 -'!$D36*100</f>
        <v>0.27041843204457389</v>
      </c>
      <c r="D36" s="16">
        <v>2542550</v>
      </c>
      <c r="E36" s="267">
        <f>D36/'- 3 -'!$D36*100</f>
        <v>10.515445199891889</v>
      </c>
      <c r="F36" s="16">
        <v>110000</v>
      </c>
      <c r="G36" s="267">
        <f>F36/'- 3 -'!$D36*100</f>
        <v>0.45493656840105717</v>
      </c>
    </row>
    <row r="37" spans="1:7" ht="14.1" customHeight="1" x14ac:dyDescent="0.2">
      <c r="A37" s="271" t="s">
        <v>133</v>
      </c>
      <c r="B37" s="272">
        <v>124100</v>
      </c>
      <c r="C37" s="273">
        <f>B37/'- 3 -'!$D37*100</f>
        <v>0.22518844335086211</v>
      </c>
      <c r="D37" s="272">
        <v>4336200</v>
      </c>
      <c r="E37" s="273">
        <f>D37/'- 3 -'!$D37*100</f>
        <v>7.8683491382595356</v>
      </c>
      <c r="F37" s="272">
        <v>555000</v>
      </c>
      <c r="G37" s="273">
        <f>F37/'- 3 -'!$D37*100</f>
        <v>1.0070877200622763</v>
      </c>
    </row>
    <row r="38" spans="1:7" ht="14.1" customHeight="1" x14ac:dyDescent="0.2">
      <c r="A38" s="15" t="s">
        <v>134</v>
      </c>
      <c r="B38" s="16">
        <v>680890</v>
      </c>
      <c r="C38" s="267">
        <f>B38/'- 3 -'!$D38*100</f>
        <v>0.45071872124011231</v>
      </c>
      <c r="D38" s="16">
        <v>11800385</v>
      </c>
      <c r="E38" s="267">
        <f>D38/'- 3 -'!$D38*100</f>
        <v>7.8113269945820951</v>
      </c>
      <c r="F38" s="16">
        <v>933900</v>
      </c>
      <c r="G38" s="267">
        <f>F38/'- 3 -'!$D38*100</f>
        <v>0.61820002315519518</v>
      </c>
    </row>
    <row r="39" spans="1:7" ht="14.1" customHeight="1" x14ac:dyDescent="0.2">
      <c r="A39" s="271" t="s">
        <v>135</v>
      </c>
      <c r="B39" s="272">
        <v>109100</v>
      </c>
      <c r="C39" s="273">
        <f>B39/'- 3 -'!$D39*100</f>
        <v>0.46464285105875541</v>
      </c>
      <c r="D39" s="272">
        <v>2050800</v>
      </c>
      <c r="E39" s="273">
        <f>D39/'- 3 -'!$D39*100</f>
        <v>8.7340931159605457</v>
      </c>
      <c r="F39" s="272">
        <v>160000</v>
      </c>
      <c r="G39" s="273">
        <f>F39/'- 3 -'!$D39*100</f>
        <v>0.68141939660312434</v>
      </c>
    </row>
    <row r="40" spans="1:7" ht="14.1" customHeight="1" x14ac:dyDescent="0.2">
      <c r="A40" s="15" t="s">
        <v>136</v>
      </c>
      <c r="B40" s="16">
        <v>495735</v>
      </c>
      <c r="C40" s="267">
        <f>B40/'- 3 -'!$D40*100</f>
        <v>0.45119006516310028</v>
      </c>
      <c r="D40" s="16">
        <v>8897879</v>
      </c>
      <c r="E40" s="267">
        <f>D40/'- 3 -'!$D40*100</f>
        <v>8.0983481211199155</v>
      </c>
      <c r="F40" s="16">
        <v>1197663</v>
      </c>
      <c r="G40" s="267">
        <f>F40/'- 3 -'!$D40*100</f>
        <v>1.0900453811278892</v>
      </c>
    </row>
    <row r="41" spans="1:7" ht="14.1" customHeight="1" x14ac:dyDescent="0.2">
      <c r="A41" s="271" t="s">
        <v>137</v>
      </c>
      <c r="B41" s="272">
        <v>183396</v>
      </c>
      <c r="C41" s="273">
        <f>B41/'- 3 -'!$D41*100</f>
        <v>0.27499550760899477</v>
      </c>
      <c r="D41" s="272">
        <v>5300429</v>
      </c>
      <c r="E41" s="273">
        <f>D41/'- 3 -'!$D41*100</f>
        <v>7.9477969170561868</v>
      </c>
      <c r="F41" s="272">
        <v>726920</v>
      </c>
      <c r="G41" s="273">
        <f>F41/'- 3 -'!$D41*100</f>
        <v>1.0899896093215253</v>
      </c>
    </row>
    <row r="42" spans="1:7" ht="14.1" customHeight="1" x14ac:dyDescent="0.2">
      <c r="A42" s="15" t="s">
        <v>138</v>
      </c>
      <c r="B42" s="16">
        <v>99073</v>
      </c>
      <c r="C42" s="267">
        <f>B42/'- 3 -'!$D42*100</f>
        <v>0.46415998815624393</v>
      </c>
      <c r="D42" s="16">
        <v>1942998</v>
      </c>
      <c r="E42" s="267">
        <f>D42/'- 3 -'!$D42*100</f>
        <v>9.1030041350075752</v>
      </c>
      <c r="F42" s="16">
        <v>157242</v>
      </c>
      <c r="G42" s="267">
        <f>F42/'- 3 -'!$D42*100</f>
        <v>0.73668350466488453</v>
      </c>
    </row>
    <row r="43" spans="1:7" ht="14.1" customHeight="1" x14ac:dyDescent="0.2">
      <c r="A43" s="271" t="s">
        <v>139</v>
      </c>
      <c r="B43" s="272">
        <v>60741</v>
      </c>
      <c r="C43" s="273">
        <f>B43/'- 3 -'!$D43*100</f>
        <v>0.43766969869596173</v>
      </c>
      <c r="D43" s="272">
        <v>803232</v>
      </c>
      <c r="E43" s="273">
        <f>D43/'- 3 -'!$D43*100</f>
        <v>5.7876937722947392</v>
      </c>
      <c r="F43" s="272">
        <v>130783</v>
      </c>
      <c r="G43" s="273">
        <f>F43/'- 3 -'!$D43*100</f>
        <v>0.9423578176940447</v>
      </c>
    </row>
    <row r="44" spans="1:7" ht="14.1" customHeight="1" x14ac:dyDescent="0.2">
      <c r="A44" s="15" t="s">
        <v>140</v>
      </c>
      <c r="B44" s="16">
        <v>33861</v>
      </c>
      <c r="C44" s="267">
        <f>B44/'- 3 -'!$D44*100</f>
        <v>0.30141354862847092</v>
      </c>
      <c r="D44" s="16">
        <v>1057625</v>
      </c>
      <c r="E44" s="267">
        <f>D44/'- 3 -'!$D44*100</f>
        <v>9.4144444750062473</v>
      </c>
      <c r="F44" s="16">
        <v>52520</v>
      </c>
      <c r="G44" s="267">
        <f>F44/'- 3 -'!$D44*100</f>
        <v>0.46750655839955374</v>
      </c>
    </row>
    <row r="45" spans="1:7" ht="14.1" customHeight="1" x14ac:dyDescent="0.2">
      <c r="A45" s="271" t="s">
        <v>141</v>
      </c>
      <c r="B45" s="272">
        <v>54401</v>
      </c>
      <c r="C45" s="273">
        <f>B45/'- 3 -'!$D45*100</f>
        <v>0.24321083183907466</v>
      </c>
      <c r="D45" s="272">
        <v>1765192</v>
      </c>
      <c r="E45" s="273">
        <f>D45/'- 3 -'!$D45*100</f>
        <v>7.8916529967404987</v>
      </c>
      <c r="F45" s="272">
        <v>138760</v>
      </c>
      <c r="G45" s="273">
        <f>F45/'- 3 -'!$D45*100</f>
        <v>0.62035504909817829</v>
      </c>
    </row>
    <row r="46" spans="1:7" ht="14.1" customHeight="1" x14ac:dyDescent="0.2">
      <c r="A46" s="15" t="s">
        <v>142</v>
      </c>
      <c r="B46" s="16">
        <v>1206300</v>
      </c>
      <c r="C46" s="267">
        <f>B46/'- 3 -'!$D46*100</f>
        <v>0.28902713963163951</v>
      </c>
      <c r="D46" s="16">
        <v>42084800</v>
      </c>
      <c r="E46" s="267">
        <f>D46/'- 3 -'!$D46*100</f>
        <v>10.083436430381848</v>
      </c>
      <c r="F46" s="16">
        <v>6834800</v>
      </c>
      <c r="G46" s="267">
        <f>F46/'- 3 -'!$D46*100</f>
        <v>1.6376048196587334</v>
      </c>
    </row>
    <row r="47" spans="1:7" ht="5.0999999999999996" customHeight="1" x14ac:dyDescent="0.2">
      <c r="A47"/>
      <c r="B47" s="507"/>
      <c r="C47"/>
      <c r="D47"/>
      <c r="E47"/>
      <c r="F47" s="507"/>
      <c r="G47"/>
    </row>
    <row r="48" spans="1:7" ht="14.1" customHeight="1" x14ac:dyDescent="0.2">
      <c r="A48" s="274" t="s">
        <v>143</v>
      </c>
      <c r="B48" s="275">
        <f>SUM(B11:B46)</f>
        <v>10114282</v>
      </c>
      <c r="C48" s="276">
        <f>B48/'- 3 -'!$D48*100</f>
        <v>0.40770700513213987</v>
      </c>
      <c r="D48" s="275">
        <f>SUM(D11:D46)</f>
        <v>229802441</v>
      </c>
      <c r="E48" s="276">
        <f>D48/'- 3 -'!$D48*100</f>
        <v>9.2633431609050731</v>
      </c>
      <c r="F48" s="275">
        <f>SUM(F11:F46)</f>
        <v>23077342</v>
      </c>
      <c r="G48" s="276">
        <f>F48/'- 3 -'!$D48*100</f>
        <v>0.93024833529756712</v>
      </c>
    </row>
    <row r="49" spans="1:7" ht="5.0999999999999996" customHeight="1" x14ac:dyDescent="0.2">
      <c r="A49" s="17" t="s">
        <v>1</v>
      </c>
      <c r="B49" s="18"/>
      <c r="C49" s="266"/>
      <c r="D49" s="18"/>
      <c r="E49" s="266"/>
      <c r="F49" s="18"/>
      <c r="G49" s="266"/>
    </row>
    <row r="50" spans="1:7" ht="14.1" customHeight="1" x14ac:dyDescent="0.2">
      <c r="A50" s="15" t="s">
        <v>144</v>
      </c>
      <c r="B50" s="16">
        <v>28480</v>
      </c>
      <c r="C50" s="267">
        <f>B50/'- 3 -'!$D50*100</f>
        <v>0.79372533368932063</v>
      </c>
      <c r="D50" s="16">
        <v>436889</v>
      </c>
      <c r="E50" s="267">
        <f>D50/'- 3 -'!$D50*100</f>
        <v>12.175908262296124</v>
      </c>
      <c r="F50" s="16">
        <v>32000</v>
      </c>
      <c r="G50" s="267">
        <f>F50/'- 3 -'!$D50*100</f>
        <v>0.89182621762845027</v>
      </c>
    </row>
    <row r="51" spans="1:7" ht="14.1" customHeight="1" x14ac:dyDescent="0.2">
      <c r="A51" s="360" t="s">
        <v>513</v>
      </c>
      <c r="B51" s="272">
        <v>101749</v>
      </c>
      <c r="C51" s="273">
        <f>B51/'- 3 -'!$D51*100</f>
        <v>0.29267426104631833</v>
      </c>
      <c r="D51" s="272">
        <v>3884017</v>
      </c>
      <c r="E51" s="273">
        <f>D51/'- 3 -'!$D51*100</f>
        <v>11.172117714830987</v>
      </c>
      <c r="F51" s="272">
        <v>0</v>
      </c>
      <c r="G51" s="273">
        <f>F51/'- 3 -'!$D51*100</f>
        <v>0</v>
      </c>
    </row>
    <row r="52" spans="1:7" ht="50.1" customHeight="1" x14ac:dyDescent="0.2"/>
    <row r="53" spans="1:7" ht="15" customHeight="1" x14ac:dyDescent="0.2"/>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6:G6"/>
    <mergeCell ref="B8:C8"/>
    <mergeCell ref="D7:G7"/>
    <mergeCell ref="D8:E8"/>
    <mergeCell ref="F8:G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x14ac:dyDescent="0.2">
      <c r="A1" s="3"/>
      <c r="B1" s="3"/>
      <c r="C1" s="3"/>
      <c r="D1" s="4"/>
      <c r="E1" s="4"/>
      <c r="F1" s="4"/>
    </row>
    <row r="2" spans="1:6" ht="15.95" customHeight="1" x14ac:dyDescent="0.2">
      <c r="A2" s="132"/>
      <c r="B2" s="5" t="str">
        <f>AEXP_BP</f>
        <v>ANALYSIS OF EXPENSE BY PROGRAM</v>
      </c>
      <c r="C2" s="152"/>
      <c r="D2" s="133"/>
      <c r="E2" s="6"/>
      <c r="F2" s="502" t="s">
        <v>535</v>
      </c>
    </row>
    <row r="3" spans="1:6" ht="15.95" customHeight="1" x14ac:dyDescent="0.2">
      <c r="A3" s="135"/>
      <c r="B3" s="7" t="str">
        <f>OPYEAR</f>
        <v>OPERATING FUND 2020/2021 BUDGET</v>
      </c>
      <c r="C3" s="153"/>
      <c r="D3" s="144"/>
      <c r="E3" s="8"/>
      <c r="F3" s="81"/>
    </row>
    <row r="4" spans="1:6" ht="15.95" customHeight="1" x14ac:dyDescent="0.2">
      <c r="D4" s="4"/>
      <c r="E4" s="4"/>
      <c r="F4" s="4"/>
    </row>
    <row r="5" spans="1:6" ht="15.95" customHeight="1" x14ac:dyDescent="0.2">
      <c r="D5" s="4"/>
      <c r="E5" s="4"/>
      <c r="F5" s="4"/>
    </row>
    <row r="6" spans="1:6" ht="15.95" customHeight="1" x14ac:dyDescent="0.2">
      <c r="B6" s="670" t="s">
        <v>236</v>
      </c>
      <c r="C6" s="671"/>
      <c r="D6" s="671"/>
      <c r="E6" s="672"/>
      <c r="F6" s="55"/>
    </row>
    <row r="7" spans="1:6" ht="15.95" customHeight="1" x14ac:dyDescent="0.2">
      <c r="B7" s="314"/>
      <c r="C7" s="270"/>
      <c r="D7" s="314"/>
      <c r="E7" s="270"/>
      <c r="F7" s="4"/>
    </row>
    <row r="8" spans="1:6" ht="15.95" customHeight="1" x14ac:dyDescent="0.2">
      <c r="A8" s="82"/>
      <c r="B8" s="616" t="s">
        <v>30</v>
      </c>
      <c r="C8" s="617"/>
      <c r="D8" s="629" t="s">
        <v>31</v>
      </c>
      <c r="E8" s="617"/>
      <c r="F8" s="4"/>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108</v>
      </c>
      <c r="B11" s="272">
        <v>68263</v>
      </c>
      <c r="C11" s="273">
        <f>B11/'- 3 -'!$D11*100</f>
        <v>0.30734782505140285</v>
      </c>
      <c r="D11" s="272">
        <v>34400</v>
      </c>
      <c r="E11" s="273">
        <f>D11/'- 3 -'!$D11*100</f>
        <v>0.1548828088681754</v>
      </c>
    </row>
    <row r="12" spans="1:6" ht="14.1" customHeight="1" x14ac:dyDescent="0.2">
      <c r="A12" s="15" t="s">
        <v>109</v>
      </c>
      <c r="B12" s="16">
        <v>319501</v>
      </c>
      <c r="C12" s="267">
        <f>B12/'- 3 -'!$D12*100</f>
        <v>0.92091766116815699</v>
      </c>
      <c r="D12" s="16">
        <v>138786</v>
      </c>
      <c r="E12" s="267">
        <f>D12/'- 3 -'!$D12*100</f>
        <v>0.40003154457383178</v>
      </c>
    </row>
    <row r="13" spans="1:6" ht="14.1" customHeight="1" x14ac:dyDescent="0.2">
      <c r="A13" s="271" t="s">
        <v>110</v>
      </c>
      <c r="B13" s="272">
        <v>264300</v>
      </c>
      <c r="C13" s="273">
        <f>B13/'- 3 -'!$D13*100</f>
        <v>0.24575004904773015</v>
      </c>
      <c r="D13" s="272">
        <v>211400</v>
      </c>
      <c r="E13" s="273">
        <f>D13/'- 3 -'!$D13*100</f>
        <v>0.19656284664657644</v>
      </c>
    </row>
    <row r="14" spans="1:6" ht="14.1" customHeight="1" x14ac:dyDescent="0.2">
      <c r="A14" s="15" t="s">
        <v>319</v>
      </c>
      <c r="B14" s="16">
        <v>415006</v>
      </c>
      <c r="C14" s="267">
        <f>B14/'- 3 -'!$D14*100</f>
        <v>0.42743416115662214</v>
      </c>
      <c r="D14" s="16">
        <v>312120</v>
      </c>
      <c r="E14" s="267">
        <f>D14/'- 3 -'!$D14*100</f>
        <v>0.32146703994690418</v>
      </c>
    </row>
    <row r="15" spans="1:6" ht="14.1" customHeight="1" x14ac:dyDescent="0.2">
      <c r="A15" s="271" t="s">
        <v>111</v>
      </c>
      <c r="B15" s="272">
        <v>111850</v>
      </c>
      <c r="C15" s="273">
        <f>B15/'- 3 -'!$D15*100</f>
        <v>0.52917234653658951</v>
      </c>
      <c r="D15" s="272">
        <v>91000</v>
      </c>
      <c r="E15" s="273">
        <f>D15/'- 3 -'!$D15*100</f>
        <v>0.43052913307849483</v>
      </c>
    </row>
    <row r="16" spans="1:6" ht="14.1" customHeight="1" x14ac:dyDescent="0.2">
      <c r="A16" s="15" t="s">
        <v>112</v>
      </c>
      <c r="B16" s="16">
        <v>20369</v>
      </c>
      <c r="C16" s="267">
        <f>B16/'- 3 -'!$D16*100</f>
        <v>0.13619489034803547</v>
      </c>
      <c r="D16" s="16">
        <v>21420</v>
      </c>
      <c r="E16" s="267">
        <f>D16/'- 3 -'!$D16*100</f>
        <v>0.14322227656021011</v>
      </c>
    </row>
    <row r="17" spans="1:5" ht="14.1" customHeight="1" x14ac:dyDescent="0.2">
      <c r="A17" s="271" t="s">
        <v>113</v>
      </c>
      <c r="B17" s="272">
        <v>104455</v>
      </c>
      <c r="C17" s="273">
        <f>B17/'- 3 -'!$D17*100</f>
        <v>0.55529432778978183</v>
      </c>
      <c r="D17" s="272">
        <v>57000</v>
      </c>
      <c r="E17" s="273">
        <f>D17/'- 3 -'!$D17*100</f>
        <v>0.30301830150799453</v>
      </c>
    </row>
    <row r="18" spans="1:5" ht="14.1" customHeight="1" x14ac:dyDescent="0.2">
      <c r="A18" s="15" t="s">
        <v>114</v>
      </c>
      <c r="B18" s="16">
        <v>3620410</v>
      </c>
      <c r="C18" s="267">
        <f>B18/'- 3 -'!$D18*100</f>
        <v>2.6008562112238836</v>
      </c>
      <c r="D18" s="16">
        <v>59300</v>
      </c>
      <c r="E18" s="267">
        <f>D18/'- 3 -'!$D18*100</f>
        <v>4.2600361098764028E-2</v>
      </c>
    </row>
    <row r="19" spans="1:5" ht="14.1" customHeight="1" x14ac:dyDescent="0.2">
      <c r="A19" s="271" t="s">
        <v>115</v>
      </c>
      <c r="B19" s="272">
        <v>118800</v>
      </c>
      <c r="C19" s="273">
        <f>B19/'- 3 -'!$D19*100</f>
        <v>0.23045765631547091</v>
      </c>
      <c r="D19" s="272">
        <v>64150</v>
      </c>
      <c r="E19" s="273">
        <f>D19/'- 3 -'!$D19*100</f>
        <v>0.12444325465183048</v>
      </c>
    </row>
    <row r="20" spans="1:5" ht="14.1" customHeight="1" x14ac:dyDescent="0.2">
      <c r="A20" s="15" t="s">
        <v>116</v>
      </c>
      <c r="B20" s="16">
        <v>201600</v>
      </c>
      <c r="C20" s="267">
        <f>B20/'- 3 -'!$D20*100</f>
        <v>0.21928369501727837</v>
      </c>
      <c r="D20" s="16">
        <v>442400</v>
      </c>
      <c r="E20" s="267">
        <f>D20/'- 3 -'!$D20*100</f>
        <v>0.48120588628791638</v>
      </c>
    </row>
    <row r="21" spans="1:5" ht="14.1" customHeight="1" x14ac:dyDescent="0.2">
      <c r="A21" s="271" t="s">
        <v>117</v>
      </c>
      <c r="B21" s="272">
        <v>182000</v>
      </c>
      <c r="C21" s="273">
        <f>B21/'- 3 -'!$D21*100</f>
        <v>0.47663006828642324</v>
      </c>
      <c r="D21" s="272">
        <v>109000</v>
      </c>
      <c r="E21" s="273">
        <f>D21/'- 3 -'!$D21*100</f>
        <v>0.2854542716660447</v>
      </c>
    </row>
    <row r="22" spans="1:5" ht="14.1" customHeight="1" x14ac:dyDescent="0.2">
      <c r="A22" s="15" t="s">
        <v>118</v>
      </c>
      <c r="B22" s="16">
        <v>98360</v>
      </c>
      <c r="C22" s="267">
        <f>B22/'- 3 -'!$D22*100</f>
        <v>0.48090920980739915</v>
      </c>
      <c r="D22" s="16">
        <v>25000</v>
      </c>
      <c r="E22" s="267">
        <f>D22/'- 3 -'!$D22*100</f>
        <v>0.12223190570541866</v>
      </c>
    </row>
    <row r="23" spans="1:5" ht="14.1" customHeight="1" x14ac:dyDescent="0.2">
      <c r="A23" s="271" t="s">
        <v>119</v>
      </c>
      <c r="B23" s="272">
        <v>56700</v>
      </c>
      <c r="C23" s="273">
        <f>B23/'- 3 -'!$D23*100</f>
        <v>0.35509150808365503</v>
      </c>
      <c r="D23" s="272">
        <v>12700</v>
      </c>
      <c r="E23" s="273">
        <f>D23/'- 3 -'!$D23*100</f>
        <v>7.9535487701277233E-2</v>
      </c>
    </row>
    <row r="24" spans="1:5" ht="14.1" customHeight="1" x14ac:dyDescent="0.2">
      <c r="A24" s="15" t="s">
        <v>120</v>
      </c>
      <c r="B24" s="16">
        <v>160898</v>
      </c>
      <c r="C24" s="267">
        <f>B24/'- 3 -'!$D24*100</f>
        <v>0.27331560581862013</v>
      </c>
      <c r="D24" s="16">
        <v>211500</v>
      </c>
      <c r="E24" s="267">
        <f>D24/'- 3 -'!$D24*100</f>
        <v>0.35927264870065606</v>
      </c>
    </row>
    <row r="25" spans="1:5" ht="14.1" customHeight="1" x14ac:dyDescent="0.2">
      <c r="A25" s="271" t="s">
        <v>121</v>
      </c>
      <c r="B25" s="272">
        <v>435000</v>
      </c>
      <c r="C25" s="273">
        <f>B25/'- 3 -'!$D25*100</f>
        <v>0.2236512813591166</v>
      </c>
      <c r="D25" s="272">
        <v>635000</v>
      </c>
      <c r="E25" s="273">
        <f>D25/'- 3 -'!$D25*100</f>
        <v>0.32647945669664147</v>
      </c>
    </row>
    <row r="26" spans="1:5" ht="14.1" customHeight="1" x14ac:dyDescent="0.2">
      <c r="A26" s="15" t="s">
        <v>122</v>
      </c>
      <c r="B26" s="16">
        <v>179635</v>
      </c>
      <c r="C26" s="267">
        <f>B26/'- 3 -'!$D26*100</f>
        <v>0.42696905144060193</v>
      </c>
      <c r="D26" s="16">
        <v>100250</v>
      </c>
      <c r="E26" s="267">
        <f>D26/'- 3 -'!$D26*100</f>
        <v>0.23828122251744005</v>
      </c>
    </row>
    <row r="27" spans="1:5" ht="14.1" customHeight="1" x14ac:dyDescent="0.2">
      <c r="A27" s="271" t="s">
        <v>123</v>
      </c>
      <c r="B27" s="272">
        <v>138876</v>
      </c>
      <c r="C27" s="273">
        <f>B27/'- 3 -'!$D27*100</f>
        <v>0.3246729792224583</v>
      </c>
      <c r="D27" s="272">
        <v>161440</v>
      </c>
      <c r="E27" s="273">
        <f>D27/'- 3 -'!$D27*100</f>
        <v>0.37742450650705428</v>
      </c>
    </row>
    <row r="28" spans="1:5" ht="14.1" customHeight="1" x14ac:dyDescent="0.2">
      <c r="A28" s="15" t="s">
        <v>124</v>
      </c>
      <c r="B28" s="16">
        <v>79150</v>
      </c>
      <c r="C28" s="267">
        <f>B28/'- 3 -'!$D28*100</f>
        <v>0.27496042254764397</v>
      </c>
      <c r="D28" s="16">
        <v>97000</v>
      </c>
      <c r="E28" s="267">
        <f>D28/'- 3 -'!$D28*100</f>
        <v>0.33696981664082715</v>
      </c>
    </row>
    <row r="29" spans="1:5" ht="14.1" customHeight="1" x14ac:dyDescent="0.2">
      <c r="A29" s="271" t="s">
        <v>125</v>
      </c>
      <c r="B29" s="272">
        <v>481773</v>
      </c>
      <c r="C29" s="273">
        <f>B29/'- 3 -'!$D29*100</f>
        <v>0.27066203143103873</v>
      </c>
      <c r="D29" s="272">
        <v>1347903</v>
      </c>
      <c r="E29" s="273">
        <f>D29/'- 3 -'!$D29*100</f>
        <v>0.75725738916873997</v>
      </c>
    </row>
    <row r="30" spans="1:5" ht="14.1" customHeight="1" x14ac:dyDescent="0.2">
      <c r="A30" s="15" t="s">
        <v>126</v>
      </c>
      <c r="B30" s="16">
        <v>69489</v>
      </c>
      <c r="C30" s="267">
        <f>B30/'- 3 -'!$D30*100</f>
        <v>0.44199699776104218</v>
      </c>
      <c r="D30" s="16">
        <v>49500</v>
      </c>
      <c r="E30" s="267">
        <f>D30/'- 3 -'!$D30*100</f>
        <v>0.31485345003053122</v>
      </c>
    </row>
    <row r="31" spans="1:5" ht="14.1" customHeight="1" x14ac:dyDescent="0.2">
      <c r="A31" s="271" t="s">
        <v>127</v>
      </c>
      <c r="B31" s="272">
        <v>115100</v>
      </c>
      <c r="C31" s="273">
        <f>B31/'- 3 -'!$D31*100</f>
        <v>0.28177798333235488</v>
      </c>
      <c r="D31" s="272">
        <v>131500</v>
      </c>
      <c r="E31" s="273">
        <f>D31/'- 3 -'!$D31*100</f>
        <v>0.32192706175677382</v>
      </c>
    </row>
    <row r="32" spans="1:5" ht="14.1" customHeight="1" x14ac:dyDescent="0.2">
      <c r="A32" s="15" t="s">
        <v>128</v>
      </c>
      <c r="B32" s="16">
        <v>121264</v>
      </c>
      <c r="C32" s="267">
        <f>B32/'- 3 -'!$D32*100</f>
        <v>0.3825701899758307</v>
      </c>
      <c r="D32" s="16">
        <v>125605</v>
      </c>
      <c r="E32" s="267">
        <f>D32/'- 3 -'!$D32*100</f>
        <v>0.39626541027769341</v>
      </c>
    </row>
    <row r="33" spans="1:5" ht="14.1" customHeight="1" x14ac:dyDescent="0.2">
      <c r="A33" s="271" t="s">
        <v>129</v>
      </c>
      <c r="B33" s="272">
        <v>122200</v>
      </c>
      <c r="C33" s="273">
        <f>B33/'- 3 -'!$D33*100</f>
        <v>0.42534315655579807</v>
      </c>
      <c r="D33" s="272">
        <v>53550</v>
      </c>
      <c r="E33" s="273">
        <f>D33/'- 3 -'!$D33*100</f>
        <v>0.18639219340067911</v>
      </c>
    </row>
    <row r="34" spans="1:5" ht="14.1" customHeight="1" x14ac:dyDescent="0.2">
      <c r="A34" s="15" t="s">
        <v>130</v>
      </c>
      <c r="B34" s="16">
        <v>114672</v>
      </c>
      <c r="C34" s="267">
        <f>B34/'- 3 -'!$D34*100</f>
        <v>0.35864725132498876</v>
      </c>
      <c r="D34" s="16">
        <v>106648</v>
      </c>
      <c r="E34" s="267">
        <f>D34/'- 3 -'!$D34*100</f>
        <v>0.33355145161248956</v>
      </c>
    </row>
    <row r="35" spans="1:5" ht="14.1" customHeight="1" x14ac:dyDescent="0.2">
      <c r="A35" s="271" t="s">
        <v>131</v>
      </c>
      <c r="B35" s="272">
        <v>352500</v>
      </c>
      <c r="C35" s="273">
        <f>B35/'- 3 -'!$D35*100</f>
        <v>0.17941282564420349</v>
      </c>
      <c r="D35" s="272">
        <v>708000</v>
      </c>
      <c r="E35" s="273">
        <f>D35/'- 3 -'!$D35*100</f>
        <v>0.36035256895346407</v>
      </c>
    </row>
    <row r="36" spans="1:5" ht="14.1" customHeight="1" x14ac:dyDescent="0.2">
      <c r="A36" s="15" t="s">
        <v>132</v>
      </c>
      <c r="B36" s="16">
        <v>166785</v>
      </c>
      <c r="C36" s="267">
        <f>B36/'- 3 -'!$D36*100</f>
        <v>0.68978723237063921</v>
      </c>
      <c r="D36" s="16">
        <v>86000</v>
      </c>
      <c r="E36" s="267">
        <f>D36/'- 3 -'!$D36*100</f>
        <v>0.35567768074991746</v>
      </c>
    </row>
    <row r="37" spans="1:5" ht="14.1" customHeight="1" x14ac:dyDescent="0.2">
      <c r="A37" s="271" t="s">
        <v>133</v>
      </c>
      <c r="B37" s="272">
        <v>132200</v>
      </c>
      <c r="C37" s="273">
        <f>B37/'- 3 -'!$D37*100</f>
        <v>0.23988648034636559</v>
      </c>
      <c r="D37" s="272">
        <v>212000</v>
      </c>
      <c r="E37" s="273">
        <f>D37/'- 3 -'!$D37*100</f>
        <v>0.3846893633391037</v>
      </c>
    </row>
    <row r="38" spans="1:5" ht="14.1" customHeight="1" x14ac:dyDescent="0.2">
      <c r="A38" s="15" t="s">
        <v>134</v>
      </c>
      <c r="B38" s="16">
        <v>520930</v>
      </c>
      <c r="C38" s="267">
        <f>B38/'- 3 -'!$D38*100</f>
        <v>0.34483235685002234</v>
      </c>
      <c r="D38" s="16">
        <v>492990</v>
      </c>
      <c r="E38" s="267">
        <f>D38/'- 3 -'!$D38*100</f>
        <v>0.32633732671086807</v>
      </c>
    </row>
    <row r="39" spans="1:5" ht="14.1" customHeight="1" x14ac:dyDescent="0.2">
      <c r="A39" s="271" t="s">
        <v>135</v>
      </c>
      <c r="B39" s="272">
        <v>86900</v>
      </c>
      <c r="C39" s="273">
        <f>B39/'- 3 -'!$D39*100</f>
        <v>0.3700959097800719</v>
      </c>
      <c r="D39" s="272">
        <v>70100</v>
      </c>
      <c r="E39" s="273">
        <f>D39/'- 3 -'!$D39*100</f>
        <v>0.29854687313674383</v>
      </c>
    </row>
    <row r="40" spans="1:5" ht="14.1" customHeight="1" x14ac:dyDescent="0.2">
      <c r="A40" s="15" t="s">
        <v>136</v>
      </c>
      <c r="B40" s="16">
        <v>329716</v>
      </c>
      <c r="C40" s="267">
        <f>B40/'- 3 -'!$D40*100</f>
        <v>0.30008892558588107</v>
      </c>
      <c r="D40" s="16">
        <v>369132</v>
      </c>
      <c r="E40" s="267">
        <f>D40/'- 3 -'!$D40*100</f>
        <v>0.33596314791932286</v>
      </c>
    </row>
    <row r="41" spans="1:5" ht="14.1" customHeight="1" x14ac:dyDescent="0.2">
      <c r="A41" s="271" t="s">
        <v>137</v>
      </c>
      <c r="B41" s="272">
        <v>342008</v>
      </c>
      <c r="C41" s="273">
        <f>B41/'- 3 -'!$D41*100</f>
        <v>0.51282832540697232</v>
      </c>
      <c r="D41" s="272">
        <v>315000</v>
      </c>
      <c r="E41" s="273">
        <f>D41/'- 3 -'!$D41*100</f>
        <v>0.47233082998993081</v>
      </c>
    </row>
    <row r="42" spans="1:5" ht="14.1" customHeight="1" x14ac:dyDescent="0.2">
      <c r="A42" s="15" t="s">
        <v>138</v>
      </c>
      <c r="B42" s="16">
        <v>157532</v>
      </c>
      <c r="C42" s="267">
        <f>B42/'- 3 -'!$D42*100</f>
        <v>0.73804216339698414</v>
      </c>
      <c r="D42" s="16">
        <v>113438</v>
      </c>
      <c r="E42" s="267">
        <f>D42/'- 3 -'!$D42*100</f>
        <v>0.53146044569628448</v>
      </c>
    </row>
    <row r="43" spans="1:5" ht="14.1" customHeight="1" x14ac:dyDescent="0.2">
      <c r="A43" s="271" t="s">
        <v>139</v>
      </c>
      <c r="B43" s="272">
        <v>112270</v>
      </c>
      <c r="C43" s="273">
        <f>B43/'- 3 -'!$D43*100</f>
        <v>0.80896226720988496</v>
      </c>
      <c r="D43" s="272">
        <v>6000</v>
      </c>
      <c r="E43" s="273">
        <f>D43/'- 3 -'!$D43*100</f>
        <v>4.3233041803325115E-2</v>
      </c>
    </row>
    <row r="44" spans="1:5" ht="14.1" customHeight="1" x14ac:dyDescent="0.2">
      <c r="A44" s="15" t="s">
        <v>140</v>
      </c>
      <c r="B44" s="16">
        <v>46410</v>
      </c>
      <c r="C44" s="267">
        <f>B44/'- 3 -'!$D44*100</f>
        <v>0.41311841917980369</v>
      </c>
      <c r="D44" s="16">
        <v>29000</v>
      </c>
      <c r="E44" s="267">
        <f>D44/'- 3 -'!$D44*100</f>
        <v>0.25814337763874828</v>
      </c>
    </row>
    <row r="45" spans="1:5" ht="14.1" customHeight="1" x14ac:dyDescent="0.2">
      <c r="A45" s="271" t="s">
        <v>141</v>
      </c>
      <c r="B45" s="272">
        <v>51200</v>
      </c>
      <c r="C45" s="273">
        <f>B45/'- 3 -'!$D45*100</f>
        <v>0.22890010459661811</v>
      </c>
      <c r="D45" s="272">
        <v>47000</v>
      </c>
      <c r="E45" s="273">
        <f>D45/'- 3 -'!$D45*100</f>
        <v>0.21012314289142678</v>
      </c>
    </row>
    <row r="46" spans="1:5" ht="14.1" customHeight="1" x14ac:dyDescent="0.2">
      <c r="A46" s="15" t="s">
        <v>142</v>
      </c>
      <c r="B46" s="16">
        <v>2430100</v>
      </c>
      <c r="C46" s="267">
        <f>B46/'- 3 -'!$D46*100</f>
        <v>0.58224724531115579</v>
      </c>
      <c r="D46" s="16">
        <v>1603300</v>
      </c>
      <c r="E46" s="267">
        <f>D46/'- 3 -'!$D46*100</f>
        <v>0.3841475694034715</v>
      </c>
    </row>
    <row r="47" spans="1:5" ht="5.0999999999999996" customHeight="1" x14ac:dyDescent="0.2">
      <c r="A47"/>
      <c r="B47" s="507"/>
      <c r="C47"/>
      <c r="D47" s="507"/>
      <c r="E47"/>
    </row>
    <row r="48" spans="1:5" ht="14.1" customHeight="1" x14ac:dyDescent="0.2">
      <c r="A48" s="274" t="s">
        <v>143</v>
      </c>
      <c r="B48" s="275">
        <f>SUM(B11:B46)</f>
        <v>12328222</v>
      </c>
      <c r="C48" s="276">
        <f>B48/'- 3 -'!$D48*100</f>
        <v>0.49695099169908058</v>
      </c>
      <c r="D48" s="275">
        <f>SUM(D11:D46)</f>
        <v>8650532</v>
      </c>
      <c r="E48" s="276">
        <f>D48/'- 3 -'!$D48*100</f>
        <v>0.34870319954691203</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15000</v>
      </c>
      <c r="E50" s="267">
        <f>D50/'- 3 -'!$D50*100</f>
        <v>0.41804353951333595</v>
      </c>
    </row>
    <row r="51" spans="1:5" ht="14.1" customHeight="1" x14ac:dyDescent="0.2">
      <c r="A51" s="360" t="s">
        <v>513</v>
      </c>
      <c r="B51" s="272">
        <v>0</v>
      </c>
      <c r="C51" s="273">
        <f>B51/'- 3 -'!$D51*100</f>
        <v>0</v>
      </c>
      <c r="D51" s="272">
        <v>0</v>
      </c>
      <c r="E51" s="273">
        <f>D51/'- 3 -'!$D51*100</f>
        <v>0</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8:E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F59"/>
  <sheetViews>
    <sheetView showGridLines="0" showZeros="0" workbookViewId="0"/>
  </sheetViews>
  <sheetFormatPr defaultColWidth="15.83203125" defaultRowHeight="12" x14ac:dyDescent="0.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2" t="s">
        <v>536</v>
      </c>
    </row>
    <row r="3" spans="1:6" ht="15.95" customHeight="1" x14ac:dyDescent="0.2">
      <c r="A3" s="135"/>
      <c r="B3" s="7" t="str">
        <f>OPYEAR</f>
        <v>OPERATING FUND 2020/2021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70" t="s">
        <v>10</v>
      </c>
      <c r="C6" s="671"/>
      <c r="D6" s="671"/>
      <c r="E6" s="672"/>
    </row>
    <row r="7" spans="1:6" ht="15.95" customHeight="1" x14ac:dyDescent="0.2">
      <c r="B7" s="314"/>
      <c r="C7" s="270"/>
      <c r="D7" s="622" t="s">
        <v>430</v>
      </c>
      <c r="E7" s="623"/>
    </row>
    <row r="8" spans="1:6" ht="15.95" customHeight="1" x14ac:dyDescent="0.2">
      <c r="A8" s="82"/>
      <c r="B8" s="616" t="s">
        <v>32</v>
      </c>
      <c r="C8" s="617"/>
      <c r="D8" s="624"/>
      <c r="E8" s="625"/>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108</v>
      </c>
      <c r="B11" s="272">
        <v>18000</v>
      </c>
      <c r="C11" s="273">
        <f>B11/'- 3 -'!$D11*100</f>
        <v>8.1043330221719695E-2</v>
      </c>
      <c r="D11" s="272">
        <v>364595</v>
      </c>
      <c r="E11" s="273">
        <f>D11/'- 3 -'!$D11*100</f>
        <v>1.641555165677105</v>
      </c>
    </row>
    <row r="12" spans="1:6" ht="14.1" customHeight="1" x14ac:dyDescent="0.2">
      <c r="A12" s="15" t="s">
        <v>109</v>
      </c>
      <c r="B12" s="16">
        <v>30000</v>
      </c>
      <c r="C12" s="267">
        <f>B12/'- 3 -'!$D12*100</f>
        <v>8.6470871249369197E-2</v>
      </c>
      <c r="D12" s="16">
        <v>535000</v>
      </c>
      <c r="E12" s="267">
        <f>D12/'- 3 -'!$D12*100</f>
        <v>1.5420638706137506</v>
      </c>
    </row>
    <row r="13" spans="1:6" ht="14.1" customHeight="1" x14ac:dyDescent="0.2">
      <c r="A13" s="271" t="s">
        <v>110</v>
      </c>
      <c r="B13" s="272">
        <v>0</v>
      </c>
      <c r="C13" s="273">
        <f>B13/'- 3 -'!$D13*100</f>
        <v>0</v>
      </c>
      <c r="D13" s="272">
        <v>1846500</v>
      </c>
      <c r="E13" s="273">
        <f>D13/'- 3 -'!$D13*100</f>
        <v>1.7169030100894205</v>
      </c>
    </row>
    <row r="14" spans="1:6" ht="14.1" customHeight="1" x14ac:dyDescent="0.2">
      <c r="A14" s="15" t="s">
        <v>319</v>
      </c>
      <c r="B14" s="16">
        <v>60835</v>
      </c>
      <c r="C14" s="267">
        <f>B14/'- 3 -'!$D14*100</f>
        <v>6.2656822296456222E-2</v>
      </c>
      <c r="D14" s="16">
        <v>1391440</v>
      </c>
      <c r="E14" s="267">
        <f>D14/'- 3 -'!$D14*100</f>
        <v>1.4331093748036663</v>
      </c>
    </row>
    <row r="15" spans="1:6" ht="14.1" customHeight="1" x14ac:dyDescent="0.2">
      <c r="A15" s="271" t="s">
        <v>111</v>
      </c>
      <c r="B15" s="272">
        <v>0</v>
      </c>
      <c r="C15" s="273">
        <f>B15/'- 3 -'!$D15*100</f>
        <v>0</v>
      </c>
      <c r="D15" s="272">
        <v>330000</v>
      </c>
      <c r="E15" s="273">
        <f>D15/'- 3 -'!$D15*100</f>
        <v>1.5612594935813546</v>
      </c>
    </row>
    <row r="16" spans="1:6" ht="14.1" customHeight="1" x14ac:dyDescent="0.2">
      <c r="A16" s="15" t="s">
        <v>112</v>
      </c>
      <c r="B16" s="16">
        <v>17500</v>
      </c>
      <c r="C16" s="267">
        <f>B16/'- 3 -'!$D16*100</f>
        <v>0.11701166385638083</v>
      </c>
      <c r="D16" s="16">
        <v>228266</v>
      </c>
      <c r="E16" s="267">
        <f>D16/'- 3 -'!$D16*100</f>
        <v>1.5262733978194643</v>
      </c>
    </row>
    <row r="17" spans="1:5" ht="14.1" customHeight="1" x14ac:dyDescent="0.2">
      <c r="A17" s="271" t="s">
        <v>113</v>
      </c>
      <c r="B17" s="272">
        <v>83000</v>
      </c>
      <c r="C17" s="273">
        <f>B17/'- 3 -'!$D17*100</f>
        <v>0.44123717588006212</v>
      </c>
      <c r="D17" s="272">
        <v>316000</v>
      </c>
      <c r="E17" s="273">
        <f>D17/'- 3 -'!$D17*100</f>
        <v>1.6798909346758994</v>
      </c>
    </row>
    <row r="18" spans="1:5" ht="14.1" customHeight="1" x14ac:dyDescent="0.2">
      <c r="A18" s="15" t="s">
        <v>114</v>
      </c>
      <c r="B18" s="16">
        <v>15000</v>
      </c>
      <c r="C18" s="267">
        <f>B18/'- 3 -'!$D18*100</f>
        <v>1.0775808035100514E-2</v>
      </c>
      <c r="D18" s="16">
        <v>1275000</v>
      </c>
      <c r="E18" s="267">
        <f>D18/'- 3 -'!$D18*100</f>
        <v>0.91594368298354367</v>
      </c>
    </row>
    <row r="19" spans="1:5" ht="14.1" customHeight="1" x14ac:dyDescent="0.2">
      <c r="A19" s="271" t="s">
        <v>115</v>
      </c>
      <c r="B19" s="272">
        <v>34000</v>
      </c>
      <c r="C19" s="273">
        <f>B19/'- 3 -'!$D19*100</f>
        <v>6.5955894905101106E-2</v>
      </c>
      <c r="D19" s="272">
        <v>836000</v>
      </c>
      <c r="E19" s="273">
        <f>D19/'- 3 -'!$D19*100</f>
        <v>1.6217390629607211</v>
      </c>
    </row>
    <row r="20" spans="1:5" ht="14.1" customHeight="1" x14ac:dyDescent="0.2">
      <c r="A20" s="15" t="s">
        <v>116</v>
      </c>
      <c r="B20" s="16">
        <v>258800</v>
      </c>
      <c r="C20" s="267">
        <f>B20/'- 3 -'!$D20*100</f>
        <v>0.2815010926114665</v>
      </c>
      <c r="D20" s="16">
        <v>1555800</v>
      </c>
      <c r="E20" s="267">
        <f>D20/'- 3 -'!$D20*100</f>
        <v>1.6922697058922704</v>
      </c>
    </row>
    <row r="21" spans="1:5" ht="14.1" customHeight="1" x14ac:dyDescent="0.2">
      <c r="A21" s="271" t="s">
        <v>117</v>
      </c>
      <c r="B21" s="272">
        <v>42000</v>
      </c>
      <c r="C21" s="273">
        <f>B21/'- 3 -'!$D21*100</f>
        <v>0.10999155421994383</v>
      </c>
      <c r="D21" s="272">
        <v>655000</v>
      </c>
      <c r="E21" s="273">
        <f>D21/'- 3 -'!$D21*100</f>
        <v>1.7153444765253145</v>
      </c>
    </row>
    <row r="22" spans="1:5" ht="14.1" customHeight="1" x14ac:dyDescent="0.2">
      <c r="A22" s="15" t="s">
        <v>118</v>
      </c>
      <c r="B22" s="16">
        <v>10000</v>
      </c>
      <c r="C22" s="267">
        <f>B22/'- 3 -'!$D22*100</f>
        <v>4.8892762282167469E-2</v>
      </c>
      <c r="D22" s="16">
        <v>350000</v>
      </c>
      <c r="E22" s="267">
        <f>D22/'- 3 -'!$D22*100</f>
        <v>1.7112466798758612</v>
      </c>
    </row>
    <row r="23" spans="1:5" ht="14.1" customHeight="1" x14ac:dyDescent="0.2">
      <c r="A23" s="271" t="s">
        <v>119</v>
      </c>
      <c r="B23" s="272">
        <v>5000</v>
      </c>
      <c r="C23" s="273">
        <f>B23/'- 3 -'!$D23*100</f>
        <v>3.131318413436112E-2</v>
      </c>
      <c r="D23" s="272">
        <v>247800</v>
      </c>
      <c r="E23" s="273">
        <f>D23/'- 3 -'!$D23*100</f>
        <v>1.551881405698937</v>
      </c>
    </row>
    <row r="24" spans="1:5" ht="14.1" customHeight="1" x14ac:dyDescent="0.2">
      <c r="A24" s="15" t="s">
        <v>120</v>
      </c>
      <c r="B24" s="16">
        <v>60000</v>
      </c>
      <c r="C24" s="267">
        <f>B24/'- 3 -'!$D24*100</f>
        <v>0.10192131878032795</v>
      </c>
      <c r="D24" s="16">
        <v>960000</v>
      </c>
      <c r="E24" s="267">
        <f>D24/'- 3 -'!$D24*100</f>
        <v>1.6307411004852472</v>
      </c>
    </row>
    <row r="25" spans="1:5" ht="14.1" customHeight="1" x14ac:dyDescent="0.2">
      <c r="A25" s="271" t="s">
        <v>121</v>
      </c>
      <c r="B25" s="272">
        <v>189200</v>
      </c>
      <c r="C25" s="273">
        <f>B25/'- 3 -'!$D25*100</f>
        <v>9.7275453869298534E-2</v>
      </c>
      <c r="D25" s="272">
        <v>3243433</v>
      </c>
      <c r="E25" s="273">
        <f>D25/'- 3 -'!$D25*100</f>
        <v>1.6675814860975715</v>
      </c>
    </row>
    <row r="26" spans="1:5" ht="14.1" customHeight="1" x14ac:dyDescent="0.2">
      <c r="A26" s="15" t="s">
        <v>122</v>
      </c>
      <c r="B26" s="16">
        <v>140000</v>
      </c>
      <c r="C26" s="267">
        <f>B26/'- 3 -'!$D26*100</f>
        <v>0.33276180700689878</v>
      </c>
      <c r="D26" s="16">
        <v>655963</v>
      </c>
      <c r="E26" s="267">
        <f>D26/'- 3 -'!$D26*100</f>
        <v>1.559138808640474</v>
      </c>
    </row>
    <row r="27" spans="1:5" ht="14.1" customHeight="1" x14ac:dyDescent="0.2">
      <c r="A27" s="271" t="s">
        <v>123</v>
      </c>
      <c r="B27" s="272">
        <v>5500</v>
      </c>
      <c r="C27" s="273">
        <f>B27/'- 3 -'!$D27*100</f>
        <v>1.2858243222180368E-2</v>
      </c>
      <c r="D27" s="272">
        <v>702355</v>
      </c>
      <c r="E27" s="273">
        <f>D27/'- 3 -'!$D27*100</f>
        <v>1.6420093487844529</v>
      </c>
    </row>
    <row r="28" spans="1:5" ht="14.1" customHeight="1" x14ac:dyDescent="0.2">
      <c r="A28" s="15" t="s">
        <v>124</v>
      </c>
      <c r="B28" s="16">
        <v>96600</v>
      </c>
      <c r="C28" s="267">
        <f>B28/'- 3 -'!$D28*100</f>
        <v>0.33558025038663813</v>
      </c>
      <c r="D28" s="16">
        <v>414000</v>
      </c>
      <c r="E28" s="267">
        <f>D28/'- 3 -'!$D28*100</f>
        <v>1.4382010730855921</v>
      </c>
    </row>
    <row r="29" spans="1:5" ht="14.1" customHeight="1" x14ac:dyDescent="0.2">
      <c r="A29" s="271" t="s">
        <v>125</v>
      </c>
      <c r="B29" s="272">
        <v>250000</v>
      </c>
      <c r="C29" s="273">
        <f>B29/'- 3 -'!$D29*100</f>
        <v>0.14045101709261348</v>
      </c>
      <c r="D29" s="272">
        <v>3000000</v>
      </c>
      <c r="E29" s="273">
        <f>D29/'- 3 -'!$D29*100</f>
        <v>1.685412205111362</v>
      </c>
    </row>
    <row r="30" spans="1:5" ht="14.1" customHeight="1" x14ac:dyDescent="0.2">
      <c r="A30" s="15" t="s">
        <v>126</v>
      </c>
      <c r="B30" s="16">
        <v>8000</v>
      </c>
      <c r="C30" s="267">
        <f>B30/'- 3 -'!$D30*100</f>
        <v>5.0885406065540408E-2</v>
      </c>
      <c r="D30" s="16">
        <v>253561</v>
      </c>
      <c r="E30" s="267">
        <f>D30/'- 3 -'!$D30*100</f>
        <v>1.6128193059230613</v>
      </c>
    </row>
    <row r="31" spans="1:5" ht="14.1" customHeight="1" x14ac:dyDescent="0.2">
      <c r="A31" s="271" t="s">
        <v>127</v>
      </c>
      <c r="B31" s="272">
        <v>25000</v>
      </c>
      <c r="C31" s="273">
        <f>B31/'- 3 -'!$D31*100</f>
        <v>6.1202863451858144E-2</v>
      </c>
      <c r="D31" s="272">
        <v>680000</v>
      </c>
      <c r="E31" s="273">
        <f>D31/'- 3 -'!$D31*100</f>
        <v>1.6647178858905414</v>
      </c>
    </row>
    <row r="32" spans="1:5" ht="14.1" customHeight="1" x14ac:dyDescent="0.2">
      <c r="A32" s="15" t="s">
        <v>128</v>
      </c>
      <c r="B32" s="16">
        <v>88550</v>
      </c>
      <c r="C32" s="267">
        <f>B32/'- 3 -'!$D32*100</f>
        <v>0.27936230309374427</v>
      </c>
      <c r="D32" s="16">
        <v>508000</v>
      </c>
      <c r="E32" s="267">
        <f>D32/'- 3 -'!$D32*100</f>
        <v>1.6026657252582959</v>
      </c>
    </row>
    <row r="33" spans="1:5" ht="14.1" customHeight="1" x14ac:dyDescent="0.2">
      <c r="A33" s="271" t="s">
        <v>129</v>
      </c>
      <c r="B33" s="272">
        <v>47500</v>
      </c>
      <c r="C33" s="273">
        <f>B33/'- 3 -'!$D33*100</f>
        <v>0.16533387836661545</v>
      </c>
      <c r="D33" s="272">
        <v>462500</v>
      </c>
      <c r="E33" s="273">
        <f>D33/'- 3 -'!$D33*100</f>
        <v>1.6098298683065189</v>
      </c>
    </row>
    <row r="34" spans="1:5" ht="14.1" customHeight="1" x14ac:dyDescent="0.2">
      <c r="A34" s="15" t="s">
        <v>130</v>
      </c>
      <c r="B34" s="16">
        <v>134500</v>
      </c>
      <c r="C34" s="267">
        <f>B34/'- 3 -'!$D34*100</f>
        <v>0.42066114921873687</v>
      </c>
      <c r="D34" s="16">
        <v>523379</v>
      </c>
      <c r="E34" s="267">
        <f>D34/'- 3 -'!$D34*100</f>
        <v>1.6369160715015114</v>
      </c>
    </row>
    <row r="35" spans="1:5" ht="14.1" customHeight="1" x14ac:dyDescent="0.2">
      <c r="A35" s="271" t="s">
        <v>131</v>
      </c>
      <c r="B35" s="272">
        <v>64000</v>
      </c>
      <c r="C35" s="273">
        <f>B35/'- 3 -'!$D35*100</f>
        <v>3.2574243521217086E-2</v>
      </c>
      <c r="D35" s="272">
        <v>3400000</v>
      </c>
      <c r="E35" s="273">
        <f>D35/'- 3 -'!$D35*100</f>
        <v>1.7305066870646579</v>
      </c>
    </row>
    <row r="36" spans="1:5" ht="14.1" customHeight="1" x14ac:dyDescent="0.2">
      <c r="A36" s="15" t="s">
        <v>132</v>
      </c>
      <c r="B36" s="16">
        <v>60000</v>
      </c>
      <c r="C36" s="267">
        <f>B36/'- 3 -'!$D36*100</f>
        <v>0.24814721912784937</v>
      </c>
      <c r="D36" s="16">
        <v>391000</v>
      </c>
      <c r="E36" s="267">
        <f>D36/'- 3 -'!$D36*100</f>
        <v>1.617092711316485</v>
      </c>
    </row>
    <row r="37" spans="1:5" ht="14.1" customHeight="1" x14ac:dyDescent="0.2">
      <c r="A37" s="271" t="s">
        <v>133</v>
      </c>
      <c r="B37" s="272">
        <v>50000</v>
      </c>
      <c r="C37" s="273">
        <f>B37/'- 3 -'!$D37*100</f>
        <v>9.0728623429033886E-2</v>
      </c>
      <c r="D37" s="272">
        <v>900000</v>
      </c>
      <c r="E37" s="273">
        <f>D37/'- 3 -'!$D37*100</f>
        <v>1.6331152217226099</v>
      </c>
    </row>
    <row r="38" spans="1:5" ht="14.1" customHeight="1" x14ac:dyDescent="0.2">
      <c r="A38" s="15" t="s">
        <v>134</v>
      </c>
      <c r="B38" s="16">
        <v>250000</v>
      </c>
      <c r="C38" s="267">
        <f>B38/'- 3 -'!$D38*100</f>
        <v>0.16548881656365649</v>
      </c>
      <c r="D38" s="16">
        <v>2477660</v>
      </c>
      <c r="E38" s="267">
        <f>D38/'- 3 -'!$D38*100</f>
        <v>1.6401000849884366</v>
      </c>
    </row>
    <row r="39" spans="1:5" ht="14.1" customHeight="1" x14ac:dyDescent="0.2">
      <c r="A39" s="271" t="s">
        <v>135</v>
      </c>
      <c r="B39" s="272">
        <v>47900</v>
      </c>
      <c r="C39" s="273">
        <f>B39/'- 3 -'!$D39*100</f>
        <v>0.20399993185806037</v>
      </c>
      <c r="D39" s="272">
        <v>363550</v>
      </c>
      <c r="E39" s="273">
        <f>D39/'- 3 -'!$D39*100</f>
        <v>1.5483126352191616</v>
      </c>
    </row>
    <row r="40" spans="1:5" ht="14.1" customHeight="1" x14ac:dyDescent="0.2">
      <c r="A40" s="15" t="s">
        <v>136</v>
      </c>
      <c r="B40" s="16">
        <v>80100</v>
      </c>
      <c r="C40" s="267">
        <f>B40/'- 3 -'!$D40*100</f>
        <v>7.2902506822323077E-2</v>
      </c>
      <c r="D40" s="16">
        <v>1827230</v>
      </c>
      <c r="E40" s="267">
        <f>D40/'- 3 -'!$D40*100</f>
        <v>1.6630417920218898</v>
      </c>
    </row>
    <row r="41" spans="1:5" ht="14.1" customHeight="1" x14ac:dyDescent="0.2">
      <c r="A41" s="271" t="s">
        <v>137</v>
      </c>
      <c r="B41" s="272">
        <v>143000</v>
      </c>
      <c r="C41" s="273">
        <f>B41/'- 3 -'!$D41*100</f>
        <v>0.21442320218590508</v>
      </c>
      <c r="D41" s="272">
        <v>1064186</v>
      </c>
      <c r="E41" s="273">
        <f>D41/'- 3 -'!$D41*100</f>
        <v>1.5957074814084586</v>
      </c>
    </row>
    <row r="42" spans="1:5" ht="14.1" customHeight="1" x14ac:dyDescent="0.2">
      <c r="A42" s="15" t="s">
        <v>138</v>
      </c>
      <c r="B42" s="16">
        <v>5000</v>
      </c>
      <c r="C42" s="267">
        <f>B42/'- 3 -'!$D42*100</f>
        <v>2.3425150553442606E-2</v>
      </c>
      <c r="D42" s="16">
        <v>337000</v>
      </c>
      <c r="E42" s="267">
        <f>D42/'- 3 -'!$D42*100</f>
        <v>1.5788551473020318</v>
      </c>
    </row>
    <row r="43" spans="1:5" ht="14.1" customHeight="1" x14ac:dyDescent="0.2">
      <c r="A43" s="271" t="s">
        <v>139</v>
      </c>
      <c r="B43" s="272">
        <v>56000</v>
      </c>
      <c r="C43" s="273">
        <f>B43/'- 3 -'!$D43*100</f>
        <v>0.40350839016436774</v>
      </c>
      <c r="D43" s="272">
        <v>228489</v>
      </c>
      <c r="E43" s="273">
        <f>D43/'- 3 -'!$D43*100</f>
        <v>1.6463790814333252</v>
      </c>
    </row>
    <row r="44" spans="1:5" ht="14.1" customHeight="1" x14ac:dyDescent="0.2">
      <c r="A44" s="15" t="s">
        <v>140</v>
      </c>
      <c r="B44" s="16">
        <v>3000</v>
      </c>
      <c r="C44" s="267">
        <f>B44/'- 3 -'!$D44*100</f>
        <v>2.6704487341939479E-2</v>
      </c>
      <c r="D44" s="16">
        <v>182703</v>
      </c>
      <c r="E44" s="267">
        <f>D44/'- 3 -'!$D44*100</f>
        <v>1.6263299836114562</v>
      </c>
    </row>
    <row r="45" spans="1:5" ht="14.1" customHeight="1" x14ac:dyDescent="0.2">
      <c r="A45" s="271" t="s">
        <v>141</v>
      </c>
      <c r="B45" s="272">
        <v>35000</v>
      </c>
      <c r="C45" s="273">
        <f>B45/'- 3 -'!$D45*100</f>
        <v>0.15647468087659441</v>
      </c>
      <c r="D45" s="272">
        <v>379155</v>
      </c>
      <c r="E45" s="273">
        <f>D45/'- 3 -'!$D45*100</f>
        <v>1.6950902179361473</v>
      </c>
    </row>
    <row r="46" spans="1:5" ht="14.1" customHeight="1" x14ac:dyDescent="0.2">
      <c r="A46" s="15" t="s">
        <v>142</v>
      </c>
      <c r="B46" s="16">
        <v>658800</v>
      </c>
      <c r="C46" s="267">
        <f>B46/'- 3 -'!$D46*100</f>
        <v>0.15784720184806775</v>
      </c>
      <c r="D46" s="16">
        <v>7171500</v>
      </c>
      <c r="E46" s="267">
        <f>D46/'- 3 -'!$D46*100</f>
        <v>1.7182774864198815</v>
      </c>
    </row>
    <row r="47" spans="1:5" ht="5.0999999999999996" customHeight="1" x14ac:dyDescent="0.2">
      <c r="A47"/>
      <c r="B47" s="507"/>
      <c r="C47"/>
      <c r="D47"/>
      <c r="E47"/>
    </row>
    <row r="48" spans="1:5" ht="14.1" customHeight="1" x14ac:dyDescent="0.2">
      <c r="A48" s="274" t="s">
        <v>143</v>
      </c>
      <c r="B48" s="275">
        <f>SUM(B11:B46)</f>
        <v>3071785</v>
      </c>
      <c r="C48" s="276">
        <f>B48/'- 3 -'!$D48*100</f>
        <v>0.12382374376745976</v>
      </c>
      <c r="D48" s="275">
        <f>SUM(D11:D46)</f>
        <v>40057065</v>
      </c>
      <c r="E48" s="276">
        <f>D48/'- 3 -'!$D48*100</f>
        <v>1.6147014692227746</v>
      </c>
    </row>
    <row r="49" spans="1:5" ht="5.0999999999999996" customHeight="1" x14ac:dyDescent="0.2">
      <c r="A49" s="17" t="s">
        <v>1</v>
      </c>
      <c r="B49" s="18"/>
      <c r="C49" s="266"/>
      <c r="D49" s="18"/>
      <c r="E49" s="266"/>
    </row>
    <row r="50" spans="1:5" ht="14.1" customHeight="1" x14ac:dyDescent="0.2">
      <c r="A50" s="15" t="s">
        <v>144</v>
      </c>
      <c r="B50" s="16">
        <v>0</v>
      </c>
      <c r="C50" s="267">
        <f>B50/'- 3 -'!$D50*100</f>
        <v>0</v>
      </c>
      <c r="D50" s="16">
        <v>48000</v>
      </c>
      <c r="E50" s="267">
        <f>D50/'- 3 -'!$D50*100</f>
        <v>1.3377393264426753</v>
      </c>
    </row>
    <row r="51" spans="1:5" ht="14.1" customHeight="1" x14ac:dyDescent="0.2">
      <c r="A51" s="360" t="s">
        <v>513</v>
      </c>
      <c r="B51" s="272">
        <v>180000</v>
      </c>
      <c r="C51" s="273">
        <f>B51/'- 3 -'!$D51*100</f>
        <v>0.5177580810458805</v>
      </c>
      <c r="D51" s="272">
        <v>200000</v>
      </c>
      <c r="E51" s="273">
        <f>D51/'- 3 -'!$D51*100</f>
        <v>0.57528675671764495</v>
      </c>
    </row>
    <row r="52" spans="1:5" ht="50.1" customHeight="1" x14ac:dyDescent="0.2"/>
    <row r="53" spans="1:5" ht="15" customHeight="1" x14ac:dyDescent="0.2">
      <c r="C53" s="90"/>
    </row>
    <row r="54" spans="1:5" ht="14.45" customHeight="1" x14ac:dyDescent="0.2">
      <c r="C54" s="90"/>
    </row>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7:E8"/>
  </mergeCells>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59"/>
  <sheetViews>
    <sheetView showGridLines="0" showZeros="0" zoomScale="90" zoomScaleNormal="90" workbookViewId="0"/>
  </sheetViews>
  <sheetFormatPr defaultColWidth="15.83203125" defaultRowHeight="12" x14ac:dyDescent="0.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4" ht="6.95" customHeight="1" x14ac:dyDescent="0.2">
      <c r="A1" s="3"/>
      <c r="B1" s="4"/>
      <c r="C1" s="4"/>
      <c r="D1" s="4"/>
      <c r="E1" s="4"/>
    </row>
    <row r="2" spans="1:54" ht="15.95" customHeight="1" x14ac:dyDescent="0.2">
      <c r="A2" s="548" t="str">
        <f>IF(Lang=1,BA2,BB2)</f>
        <v>OPERATING FUND EXPENSE PER PUPIL</v>
      </c>
      <c r="B2" s="548"/>
      <c r="C2" s="548"/>
      <c r="D2" s="548"/>
      <c r="E2" s="548"/>
      <c r="BA2" s="459" t="s">
        <v>252</v>
      </c>
      <c r="BB2" s="460" t="s">
        <v>370</v>
      </c>
    </row>
    <row r="3" spans="1:54" ht="15.95" customHeight="1" x14ac:dyDescent="0.2">
      <c r="A3" s="549"/>
      <c r="B3" s="549"/>
      <c r="C3" s="549"/>
      <c r="D3" s="549"/>
      <c r="E3" s="549"/>
    </row>
    <row r="4" spans="1:54" ht="15.95" customHeight="1" x14ac:dyDescent="0.2">
      <c r="B4" s="4"/>
      <c r="C4" s="22"/>
      <c r="D4" s="23"/>
      <c r="E4" s="22"/>
    </row>
    <row r="5" spans="1:54" ht="15.95" customHeight="1" x14ac:dyDescent="0.2">
      <c r="B5" s="4"/>
      <c r="C5" s="4"/>
      <c r="D5" s="4"/>
      <c r="E5" s="4"/>
    </row>
    <row r="6" spans="1:54" ht="15.95" customHeight="1" x14ac:dyDescent="0.2">
      <c r="B6" s="4"/>
      <c r="C6" s="4"/>
      <c r="D6" s="4"/>
      <c r="E6" s="4"/>
    </row>
    <row r="7" spans="1:54" ht="15.95" customHeight="1" x14ac:dyDescent="0.2">
      <c r="B7" s="283" t="s">
        <v>582</v>
      </c>
      <c r="C7" s="294"/>
      <c r="D7" s="283" t="s">
        <v>586</v>
      </c>
      <c r="E7" s="297"/>
    </row>
    <row r="8" spans="1:54" ht="15.95" customHeight="1" x14ac:dyDescent="0.2">
      <c r="A8" s="24"/>
      <c r="B8" s="25"/>
      <c r="C8" s="26"/>
      <c r="D8" s="25"/>
      <c r="E8" s="26"/>
    </row>
    <row r="9" spans="1:54" ht="15.95" customHeight="1" x14ac:dyDescent="0.2">
      <c r="A9" s="27" t="s">
        <v>37</v>
      </c>
      <c r="B9" s="28" t="s">
        <v>253</v>
      </c>
      <c r="C9" s="28" t="s">
        <v>40</v>
      </c>
      <c r="D9" s="28" t="s">
        <v>253</v>
      </c>
      <c r="E9" s="28" t="s">
        <v>40</v>
      </c>
    </row>
    <row r="10" spans="1:54" ht="5.0999999999999996" customHeight="1" x14ac:dyDescent="0.2">
      <c r="A10" s="29"/>
    </row>
    <row r="11" spans="1:54" ht="14.1" customHeight="1" x14ac:dyDescent="0.2">
      <c r="A11" s="271" t="s">
        <v>108</v>
      </c>
      <c r="B11" s="272">
        <v>20793881</v>
      </c>
      <c r="C11" s="272">
        <v>11543</v>
      </c>
      <c r="D11" s="272">
        <f>'- 3 -'!F11</f>
        <v>22186031</v>
      </c>
      <c r="E11" s="272">
        <f>ROUND(D11/'- 7 -'!E11,0)</f>
        <v>11124</v>
      </c>
      <c r="F11" s="1" t="str">
        <f>IF(B11=D11,"Check","")</f>
        <v/>
      </c>
    </row>
    <row r="12" spans="1:54" ht="14.1" customHeight="1" x14ac:dyDescent="0.2">
      <c r="A12" s="15" t="s">
        <v>109</v>
      </c>
      <c r="B12" s="30">
        <v>34180286</v>
      </c>
      <c r="C12" s="30">
        <v>15983</v>
      </c>
      <c r="D12" s="16">
        <f>'- 3 -'!F12</f>
        <v>34017880</v>
      </c>
      <c r="E12" s="16">
        <f>ROUND(D12/'- 7 -'!E12,0)</f>
        <v>15793</v>
      </c>
      <c r="F12" s="1" t="str">
        <f t="shared" ref="F12:F51" si="0">IF(B12=D12,"Check","")</f>
        <v/>
      </c>
      <c r="G12" s="79"/>
    </row>
    <row r="13" spans="1:54" ht="14.1" customHeight="1" x14ac:dyDescent="0.2">
      <c r="A13" s="271" t="s">
        <v>110</v>
      </c>
      <c r="B13" s="272">
        <v>105345000</v>
      </c>
      <c r="C13" s="272">
        <v>12146</v>
      </c>
      <c r="D13" s="272">
        <f>'- 3 -'!F13</f>
        <v>107118700</v>
      </c>
      <c r="E13" s="272">
        <f>ROUND(D13/'- 7 -'!E13,0)</f>
        <v>12254</v>
      </c>
      <c r="F13" s="1" t="str">
        <f t="shared" si="0"/>
        <v/>
      </c>
      <c r="G13" s="79"/>
    </row>
    <row r="14" spans="1:54" ht="14.1" customHeight="1" x14ac:dyDescent="0.2">
      <c r="A14" s="15" t="s">
        <v>319</v>
      </c>
      <c r="B14" s="16">
        <v>93567947</v>
      </c>
      <c r="C14" s="16">
        <v>16194</v>
      </c>
      <c r="D14" s="16">
        <f>'- 3 -'!F14</f>
        <v>95237624</v>
      </c>
      <c r="E14" s="16">
        <f>ROUND(D14/'- 7 -'!E14,0)</f>
        <v>15891</v>
      </c>
      <c r="F14" s="1" t="str">
        <f t="shared" si="0"/>
        <v/>
      </c>
    </row>
    <row r="15" spans="1:54" ht="14.1" customHeight="1" x14ac:dyDescent="0.2">
      <c r="A15" s="271" t="s">
        <v>111</v>
      </c>
      <c r="B15" s="272">
        <v>20942615</v>
      </c>
      <c r="C15" s="272">
        <v>14938</v>
      </c>
      <c r="D15" s="272">
        <f>'- 3 -'!F15</f>
        <v>21065981</v>
      </c>
      <c r="E15" s="272">
        <f>ROUND(D15/'- 7 -'!E15,0)</f>
        <v>15101</v>
      </c>
      <c r="F15" s="1" t="str">
        <f t="shared" si="0"/>
        <v/>
      </c>
    </row>
    <row r="16" spans="1:54" ht="14.1" customHeight="1" x14ac:dyDescent="0.2">
      <c r="A16" s="15" t="s">
        <v>112</v>
      </c>
      <c r="B16" s="30">
        <v>14805360</v>
      </c>
      <c r="C16" s="30">
        <v>15759</v>
      </c>
      <c r="D16" s="16">
        <f>'- 3 -'!F16</f>
        <v>14848684</v>
      </c>
      <c r="E16" s="16">
        <f>ROUND(D16/'- 7 -'!E16,0)</f>
        <v>15663</v>
      </c>
      <c r="F16" s="1" t="str">
        <f t="shared" si="0"/>
        <v/>
      </c>
    </row>
    <row r="17" spans="1:6" ht="14.1" customHeight="1" x14ac:dyDescent="0.2">
      <c r="A17" s="271" t="s">
        <v>113</v>
      </c>
      <c r="B17" s="272">
        <v>18451585</v>
      </c>
      <c r="C17" s="272">
        <v>12836</v>
      </c>
      <c r="D17" s="272">
        <f>'- 3 -'!F17</f>
        <v>18515455</v>
      </c>
      <c r="E17" s="272">
        <f>ROUND(D17/'- 7 -'!E17,0)</f>
        <v>12805</v>
      </c>
      <c r="F17" s="1" t="str">
        <f t="shared" si="0"/>
        <v/>
      </c>
    </row>
    <row r="18" spans="1:6" ht="14.1" customHeight="1" x14ac:dyDescent="0.2">
      <c r="A18" s="15" t="s">
        <v>114</v>
      </c>
      <c r="B18" s="16">
        <v>132209745</v>
      </c>
      <c r="C18" s="16">
        <v>21460</v>
      </c>
      <c r="D18" s="16">
        <f>'- 3 -'!F18</f>
        <v>134920377</v>
      </c>
      <c r="E18" s="16">
        <f>ROUND(D18/'- 7 -'!E18,0)</f>
        <v>22528</v>
      </c>
      <c r="F18" s="1" t="str">
        <f t="shared" si="0"/>
        <v/>
      </c>
    </row>
    <row r="19" spans="1:6" ht="14.1" customHeight="1" x14ac:dyDescent="0.2">
      <c r="A19" s="271" t="s">
        <v>115</v>
      </c>
      <c r="B19" s="272">
        <v>50919000</v>
      </c>
      <c r="C19" s="272">
        <v>11722</v>
      </c>
      <c r="D19" s="272">
        <f>'- 3 -'!F19</f>
        <v>51461800</v>
      </c>
      <c r="E19" s="272">
        <f>ROUND(D19/'- 7 -'!E19,0)</f>
        <v>11568</v>
      </c>
      <c r="F19" s="1" t="str">
        <f t="shared" si="0"/>
        <v/>
      </c>
    </row>
    <row r="20" spans="1:6" ht="14.1" customHeight="1" x14ac:dyDescent="0.2">
      <c r="A20" s="15" t="s">
        <v>116</v>
      </c>
      <c r="B20" s="30">
        <v>88947800</v>
      </c>
      <c r="C20" s="30">
        <v>11200</v>
      </c>
      <c r="D20" s="16">
        <f>'- 3 -'!F20</f>
        <v>91821700</v>
      </c>
      <c r="E20" s="16">
        <f>ROUND(D20/'- 7 -'!E20,0)</f>
        <v>11278</v>
      </c>
      <c r="F20" s="1" t="str">
        <f t="shared" si="0"/>
        <v/>
      </c>
    </row>
    <row r="21" spans="1:6" ht="14.1" customHeight="1" x14ac:dyDescent="0.2">
      <c r="A21" s="271" t="s">
        <v>117</v>
      </c>
      <c r="B21" s="272">
        <v>37472500</v>
      </c>
      <c r="C21" s="272">
        <v>13316</v>
      </c>
      <c r="D21" s="272">
        <f>'- 3 -'!F21</f>
        <v>37869750</v>
      </c>
      <c r="E21" s="272">
        <f>ROUND(D21/'- 7 -'!E21,0)</f>
        <v>13520</v>
      </c>
      <c r="F21" s="1" t="str">
        <f t="shared" si="0"/>
        <v/>
      </c>
    </row>
    <row r="22" spans="1:6" ht="14.1" customHeight="1" x14ac:dyDescent="0.2">
      <c r="A22" s="15" t="s">
        <v>118</v>
      </c>
      <c r="B22" s="16">
        <v>19891087</v>
      </c>
      <c r="C22" s="16">
        <v>13937</v>
      </c>
      <c r="D22" s="16">
        <f>'- 3 -'!F22</f>
        <v>19754120</v>
      </c>
      <c r="E22" s="16">
        <f>ROUND(D22/'- 7 -'!E22,0)</f>
        <v>13771</v>
      </c>
      <c r="F22" s="1" t="str">
        <f t="shared" si="0"/>
        <v/>
      </c>
    </row>
    <row r="23" spans="1:6" ht="14.1" customHeight="1" x14ac:dyDescent="0.2">
      <c r="A23" s="271" t="s">
        <v>119</v>
      </c>
      <c r="B23" s="272">
        <v>15831524</v>
      </c>
      <c r="C23" s="272">
        <v>16726</v>
      </c>
      <c r="D23" s="272">
        <f>'- 3 -'!F23</f>
        <v>15403065</v>
      </c>
      <c r="E23" s="272">
        <f>ROUND(D23/'- 7 -'!E23,0)</f>
        <v>16527</v>
      </c>
      <c r="F23" s="1" t="str">
        <f t="shared" si="0"/>
        <v/>
      </c>
    </row>
    <row r="24" spans="1:6" ht="14.1" customHeight="1" x14ac:dyDescent="0.2">
      <c r="A24" s="15" t="s">
        <v>120</v>
      </c>
      <c r="B24" s="30">
        <v>57785250</v>
      </c>
      <c r="C24" s="30">
        <v>15227</v>
      </c>
      <c r="D24" s="16">
        <f>'- 3 -'!F24</f>
        <v>58113400</v>
      </c>
      <c r="E24" s="16">
        <f>ROUND(D24/'- 7 -'!E24,0)</f>
        <v>15622</v>
      </c>
      <c r="F24" s="1" t="str">
        <f t="shared" si="0"/>
        <v/>
      </c>
    </row>
    <row r="25" spans="1:6" ht="14.1" customHeight="1" x14ac:dyDescent="0.2">
      <c r="A25" s="271" t="s">
        <v>121</v>
      </c>
      <c r="B25" s="272">
        <v>189752771</v>
      </c>
      <c r="C25" s="272">
        <v>12714</v>
      </c>
      <c r="D25" s="272">
        <f>'- 3 -'!F25</f>
        <v>192224805</v>
      </c>
      <c r="E25" s="272">
        <f>ROUND(D25/'- 7 -'!E25,0)</f>
        <v>12691</v>
      </c>
      <c r="F25" s="1" t="str">
        <f t="shared" si="0"/>
        <v/>
      </c>
    </row>
    <row r="26" spans="1:6" ht="14.1" customHeight="1" x14ac:dyDescent="0.2">
      <c r="A26" s="15" t="s">
        <v>122</v>
      </c>
      <c r="B26" s="16">
        <v>41272629</v>
      </c>
      <c r="C26" s="16">
        <v>13726</v>
      </c>
      <c r="D26" s="16">
        <f>'- 3 -'!F26</f>
        <v>41971778</v>
      </c>
      <c r="E26" s="16">
        <f>ROUND(D26/'- 7 -'!E26,0)</f>
        <v>13614</v>
      </c>
      <c r="F26" s="1" t="str">
        <f t="shared" si="0"/>
        <v/>
      </c>
    </row>
    <row r="27" spans="1:6" ht="14.1" customHeight="1" x14ac:dyDescent="0.2">
      <c r="A27" s="271" t="s">
        <v>123</v>
      </c>
      <c r="B27" s="272">
        <v>41899241</v>
      </c>
      <c r="C27" s="272">
        <v>14023</v>
      </c>
      <c r="D27" s="272">
        <f>'- 3 -'!F27</f>
        <v>42716883</v>
      </c>
      <c r="E27" s="272">
        <f>ROUND(D27/'- 7 -'!E27,0)</f>
        <v>14211</v>
      </c>
      <c r="F27" s="1" t="str">
        <f t="shared" si="0"/>
        <v/>
      </c>
    </row>
    <row r="28" spans="1:6" ht="14.1" customHeight="1" x14ac:dyDescent="0.2">
      <c r="A28" s="15" t="s">
        <v>124</v>
      </c>
      <c r="B28" s="30">
        <v>28480084</v>
      </c>
      <c r="C28" s="30">
        <v>14194</v>
      </c>
      <c r="D28" s="16">
        <f>'- 3 -'!F28</f>
        <v>28600167</v>
      </c>
      <c r="E28" s="16">
        <f>ROUND(D28/'- 7 -'!E28,0)</f>
        <v>14166</v>
      </c>
      <c r="F28" s="1" t="str">
        <f t="shared" si="0"/>
        <v/>
      </c>
    </row>
    <row r="29" spans="1:6" ht="14.1" customHeight="1" x14ac:dyDescent="0.2">
      <c r="A29" s="271" t="s">
        <v>125</v>
      </c>
      <c r="B29" s="272">
        <v>174611668</v>
      </c>
      <c r="C29" s="272">
        <v>12594</v>
      </c>
      <c r="D29" s="272">
        <f>'- 3 -'!F29</f>
        <v>177562621</v>
      </c>
      <c r="E29" s="272">
        <f>ROUND(D29/'- 7 -'!E29,0)</f>
        <v>12344</v>
      </c>
      <c r="F29" s="1" t="str">
        <f t="shared" si="0"/>
        <v/>
      </c>
    </row>
    <row r="30" spans="1:6" ht="14.1" customHeight="1" x14ac:dyDescent="0.2">
      <c r="A30" s="15" t="s">
        <v>126</v>
      </c>
      <c r="B30" s="16">
        <v>15395695</v>
      </c>
      <c r="C30" s="16">
        <v>14628</v>
      </c>
      <c r="D30" s="16">
        <f>'- 3 -'!F30</f>
        <v>15706810</v>
      </c>
      <c r="E30" s="16">
        <f>ROUND(D30/'- 7 -'!E30,0)</f>
        <v>15009</v>
      </c>
      <c r="F30" s="1" t="str">
        <f t="shared" si="0"/>
        <v/>
      </c>
    </row>
    <row r="31" spans="1:6" ht="14.1" customHeight="1" x14ac:dyDescent="0.2">
      <c r="A31" s="271" t="s">
        <v>127</v>
      </c>
      <c r="B31" s="272">
        <v>39859992</v>
      </c>
      <c r="C31" s="272">
        <v>11947</v>
      </c>
      <c r="D31" s="272">
        <f>'- 3 -'!F31</f>
        <v>40786727</v>
      </c>
      <c r="E31" s="272">
        <f>ROUND(D31/'- 7 -'!E31,0)</f>
        <v>12168</v>
      </c>
      <c r="F31" s="1" t="str">
        <f t="shared" si="0"/>
        <v/>
      </c>
    </row>
    <row r="32" spans="1:6" ht="14.1" customHeight="1" x14ac:dyDescent="0.2">
      <c r="A32" s="15" t="s">
        <v>128</v>
      </c>
      <c r="B32" s="30">
        <v>30942551</v>
      </c>
      <c r="C32" s="30">
        <v>13866</v>
      </c>
      <c r="D32" s="16">
        <f>'- 3 -'!F32</f>
        <v>31370045</v>
      </c>
      <c r="E32" s="16">
        <f>ROUND(D32/'- 7 -'!E32,0)</f>
        <v>13432</v>
      </c>
      <c r="F32" s="1" t="str">
        <f t="shared" si="0"/>
        <v/>
      </c>
    </row>
    <row r="33" spans="1:6" ht="14.1" customHeight="1" x14ac:dyDescent="0.2">
      <c r="A33" s="271" t="s">
        <v>129</v>
      </c>
      <c r="B33" s="272">
        <v>28550579</v>
      </c>
      <c r="C33" s="272">
        <v>14087</v>
      </c>
      <c r="D33" s="272">
        <f>'- 3 -'!F33</f>
        <v>28698836</v>
      </c>
      <c r="E33" s="272">
        <f>ROUND(D33/'- 7 -'!E33,0)</f>
        <v>13896</v>
      </c>
      <c r="F33" s="1" t="str">
        <f t="shared" si="0"/>
        <v/>
      </c>
    </row>
    <row r="34" spans="1:6" ht="14.1" customHeight="1" x14ac:dyDescent="0.2">
      <c r="A34" s="15" t="s">
        <v>130</v>
      </c>
      <c r="B34" s="16">
        <v>31605601</v>
      </c>
      <c r="C34" s="16">
        <v>14154</v>
      </c>
      <c r="D34" s="16">
        <f>'- 3 -'!F34</f>
        <v>31910320</v>
      </c>
      <c r="E34" s="16">
        <f>ROUND(D34/'- 7 -'!E34,0)</f>
        <v>13998</v>
      </c>
      <c r="F34" s="1" t="str">
        <f t="shared" si="0"/>
        <v/>
      </c>
    </row>
    <row r="35" spans="1:6" ht="14.1" customHeight="1" x14ac:dyDescent="0.2">
      <c r="A35" s="271" t="s">
        <v>131</v>
      </c>
      <c r="B35" s="272">
        <v>193488735</v>
      </c>
      <c r="C35" s="272">
        <v>11881</v>
      </c>
      <c r="D35" s="272">
        <f>'- 3 -'!F35</f>
        <v>195891460</v>
      </c>
      <c r="E35" s="272">
        <f>ROUND(D35/'- 7 -'!E35,0)</f>
        <v>12019</v>
      </c>
      <c r="F35" s="1" t="str">
        <f t="shared" si="0"/>
        <v/>
      </c>
    </row>
    <row r="36" spans="1:6" ht="14.1" customHeight="1" x14ac:dyDescent="0.2">
      <c r="A36" s="15" t="s">
        <v>132</v>
      </c>
      <c r="B36" s="30">
        <v>24137655</v>
      </c>
      <c r="C36" s="30">
        <v>14046</v>
      </c>
      <c r="D36" s="16">
        <f>'- 3 -'!F36</f>
        <v>24148370</v>
      </c>
      <c r="E36" s="16">
        <f>ROUND(D36/'- 7 -'!E36,0)</f>
        <v>13835</v>
      </c>
      <c r="F36" s="1" t="str">
        <f t="shared" si="0"/>
        <v/>
      </c>
    </row>
    <row r="37" spans="1:6" ht="14.1" customHeight="1" x14ac:dyDescent="0.2">
      <c r="A37" s="271" t="s">
        <v>133</v>
      </c>
      <c r="B37" s="272">
        <v>53684071</v>
      </c>
      <c r="C37" s="272">
        <v>12378</v>
      </c>
      <c r="D37" s="272">
        <f>'- 3 -'!F37</f>
        <v>54406871</v>
      </c>
      <c r="E37" s="272">
        <f>ROUND(D37/'- 7 -'!E37,0)</f>
        <v>12467</v>
      </c>
      <c r="F37" s="1" t="str">
        <f t="shared" si="0"/>
        <v/>
      </c>
    </row>
    <row r="38" spans="1:6" ht="14.1" customHeight="1" x14ac:dyDescent="0.2">
      <c r="A38" s="15" t="s">
        <v>134</v>
      </c>
      <c r="B38" s="16">
        <v>144199791</v>
      </c>
      <c r="C38" s="16">
        <v>12572</v>
      </c>
      <c r="D38" s="16">
        <f>'- 3 -'!F38</f>
        <v>146437415</v>
      </c>
      <c r="E38" s="16">
        <f>ROUND(D38/'- 7 -'!E38,0)</f>
        <v>12565</v>
      </c>
      <c r="F38" s="1" t="str">
        <f t="shared" si="0"/>
        <v/>
      </c>
    </row>
    <row r="39" spans="1:6" ht="14.1" customHeight="1" x14ac:dyDescent="0.2">
      <c r="A39" s="271" t="s">
        <v>135</v>
      </c>
      <c r="B39" s="272">
        <v>23223300</v>
      </c>
      <c r="C39" s="272">
        <v>15451</v>
      </c>
      <c r="D39" s="272">
        <f>'- 3 -'!F39</f>
        <v>23319600</v>
      </c>
      <c r="E39" s="272">
        <f>ROUND(D39/'- 7 -'!E39,0)</f>
        <v>15644</v>
      </c>
      <c r="F39" s="1" t="str">
        <f t="shared" si="0"/>
        <v/>
      </c>
    </row>
    <row r="40" spans="1:6" ht="14.1" customHeight="1" x14ac:dyDescent="0.2">
      <c r="A40" s="15" t="s">
        <v>136</v>
      </c>
      <c r="B40" s="30">
        <v>108047007</v>
      </c>
      <c r="C40" s="30">
        <v>12927</v>
      </c>
      <c r="D40" s="16">
        <f>'- 3 -'!F40</f>
        <v>108740149</v>
      </c>
      <c r="E40" s="16">
        <f>ROUND(D40/'- 7 -'!E40,0)</f>
        <v>13225</v>
      </c>
      <c r="F40" s="1" t="str">
        <f t="shared" si="0"/>
        <v/>
      </c>
    </row>
    <row r="41" spans="1:6" ht="14.1" customHeight="1" x14ac:dyDescent="0.2">
      <c r="A41" s="271" t="s">
        <v>137</v>
      </c>
      <c r="B41" s="272">
        <v>63811727</v>
      </c>
      <c r="C41" s="272">
        <v>14356</v>
      </c>
      <c r="D41" s="272">
        <f>'- 3 -'!F41</f>
        <v>65341470</v>
      </c>
      <c r="E41" s="272">
        <f>ROUND(D41/'- 7 -'!E41,0)</f>
        <v>14540</v>
      </c>
      <c r="F41" s="1" t="str">
        <f t="shared" si="0"/>
        <v/>
      </c>
    </row>
    <row r="42" spans="1:6" ht="14.1" customHeight="1" x14ac:dyDescent="0.2">
      <c r="A42" s="15" t="s">
        <v>138</v>
      </c>
      <c r="B42" s="16">
        <v>21213255</v>
      </c>
      <c r="C42" s="16">
        <v>15411</v>
      </c>
      <c r="D42" s="16">
        <f>'- 3 -'!F42</f>
        <v>21280382</v>
      </c>
      <c r="E42" s="16">
        <f>ROUND(D42/'- 7 -'!E42,0)</f>
        <v>15550</v>
      </c>
      <c r="F42" s="1" t="str">
        <f t="shared" si="0"/>
        <v/>
      </c>
    </row>
    <row r="43" spans="1:6" ht="14.1" customHeight="1" x14ac:dyDescent="0.2">
      <c r="A43" s="271" t="s">
        <v>139</v>
      </c>
      <c r="B43" s="272">
        <v>13653100</v>
      </c>
      <c r="C43" s="272">
        <v>13729</v>
      </c>
      <c r="D43" s="272">
        <f>'- 3 -'!F43</f>
        <v>13660582</v>
      </c>
      <c r="E43" s="272">
        <f>ROUND(D43/'- 7 -'!E43,0)</f>
        <v>13593</v>
      </c>
      <c r="F43" s="1" t="str">
        <f t="shared" si="0"/>
        <v/>
      </c>
    </row>
    <row r="44" spans="1:6" ht="14.1" customHeight="1" x14ac:dyDescent="0.2">
      <c r="A44" s="15" t="s">
        <v>140</v>
      </c>
      <c r="B44" s="30">
        <v>11350145</v>
      </c>
      <c r="C44" s="30">
        <v>16226</v>
      </c>
      <c r="D44" s="16">
        <f>'- 3 -'!F44</f>
        <v>11209188</v>
      </c>
      <c r="E44" s="16">
        <f>ROUND(D44/'- 7 -'!E44,0)</f>
        <v>16163</v>
      </c>
      <c r="F44" s="1" t="str">
        <f t="shared" si="0"/>
        <v/>
      </c>
    </row>
    <row r="45" spans="1:6" ht="14.1" customHeight="1" x14ac:dyDescent="0.2">
      <c r="A45" s="271" t="s">
        <v>141</v>
      </c>
      <c r="B45" s="272">
        <v>20818988</v>
      </c>
      <c r="C45" s="272">
        <v>11163</v>
      </c>
      <c r="D45" s="272">
        <f>'- 3 -'!F45</f>
        <v>21880615</v>
      </c>
      <c r="E45" s="272">
        <f>ROUND(D45/'- 7 -'!E45,0)</f>
        <v>10545</v>
      </c>
      <c r="F45" s="1" t="str">
        <f t="shared" si="0"/>
        <v/>
      </c>
    </row>
    <row r="46" spans="1:6" ht="14.1" customHeight="1" x14ac:dyDescent="0.2">
      <c r="A46" s="15" t="s">
        <v>142</v>
      </c>
      <c r="B46" s="16">
        <v>402824250</v>
      </c>
      <c r="C46" s="16">
        <v>13353</v>
      </c>
      <c r="D46" s="16">
        <f>'- 3 -'!F46</f>
        <v>407643450</v>
      </c>
      <c r="E46" s="16">
        <f>ROUND(D46/'- 7 -'!E46,0)</f>
        <v>13626</v>
      </c>
      <c r="F46" s="1" t="str">
        <f t="shared" si="0"/>
        <v/>
      </c>
    </row>
    <row r="47" spans="1:6" ht="5.0999999999999996" customHeight="1" x14ac:dyDescent="0.2">
      <c r="A47"/>
      <c r="B47"/>
      <c r="C47"/>
      <c r="D47"/>
      <c r="E47"/>
    </row>
    <row r="48" spans="1:6" ht="14.1" customHeight="1" x14ac:dyDescent="0.2">
      <c r="A48" s="274" t="s">
        <v>143</v>
      </c>
      <c r="B48" s="275">
        <v>2413966415</v>
      </c>
      <c r="C48" s="275">
        <v>13374</v>
      </c>
      <c r="D48" s="275">
        <f>SUM(D11:D46)</f>
        <v>2447843111</v>
      </c>
      <c r="E48" s="275">
        <f>ROUND(D48/'- 7 -'!E48,0)</f>
        <v>13436</v>
      </c>
      <c r="F48" s="1" t="str">
        <f t="shared" si="0"/>
        <v/>
      </c>
    </row>
    <row r="49" spans="1:6" ht="5.0999999999999996" customHeight="1" x14ac:dyDescent="0.2">
      <c r="A49" s="17" t="s">
        <v>1</v>
      </c>
      <c r="B49" s="18"/>
      <c r="C49" s="18"/>
      <c r="D49" s="18"/>
      <c r="E49" s="18"/>
    </row>
    <row r="50" spans="1:6" ht="14.1" customHeight="1" x14ac:dyDescent="0.2">
      <c r="A50" s="15" t="s">
        <v>144</v>
      </c>
      <c r="B50" s="16">
        <v>3421747</v>
      </c>
      <c r="C50" s="16">
        <v>20428</v>
      </c>
      <c r="D50" s="16">
        <f>'- 3 -'!F50</f>
        <v>3385611</v>
      </c>
      <c r="E50" s="16">
        <f>ROUND(D50/'- 7 -'!E50,0)</f>
        <v>19684</v>
      </c>
      <c r="F50" s="1" t="str">
        <f t="shared" si="0"/>
        <v/>
      </c>
    </row>
    <row r="51" spans="1:6" ht="14.1" customHeight="1" x14ac:dyDescent="0.2">
      <c r="A51" s="360" t="s">
        <v>513</v>
      </c>
      <c r="B51" s="353">
        <v>19835296</v>
      </c>
      <c r="C51" s="353">
        <v>14128</v>
      </c>
      <c r="D51" s="272">
        <f>'- 3 -'!F51</f>
        <v>21242642</v>
      </c>
      <c r="E51" s="272">
        <f>ROUND(D51/'- 7 -'!E51,0)</f>
        <v>11974</v>
      </c>
      <c r="F51" s="1" t="str">
        <f t="shared" si="0"/>
        <v/>
      </c>
    </row>
    <row r="52" spans="1:6" ht="50.1" customHeight="1" x14ac:dyDescent="0.2">
      <c r="A52" s="19"/>
      <c r="B52" s="19"/>
      <c r="C52" s="19"/>
      <c r="D52" s="19"/>
      <c r="E52" s="19"/>
    </row>
    <row r="53" spans="1:6" ht="15" customHeight="1" x14ac:dyDescent="0.2">
      <c r="A53" s="550" t="s">
        <v>564</v>
      </c>
      <c r="B53" s="550"/>
      <c r="C53" s="550"/>
      <c r="D53" s="550"/>
      <c r="E53" s="550"/>
    </row>
    <row r="54" spans="1:6" ht="12" customHeight="1" x14ac:dyDescent="0.2">
      <c r="A54" s="551"/>
      <c r="B54" s="551"/>
      <c r="C54" s="551"/>
      <c r="D54" s="551"/>
      <c r="E54" s="551"/>
    </row>
    <row r="55" spans="1:6" ht="12" customHeight="1" x14ac:dyDescent="0.2">
      <c r="A55" s="551"/>
      <c r="B55" s="551"/>
      <c r="C55" s="551"/>
      <c r="D55" s="551"/>
      <c r="E55" s="551"/>
    </row>
    <row r="56" spans="1:6" ht="12" customHeight="1" x14ac:dyDescent="0.2">
      <c r="A56" s="2"/>
      <c r="B56" s="31"/>
      <c r="C56" s="31"/>
      <c r="D56" s="31"/>
      <c r="E56" s="31"/>
    </row>
    <row r="57" spans="1:6" ht="12" customHeight="1" x14ac:dyDescent="0.2"/>
    <row r="58" spans="1:6" ht="14.45" customHeight="1" x14ac:dyDescent="0.2">
      <c r="A58" s="2"/>
    </row>
    <row r="59" spans="1:6" ht="14.45" customHeight="1" x14ac:dyDescent="0.2">
      <c r="A59" s="2"/>
    </row>
  </sheetData>
  <mergeCells count="2">
    <mergeCell ref="A2:E3"/>
    <mergeCell ref="A53:E55"/>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B59"/>
  <sheetViews>
    <sheetView showGridLines="0" showZeros="0" workbookViewId="0"/>
  </sheetViews>
  <sheetFormatPr defaultColWidth="15.83203125" defaultRowHeight="12" x14ac:dyDescent="0.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54" ht="6.95" customHeight="1" x14ac:dyDescent="0.2">
      <c r="A1" s="3"/>
      <c r="B1" s="4"/>
      <c r="C1" s="4"/>
      <c r="D1" s="4"/>
      <c r="E1" s="4"/>
      <c r="F1" s="4"/>
      <c r="G1" s="4"/>
      <c r="H1" s="4"/>
    </row>
    <row r="2" spans="1:54" ht="15.95" customHeight="1" x14ac:dyDescent="0.2">
      <c r="A2" s="132"/>
      <c r="B2" s="5" t="str">
        <f>IF(Lang=1,BA2,BB2)</f>
        <v>ANALYSIS OF  TRANSPORTATION EXPENSES</v>
      </c>
      <c r="C2" s="6"/>
      <c r="D2" s="6"/>
      <c r="E2" s="6"/>
      <c r="F2" s="85"/>
      <c r="G2" s="85"/>
      <c r="H2" s="85"/>
      <c r="BA2" s="456" t="s">
        <v>259</v>
      </c>
      <c r="BB2" s="456" t="s">
        <v>436</v>
      </c>
    </row>
    <row r="3" spans="1:54" ht="15.95" customHeight="1" x14ac:dyDescent="0.2">
      <c r="A3" s="135"/>
      <c r="B3" s="7" t="str">
        <f>OPYEAR</f>
        <v>OPERATING FUND 2020/2021 BUDGET</v>
      </c>
      <c r="C3" s="8"/>
      <c r="D3" s="8"/>
      <c r="E3" s="8"/>
      <c r="F3" s="87"/>
      <c r="G3" s="87"/>
      <c r="H3" s="87"/>
    </row>
    <row r="4" spans="1:54" ht="15.95" customHeight="1" x14ac:dyDescent="0.2">
      <c r="B4" s="4"/>
      <c r="C4" s="4"/>
      <c r="D4" s="4"/>
      <c r="E4" s="4"/>
      <c r="F4" s="4"/>
      <c r="G4" s="4"/>
      <c r="H4" s="4"/>
    </row>
    <row r="5" spans="1:54" ht="15.95" customHeight="1" x14ac:dyDescent="0.2">
      <c r="B5" s="4"/>
      <c r="C5" s="4"/>
      <c r="D5" s="4"/>
      <c r="E5" s="4"/>
      <c r="F5" s="4"/>
      <c r="G5" s="4"/>
      <c r="H5" s="4"/>
    </row>
    <row r="6" spans="1:54" ht="15.95" customHeight="1" x14ac:dyDescent="0.2">
      <c r="B6" s="628" t="s">
        <v>11</v>
      </c>
      <c r="C6" s="630"/>
      <c r="D6" s="630"/>
      <c r="E6" s="630"/>
      <c r="F6" s="630"/>
      <c r="G6" s="630"/>
      <c r="H6" s="615"/>
    </row>
    <row r="7" spans="1:54" ht="15.95" customHeight="1" x14ac:dyDescent="0.2">
      <c r="B7" s="629" t="s">
        <v>26</v>
      </c>
      <c r="C7" s="631"/>
      <c r="D7" s="631"/>
      <c r="E7" s="631"/>
      <c r="F7" s="631"/>
      <c r="G7" s="631"/>
      <c r="H7" s="617"/>
    </row>
    <row r="8" spans="1:54" ht="15.95" customHeight="1" x14ac:dyDescent="0.2">
      <c r="A8" s="82"/>
      <c r="B8" s="22"/>
      <c r="C8" s="579" t="s">
        <v>431</v>
      </c>
      <c r="D8" s="540" t="s">
        <v>396</v>
      </c>
      <c r="E8" s="702" t="s">
        <v>432</v>
      </c>
      <c r="F8" s="704" t="s">
        <v>434</v>
      </c>
      <c r="G8" s="704" t="s">
        <v>433</v>
      </c>
      <c r="H8" s="704" t="s">
        <v>434</v>
      </c>
    </row>
    <row r="9" spans="1:54" ht="15.95" customHeight="1" x14ac:dyDescent="0.2">
      <c r="A9" s="27" t="s">
        <v>37</v>
      </c>
      <c r="B9" s="89" t="s">
        <v>38</v>
      </c>
      <c r="C9" s="580"/>
      <c r="D9" s="580"/>
      <c r="E9" s="703"/>
      <c r="F9" s="703"/>
      <c r="G9" s="705"/>
      <c r="H9" s="703"/>
    </row>
    <row r="10" spans="1:54" ht="5.0999999999999996" customHeight="1" x14ac:dyDescent="0.2">
      <c r="A10" s="29"/>
    </row>
    <row r="11" spans="1:54" ht="14.1" customHeight="1" x14ac:dyDescent="0.2">
      <c r="A11" s="271" t="s">
        <v>108</v>
      </c>
      <c r="B11" s="303">
        <f>'- 29 -'!$D11</f>
        <v>1080023</v>
      </c>
      <c r="C11" s="303">
        <v>762</v>
      </c>
      <c r="D11" s="303">
        <f ca="1">IF(AND(CELL("type",C11)="v",C11&gt;0),B11/C11,"")</f>
        <v>1417.3530183727034</v>
      </c>
      <c r="E11" s="303">
        <v>604266</v>
      </c>
      <c r="F11" s="304">
        <f ca="1">IF(AND(CELL("type",E11)="v",E11&gt;0),B11/E11,"")</f>
        <v>1.7873304140891595</v>
      </c>
      <c r="G11" s="303">
        <v>375150</v>
      </c>
      <c r="H11" s="304">
        <f ca="1">IF(AND(CELL("type",G11)="v",G11&gt;0),B11/G11,"")</f>
        <v>2.878909769425563</v>
      </c>
    </row>
    <row r="12" spans="1:54" ht="14.1" customHeight="1" x14ac:dyDescent="0.2">
      <c r="A12" s="15" t="s">
        <v>109</v>
      </c>
      <c r="B12" s="139">
        <f>'- 29 -'!$D12</f>
        <v>2087332</v>
      </c>
      <c r="C12" s="139">
        <v>1515</v>
      </c>
      <c r="D12" s="139">
        <f t="shared" ref="D12:D46" ca="1" si="0">IF(AND(CELL("type",C12)="v",C12&gt;0),B12/C12,"")</f>
        <v>1377.7768976897689</v>
      </c>
      <c r="E12" s="139">
        <v>1171000</v>
      </c>
      <c r="F12" s="145">
        <f t="shared" ref="F12:F46" ca="1" si="1">IF(AND(CELL("type",E12)="v",E12&gt;0),B12/E12,"")</f>
        <v>1.7825209222886422</v>
      </c>
      <c r="G12" s="139">
        <v>733000</v>
      </c>
      <c r="H12" s="145">
        <f t="shared" ref="H12:H46" ca="1" si="2">IF(AND(CELL("type",G12)="v",G12&gt;0),B12/G12,"")</f>
        <v>2.8476562073669851</v>
      </c>
    </row>
    <row r="13" spans="1:54" ht="14.1" customHeight="1" x14ac:dyDescent="0.2">
      <c r="A13" s="271" t="s">
        <v>110</v>
      </c>
      <c r="B13" s="303">
        <f>'- 29 -'!$D13</f>
        <v>2367800</v>
      </c>
      <c r="C13" s="303">
        <v>3619</v>
      </c>
      <c r="D13" s="303">
        <f t="shared" ca="1" si="0"/>
        <v>654.26913512019894</v>
      </c>
      <c r="E13" s="303">
        <v>851680</v>
      </c>
      <c r="F13" s="304">
        <f t="shared" ca="1" si="1"/>
        <v>2.7801521698290439</v>
      </c>
      <c r="G13" s="303">
        <v>518062</v>
      </c>
      <c r="H13" s="304">
        <f t="shared" ca="1" si="2"/>
        <v>4.57049542332771</v>
      </c>
    </row>
    <row r="14" spans="1:54" ht="14.1" customHeight="1" x14ac:dyDescent="0.2">
      <c r="A14" s="15" t="s">
        <v>319</v>
      </c>
      <c r="B14" s="139">
        <f>'- 29 -'!$D14</f>
        <v>9644389</v>
      </c>
      <c r="C14" s="139">
        <v>4885</v>
      </c>
      <c r="D14" s="139">
        <f t="shared" ca="1" si="0"/>
        <v>1974.2863868986694</v>
      </c>
      <c r="E14" s="139">
        <v>3351726</v>
      </c>
      <c r="F14" s="145">
        <f t="shared" ca="1" si="1"/>
        <v>2.8774395639739048</v>
      </c>
      <c r="G14" s="139">
        <v>1753353</v>
      </c>
      <c r="H14" s="145">
        <f t="shared" ca="1" si="2"/>
        <v>5.500540393178099</v>
      </c>
    </row>
    <row r="15" spans="1:54" ht="14.1" customHeight="1" x14ac:dyDescent="0.2">
      <c r="A15" s="271" t="s">
        <v>111</v>
      </c>
      <c r="B15" s="303">
        <f>'- 29 -'!$D15</f>
        <v>1422890</v>
      </c>
      <c r="C15" s="303">
        <v>975</v>
      </c>
      <c r="D15" s="303">
        <f t="shared" ca="1" si="0"/>
        <v>1459.374358974359</v>
      </c>
      <c r="E15" s="303">
        <v>755000</v>
      </c>
      <c r="F15" s="304">
        <f t="shared" ca="1" si="1"/>
        <v>1.8846225165562913</v>
      </c>
      <c r="G15" s="303">
        <v>469000</v>
      </c>
      <c r="H15" s="304">
        <f t="shared" ca="1" si="2"/>
        <v>3.0338805970149254</v>
      </c>
    </row>
    <row r="16" spans="1:54" ht="14.1" customHeight="1" x14ac:dyDescent="0.2">
      <c r="A16" s="15" t="s">
        <v>112</v>
      </c>
      <c r="B16" s="139">
        <f>'- 29 -'!$D16</f>
        <v>372233</v>
      </c>
      <c r="C16" s="139">
        <v>293</v>
      </c>
      <c r="D16" s="139">
        <f t="shared" ca="1" si="0"/>
        <v>1270.4197952218431</v>
      </c>
      <c r="E16" s="139">
        <v>56510</v>
      </c>
      <c r="F16" s="145">
        <f t="shared" ca="1" si="1"/>
        <v>6.5870288444523091</v>
      </c>
      <c r="G16" s="139">
        <v>36417</v>
      </c>
      <c r="H16" s="145">
        <f t="shared" ca="1" si="2"/>
        <v>10.221407584369937</v>
      </c>
    </row>
    <row r="17" spans="1:8" ht="14.1" customHeight="1" x14ac:dyDescent="0.2">
      <c r="A17" s="271" t="s">
        <v>113</v>
      </c>
      <c r="B17" s="303">
        <f>'- 29 -'!$D17</f>
        <v>1367580</v>
      </c>
      <c r="C17" s="303">
        <v>718</v>
      </c>
      <c r="D17" s="303">
        <f t="shared" ca="1" si="0"/>
        <v>1904.707520891365</v>
      </c>
      <c r="E17" s="303">
        <v>975500</v>
      </c>
      <c r="F17" s="304">
        <f t="shared" ca="1" si="1"/>
        <v>1.4019272168118913</v>
      </c>
      <c r="G17" s="303">
        <v>597645</v>
      </c>
      <c r="H17" s="304">
        <f t="shared" ca="1" si="2"/>
        <v>2.2882815049067591</v>
      </c>
    </row>
    <row r="18" spans="1:8" ht="14.1" customHeight="1" x14ac:dyDescent="0.2">
      <c r="A18" s="15" t="s">
        <v>114</v>
      </c>
      <c r="B18" s="139">
        <f>'- 29 -'!$D18</f>
        <v>7882749</v>
      </c>
      <c r="C18" s="139">
        <v>5100</v>
      </c>
      <c r="D18" s="139">
        <f t="shared" ca="1" si="0"/>
        <v>1545.6370588235295</v>
      </c>
      <c r="E18" s="139">
        <v>1670000</v>
      </c>
      <c r="F18" s="145">
        <f t="shared" ca="1" si="1"/>
        <v>4.7202089820359285</v>
      </c>
      <c r="G18" s="139">
        <v>1113000</v>
      </c>
      <c r="H18" s="145">
        <f t="shared" ca="1" si="2"/>
        <v>7.082433962264151</v>
      </c>
    </row>
    <row r="19" spans="1:8" ht="14.1" customHeight="1" x14ac:dyDescent="0.2">
      <c r="A19" s="271" t="s">
        <v>115</v>
      </c>
      <c r="B19" s="303">
        <f>'- 29 -'!$D19</f>
        <v>2811300</v>
      </c>
      <c r="C19" s="303">
        <v>2750</v>
      </c>
      <c r="D19" s="303">
        <f t="shared" ca="1" si="0"/>
        <v>1022.2909090909091</v>
      </c>
      <c r="E19" s="303">
        <v>842166</v>
      </c>
      <c r="F19" s="304">
        <f t="shared" ca="1" si="1"/>
        <v>3.3381779839129102</v>
      </c>
      <c r="G19" s="303">
        <v>487329</v>
      </c>
      <c r="H19" s="304">
        <f t="shared" ca="1" si="2"/>
        <v>5.7687927457631289</v>
      </c>
    </row>
    <row r="20" spans="1:8" ht="14.1" customHeight="1" x14ac:dyDescent="0.2">
      <c r="A20" s="15" t="s">
        <v>116</v>
      </c>
      <c r="B20" s="139">
        <f>'- 29 -'!$D20</f>
        <v>3502800</v>
      </c>
      <c r="C20" s="139">
        <v>5386</v>
      </c>
      <c r="D20" s="139">
        <f t="shared" ca="1" si="0"/>
        <v>650.35276643148904</v>
      </c>
      <c r="E20" s="139">
        <v>1404673</v>
      </c>
      <c r="F20" s="145">
        <f t="shared" ca="1" si="1"/>
        <v>2.4936764642019886</v>
      </c>
      <c r="G20" s="139">
        <v>825861</v>
      </c>
      <c r="H20" s="145">
        <f t="shared" ca="1" si="2"/>
        <v>4.241391711195952</v>
      </c>
    </row>
    <row r="21" spans="1:8" ht="14.1" customHeight="1" x14ac:dyDescent="0.2">
      <c r="A21" s="271" t="s">
        <v>117</v>
      </c>
      <c r="B21" s="303">
        <f>'- 29 -'!$D21</f>
        <v>2005456</v>
      </c>
      <c r="C21" s="303">
        <v>1609</v>
      </c>
      <c r="D21" s="303">
        <f t="shared" ca="1" si="0"/>
        <v>1246.3990055935365</v>
      </c>
      <c r="E21" s="303">
        <v>880000</v>
      </c>
      <c r="F21" s="304">
        <f t="shared" ca="1" si="1"/>
        <v>2.2789272727272727</v>
      </c>
      <c r="G21" s="303">
        <v>495125</v>
      </c>
      <c r="H21" s="304">
        <f t="shared" ca="1" si="2"/>
        <v>4.0504034334763945</v>
      </c>
    </row>
    <row r="22" spans="1:8" ht="14.1" customHeight="1" x14ac:dyDescent="0.2">
      <c r="A22" s="15" t="s">
        <v>118</v>
      </c>
      <c r="B22" s="139">
        <f>'- 29 -'!$D22</f>
        <v>431555</v>
      </c>
      <c r="C22" s="139">
        <v>458</v>
      </c>
      <c r="D22" s="139">
        <f t="shared" ca="1" si="0"/>
        <v>942.25982532751095</v>
      </c>
      <c r="E22" s="139">
        <v>186810</v>
      </c>
      <c r="F22" s="145">
        <f t="shared" ca="1" si="1"/>
        <v>2.3101279374765804</v>
      </c>
      <c r="G22" s="139">
        <v>120900</v>
      </c>
      <c r="H22" s="145">
        <f t="shared" ca="1" si="2"/>
        <v>3.5695202646815551</v>
      </c>
    </row>
    <row r="23" spans="1:8" ht="14.1" customHeight="1" x14ac:dyDescent="0.2">
      <c r="A23" s="271" t="s">
        <v>119</v>
      </c>
      <c r="B23" s="303">
        <f>'- 29 -'!$D23</f>
        <v>1610490</v>
      </c>
      <c r="C23" s="303">
        <v>705</v>
      </c>
      <c r="D23" s="303">
        <f t="shared" ca="1" si="0"/>
        <v>2284.3829787234044</v>
      </c>
      <c r="E23" s="303">
        <v>906000</v>
      </c>
      <c r="F23" s="304">
        <f t="shared" ca="1" si="1"/>
        <v>1.7775827814569536</v>
      </c>
      <c r="G23" s="303">
        <v>534000</v>
      </c>
      <c r="H23" s="304">
        <f t="shared" ca="1" si="2"/>
        <v>3.0158988764044943</v>
      </c>
    </row>
    <row r="24" spans="1:8" ht="14.1" customHeight="1" x14ac:dyDescent="0.2">
      <c r="A24" s="15" t="s">
        <v>120</v>
      </c>
      <c r="B24" s="139">
        <f>'- 29 -'!$D24</f>
        <v>2470867</v>
      </c>
      <c r="C24" s="139">
        <v>2450</v>
      </c>
      <c r="D24" s="139">
        <f t="shared" ca="1" si="0"/>
        <v>1008.5171428571429</v>
      </c>
      <c r="E24" s="139">
        <v>1004670</v>
      </c>
      <c r="F24" s="145">
        <f t="shared" ca="1" si="1"/>
        <v>2.4593816875192851</v>
      </c>
      <c r="G24" s="139">
        <v>454206</v>
      </c>
      <c r="H24" s="145">
        <f t="shared" ca="1" si="2"/>
        <v>5.4399699695732773</v>
      </c>
    </row>
    <row r="25" spans="1:8" ht="14.1" customHeight="1" x14ac:dyDescent="0.2">
      <c r="A25" s="271" t="s">
        <v>121</v>
      </c>
      <c r="B25" s="303">
        <f>'- 29 -'!$D25</f>
        <v>4382212</v>
      </c>
      <c r="C25" s="303">
        <v>2869</v>
      </c>
      <c r="D25" s="303">
        <f t="shared" ca="1" si="0"/>
        <v>1527.4353433252004</v>
      </c>
      <c r="E25" s="303">
        <v>910246</v>
      </c>
      <c r="F25" s="304">
        <f t="shared" ca="1" si="1"/>
        <v>4.8143161299253165</v>
      </c>
      <c r="G25" s="303">
        <v>436857</v>
      </c>
      <c r="H25" s="304">
        <f t="shared" ca="1" si="2"/>
        <v>10.031227609950166</v>
      </c>
    </row>
    <row r="26" spans="1:8" ht="14.1" customHeight="1" x14ac:dyDescent="0.2">
      <c r="A26" s="15" t="s">
        <v>122</v>
      </c>
      <c r="B26" s="139">
        <f>'- 29 -'!$D26</f>
        <v>2672427</v>
      </c>
      <c r="C26" s="139">
        <v>1619</v>
      </c>
      <c r="D26" s="139">
        <f t="shared" ca="1" si="0"/>
        <v>1650.6652254478072</v>
      </c>
      <c r="E26" s="139">
        <v>1383897</v>
      </c>
      <c r="F26" s="145">
        <f t="shared" ca="1" si="1"/>
        <v>1.9310880795319305</v>
      </c>
      <c r="G26" s="139">
        <v>1022885</v>
      </c>
      <c r="H26" s="145">
        <f t="shared" ca="1" si="2"/>
        <v>2.6126368066791477</v>
      </c>
    </row>
    <row r="27" spans="1:8" ht="14.1" customHeight="1" x14ac:dyDescent="0.2">
      <c r="A27" s="271" t="s">
        <v>123</v>
      </c>
      <c r="B27" s="303">
        <f>'- 29 -'!$D27</f>
        <v>0</v>
      </c>
      <c r="C27" s="307" t="s">
        <v>88</v>
      </c>
      <c r="D27" s="307" t="str">
        <f ca="1">IF(AND(CELL("type",C27)="v",C27&gt;0),B27/C27,"")</f>
        <v/>
      </c>
      <c r="E27" s="307" t="s">
        <v>88</v>
      </c>
      <c r="F27" s="308" t="str">
        <f ca="1">IF(AND(CELL("type",E27)="v",E27&gt;0),B27/E27,"")</f>
        <v/>
      </c>
      <c r="G27" s="307" t="s">
        <v>88</v>
      </c>
      <c r="H27" s="304" t="str">
        <f t="shared" ca="1" si="2"/>
        <v/>
      </c>
    </row>
    <row r="28" spans="1:8" ht="14.1" customHeight="1" x14ac:dyDescent="0.2">
      <c r="A28" s="15" t="s">
        <v>124</v>
      </c>
      <c r="B28" s="139">
        <f>'- 29 -'!$D28</f>
        <v>1773138</v>
      </c>
      <c r="C28" s="139">
        <v>809</v>
      </c>
      <c r="D28" s="139">
        <f t="shared" ca="1" si="0"/>
        <v>2191.7651421508035</v>
      </c>
      <c r="E28" s="139">
        <v>1088472</v>
      </c>
      <c r="F28" s="145">
        <f t="shared" ca="1" si="1"/>
        <v>1.6290157211209844</v>
      </c>
      <c r="G28" s="139">
        <v>715728</v>
      </c>
      <c r="H28" s="145">
        <f t="shared" ca="1" si="2"/>
        <v>2.4773908523908523</v>
      </c>
    </row>
    <row r="29" spans="1:8" ht="14.1" customHeight="1" x14ac:dyDescent="0.2">
      <c r="A29" s="271" t="s">
        <v>125</v>
      </c>
      <c r="B29" s="303">
        <f>'- 29 -'!$D29</f>
        <v>3405752</v>
      </c>
      <c r="C29" s="303">
        <v>2850</v>
      </c>
      <c r="D29" s="303">
        <f t="shared" ca="1" si="0"/>
        <v>1195.000701754386</v>
      </c>
      <c r="E29" s="303">
        <v>650000</v>
      </c>
      <c r="F29" s="304">
        <f t="shared" ca="1" si="1"/>
        <v>5.2396184615384618</v>
      </c>
      <c r="G29" s="303">
        <v>382000</v>
      </c>
      <c r="H29" s="304">
        <f t="shared" ca="1" si="2"/>
        <v>8.9155811518324608</v>
      </c>
    </row>
    <row r="30" spans="1:8" ht="14.1" customHeight="1" x14ac:dyDescent="0.2">
      <c r="A30" s="15" t="s">
        <v>126</v>
      </c>
      <c r="B30" s="139">
        <f>'- 29 -'!$D30</f>
        <v>1091349</v>
      </c>
      <c r="C30" s="139">
        <v>539</v>
      </c>
      <c r="D30" s="139">
        <f t="shared" ca="1" si="0"/>
        <v>2024.7662337662337</v>
      </c>
      <c r="E30" s="139">
        <v>531549</v>
      </c>
      <c r="F30" s="145">
        <f t="shared" ca="1" si="1"/>
        <v>2.0531484397487345</v>
      </c>
      <c r="G30" s="139">
        <v>440743</v>
      </c>
      <c r="H30" s="145">
        <f t="shared" ca="1" si="2"/>
        <v>2.4761573070927954</v>
      </c>
    </row>
    <row r="31" spans="1:8" ht="14.1" customHeight="1" x14ac:dyDescent="0.2">
      <c r="A31" s="271" t="s">
        <v>127</v>
      </c>
      <c r="B31" s="303">
        <f>'- 29 -'!$D31</f>
        <v>1086243</v>
      </c>
      <c r="C31" s="303">
        <v>1137</v>
      </c>
      <c r="D31" s="303">
        <f t="shared" ca="1" si="0"/>
        <v>955.35883905013191</v>
      </c>
      <c r="E31" s="303">
        <v>614142</v>
      </c>
      <c r="F31" s="304">
        <f t="shared" ca="1" si="1"/>
        <v>1.7687163555008452</v>
      </c>
      <c r="G31" s="303">
        <v>396358</v>
      </c>
      <c r="H31" s="304">
        <f t="shared" ca="1" si="2"/>
        <v>2.7405603015455724</v>
      </c>
    </row>
    <row r="32" spans="1:8" ht="14.1" customHeight="1" x14ac:dyDescent="0.2">
      <c r="A32" s="15" t="s">
        <v>128</v>
      </c>
      <c r="B32" s="139">
        <f>'- 29 -'!$D32</f>
        <v>2111628</v>
      </c>
      <c r="C32" s="139">
        <v>1611</v>
      </c>
      <c r="D32" s="139">
        <f t="shared" ca="1" si="0"/>
        <v>1310.7560521415271</v>
      </c>
      <c r="E32" s="139">
        <v>1168210</v>
      </c>
      <c r="F32" s="145">
        <f t="shared" ca="1" si="1"/>
        <v>1.807575692726479</v>
      </c>
      <c r="G32" s="139">
        <v>774355</v>
      </c>
      <c r="H32" s="145">
        <f t="shared" ca="1" si="2"/>
        <v>2.7269508171316774</v>
      </c>
    </row>
    <row r="33" spans="1:8" ht="14.1" customHeight="1" x14ac:dyDescent="0.2">
      <c r="A33" s="271" t="s">
        <v>129</v>
      </c>
      <c r="B33" s="303">
        <f>'- 29 -'!$D33</f>
        <v>2274162</v>
      </c>
      <c r="C33" s="303">
        <v>1136</v>
      </c>
      <c r="D33" s="303">
        <f t="shared" ca="1" si="0"/>
        <v>2001.9031690140846</v>
      </c>
      <c r="E33" s="303">
        <v>1531750</v>
      </c>
      <c r="F33" s="304">
        <f t="shared" ca="1" si="1"/>
        <v>1.4846822262118491</v>
      </c>
      <c r="G33" s="303">
        <v>900000</v>
      </c>
      <c r="H33" s="304">
        <f t="shared" ca="1" si="2"/>
        <v>2.5268466666666667</v>
      </c>
    </row>
    <row r="34" spans="1:8" ht="14.1" customHeight="1" x14ac:dyDescent="0.2">
      <c r="A34" s="15" t="s">
        <v>130</v>
      </c>
      <c r="B34" s="139">
        <f>'- 29 -'!$D34</f>
        <v>2480716</v>
      </c>
      <c r="C34" s="139">
        <v>1526</v>
      </c>
      <c r="D34" s="139">
        <f t="shared" ca="1" si="0"/>
        <v>1625.6330275229359</v>
      </c>
      <c r="E34" s="139">
        <v>1498851</v>
      </c>
      <c r="F34" s="145">
        <f t="shared" ca="1" si="1"/>
        <v>1.6550784567645482</v>
      </c>
      <c r="G34" s="139">
        <v>963399</v>
      </c>
      <c r="H34" s="145">
        <f t="shared" ca="1" si="2"/>
        <v>2.5749621911585958</v>
      </c>
    </row>
    <row r="35" spans="1:8" ht="14.1" customHeight="1" x14ac:dyDescent="0.2">
      <c r="A35" s="271" t="s">
        <v>131</v>
      </c>
      <c r="B35" s="303">
        <f>'- 29 -'!$D35</f>
        <v>4326000</v>
      </c>
      <c r="C35" s="303">
        <v>4075</v>
      </c>
      <c r="D35" s="303">
        <f t="shared" ca="1" si="0"/>
        <v>1061.5950920245398</v>
      </c>
      <c r="E35" s="303">
        <v>1094800</v>
      </c>
      <c r="F35" s="304">
        <f t="shared" ca="1" si="1"/>
        <v>3.9514066496163682</v>
      </c>
      <c r="G35" s="303">
        <v>543150</v>
      </c>
      <c r="H35" s="304">
        <f t="shared" ca="1" si="2"/>
        <v>7.9646506489919915</v>
      </c>
    </row>
    <row r="36" spans="1:8" ht="14.1" customHeight="1" x14ac:dyDescent="0.2">
      <c r="A36" s="15" t="s">
        <v>132</v>
      </c>
      <c r="B36" s="139">
        <f>'- 29 -'!$D36</f>
        <v>1629580</v>
      </c>
      <c r="C36" s="139">
        <v>907</v>
      </c>
      <c r="D36" s="139">
        <f t="shared" ca="1" si="0"/>
        <v>1796.6703417861081</v>
      </c>
      <c r="E36" s="139">
        <v>812520</v>
      </c>
      <c r="F36" s="145">
        <f t="shared" ca="1" si="1"/>
        <v>2.0055875547678825</v>
      </c>
      <c r="G36" s="139">
        <v>521550</v>
      </c>
      <c r="H36" s="145">
        <f t="shared" ca="1" si="2"/>
        <v>3.1244942958489119</v>
      </c>
    </row>
    <row r="37" spans="1:8" ht="14.1" customHeight="1" x14ac:dyDescent="0.2">
      <c r="A37" s="271" t="s">
        <v>133</v>
      </c>
      <c r="B37" s="303">
        <f>'- 29 -'!$D37</f>
        <v>3132500</v>
      </c>
      <c r="C37" s="303">
        <v>3040</v>
      </c>
      <c r="D37" s="303">
        <f t="shared" ca="1" si="0"/>
        <v>1030.4276315789473</v>
      </c>
      <c r="E37" s="303">
        <v>1351638</v>
      </c>
      <c r="F37" s="304">
        <f t="shared" ca="1" si="1"/>
        <v>2.3175583995122953</v>
      </c>
      <c r="G37" s="303">
        <v>831552</v>
      </c>
      <c r="H37" s="304">
        <f t="shared" ca="1" si="2"/>
        <v>3.7670524513199415</v>
      </c>
    </row>
    <row r="38" spans="1:8" ht="14.1" customHeight="1" x14ac:dyDescent="0.2">
      <c r="A38" s="15" t="s">
        <v>134</v>
      </c>
      <c r="B38" s="139">
        <f>'- 29 -'!$D38</f>
        <v>3249310</v>
      </c>
      <c r="C38" s="139">
        <v>2941</v>
      </c>
      <c r="D38" s="139">
        <f t="shared" ca="1" si="0"/>
        <v>1104.8316899013942</v>
      </c>
      <c r="E38" s="139">
        <v>753236</v>
      </c>
      <c r="F38" s="145">
        <f t="shared" ca="1" si="1"/>
        <v>4.3138007211551228</v>
      </c>
      <c r="G38" s="139">
        <v>404294</v>
      </c>
      <c r="H38" s="145">
        <f t="shared" ca="1" si="2"/>
        <v>8.0369978283130585</v>
      </c>
    </row>
    <row r="39" spans="1:8" ht="14.1" customHeight="1" x14ac:dyDescent="0.2">
      <c r="A39" s="271" t="s">
        <v>135</v>
      </c>
      <c r="B39" s="303">
        <f>'- 29 -'!$D39</f>
        <v>2126100</v>
      </c>
      <c r="C39" s="303">
        <v>700</v>
      </c>
      <c r="D39" s="303">
        <f t="shared" ca="1" si="0"/>
        <v>3037.2857142857142</v>
      </c>
      <c r="E39" s="303">
        <v>1097000</v>
      </c>
      <c r="F39" s="304">
        <f t="shared" ca="1" si="1"/>
        <v>1.9381039197812215</v>
      </c>
      <c r="G39" s="303">
        <v>659600</v>
      </c>
      <c r="H39" s="304">
        <f t="shared" ca="1" si="2"/>
        <v>3.223317161916313</v>
      </c>
    </row>
    <row r="40" spans="1:8" ht="14.1" customHeight="1" x14ac:dyDescent="0.2">
      <c r="A40" s="15" t="s">
        <v>136</v>
      </c>
      <c r="B40" s="139">
        <f>'- 29 -'!$D40</f>
        <v>2105989</v>
      </c>
      <c r="C40" s="139">
        <v>1801</v>
      </c>
      <c r="D40" s="139">
        <f t="shared" ca="1" si="0"/>
        <v>1169.3442531926707</v>
      </c>
      <c r="E40" s="139">
        <v>538650</v>
      </c>
      <c r="F40" s="145">
        <f t="shared" ca="1" si="1"/>
        <v>3.9097540146662952</v>
      </c>
      <c r="G40" s="139">
        <v>282366</v>
      </c>
      <c r="H40" s="145">
        <f t="shared" ca="1" si="2"/>
        <v>7.4583660922349004</v>
      </c>
    </row>
    <row r="41" spans="1:8" ht="14.1" customHeight="1" x14ac:dyDescent="0.2">
      <c r="A41" s="271" t="s">
        <v>137</v>
      </c>
      <c r="B41" s="303">
        <f>'- 29 -'!$D41</f>
        <v>4578366</v>
      </c>
      <c r="C41" s="303">
        <v>3724</v>
      </c>
      <c r="D41" s="303">
        <f t="shared" ca="1" si="0"/>
        <v>1229.4215896885071</v>
      </c>
      <c r="E41" s="303">
        <v>2170210</v>
      </c>
      <c r="F41" s="304">
        <f t="shared" ca="1" si="1"/>
        <v>2.1096419240534328</v>
      </c>
      <c r="G41" s="303">
        <v>1564340</v>
      </c>
      <c r="H41" s="304">
        <f t="shared" ca="1" si="2"/>
        <v>2.926707748954831</v>
      </c>
    </row>
    <row r="42" spans="1:8" ht="14.1" customHeight="1" x14ac:dyDescent="0.2">
      <c r="A42" s="15" t="s">
        <v>138</v>
      </c>
      <c r="B42" s="139">
        <f>'- 29 -'!$D42</f>
        <v>1655704</v>
      </c>
      <c r="C42" s="139">
        <v>1260</v>
      </c>
      <c r="D42" s="139">
        <f t="shared" ca="1" si="0"/>
        <v>1314.0507936507936</v>
      </c>
      <c r="E42" s="139">
        <v>745396</v>
      </c>
      <c r="F42" s="145">
        <f t="shared" ca="1" si="1"/>
        <v>2.2212407901303468</v>
      </c>
      <c r="G42" s="139">
        <v>623261</v>
      </c>
      <c r="H42" s="145">
        <f t="shared" ca="1" si="2"/>
        <v>2.6565178953921391</v>
      </c>
    </row>
    <row r="43" spans="1:8" ht="14.1" customHeight="1" x14ac:dyDescent="0.2">
      <c r="A43" s="271" t="s">
        <v>139</v>
      </c>
      <c r="B43" s="303">
        <f>'- 29 -'!$D43</f>
        <v>970782</v>
      </c>
      <c r="C43" s="303">
        <v>547</v>
      </c>
      <c r="D43" s="303">
        <f t="shared" ca="1" si="0"/>
        <v>1774.7385740402194</v>
      </c>
      <c r="E43" s="303">
        <v>581436</v>
      </c>
      <c r="F43" s="304">
        <f t="shared" ca="1" si="1"/>
        <v>1.6696282995892928</v>
      </c>
      <c r="G43" s="303">
        <v>393204</v>
      </c>
      <c r="H43" s="304">
        <f t="shared" ca="1" si="2"/>
        <v>2.4689016388439589</v>
      </c>
    </row>
    <row r="44" spans="1:8" ht="14.1" customHeight="1" x14ac:dyDescent="0.2">
      <c r="A44" s="15" t="s">
        <v>140</v>
      </c>
      <c r="B44" s="139">
        <f>'- 29 -'!$D44</f>
        <v>1080435</v>
      </c>
      <c r="C44" s="139">
        <v>505</v>
      </c>
      <c r="D44" s="139">
        <f t="shared" ca="1" si="0"/>
        <v>2139.4752475247524</v>
      </c>
      <c r="E44" s="139">
        <v>705590</v>
      </c>
      <c r="F44" s="145">
        <f t="shared" ca="1" si="1"/>
        <v>1.5312504428917644</v>
      </c>
      <c r="G44" s="139">
        <v>502275</v>
      </c>
      <c r="H44" s="145">
        <f t="shared" ca="1" si="2"/>
        <v>2.1510825742869941</v>
      </c>
    </row>
    <row r="45" spans="1:8" ht="14.1" customHeight="1" x14ac:dyDescent="0.2">
      <c r="A45" s="271" t="s">
        <v>141</v>
      </c>
      <c r="B45" s="303">
        <f>'- 29 -'!$D45</f>
        <v>814278</v>
      </c>
      <c r="C45" s="303">
        <v>1175</v>
      </c>
      <c r="D45" s="303">
        <f t="shared" ca="1" si="0"/>
        <v>693.00255319148937</v>
      </c>
      <c r="E45" s="303">
        <v>273000</v>
      </c>
      <c r="F45" s="304">
        <f t="shared" ca="1" si="1"/>
        <v>2.9827032967032969</v>
      </c>
      <c r="G45" s="303">
        <v>164500</v>
      </c>
      <c r="H45" s="304">
        <f t="shared" ca="1" si="2"/>
        <v>4.9500182370820669</v>
      </c>
    </row>
    <row r="46" spans="1:8" ht="14.1" customHeight="1" x14ac:dyDescent="0.2">
      <c r="A46" s="15" t="s">
        <v>142</v>
      </c>
      <c r="B46" s="139">
        <f>'- 29 -'!$D46</f>
        <v>6328000</v>
      </c>
      <c r="C46" s="139">
        <v>2024</v>
      </c>
      <c r="D46" s="139">
        <f t="shared" ca="1" si="0"/>
        <v>3126.482213438735</v>
      </c>
      <c r="E46" s="139">
        <v>903023</v>
      </c>
      <c r="F46" s="145">
        <f t="shared" ca="1" si="1"/>
        <v>7.0075734505101197</v>
      </c>
      <c r="G46" s="139">
        <v>560832</v>
      </c>
      <c r="H46" s="145">
        <f t="shared" ca="1" si="2"/>
        <v>11.283236334588612</v>
      </c>
    </row>
    <row r="47" spans="1:8" ht="5.0999999999999996" customHeight="1" x14ac:dyDescent="0.2">
      <c r="A47"/>
      <c r="B47"/>
      <c r="C47"/>
      <c r="D47"/>
      <c r="E47"/>
      <c r="F47"/>
      <c r="G47"/>
      <c r="H47"/>
    </row>
    <row r="48" spans="1:8" ht="14.1" customHeight="1" x14ac:dyDescent="0.2">
      <c r="A48" s="274" t="s">
        <v>143</v>
      </c>
      <c r="B48" s="305">
        <f>SUM(B11:B46)</f>
        <v>92332135</v>
      </c>
      <c r="C48" s="305">
        <f>SUM(C11:C46)</f>
        <v>68020</v>
      </c>
      <c r="D48" s="305">
        <f>B48/C48</f>
        <v>1357.4262716847986</v>
      </c>
      <c r="E48" s="305">
        <f>SUM(E11:E46)</f>
        <v>35063617</v>
      </c>
      <c r="F48" s="306">
        <f>B48/E48</f>
        <v>2.6332746846966759</v>
      </c>
      <c r="G48" s="305">
        <f>SUM(G11:G46)</f>
        <v>21596297</v>
      </c>
      <c r="H48" s="306">
        <f>B48/G48</f>
        <v>4.2753688282764406</v>
      </c>
    </row>
    <row r="49" spans="1:8" ht="5.0999999999999996" customHeight="1" x14ac:dyDescent="0.2">
      <c r="A49" s="17" t="s">
        <v>1</v>
      </c>
      <c r="B49" s="140"/>
      <c r="C49" s="140"/>
      <c r="D49" s="140"/>
      <c r="E49" s="140"/>
      <c r="F49" s="79"/>
      <c r="G49" s="140"/>
      <c r="H49" s="79"/>
    </row>
    <row r="50" spans="1:8" ht="14.1" customHeight="1" x14ac:dyDescent="0.2">
      <c r="A50" s="15" t="s">
        <v>144</v>
      </c>
      <c r="B50" s="139">
        <f>'- 29 -'!$D50</f>
        <v>0</v>
      </c>
      <c r="C50" s="361" t="s">
        <v>88</v>
      </c>
      <c r="D50" s="139" t="str">
        <f ca="1">IF(AND(CELL("type",C50)="v",C50&gt;0),B50/C50,"")</f>
        <v/>
      </c>
      <c r="E50" s="361" t="s">
        <v>88</v>
      </c>
      <c r="F50" s="145" t="str">
        <f ca="1">IF(AND(CELL("type",E50)="v",E50&gt;0),B50/E50,"")</f>
        <v/>
      </c>
      <c r="G50" s="361" t="s">
        <v>88</v>
      </c>
      <c r="H50" s="145" t="str">
        <f ca="1">IF(AND(CELL("type",G50)="v",G50&gt;0),B50/G50,"")</f>
        <v/>
      </c>
    </row>
    <row r="51" spans="1:8" ht="14.1" customHeight="1" x14ac:dyDescent="0.2">
      <c r="A51" s="360" t="s">
        <v>513</v>
      </c>
      <c r="B51" s="303">
        <f>'- 29 -'!$D51</f>
        <v>0</v>
      </c>
      <c r="C51" s="303">
        <v>0</v>
      </c>
      <c r="D51" s="303" t="str">
        <f ca="1">IF(AND(CELL("type",C51)="v",C51&gt;0),B51/C51,"")</f>
        <v/>
      </c>
      <c r="E51" s="303">
        <v>0</v>
      </c>
      <c r="F51" s="304" t="str">
        <f ca="1">IF(AND(CELL("type",E51)="v",E51&gt;0),B51/E51,"")</f>
        <v/>
      </c>
      <c r="G51" s="303">
        <v>0</v>
      </c>
      <c r="H51" s="304" t="str">
        <f ca="1">IF(AND(CELL("type",G51)="v",G51&gt;0),B51/G51,"")</f>
        <v/>
      </c>
    </row>
    <row r="52" spans="1:8" ht="50.1" customHeight="1" x14ac:dyDescent="0.2"/>
    <row r="53" spans="1:8" ht="15" customHeight="1" x14ac:dyDescent="0.2"/>
    <row r="54" spans="1:8" ht="14.45" customHeight="1" x14ac:dyDescent="0.2"/>
    <row r="55" spans="1:8" ht="14.45" customHeight="1" x14ac:dyDescent="0.2"/>
    <row r="56" spans="1:8" ht="14.45" customHeight="1" x14ac:dyDescent="0.2"/>
    <row r="57" spans="1:8" ht="14.45" customHeight="1" x14ac:dyDescent="0.2"/>
    <row r="58" spans="1:8" ht="14.45" customHeight="1" x14ac:dyDescent="0.2"/>
    <row r="59" spans="1:8" ht="14.45" customHeight="1" x14ac:dyDescent="0.2"/>
  </sheetData>
  <mergeCells count="8">
    <mergeCell ref="B6:H6"/>
    <mergeCell ref="B7:H7"/>
    <mergeCell ref="C8:C9"/>
    <mergeCell ref="D8:D9"/>
    <mergeCell ref="E8:E9"/>
    <mergeCell ref="F8:F9"/>
    <mergeCell ref="G8:G9"/>
    <mergeCell ref="H8:H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BB59"/>
  <sheetViews>
    <sheetView showGridLines="0" showZeros="0" workbookViewId="0"/>
  </sheetViews>
  <sheetFormatPr defaultColWidth="15.83203125" defaultRowHeight="12" x14ac:dyDescent="0.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4" ht="6.95" customHeight="1" x14ac:dyDescent="0.2">
      <c r="A1" s="3"/>
      <c r="B1" s="4"/>
      <c r="C1" s="4"/>
      <c r="D1" s="4"/>
      <c r="E1" s="4"/>
    </row>
    <row r="2" spans="1:54" ht="15.95" customHeight="1" x14ac:dyDescent="0.2">
      <c r="A2" s="132"/>
      <c r="B2" s="5" t="str">
        <f>IF(Lang=1,BA2,BB2)</f>
        <v>ANALYSIS OF  TRANSPORTATION EXPENSES (CONT'D)</v>
      </c>
      <c r="C2" s="6"/>
      <c r="D2" s="6"/>
      <c r="E2" s="146"/>
      <c r="BA2" s="456" t="s">
        <v>260</v>
      </c>
      <c r="BB2" s="456" t="s">
        <v>437</v>
      </c>
    </row>
    <row r="3" spans="1:54" ht="15.95" customHeight="1" x14ac:dyDescent="0.2">
      <c r="A3" s="135"/>
      <c r="B3" s="7" t="str">
        <f>OPYEAR</f>
        <v>OPERATING FUND 2020/2021 BUDGET</v>
      </c>
      <c r="C3" s="8"/>
      <c r="D3" s="8"/>
      <c r="E3" s="147"/>
    </row>
    <row r="4" spans="1:54" ht="15.95" customHeight="1" x14ac:dyDescent="0.2">
      <c r="B4" s="4"/>
      <c r="C4" s="4"/>
      <c r="D4" s="4"/>
      <c r="E4" s="4"/>
    </row>
    <row r="5" spans="1:54" ht="15.95" customHeight="1" x14ac:dyDescent="0.2">
      <c r="B5" s="4"/>
      <c r="C5" s="4"/>
      <c r="D5" s="4"/>
      <c r="E5" s="4"/>
    </row>
    <row r="6" spans="1:54" ht="15.95" customHeight="1" x14ac:dyDescent="0.2">
      <c r="B6" s="628" t="s">
        <v>12</v>
      </c>
      <c r="C6" s="630"/>
      <c r="D6" s="615"/>
    </row>
    <row r="7" spans="1:54" ht="15.95" customHeight="1" x14ac:dyDescent="0.2">
      <c r="B7" s="629" t="s">
        <v>27</v>
      </c>
      <c r="C7" s="631"/>
      <c r="D7" s="617"/>
    </row>
    <row r="8" spans="1:54" ht="15.95" customHeight="1" x14ac:dyDescent="0.2">
      <c r="A8" s="82"/>
      <c r="B8" s="148"/>
      <c r="C8" s="704" t="s">
        <v>435</v>
      </c>
      <c r="D8" s="704" t="s">
        <v>434</v>
      </c>
    </row>
    <row r="9" spans="1:54" ht="15.95" customHeight="1" x14ac:dyDescent="0.2">
      <c r="A9" s="27" t="s">
        <v>37</v>
      </c>
      <c r="B9" s="89" t="s">
        <v>38</v>
      </c>
      <c r="C9" s="703"/>
      <c r="D9" s="703"/>
    </row>
    <row r="10" spans="1:54" ht="5.0999999999999996" customHeight="1" x14ac:dyDescent="0.2">
      <c r="A10" s="29"/>
    </row>
    <row r="11" spans="1:54" ht="14.1" customHeight="1" x14ac:dyDescent="0.2">
      <c r="A11" s="271" t="s">
        <v>108</v>
      </c>
      <c r="B11" s="303">
        <f>SUM('- 29 -'!$B11,'- 29 -'!$D11,'- 30 -'!$D11)</f>
        <v>1309450</v>
      </c>
      <c r="C11" s="303">
        <v>660111</v>
      </c>
      <c r="D11" s="304">
        <f ca="1">IF(AND(CELL("type",C11)="v",C11&gt;0),B11/C11,"")</f>
        <v>1.9836815323483474</v>
      </c>
      <c r="E11" s="149"/>
    </row>
    <row r="12" spans="1:54" ht="14.1" customHeight="1" x14ac:dyDescent="0.2">
      <c r="A12" s="15" t="s">
        <v>109</v>
      </c>
      <c r="B12" s="139">
        <f>SUM('- 29 -'!$B12,'- 29 -'!$D12,'- 30 -'!$D12)</f>
        <v>2532851</v>
      </c>
      <c r="C12" s="139">
        <v>1275000</v>
      </c>
      <c r="D12" s="145">
        <f t="shared" ref="D12:D46" ca="1" si="0">IF(AND(CELL("type",C12)="v",C12&gt;0),B12/C12,"")</f>
        <v>1.9865498039215685</v>
      </c>
      <c r="E12" s="149"/>
    </row>
    <row r="13" spans="1:54" ht="14.1" customHeight="1" x14ac:dyDescent="0.2">
      <c r="A13" s="271" t="s">
        <v>110</v>
      </c>
      <c r="B13" s="303">
        <f>SUM('- 29 -'!$B13,'- 29 -'!$D13,'- 30 -'!$D13)</f>
        <v>2667200</v>
      </c>
      <c r="C13" s="303">
        <v>883717</v>
      </c>
      <c r="D13" s="304">
        <f t="shared" ca="1" si="0"/>
        <v>3.0181607912940454</v>
      </c>
      <c r="E13" s="149"/>
    </row>
    <row r="14" spans="1:54" ht="14.1" customHeight="1" x14ac:dyDescent="0.2">
      <c r="A14" s="15" t="s">
        <v>319</v>
      </c>
      <c r="B14" s="139">
        <f>SUM('- 29 -'!$B14,'- 29 -'!$D14,'- 30 -'!$D14)</f>
        <v>10264483</v>
      </c>
      <c r="C14" s="361" t="s">
        <v>88</v>
      </c>
      <c r="D14" s="145" t="str">
        <f t="shared" ca="1" si="0"/>
        <v/>
      </c>
      <c r="E14" s="149"/>
    </row>
    <row r="15" spans="1:54" ht="14.1" customHeight="1" x14ac:dyDescent="0.2">
      <c r="A15" s="271" t="s">
        <v>111</v>
      </c>
      <c r="B15" s="303">
        <f>SUM('- 29 -'!$B15,'- 29 -'!$D15,'- 30 -'!$D15)</f>
        <v>1783870</v>
      </c>
      <c r="C15" s="303">
        <v>850000</v>
      </c>
      <c r="D15" s="304">
        <f t="shared" ca="1" si="0"/>
        <v>2.0986705882352941</v>
      </c>
      <c r="E15" s="149"/>
    </row>
    <row r="16" spans="1:54" ht="14.1" customHeight="1" x14ac:dyDescent="0.2">
      <c r="A16" s="15" t="s">
        <v>112</v>
      </c>
      <c r="B16" s="139">
        <f>SUM('- 29 -'!$B16,'- 29 -'!$D16,'- 30 -'!$D16)</f>
        <v>541409</v>
      </c>
      <c r="C16" s="139">
        <v>56510</v>
      </c>
      <c r="D16" s="145">
        <f t="shared" ca="1" si="0"/>
        <v>9.5807644664661122</v>
      </c>
      <c r="E16" s="149"/>
    </row>
    <row r="17" spans="1:5" ht="14.1" customHeight="1" x14ac:dyDescent="0.2">
      <c r="A17" s="271" t="s">
        <v>113</v>
      </c>
      <c r="B17" s="303">
        <f>SUM('- 29 -'!$B17,'- 29 -'!$D17,'- 30 -'!$D17)</f>
        <v>1477725</v>
      </c>
      <c r="C17" s="303">
        <v>929165</v>
      </c>
      <c r="D17" s="304">
        <f t="shared" ca="1" si="0"/>
        <v>1.590379534313066</v>
      </c>
      <c r="E17" s="149"/>
    </row>
    <row r="18" spans="1:5" ht="14.1" customHeight="1" x14ac:dyDescent="0.2">
      <c r="A18" s="15" t="s">
        <v>114</v>
      </c>
      <c r="B18" s="139">
        <f>SUM('- 29 -'!$B18,'- 29 -'!$D18,'- 30 -'!$D18)</f>
        <v>9446068</v>
      </c>
      <c r="C18" s="139">
        <v>1810000</v>
      </c>
      <c r="D18" s="145">
        <f t="shared" ca="1" si="0"/>
        <v>5.2188220994475136</v>
      </c>
      <c r="E18" s="149"/>
    </row>
    <row r="19" spans="1:5" ht="14.1" customHeight="1" x14ac:dyDescent="0.2">
      <c r="A19" s="271" t="s">
        <v>115</v>
      </c>
      <c r="B19" s="303">
        <f>SUM('- 29 -'!$B19,'- 29 -'!$D19,'- 30 -'!$D19)</f>
        <v>3261900</v>
      </c>
      <c r="C19" s="303">
        <v>935000</v>
      </c>
      <c r="D19" s="304">
        <f t="shared" ca="1" si="0"/>
        <v>3.4886631016042782</v>
      </c>
      <c r="E19" s="149"/>
    </row>
    <row r="20" spans="1:5" ht="14.1" customHeight="1" x14ac:dyDescent="0.2">
      <c r="A20" s="15" t="s">
        <v>116</v>
      </c>
      <c r="B20" s="139">
        <f>SUM('- 29 -'!$B20,'- 29 -'!$D20,'- 30 -'!$D20)</f>
        <v>4250300</v>
      </c>
      <c r="C20" s="139">
        <v>1633973</v>
      </c>
      <c r="D20" s="145">
        <f t="shared" ca="1" si="0"/>
        <v>2.6012057726780062</v>
      </c>
      <c r="E20" s="149"/>
    </row>
    <row r="21" spans="1:5" ht="14.1" customHeight="1" x14ac:dyDescent="0.2">
      <c r="A21" s="271" t="s">
        <v>117</v>
      </c>
      <c r="B21" s="303">
        <f>SUM('- 29 -'!$B21,'- 29 -'!$D21,'- 30 -'!$D21)</f>
        <v>2302000</v>
      </c>
      <c r="C21" s="303">
        <v>890000</v>
      </c>
      <c r="D21" s="304">
        <f t="shared" ca="1" si="0"/>
        <v>2.5865168539325842</v>
      </c>
      <c r="E21" s="149"/>
    </row>
    <row r="22" spans="1:5" ht="14.1" customHeight="1" x14ac:dyDescent="0.2">
      <c r="A22" s="15" t="s">
        <v>118</v>
      </c>
      <c r="B22" s="139">
        <f>SUM('- 29 -'!$B22,'- 29 -'!$D22,'- 30 -'!$D22)</f>
        <v>575063</v>
      </c>
      <c r="C22" s="139">
        <v>191545</v>
      </c>
      <c r="D22" s="145">
        <f t="shared" ca="1" si="0"/>
        <v>3.0022344618757995</v>
      </c>
      <c r="E22" s="149"/>
    </row>
    <row r="23" spans="1:5" ht="14.1" customHeight="1" x14ac:dyDescent="0.2">
      <c r="A23" s="271" t="s">
        <v>119</v>
      </c>
      <c r="B23" s="303">
        <f>SUM('- 29 -'!$B23,'- 29 -'!$D23,'- 30 -'!$D23)</f>
        <v>1728040</v>
      </c>
      <c r="C23" s="303">
        <v>815000</v>
      </c>
      <c r="D23" s="304">
        <f t="shared" ca="1" si="0"/>
        <v>2.1202944785276072</v>
      </c>
      <c r="E23" s="149"/>
    </row>
    <row r="24" spans="1:5" ht="14.1" customHeight="1" x14ac:dyDescent="0.2">
      <c r="A24" s="15" t="s">
        <v>120</v>
      </c>
      <c r="B24" s="139">
        <f>SUM('- 29 -'!$B24,'- 29 -'!$D24,'- 30 -'!$D24)</f>
        <v>2772352</v>
      </c>
      <c r="C24" s="139">
        <v>1030000</v>
      </c>
      <c r="D24" s="145">
        <f t="shared" ca="1" si="0"/>
        <v>2.6916038834951457</v>
      </c>
      <c r="E24" s="149"/>
    </row>
    <row r="25" spans="1:5" ht="14.1" customHeight="1" x14ac:dyDescent="0.2">
      <c r="A25" s="271" t="s">
        <v>121</v>
      </c>
      <c r="B25" s="303">
        <f>SUM('- 29 -'!$B25,'- 29 -'!$D25,'- 30 -'!$D25)</f>
        <v>4868995</v>
      </c>
      <c r="C25" s="303">
        <v>942456</v>
      </c>
      <c r="D25" s="304">
        <f t="shared" ca="1" si="0"/>
        <v>5.1662836249119319</v>
      </c>
      <c r="E25" s="149"/>
    </row>
    <row r="26" spans="1:5" ht="14.1" customHeight="1" x14ac:dyDescent="0.2">
      <c r="A26" s="15" t="s">
        <v>122</v>
      </c>
      <c r="B26" s="139">
        <f>SUM('- 29 -'!$B26,'- 29 -'!$D26,'- 30 -'!$D26)</f>
        <v>3108827</v>
      </c>
      <c r="C26" s="139">
        <v>1423897</v>
      </c>
      <c r="D26" s="145">
        <f t="shared" ca="1" si="0"/>
        <v>2.183322951028059</v>
      </c>
      <c r="E26" s="149"/>
    </row>
    <row r="27" spans="1:5" ht="14.1" customHeight="1" x14ac:dyDescent="0.2">
      <c r="A27" s="271" t="s">
        <v>123</v>
      </c>
      <c r="B27" s="303">
        <f>SUM('- 29 -'!$B27,'- 29 -'!$D27,'- 30 -'!$D27)</f>
        <v>155000</v>
      </c>
      <c r="C27" s="307" t="s">
        <v>88</v>
      </c>
      <c r="D27" s="304" t="str">
        <f t="shared" ca="1" si="0"/>
        <v/>
      </c>
      <c r="E27" s="149"/>
    </row>
    <row r="28" spans="1:5" ht="14.1" customHeight="1" x14ac:dyDescent="0.2">
      <c r="A28" s="15" t="s">
        <v>124</v>
      </c>
      <c r="B28" s="139">
        <f>SUM('- 29 -'!$B28,'- 29 -'!$D28,'- 30 -'!$D28)</f>
        <v>1936110</v>
      </c>
      <c r="C28" s="139">
        <v>1100000</v>
      </c>
      <c r="D28" s="145">
        <f t="shared" ca="1" si="0"/>
        <v>1.7601</v>
      </c>
      <c r="E28" s="149"/>
    </row>
    <row r="29" spans="1:5" ht="14.1" customHeight="1" x14ac:dyDescent="0.2">
      <c r="A29" s="271" t="s">
        <v>125</v>
      </c>
      <c r="B29" s="303">
        <f>SUM('- 29 -'!$B29,'- 29 -'!$D29,'- 30 -'!$D29)</f>
        <v>3816294</v>
      </c>
      <c r="C29" s="303">
        <v>700000</v>
      </c>
      <c r="D29" s="304">
        <f t="shared" ca="1" si="0"/>
        <v>5.4518485714285712</v>
      </c>
      <c r="E29" s="149"/>
    </row>
    <row r="30" spans="1:5" ht="14.1" customHeight="1" x14ac:dyDescent="0.2">
      <c r="A30" s="15" t="s">
        <v>126</v>
      </c>
      <c r="B30" s="139">
        <f>SUM('- 29 -'!$B30,'- 29 -'!$D30,'- 30 -'!$D30)</f>
        <v>1214123</v>
      </c>
      <c r="C30" s="139">
        <v>734122</v>
      </c>
      <c r="D30" s="145">
        <f t="shared" ca="1" si="0"/>
        <v>1.6538436390681657</v>
      </c>
      <c r="E30" s="149"/>
    </row>
    <row r="31" spans="1:5" ht="14.1" customHeight="1" x14ac:dyDescent="0.2">
      <c r="A31" s="271" t="s">
        <v>127</v>
      </c>
      <c r="B31" s="303">
        <f>SUM('- 29 -'!$B31,'- 29 -'!$D31,'- 30 -'!$D31)</f>
        <v>1228203</v>
      </c>
      <c r="C31" s="303">
        <v>578276</v>
      </c>
      <c r="D31" s="304">
        <f t="shared" ca="1" si="0"/>
        <v>2.1239045023483598</v>
      </c>
      <c r="E31" s="149"/>
    </row>
    <row r="32" spans="1:5" ht="14.1" customHeight="1" x14ac:dyDescent="0.2">
      <c r="A32" s="15" t="s">
        <v>128</v>
      </c>
      <c r="B32" s="139">
        <f>SUM('- 29 -'!$B32,'- 29 -'!$D32,'- 30 -'!$D32)</f>
        <v>2409440</v>
      </c>
      <c r="C32" s="139">
        <v>1056062</v>
      </c>
      <c r="D32" s="145">
        <f t="shared" ca="1" si="0"/>
        <v>2.2815327130414693</v>
      </c>
      <c r="E32" s="149"/>
    </row>
    <row r="33" spans="1:5" ht="14.1" customHeight="1" x14ac:dyDescent="0.2">
      <c r="A33" s="271" t="s">
        <v>129</v>
      </c>
      <c r="B33" s="303">
        <f>SUM('- 29 -'!$B33,'- 29 -'!$D33,'- 30 -'!$D33)</f>
        <v>2475307</v>
      </c>
      <c r="C33" s="303">
        <v>1576000</v>
      </c>
      <c r="D33" s="304">
        <f t="shared" ca="1" si="0"/>
        <v>1.570626269035533</v>
      </c>
      <c r="E33" s="149"/>
    </row>
    <row r="34" spans="1:5" ht="14.1" customHeight="1" x14ac:dyDescent="0.2">
      <c r="A34" s="15" t="s">
        <v>130</v>
      </c>
      <c r="B34" s="139">
        <f>SUM('- 29 -'!$B34,'- 29 -'!$D34,'- 30 -'!$D34)</f>
        <v>2792449</v>
      </c>
      <c r="C34" s="139">
        <v>1314663</v>
      </c>
      <c r="D34" s="145">
        <f t="shared" ca="1" si="0"/>
        <v>2.1240797071188586</v>
      </c>
      <c r="E34" s="149"/>
    </row>
    <row r="35" spans="1:5" ht="14.1" customHeight="1" x14ac:dyDescent="0.2">
      <c r="A35" s="271" t="s">
        <v>131</v>
      </c>
      <c r="B35" s="303">
        <f>SUM('- 29 -'!$B35,'- 29 -'!$D35,'- 30 -'!$D35)</f>
        <v>4978196</v>
      </c>
      <c r="C35" s="303">
        <v>1412800</v>
      </c>
      <c r="D35" s="304">
        <f t="shared" ca="1" si="0"/>
        <v>3.5236381653454134</v>
      </c>
      <c r="E35" s="149"/>
    </row>
    <row r="36" spans="1:5" ht="14.1" customHeight="1" x14ac:dyDescent="0.2">
      <c r="A36" s="15" t="s">
        <v>132</v>
      </c>
      <c r="B36" s="139">
        <f>SUM('- 29 -'!$B36,'- 29 -'!$D36,'- 30 -'!$D36)</f>
        <v>1793200</v>
      </c>
      <c r="C36" s="139">
        <v>851065</v>
      </c>
      <c r="D36" s="145">
        <f t="shared" ca="1" si="0"/>
        <v>2.1070071028652335</v>
      </c>
      <c r="E36" s="149"/>
    </row>
    <row r="37" spans="1:5" ht="14.1" customHeight="1" x14ac:dyDescent="0.2">
      <c r="A37" s="271" t="s">
        <v>133</v>
      </c>
      <c r="B37" s="303">
        <f>SUM('- 29 -'!$B37,'- 29 -'!$D37,'- 30 -'!$D37)</f>
        <v>3460397</v>
      </c>
      <c r="C37" s="303">
        <v>1360638</v>
      </c>
      <c r="D37" s="304">
        <f t="shared" ca="1" si="0"/>
        <v>2.5432164910872692</v>
      </c>
      <c r="E37" s="149"/>
    </row>
    <row r="38" spans="1:5" ht="14.1" customHeight="1" x14ac:dyDescent="0.2">
      <c r="A38" s="15" t="s">
        <v>134</v>
      </c>
      <c r="B38" s="139">
        <f>SUM('- 29 -'!$B38,'- 29 -'!$D38,'- 30 -'!$D38)</f>
        <v>4017790</v>
      </c>
      <c r="C38" s="139">
        <v>1168000</v>
      </c>
      <c r="D38" s="145">
        <f t="shared" ca="1" si="0"/>
        <v>3.4398886986301371</v>
      </c>
      <c r="E38" s="149"/>
    </row>
    <row r="39" spans="1:5" ht="14.1" customHeight="1" x14ac:dyDescent="0.2">
      <c r="A39" s="271" t="s">
        <v>135</v>
      </c>
      <c r="B39" s="303">
        <f>SUM('- 29 -'!$B39,'- 29 -'!$D39,'- 30 -'!$D39)</f>
        <v>2263500</v>
      </c>
      <c r="C39" s="303">
        <v>1028300</v>
      </c>
      <c r="D39" s="304">
        <f t="shared" ca="1" si="0"/>
        <v>2.2012058737722455</v>
      </c>
      <c r="E39" s="149"/>
    </row>
    <row r="40" spans="1:5" ht="14.1" customHeight="1" x14ac:dyDescent="0.2">
      <c r="A40" s="15" t="s">
        <v>136</v>
      </c>
      <c r="B40" s="139">
        <f>SUM('- 29 -'!$B40,'- 29 -'!$D40,'- 30 -'!$D40)</f>
        <v>2393836</v>
      </c>
      <c r="C40" s="139">
        <v>855363</v>
      </c>
      <c r="D40" s="145">
        <f t="shared" ca="1" si="0"/>
        <v>2.7986200010989486</v>
      </c>
      <c r="E40" s="149"/>
    </row>
    <row r="41" spans="1:5" ht="14.1" customHeight="1" x14ac:dyDescent="0.2">
      <c r="A41" s="271" t="s">
        <v>137</v>
      </c>
      <c r="B41" s="303">
        <f>SUM('- 29 -'!$B41,'- 29 -'!$D41,'- 30 -'!$D41)</f>
        <v>5224310</v>
      </c>
      <c r="C41" s="303">
        <v>2346792</v>
      </c>
      <c r="D41" s="304">
        <f t="shared" ca="1" si="0"/>
        <v>2.2261495692843676</v>
      </c>
      <c r="E41" s="149"/>
    </row>
    <row r="42" spans="1:5" ht="14.1" customHeight="1" x14ac:dyDescent="0.2">
      <c r="A42" s="15" t="s">
        <v>138</v>
      </c>
      <c r="B42" s="139">
        <f>SUM('- 29 -'!$B42,'- 29 -'!$D42,'- 30 -'!$D42)</f>
        <v>1871586</v>
      </c>
      <c r="C42" s="139">
        <v>681686</v>
      </c>
      <c r="D42" s="145">
        <f t="shared" ca="1" si="0"/>
        <v>2.745525065792755</v>
      </c>
      <c r="E42" s="149"/>
    </row>
    <row r="43" spans="1:5" ht="14.1" customHeight="1" x14ac:dyDescent="0.2">
      <c r="A43" s="271" t="s">
        <v>139</v>
      </c>
      <c r="B43" s="303">
        <f>SUM('- 29 -'!$B43,'- 29 -'!$D43,'- 30 -'!$D43)</f>
        <v>1089264</v>
      </c>
      <c r="C43" s="303">
        <v>601746</v>
      </c>
      <c r="D43" s="304">
        <f t="shared" ca="1" si="0"/>
        <v>1.8101723983208862</v>
      </c>
      <c r="E43" s="149"/>
    </row>
    <row r="44" spans="1:5" ht="14.1" customHeight="1" x14ac:dyDescent="0.2">
      <c r="A44" s="15" t="s">
        <v>140</v>
      </c>
      <c r="B44" s="139">
        <f>SUM('- 29 -'!$B44,'- 29 -'!$D44,'- 30 -'!$D44)</f>
        <v>1166196</v>
      </c>
      <c r="C44" s="139">
        <v>740425</v>
      </c>
      <c r="D44" s="145">
        <f t="shared" ca="1" si="0"/>
        <v>1.5750359590775569</v>
      </c>
      <c r="E44" s="149"/>
    </row>
    <row r="45" spans="1:5" ht="14.1" customHeight="1" x14ac:dyDescent="0.2">
      <c r="A45" s="271" t="s">
        <v>141</v>
      </c>
      <c r="B45" s="303">
        <f>SUM('- 29 -'!$B45,'- 29 -'!$D45,'- 30 -'!$D45)</f>
        <v>935739</v>
      </c>
      <c r="C45" s="303">
        <v>300000</v>
      </c>
      <c r="D45" s="304">
        <f t="shared" ca="1" si="0"/>
        <v>3.1191300000000002</v>
      </c>
      <c r="E45" s="149"/>
    </row>
    <row r="46" spans="1:5" ht="14.1" customHeight="1" x14ac:dyDescent="0.2">
      <c r="A46" s="15" t="s">
        <v>142</v>
      </c>
      <c r="B46" s="139">
        <f>SUM('- 29 -'!$B46,'- 29 -'!$D46,'- 30 -'!$D46)</f>
        <v>7457100</v>
      </c>
      <c r="C46" s="139">
        <v>1291238</v>
      </c>
      <c r="D46" s="145">
        <f t="shared" ca="1" si="0"/>
        <v>5.7751553160610207</v>
      </c>
      <c r="E46" s="149"/>
    </row>
    <row r="47" spans="1:5" ht="5.0999999999999996" customHeight="1" x14ac:dyDescent="0.2">
      <c r="A47"/>
      <c r="B47"/>
      <c r="C47"/>
      <c r="D47"/>
      <c r="E47"/>
    </row>
    <row r="48" spans="1:5" ht="14.1" customHeight="1" x14ac:dyDescent="0.2">
      <c r="A48" s="274" t="s">
        <v>143</v>
      </c>
      <c r="B48" s="305">
        <f>SUM(B11:B46)</f>
        <v>105568573</v>
      </c>
      <c r="C48" s="305">
        <f>SUM(C11:C46)</f>
        <v>34023550</v>
      </c>
      <c r="D48" s="306">
        <f>B48/C48</f>
        <v>3.1028088779683483</v>
      </c>
      <c r="E48" s="149"/>
    </row>
    <row r="49" spans="1:5" ht="5.0999999999999996" customHeight="1" x14ac:dyDescent="0.2">
      <c r="A49" s="17" t="s">
        <v>1</v>
      </c>
      <c r="B49" s="140"/>
      <c r="C49" s="140"/>
      <c r="D49" s="79"/>
    </row>
    <row r="50" spans="1:5" ht="14.1" customHeight="1" x14ac:dyDescent="0.2">
      <c r="A50" s="15" t="s">
        <v>144</v>
      </c>
      <c r="B50" s="139">
        <f>SUM('- 29 -'!$B50,'- 29 -'!$D50,'- 30 -'!$D50)</f>
        <v>54484</v>
      </c>
      <c r="C50" s="361" t="s">
        <v>88</v>
      </c>
      <c r="D50" s="145" t="str">
        <f ca="1">IF(AND(CELL("type",C50)="v",C50&gt;0),B50/C50,"")</f>
        <v/>
      </c>
      <c r="E50" s="149"/>
    </row>
    <row r="51" spans="1:5" ht="14.1" customHeight="1" x14ac:dyDescent="0.2">
      <c r="A51" s="360" t="s">
        <v>513</v>
      </c>
      <c r="B51" s="303">
        <f>SUM('- 29 -'!$B51,'- 29 -'!$D51,'- 30 -'!$D51)</f>
        <v>0</v>
      </c>
      <c r="C51" s="303">
        <v>0</v>
      </c>
      <c r="D51" s="304" t="str">
        <f ca="1">IF(AND(CELL("type",C51)="v",C51&gt;0),B51/C51,"")</f>
        <v/>
      </c>
      <c r="E51" s="149"/>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4">
    <mergeCell ref="B6:D6"/>
    <mergeCell ref="B7:D7"/>
    <mergeCell ref="C8:C9"/>
    <mergeCell ref="D8:D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B59"/>
  <sheetViews>
    <sheetView showGridLines="0" showZeros="0" workbookViewId="0"/>
  </sheetViews>
  <sheetFormatPr defaultColWidth="15.83203125" defaultRowHeight="12" x14ac:dyDescent="0.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0" width="2.33203125" style="1" hidden="1" customWidth="1"/>
    <col min="11" max="13" width="0" style="1" hidden="1" customWidth="1"/>
    <col min="14" max="16384" width="15.83203125" style="1"/>
  </cols>
  <sheetData>
    <row r="1" spans="1:54" ht="6.95" customHeight="1" x14ac:dyDescent="0.2">
      <c r="A1" s="3"/>
      <c r="B1" s="4"/>
      <c r="C1" s="4"/>
      <c r="D1" s="4"/>
      <c r="E1" s="4"/>
      <c r="F1" s="4"/>
    </row>
    <row r="2" spans="1:54" ht="15.95" customHeight="1" x14ac:dyDescent="0.2">
      <c r="A2" s="5" t="str">
        <f>IF(Lang=1,BA2,BB2)</f>
        <v xml:space="preserve"> ANALYSIS OF OPERATIONS AND MAINTENANCE EXPENSES FOR SCHOOL BUILDINGS</v>
      </c>
      <c r="B2" s="142"/>
      <c r="C2" s="133"/>
      <c r="D2" s="6"/>
      <c r="E2" s="6"/>
      <c r="F2" s="6"/>
      <c r="G2" s="6"/>
      <c r="BA2" s="456" t="s">
        <v>261</v>
      </c>
      <c r="BB2" s="456" t="s">
        <v>442</v>
      </c>
    </row>
    <row r="3" spans="1:54" ht="15.95" customHeight="1" x14ac:dyDescent="0.2">
      <c r="A3" s="7" t="str">
        <f>OPYEAR</f>
        <v>OPERATING FUND 2020/2021 BUDGET</v>
      </c>
      <c r="B3" s="143"/>
      <c r="C3" s="144"/>
      <c r="D3" s="8"/>
      <c r="E3" s="8"/>
      <c r="F3" s="8"/>
      <c r="G3" s="8"/>
    </row>
    <row r="4" spans="1:54" ht="15.95" customHeight="1" x14ac:dyDescent="0.2">
      <c r="B4" s="4"/>
      <c r="C4" s="4"/>
      <c r="D4" s="84"/>
      <c r="E4" s="4"/>
      <c r="F4" s="4"/>
    </row>
    <row r="5" spans="1:54" ht="15.95" customHeight="1" x14ac:dyDescent="0.2">
      <c r="B5" s="4"/>
      <c r="C5" s="4"/>
      <c r="D5" s="4"/>
      <c r="E5" s="4"/>
      <c r="F5" s="4"/>
      <c r="I5"/>
    </row>
    <row r="6" spans="1:54" ht="15.95" customHeight="1" x14ac:dyDescent="0.2">
      <c r="B6" s="277"/>
      <c r="C6" s="309"/>
      <c r="D6" s="280"/>
      <c r="E6" s="279"/>
      <c r="F6" s="622" t="s">
        <v>438</v>
      </c>
      <c r="G6" s="615"/>
      <c r="I6"/>
    </row>
    <row r="7" spans="1:54" ht="15.95" customHeight="1" x14ac:dyDescent="0.2">
      <c r="B7" s="629" t="s">
        <v>23</v>
      </c>
      <c r="C7" s="631"/>
      <c r="D7" s="631"/>
      <c r="E7" s="617"/>
      <c r="F7" s="629"/>
      <c r="G7" s="617"/>
      <c r="I7" s="375" t="s">
        <v>25</v>
      </c>
    </row>
    <row r="8" spans="1:54" ht="15.95" customHeight="1" x14ac:dyDescent="0.2">
      <c r="A8" s="82"/>
      <c r="B8" s="88" t="s">
        <v>1</v>
      </c>
      <c r="C8" s="540" t="s">
        <v>439</v>
      </c>
      <c r="D8" s="540" t="s">
        <v>440</v>
      </c>
      <c r="E8" s="540" t="s">
        <v>441</v>
      </c>
      <c r="F8" s="88" t="s">
        <v>1</v>
      </c>
      <c r="G8" s="540" t="s">
        <v>440</v>
      </c>
      <c r="I8" s="375" t="s">
        <v>36</v>
      </c>
    </row>
    <row r="9" spans="1:54" ht="15.95" customHeight="1" x14ac:dyDescent="0.2">
      <c r="A9" s="27" t="s">
        <v>37</v>
      </c>
      <c r="B9" s="89" t="s">
        <v>38</v>
      </c>
      <c r="C9" s="542"/>
      <c r="D9" s="580"/>
      <c r="E9" s="580"/>
      <c r="F9" s="89" t="s">
        <v>38</v>
      </c>
      <c r="G9" s="580"/>
      <c r="I9" s="359" t="s">
        <v>601</v>
      </c>
      <c r="J9" s="359"/>
    </row>
    <row r="10" spans="1:54" ht="5.0999999999999996" customHeight="1" x14ac:dyDescent="0.2">
      <c r="A10" s="29"/>
    </row>
    <row r="11" spans="1:54" ht="14.1" customHeight="1" x14ac:dyDescent="0.2">
      <c r="A11" s="271" t="s">
        <v>108</v>
      </c>
      <c r="B11" s="303">
        <f>'- 31 -'!D11</f>
        <v>1789262</v>
      </c>
      <c r="C11" s="303">
        <f>B11/'- 7 -'!E11</f>
        <v>897.09801955377293</v>
      </c>
      <c r="D11" s="304">
        <f t="shared" ref="D11:D42" si="0">B11/I11</f>
        <v>6.450929280911434</v>
      </c>
      <c r="E11" s="303">
        <f>I11/'- 7 -'!E11</f>
        <v>139.06492855352218</v>
      </c>
      <c r="F11" s="303">
        <f>'- 31 -'!F11</f>
        <v>267800</v>
      </c>
      <c r="G11" s="304">
        <f t="shared" ref="G11:G42" si="1">F11/I11</f>
        <v>0.96551475492581973</v>
      </c>
      <c r="I11" s="1">
        <v>277365</v>
      </c>
    </row>
    <row r="12" spans="1:54" ht="14.1" customHeight="1" x14ac:dyDescent="0.2">
      <c r="A12" s="15" t="s">
        <v>109</v>
      </c>
      <c r="B12" s="139">
        <f>'- 31 -'!D12</f>
        <v>2686214</v>
      </c>
      <c r="C12" s="139">
        <f>B12/'- 7 -'!E12</f>
        <v>1247.0817084493965</v>
      </c>
      <c r="D12" s="145">
        <f t="shared" si="0"/>
        <v>6.575396854537666</v>
      </c>
      <c r="E12" s="139">
        <f>I12/'- 7 -'!E12</f>
        <v>189.65877437325906</v>
      </c>
      <c r="F12" s="139">
        <f>'- 31 -'!F12</f>
        <v>343400</v>
      </c>
      <c r="G12" s="145">
        <f t="shared" si="1"/>
        <v>0.84058503151581909</v>
      </c>
      <c r="I12" s="1">
        <v>408525</v>
      </c>
    </row>
    <row r="13" spans="1:54" ht="14.1" customHeight="1" x14ac:dyDescent="0.2">
      <c r="A13" s="271" t="s">
        <v>110</v>
      </c>
      <c r="B13" s="303">
        <f>'- 31 -'!D13</f>
        <v>7402400</v>
      </c>
      <c r="C13" s="303">
        <f>B13/'- 7 -'!E13</f>
        <v>846.8111880112109</v>
      </c>
      <c r="D13" s="304">
        <f t="shared" si="0"/>
        <v>6.9701004310645169</v>
      </c>
      <c r="E13" s="303">
        <f>I13/'- 7 -'!E13</f>
        <v>121.49196362180403</v>
      </c>
      <c r="F13" s="303">
        <f>'- 31 -'!F13</f>
        <v>749000</v>
      </c>
      <c r="G13" s="304">
        <f t="shared" si="1"/>
        <v>0.70525845980591739</v>
      </c>
      <c r="I13" s="1">
        <v>1062022</v>
      </c>
    </row>
    <row r="14" spans="1:54" ht="14.1" customHeight="1" x14ac:dyDescent="0.2">
      <c r="A14" s="15" t="s">
        <v>319</v>
      </c>
      <c r="B14" s="139">
        <f>'- 31 -'!D14</f>
        <v>8772681</v>
      </c>
      <c r="C14" s="139">
        <f>B14/'- 7 -'!E14</f>
        <v>1463.8212915067579</v>
      </c>
      <c r="D14" s="145">
        <f t="shared" si="0"/>
        <v>8.5299443729781608</v>
      </c>
      <c r="E14" s="139">
        <f>I14/'- 7 -'!E14</f>
        <v>171.60971132988487</v>
      </c>
      <c r="F14" s="139">
        <f>'- 31 -'!F14</f>
        <v>1040400</v>
      </c>
      <c r="G14" s="145">
        <f t="shared" si="1"/>
        <v>1.0116125418952859</v>
      </c>
      <c r="I14" s="1">
        <v>1028457</v>
      </c>
    </row>
    <row r="15" spans="1:54" ht="14.1" customHeight="1" x14ac:dyDescent="0.2">
      <c r="A15" s="271" t="s">
        <v>111</v>
      </c>
      <c r="B15" s="303">
        <f>'- 31 -'!D15</f>
        <v>2344540</v>
      </c>
      <c r="C15" s="303">
        <f>B15/'- 7 -'!E15</f>
        <v>1680.673835125448</v>
      </c>
      <c r="D15" s="304">
        <f t="shared" si="0"/>
        <v>8.0498121914205463</v>
      </c>
      <c r="E15" s="303">
        <f>I15/'- 7 -'!E15</f>
        <v>208.78422939068099</v>
      </c>
      <c r="F15" s="303">
        <f>'- 31 -'!F15</f>
        <v>140000</v>
      </c>
      <c r="G15" s="304">
        <f t="shared" si="1"/>
        <v>0.4806800936639497</v>
      </c>
      <c r="I15" s="1">
        <v>291254</v>
      </c>
    </row>
    <row r="16" spans="1:54" ht="14.1" customHeight="1" x14ac:dyDescent="0.2">
      <c r="A16" s="15" t="s">
        <v>112</v>
      </c>
      <c r="B16" s="139">
        <f>'- 31 -'!D16</f>
        <v>1995614</v>
      </c>
      <c r="C16" s="139">
        <f>B16/'- 7 -'!E16</f>
        <v>2105.07805907173</v>
      </c>
      <c r="D16" s="145">
        <f t="shared" si="0"/>
        <v>9.514477103149062</v>
      </c>
      <c r="E16" s="139">
        <f>I16/'- 7 -'!E16</f>
        <v>221.25</v>
      </c>
      <c r="F16" s="139">
        <f>'- 31 -'!F16</f>
        <v>80000</v>
      </c>
      <c r="G16" s="145">
        <f t="shared" si="1"/>
        <v>0.38141552837969916</v>
      </c>
      <c r="I16" s="1">
        <v>209745</v>
      </c>
    </row>
    <row r="17" spans="1:12" ht="14.1" customHeight="1" x14ac:dyDescent="0.2">
      <c r="A17" s="271" t="s">
        <v>113</v>
      </c>
      <c r="B17" s="303">
        <f>'- 31 -'!D17</f>
        <v>1590165</v>
      </c>
      <c r="C17" s="303">
        <f>B17/'- 7 -'!E17</f>
        <v>1099.6991701244813</v>
      </c>
      <c r="D17" s="304">
        <f t="shared" si="0"/>
        <v>6.0435202322903327</v>
      </c>
      <c r="E17" s="303">
        <f>I17/'- 7 -'!E17</f>
        <v>181.96334716459197</v>
      </c>
      <c r="F17" s="303">
        <f>'- 31 -'!F17</f>
        <v>70000</v>
      </c>
      <c r="G17" s="304">
        <f t="shared" si="1"/>
        <v>0.26603932061158642</v>
      </c>
      <c r="I17" s="1">
        <v>263119</v>
      </c>
    </row>
    <row r="18" spans="1:12" ht="14.1" customHeight="1" x14ac:dyDescent="0.2">
      <c r="A18" s="15" t="s">
        <v>114</v>
      </c>
      <c r="B18" s="139">
        <f>'- 31 -'!D18</f>
        <v>18025353</v>
      </c>
      <c r="C18" s="139">
        <f>B18/'- 7 -'!E18</f>
        <v>3009.7433628318586</v>
      </c>
      <c r="D18" s="145">
        <f t="shared" si="0"/>
        <v>12.308708659083786</v>
      </c>
      <c r="E18" s="139">
        <f>I18/'- 7 -'!E18</f>
        <v>244.52145600267156</v>
      </c>
      <c r="F18" s="139">
        <f>'- 31 -'!F18</f>
        <v>2011312</v>
      </c>
      <c r="G18" s="145">
        <f t="shared" si="1"/>
        <v>1.3734351516177867</v>
      </c>
      <c r="I18" s="1">
        <v>1464439</v>
      </c>
    </row>
    <row r="19" spans="1:12" ht="14.1" customHeight="1" x14ac:dyDescent="0.2">
      <c r="A19" s="271" t="s">
        <v>115</v>
      </c>
      <c r="B19" s="303">
        <f>'- 31 -'!D19</f>
        <v>4488650</v>
      </c>
      <c r="C19" s="303">
        <f>B19/'- 7 -'!E19</f>
        <v>1009.0255142182758</v>
      </c>
      <c r="D19" s="304">
        <f t="shared" si="0"/>
        <v>6.2265912407544075</v>
      </c>
      <c r="E19" s="303">
        <f>I19/'- 7 -'!E19</f>
        <v>162.05102843655163</v>
      </c>
      <c r="F19" s="303">
        <f>'- 31 -'!F19</f>
        <v>110000</v>
      </c>
      <c r="G19" s="304">
        <f t="shared" si="1"/>
        <v>0.15259043063793898</v>
      </c>
      <c r="I19" s="1">
        <v>720884</v>
      </c>
    </row>
    <row r="20" spans="1:12" ht="14.1" customHeight="1" x14ac:dyDescent="0.2">
      <c r="A20" s="15" t="s">
        <v>116</v>
      </c>
      <c r="B20" s="139">
        <f>'- 31 -'!D20</f>
        <v>7873100</v>
      </c>
      <c r="C20" s="139">
        <f>B20/'- 7 -'!E20</f>
        <v>966.97371653156472</v>
      </c>
      <c r="D20" s="145">
        <f t="shared" si="0"/>
        <v>6.9954321021659531</v>
      </c>
      <c r="E20" s="139">
        <f>I20/'- 7 -'!E20</f>
        <v>138.22930483910588</v>
      </c>
      <c r="F20" s="139">
        <f>'- 31 -'!F20</f>
        <v>657500</v>
      </c>
      <c r="G20" s="145">
        <f t="shared" si="1"/>
        <v>0.58420401203771244</v>
      </c>
      <c r="I20" s="1">
        <v>1125463</v>
      </c>
    </row>
    <row r="21" spans="1:12" ht="14.1" customHeight="1" x14ac:dyDescent="0.2">
      <c r="A21" s="271" t="s">
        <v>117</v>
      </c>
      <c r="B21" s="303">
        <f>'- 31 -'!D21</f>
        <v>2826000</v>
      </c>
      <c r="C21" s="303">
        <f>B21/'- 7 -'!E21</f>
        <v>1008.925383791503</v>
      </c>
      <c r="D21" s="304">
        <f t="shared" si="0"/>
        <v>6.1531895992370567</v>
      </c>
      <c r="E21" s="303">
        <f>I21/'- 7 -'!E21</f>
        <v>163.96786861835059</v>
      </c>
      <c r="F21" s="303">
        <f>'- 31 -'!F21</f>
        <v>360000</v>
      </c>
      <c r="G21" s="304">
        <f t="shared" si="1"/>
        <v>0.78384580882000721</v>
      </c>
      <c r="I21" s="1">
        <v>459274</v>
      </c>
    </row>
    <row r="22" spans="1:12" ht="14.1" customHeight="1" x14ac:dyDescent="0.2">
      <c r="A22" s="15" t="s">
        <v>118</v>
      </c>
      <c r="B22" s="139">
        <f>'- 31 -'!D22</f>
        <v>2259816</v>
      </c>
      <c r="C22" s="139">
        <f>B22/'- 7 -'!E22</f>
        <v>1575.3335657023354</v>
      </c>
      <c r="D22" s="145">
        <f t="shared" si="0"/>
        <v>6.6292037267372272</v>
      </c>
      <c r="E22" s="139">
        <f>I22/'- 7 -'!E22</f>
        <v>237.63541303590102</v>
      </c>
      <c r="F22" s="139">
        <f>'- 31 -'!F22</f>
        <v>57400</v>
      </c>
      <c r="G22" s="145">
        <f t="shared" si="1"/>
        <v>0.1683837506747084</v>
      </c>
      <c r="I22" s="1">
        <v>340888</v>
      </c>
    </row>
    <row r="23" spans="1:12" ht="14.1" customHeight="1" x14ac:dyDescent="0.2">
      <c r="A23" s="271" t="s">
        <v>119</v>
      </c>
      <c r="B23" s="303">
        <f>'- 31 -'!D23</f>
        <v>1372750</v>
      </c>
      <c r="C23" s="303">
        <f>B23/'- 7 -'!E23</f>
        <v>1472.9077253218884</v>
      </c>
      <c r="D23" s="304">
        <f t="shared" si="0"/>
        <v>5.8851647974757348</v>
      </c>
      <c r="E23" s="303">
        <f>I23/'- 7 -'!E23</f>
        <v>250.27467811158797</v>
      </c>
      <c r="F23" s="303">
        <f>'- 31 -'!F23</f>
        <v>140382</v>
      </c>
      <c r="G23" s="304">
        <f t="shared" si="1"/>
        <v>0.60183660870459921</v>
      </c>
      <c r="I23" s="1">
        <v>233256</v>
      </c>
    </row>
    <row r="24" spans="1:12" ht="14.1" customHeight="1" x14ac:dyDescent="0.2">
      <c r="A24" s="15" t="s">
        <v>120</v>
      </c>
      <c r="B24" s="139">
        <f>'- 31 -'!D24</f>
        <v>5497352</v>
      </c>
      <c r="C24" s="139">
        <f>B24/'- 7 -'!E24</f>
        <v>1477.7827956989247</v>
      </c>
      <c r="D24" s="145">
        <f t="shared" si="0"/>
        <v>7.7239398703720097</v>
      </c>
      <c r="E24" s="139">
        <f>I24/'- 7 -'!E24</f>
        <v>191.32499999999999</v>
      </c>
      <c r="F24" s="139">
        <f>'- 31 -'!F24</f>
        <v>555800</v>
      </c>
      <c r="G24" s="145">
        <f t="shared" si="1"/>
        <v>0.78091520789513991</v>
      </c>
      <c r="I24" s="1">
        <v>711729</v>
      </c>
    </row>
    <row r="25" spans="1:12" ht="14.1" customHeight="1" x14ac:dyDescent="0.2">
      <c r="A25" s="271" t="s">
        <v>121</v>
      </c>
      <c r="B25" s="303">
        <f>'- 31 -'!D25</f>
        <v>18528776</v>
      </c>
      <c r="C25" s="303">
        <f>B25/'- 7 -'!E25</f>
        <v>1223.3445134028786</v>
      </c>
      <c r="D25" s="304">
        <f t="shared" si="0"/>
        <v>7.9860456937155622</v>
      </c>
      <c r="E25" s="303">
        <f>I25/'- 7 -'!E25</f>
        <v>153.18526343589068</v>
      </c>
      <c r="F25" s="303">
        <f>'- 31 -'!F25</f>
        <v>430020</v>
      </c>
      <c r="G25" s="304">
        <f t="shared" si="1"/>
        <v>0.18534194429311285</v>
      </c>
      <c r="I25" s="1">
        <v>2320144</v>
      </c>
    </row>
    <row r="26" spans="1:12" ht="14.1" customHeight="1" x14ac:dyDescent="0.2">
      <c r="A26" s="15" t="s">
        <v>122</v>
      </c>
      <c r="B26" s="139">
        <f>'- 31 -'!D26</f>
        <v>4519200</v>
      </c>
      <c r="C26" s="139">
        <f>B26/'- 7 -'!E26</f>
        <v>1465.8449562114822</v>
      </c>
      <c r="D26" s="145">
        <f t="shared" si="0"/>
        <v>5.8705928659670068</v>
      </c>
      <c r="E26" s="139">
        <f>I26/'- 7 -'!E26</f>
        <v>249.69283165747649</v>
      </c>
      <c r="F26" s="139">
        <f>'- 31 -'!F26</f>
        <v>259700</v>
      </c>
      <c r="G26" s="145">
        <f t="shared" si="1"/>
        <v>0.33735903861117716</v>
      </c>
      <c r="I26" s="1">
        <v>769803</v>
      </c>
    </row>
    <row r="27" spans="1:12" ht="14.1" customHeight="1" x14ac:dyDescent="0.2">
      <c r="A27" s="271" t="s">
        <v>123</v>
      </c>
      <c r="B27" s="303">
        <f>'- 31 -'!D27</f>
        <v>4295239</v>
      </c>
      <c r="C27" s="349">
        <f>B27/'- 7 -'!E27</f>
        <v>1428.8885562208916</v>
      </c>
      <c r="D27" s="304">
        <f t="shared" si="0"/>
        <v>9.1852996336777011</v>
      </c>
      <c r="E27" s="349">
        <f>I27/'- 7 -'!E27</f>
        <v>155.56254158349967</v>
      </c>
      <c r="F27" s="307">
        <f>'- 31 -'!F27</f>
        <v>781000</v>
      </c>
      <c r="G27" s="304">
        <f t="shared" si="1"/>
        <v>1.670155959633977</v>
      </c>
      <c r="I27" s="1">
        <v>467621</v>
      </c>
      <c r="L27" s="375" t="s">
        <v>36</v>
      </c>
    </row>
    <row r="28" spans="1:12" ht="14.1" customHeight="1" x14ac:dyDescent="0.2">
      <c r="A28" s="15" t="s">
        <v>124</v>
      </c>
      <c r="B28" s="139">
        <f>'- 31 -'!D28</f>
        <v>3024889</v>
      </c>
      <c r="C28" s="139">
        <f>B28/'- 7 -'!E28</f>
        <v>1498.2114908370481</v>
      </c>
      <c r="D28" s="145">
        <f t="shared" si="0"/>
        <v>6.824017361839597</v>
      </c>
      <c r="E28" s="139">
        <f>I28/'- 7 -'!E28</f>
        <v>219.54977711738485</v>
      </c>
      <c r="F28" s="139">
        <f>'- 31 -'!F28</f>
        <v>156017</v>
      </c>
      <c r="G28" s="145">
        <f t="shared" si="1"/>
        <v>0.3519675322770946</v>
      </c>
      <c r="I28" s="1">
        <f>393271+50000</f>
        <v>443271</v>
      </c>
      <c r="J28" s="204" t="s">
        <v>356</v>
      </c>
      <c r="K28" s="1">
        <v>50000</v>
      </c>
      <c r="L28" s="131" t="s">
        <v>514</v>
      </c>
    </row>
    <row r="29" spans="1:12" ht="14.1" customHeight="1" x14ac:dyDescent="0.2">
      <c r="A29" s="271" t="s">
        <v>125</v>
      </c>
      <c r="B29" s="303">
        <f>'- 31 -'!D29</f>
        <v>15867821</v>
      </c>
      <c r="C29" s="303">
        <f>B29/'- 7 -'!E29</f>
        <v>1103.0810566562391</v>
      </c>
      <c r="D29" s="304">
        <f t="shared" si="0"/>
        <v>8.5965031752378049</v>
      </c>
      <c r="E29" s="303">
        <f>I29/'- 7 -'!E29</f>
        <v>128.31741397288843</v>
      </c>
      <c r="F29" s="303">
        <f>'- 31 -'!F29</f>
        <v>1993850</v>
      </c>
      <c r="G29" s="304">
        <f t="shared" si="1"/>
        <v>1.0801822037158029</v>
      </c>
      <c r="I29" s="1">
        <v>1845846</v>
      </c>
    </row>
    <row r="30" spans="1:12" ht="14.1" customHeight="1" x14ac:dyDescent="0.2">
      <c r="A30" s="15" t="s">
        <v>126</v>
      </c>
      <c r="B30" s="139">
        <f>'- 31 -'!D30</f>
        <v>1235424</v>
      </c>
      <c r="C30" s="139">
        <f>B30/'- 7 -'!E30</f>
        <v>1180.5293836598184</v>
      </c>
      <c r="D30" s="145">
        <f t="shared" si="0"/>
        <v>5.8906854213851476</v>
      </c>
      <c r="E30" s="139">
        <f>I30/'- 7 -'!E30</f>
        <v>200.40611562350693</v>
      </c>
      <c r="F30" s="139">
        <f>'- 31 -'!F30</f>
        <v>119275</v>
      </c>
      <c r="G30" s="145">
        <f t="shared" si="1"/>
        <v>0.56872094409345575</v>
      </c>
      <c r="I30" s="1">
        <v>209725</v>
      </c>
    </row>
    <row r="31" spans="1:12" ht="14.1" customHeight="1" x14ac:dyDescent="0.2">
      <c r="A31" s="271" t="s">
        <v>127</v>
      </c>
      <c r="B31" s="303">
        <f>'- 31 -'!D31</f>
        <v>3438285</v>
      </c>
      <c r="C31" s="303">
        <f>B31/'- 7 -'!E31</f>
        <v>1025.7413484486874</v>
      </c>
      <c r="D31" s="304">
        <f t="shared" si="0"/>
        <v>5.6690227929246966</v>
      </c>
      <c r="E31" s="303">
        <f>I31/'- 7 -'!E31</f>
        <v>180.93794749403341</v>
      </c>
      <c r="F31" s="303">
        <f>'- 31 -'!F31</f>
        <v>155000</v>
      </c>
      <c r="G31" s="304">
        <f t="shared" si="1"/>
        <v>0.25556303008718823</v>
      </c>
      <c r="I31" s="1">
        <v>606504</v>
      </c>
    </row>
    <row r="32" spans="1:12" ht="14.1" customHeight="1" x14ac:dyDescent="0.2">
      <c r="A32" s="15" t="s">
        <v>128</v>
      </c>
      <c r="B32" s="139">
        <f>'- 31 -'!D32</f>
        <v>2605993</v>
      </c>
      <c r="C32" s="139">
        <f>B32/'- 7 -'!E32</f>
        <v>1115.8180261186042</v>
      </c>
      <c r="D32" s="145">
        <f t="shared" si="0"/>
        <v>6.7252126473563596</v>
      </c>
      <c r="E32" s="139">
        <f>I32/'- 7 -'!E32</f>
        <v>165.91564975380004</v>
      </c>
      <c r="F32" s="139">
        <f>'- 31 -'!F32</f>
        <v>236314</v>
      </c>
      <c r="G32" s="145">
        <f t="shared" si="1"/>
        <v>0.60984887585936376</v>
      </c>
      <c r="I32" s="1">
        <v>387496</v>
      </c>
    </row>
    <row r="33" spans="1:9" ht="14.1" customHeight="1" x14ac:dyDescent="0.2">
      <c r="A33" s="271" t="s">
        <v>129</v>
      </c>
      <c r="B33" s="303">
        <f>'- 31 -'!D33</f>
        <v>2747475</v>
      </c>
      <c r="C33" s="303">
        <f>B33/'- 7 -'!E33</f>
        <v>1330.3675188843697</v>
      </c>
      <c r="D33" s="304">
        <f t="shared" si="0"/>
        <v>5.5848095862426446</v>
      </c>
      <c r="E33" s="303">
        <f>I33/'- 7 -'!E33</f>
        <v>238.21179546775133</v>
      </c>
      <c r="F33" s="303">
        <f>'- 31 -'!F33</f>
        <v>336500</v>
      </c>
      <c r="G33" s="304">
        <f t="shared" si="1"/>
        <v>0.68400565092335686</v>
      </c>
      <c r="I33" s="1">
        <v>491955</v>
      </c>
    </row>
    <row r="34" spans="1:9" ht="14.1" customHeight="1" x14ac:dyDescent="0.2">
      <c r="A34" s="15" t="s">
        <v>130</v>
      </c>
      <c r="B34" s="139">
        <f>'- 31 -'!D34</f>
        <v>2326327</v>
      </c>
      <c r="C34" s="139">
        <f>B34/'- 7 -'!E34</f>
        <v>1020.4531297977805</v>
      </c>
      <c r="D34" s="145">
        <f t="shared" si="0"/>
        <v>6.2299536702284355</v>
      </c>
      <c r="E34" s="139">
        <f>I34/'- 7 -'!E34</f>
        <v>163.79786814054484</v>
      </c>
      <c r="F34" s="139">
        <f>'- 31 -'!F34</f>
        <v>285484</v>
      </c>
      <c r="G34" s="145">
        <f t="shared" si="1"/>
        <v>0.76453228354891412</v>
      </c>
      <c r="I34" s="1">
        <v>373410</v>
      </c>
    </row>
    <row r="35" spans="1:9" ht="14.1" customHeight="1" x14ac:dyDescent="0.2">
      <c r="A35" s="271" t="s">
        <v>131</v>
      </c>
      <c r="B35" s="303">
        <f>'- 31 -'!D35</f>
        <v>19707025</v>
      </c>
      <c r="C35" s="303">
        <f>B35/'- 7 -'!E35</f>
        <v>1209.1312083934104</v>
      </c>
      <c r="D35" s="304">
        <f t="shared" si="0"/>
        <v>8.0401132068697656</v>
      </c>
      <c r="E35" s="303">
        <f>I35/'- 7 -'!E35</f>
        <v>150.38733625793785</v>
      </c>
      <c r="F35" s="303">
        <f>'- 31 -'!F35</f>
        <v>743600</v>
      </c>
      <c r="G35" s="304">
        <f t="shared" si="1"/>
        <v>0.30337548060289959</v>
      </c>
      <c r="I35" s="1">
        <v>2451088</v>
      </c>
    </row>
    <row r="36" spans="1:9" ht="14.1" customHeight="1" x14ac:dyDescent="0.2">
      <c r="A36" s="15" t="s">
        <v>132</v>
      </c>
      <c r="B36" s="139">
        <f>'- 31 -'!D36</f>
        <v>2542550</v>
      </c>
      <c r="C36" s="139">
        <f>B36/'- 7 -'!E36</f>
        <v>1456.6313377255801</v>
      </c>
      <c r="D36" s="145">
        <f t="shared" si="0"/>
        <v>7.8985955221979562</v>
      </c>
      <c r="E36" s="139">
        <f>I36/'- 7 -'!E36</f>
        <v>184.41649957032368</v>
      </c>
      <c r="F36" s="139">
        <f>'- 31 -'!F36</f>
        <v>110000</v>
      </c>
      <c r="G36" s="145">
        <f t="shared" si="1"/>
        <v>0.34172209295462241</v>
      </c>
      <c r="I36" s="1">
        <v>321899</v>
      </c>
    </row>
    <row r="37" spans="1:9" ht="14.1" customHeight="1" x14ac:dyDescent="0.2">
      <c r="A37" s="271" t="s">
        <v>133</v>
      </c>
      <c r="B37" s="303">
        <f>'- 31 -'!D37</f>
        <v>4336200</v>
      </c>
      <c r="C37" s="303">
        <f>B37/'- 7 -'!E37</f>
        <v>993.62969752520621</v>
      </c>
      <c r="D37" s="304">
        <f t="shared" si="0"/>
        <v>7.3170855178674783</v>
      </c>
      <c r="E37" s="303">
        <f>I37/'- 7 -'!E37</f>
        <v>135.79582951420716</v>
      </c>
      <c r="F37" s="303">
        <f>'- 31 -'!F37</f>
        <v>555000</v>
      </c>
      <c r="G37" s="304">
        <f t="shared" si="1"/>
        <v>0.9365302482395762</v>
      </c>
      <c r="I37" s="1">
        <v>592613</v>
      </c>
    </row>
    <row r="38" spans="1:9" ht="14.1" customHeight="1" x14ac:dyDescent="0.2">
      <c r="A38" s="15" t="s">
        <v>134</v>
      </c>
      <c r="B38" s="139">
        <f>'- 31 -'!D38</f>
        <v>11800385</v>
      </c>
      <c r="C38" s="139">
        <f>B38/'- 7 -'!E38</f>
        <v>1012.5261703734212</v>
      </c>
      <c r="D38" s="145">
        <f t="shared" si="0"/>
        <v>8.4784148755402118</v>
      </c>
      <c r="E38" s="139">
        <f>I38/'- 7 -'!E38</f>
        <v>119.42399437122461</v>
      </c>
      <c r="F38" s="139">
        <f>'- 31 -'!F38</f>
        <v>933900</v>
      </c>
      <c r="G38" s="145">
        <f t="shared" si="1"/>
        <v>0.67099434910530498</v>
      </c>
      <c r="I38" s="1">
        <v>1391815</v>
      </c>
    </row>
    <row r="39" spans="1:9" ht="14.1" customHeight="1" x14ac:dyDescent="0.2">
      <c r="A39" s="271" t="s">
        <v>135</v>
      </c>
      <c r="B39" s="303">
        <f>'- 31 -'!D39</f>
        <v>2050800</v>
      </c>
      <c r="C39" s="303">
        <f>B39/'- 7 -'!E39</f>
        <v>1375.8218167181001</v>
      </c>
      <c r="D39" s="304">
        <f t="shared" si="0"/>
        <v>6.4583379258872027</v>
      </c>
      <c r="E39" s="303">
        <f>I39/'- 7 -'!E39</f>
        <v>213.03032335972094</v>
      </c>
      <c r="F39" s="303">
        <f>'- 31 -'!F39</f>
        <v>160000</v>
      </c>
      <c r="G39" s="304">
        <f t="shared" si="1"/>
        <v>0.50386876737953601</v>
      </c>
      <c r="I39" s="1">
        <v>317543</v>
      </c>
    </row>
    <row r="40" spans="1:9" ht="14.1" customHeight="1" x14ac:dyDescent="0.2">
      <c r="A40" s="15" t="s">
        <v>136</v>
      </c>
      <c r="B40" s="139">
        <f>'- 31 -'!D40</f>
        <v>8897879</v>
      </c>
      <c r="C40" s="139">
        <f>B40/'- 7 -'!E40</f>
        <v>1082.1379142596534</v>
      </c>
      <c r="D40" s="145">
        <f t="shared" si="0"/>
        <v>6.0984058120009594</v>
      </c>
      <c r="E40" s="139">
        <f>I40/'- 7 -'!E40</f>
        <v>177.44603222864092</v>
      </c>
      <c r="F40" s="139">
        <f>'- 31 -'!F40</f>
        <v>1197663</v>
      </c>
      <c r="G40" s="145">
        <f t="shared" si="1"/>
        <v>0.82085123881977995</v>
      </c>
      <c r="I40" s="1">
        <v>1459050</v>
      </c>
    </row>
    <row r="41" spans="1:9" ht="14.1" customHeight="1" x14ac:dyDescent="0.2">
      <c r="A41" s="271" t="s">
        <v>137</v>
      </c>
      <c r="B41" s="303">
        <f>'- 31 -'!D41</f>
        <v>5300429</v>
      </c>
      <c r="C41" s="303">
        <f>B41/'- 7 -'!E41</f>
        <v>1179.4457053849578</v>
      </c>
      <c r="D41" s="304">
        <f t="shared" si="0"/>
        <v>6.9520478681893483</v>
      </c>
      <c r="E41" s="303">
        <f>I41/'- 7 -'!E41</f>
        <v>169.65442812639074</v>
      </c>
      <c r="F41" s="303">
        <f>'- 31 -'!F41</f>
        <v>726920</v>
      </c>
      <c r="G41" s="304">
        <f t="shared" si="1"/>
        <v>0.95342898402076526</v>
      </c>
      <c r="I41" s="1">
        <v>762427</v>
      </c>
    </row>
    <row r="42" spans="1:9" ht="14.1" customHeight="1" x14ac:dyDescent="0.2">
      <c r="A42" s="15" t="s">
        <v>138</v>
      </c>
      <c r="B42" s="139">
        <f>'- 31 -'!D42</f>
        <v>1942998</v>
      </c>
      <c r="C42" s="139">
        <f>B42/'- 7 -'!E42</f>
        <v>1419.8012422360248</v>
      </c>
      <c r="D42" s="145">
        <f t="shared" si="0"/>
        <v>6.6836987069454814</v>
      </c>
      <c r="E42" s="139">
        <f>I42/'- 7 -'!E42</f>
        <v>212.42747533796128</v>
      </c>
      <c r="F42" s="139">
        <f>'- 31 -'!F42</f>
        <v>157242</v>
      </c>
      <c r="G42" s="145">
        <f t="shared" si="1"/>
        <v>0.54089512808429108</v>
      </c>
      <c r="I42" s="1">
        <v>290707</v>
      </c>
    </row>
    <row r="43" spans="1:9" ht="14.1" customHeight="1" x14ac:dyDescent="0.2">
      <c r="A43" s="271" t="s">
        <v>139</v>
      </c>
      <c r="B43" s="303">
        <f>'- 31 -'!D43</f>
        <v>803232</v>
      </c>
      <c r="C43" s="303">
        <f>B43/'- 7 -'!E43</f>
        <v>799.23582089552235</v>
      </c>
      <c r="D43" s="304">
        <f>B43/I43</f>
        <v>4.3989090789603393</v>
      </c>
      <c r="E43" s="303">
        <f>I43/'- 7 -'!E43</f>
        <v>181.68955223880596</v>
      </c>
      <c r="F43" s="303">
        <f>'- 31 -'!F43</f>
        <v>130783</v>
      </c>
      <c r="G43" s="304">
        <f>F43/I43</f>
        <v>0.71623456992957202</v>
      </c>
      <c r="I43" s="1">
        <v>182598</v>
      </c>
    </row>
    <row r="44" spans="1:9" ht="14.1" customHeight="1" x14ac:dyDescent="0.2">
      <c r="A44" s="15" t="s">
        <v>140</v>
      </c>
      <c r="B44" s="139">
        <f>'- 31 -'!D44</f>
        <v>1057625</v>
      </c>
      <c r="C44" s="139">
        <f>B44/'- 7 -'!E44</f>
        <v>1525.0540735400143</v>
      </c>
      <c r="D44" s="145">
        <f>B44/I44</f>
        <v>5.8527063146419342</v>
      </c>
      <c r="E44" s="139">
        <f>I44/'- 7 -'!E44</f>
        <v>260.57245854361935</v>
      </c>
      <c r="F44" s="139">
        <f>'- 31 -'!F44</f>
        <v>52520</v>
      </c>
      <c r="G44" s="145">
        <f>F44/I44</f>
        <v>0.29063622327856697</v>
      </c>
      <c r="I44" s="1">
        <v>180707</v>
      </c>
    </row>
    <row r="45" spans="1:9" ht="14.1" customHeight="1" x14ac:dyDescent="0.2">
      <c r="A45" s="271" t="s">
        <v>141</v>
      </c>
      <c r="B45" s="303">
        <f>'- 31 -'!D45</f>
        <v>1765192</v>
      </c>
      <c r="C45" s="303">
        <f>B45/'- 7 -'!E45</f>
        <v>850.69493975903617</v>
      </c>
      <c r="D45" s="304">
        <f>B45/I45</f>
        <v>7.9926104694072526</v>
      </c>
      <c r="E45" s="303">
        <f>I45/'- 7 -'!E45</f>
        <v>106.43518072289157</v>
      </c>
      <c r="F45" s="303">
        <f>'- 31 -'!F45</f>
        <v>138760</v>
      </c>
      <c r="G45" s="304">
        <f>F45/I45</f>
        <v>0.62829121632941365</v>
      </c>
      <c r="I45" s="1">
        <v>220853</v>
      </c>
    </row>
    <row r="46" spans="1:9" ht="14.1" customHeight="1" x14ac:dyDescent="0.2">
      <c r="A46" s="15" t="s">
        <v>142</v>
      </c>
      <c r="B46" s="139">
        <f>'- 31 -'!D46</f>
        <v>42084800</v>
      </c>
      <c r="C46" s="139">
        <f>B46/'- 7 -'!E46</f>
        <v>1406.7185880937259</v>
      </c>
      <c r="D46" s="145">
        <f>B46/I46</f>
        <v>8.3094572280577257</v>
      </c>
      <c r="E46" s="139">
        <f>I46/'- 7 -'!E46</f>
        <v>169.29127252064043</v>
      </c>
      <c r="F46" s="139">
        <f>'- 31 -'!F46</f>
        <v>6834800</v>
      </c>
      <c r="G46" s="145">
        <f>F46/I46</f>
        <v>1.3495009661998856</v>
      </c>
      <c r="I46" s="1">
        <v>5064687</v>
      </c>
    </row>
    <row r="47" spans="1:9" ht="5.0999999999999996" customHeight="1" x14ac:dyDescent="0.2">
      <c r="A47"/>
      <c r="B47"/>
      <c r="C47"/>
      <c r="D47"/>
      <c r="E47"/>
      <c r="F47"/>
      <c r="G47"/>
      <c r="H47"/>
      <c r="I47"/>
    </row>
    <row r="48" spans="1:9" ht="14.1" customHeight="1" x14ac:dyDescent="0.2">
      <c r="A48" s="274" t="s">
        <v>143</v>
      </c>
      <c r="B48" s="305">
        <f>SUM(B11:B46)</f>
        <v>229802441</v>
      </c>
      <c r="C48" s="305">
        <f>B48/'- 7 -'!E48</f>
        <v>1261.3658449030493</v>
      </c>
      <c r="D48" s="306">
        <f>B48/I48</f>
        <v>7.7249238625741903</v>
      </c>
      <c r="E48" s="305">
        <f>I48/'- 7 -'!E48</f>
        <v>163.28521385357993</v>
      </c>
      <c r="F48" s="305">
        <f>SUM(F11:F46)</f>
        <v>23077342</v>
      </c>
      <c r="G48" s="306">
        <f>F48/I48</f>
        <v>0.77575638067563257</v>
      </c>
      <c r="I48" s="1">
        <f>SUM(I11:I46)</f>
        <v>29748182</v>
      </c>
    </row>
    <row r="49" spans="1:9" ht="5.0999999999999996" customHeight="1" x14ac:dyDescent="0.2">
      <c r="A49" s="17" t="s">
        <v>1</v>
      </c>
      <c r="B49" s="140"/>
      <c r="C49" s="140"/>
      <c r="D49" s="79"/>
      <c r="E49" s="140"/>
      <c r="F49" s="140"/>
      <c r="G49" s="79"/>
    </row>
    <row r="50" spans="1:9" ht="14.1" customHeight="1" x14ac:dyDescent="0.2">
      <c r="A50" s="15" t="s">
        <v>144</v>
      </c>
      <c r="B50" s="139">
        <f>'- 31 -'!D50</f>
        <v>436889</v>
      </c>
      <c r="C50" s="139">
        <f>B50/'- 7 -'!E50</f>
        <v>2540.0523255813955</v>
      </c>
      <c r="D50" s="145">
        <f>B50/I50</f>
        <v>5.9801932763907137</v>
      </c>
      <c r="E50" s="139">
        <f>I50/'- 7 -'!E50</f>
        <v>424.74418604651163</v>
      </c>
      <c r="F50" s="139">
        <f>'- 31 -'!F50</f>
        <v>32000</v>
      </c>
      <c r="G50" s="248" t="s">
        <v>88</v>
      </c>
      <c r="I50" s="129">
        <v>73056</v>
      </c>
    </row>
    <row r="51" spans="1:9" ht="14.1" customHeight="1" x14ac:dyDescent="0.2">
      <c r="A51" s="360" t="s">
        <v>513</v>
      </c>
      <c r="B51" s="303">
        <f>'- 31 -'!D51</f>
        <v>3884017</v>
      </c>
      <c r="C51" s="303">
        <f>B51/'- 7 -'!E51</f>
        <v>2189.2886534017248</v>
      </c>
      <c r="D51" s="308" t="s">
        <v>88</v>
      </c>
      <c r="E51" s="307" t="s">
        <v>88</v>
      </c>
      <c r="F51" s="303">
        <f>'- 31 -'!F51</f>
        <v>0</v>
      </c>
      <c r="G51" s="308" t="s">
        <v>88</v>
      </c>
    </row>
    <row r="52" spans="1:9" ht="50.1" customHeight="1" x14ac:dyDescent="0.2">
      <c r="A52" s="19"/>
      <c r="B52" s="19"/>
      <c r="C52" s="19"/>
      <c r="D52" s="19"/>
      <c r="E52" s="19"/>
      <c r="F52" s="19"/>
      <c r="G52" s="19"/>
    </row>
    <row r="53" spans="1:9" ht="15" customHeight="1" x14ac:dyDescent="0.2">
      <c r="A53" s="131" t="s">
        <v>609</v>
      </c>
    </row>
    <row r="54" spans="1:9" ht="12" customHeight="1" x14ac:dyDescent="0.2">
      <c r="A54" s="1" t="s">
        <v>336</v>
      </c>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6">
    <mergeCell ref="B7:E7"/>
    <mergeCell ref="F6:G7"/>
    <mergeCell ref="C8:C9"/>
    <mergeCell ref="D8:D9"/>
    <mergeCell ref="G8:G9"/>
    <mergeCell ref="E8:E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BB59"/>
  <sheetViews>
    <sheetView showGridLines="0" showZeros="0" workbookViewId="0"/>
  </sheetViews>
  <sheetFormatPr defaultColWidth="15.83203125" defaultRowHeight="12" x14ac:dyDescent="0.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54" ht="6.95" customHeight="1" x14ac:dyDescent="0.2">
      <c r="A1" s="3"/>
      <c r="B1" s="4"/>
      <c r="C1" s="4"/>
      <c r="D1" s="4"/>
      <c r="E1" s="4"/>
      <c r="F1" s="4"/>
      <c r="G1" s="4"/>
      <c r="H1" s="4"/>
      <c r="I1" s="4"/>
      <c r="J1" s="4"/>
    </row>
    <row r="2" spans="1:54" ht="15.95" customHeight="1" x14ac:dyDescent="0.2">
      <c r="A2" s="132"/>
      <c r="B2" s="5" t="str">
        <f>IF(Lang=1,BA2,BB2)</f>
        <v>ANALYSIS OF INFORMATION TECHNOLOGY EXPENSES</v>
      </c>
      <c r="C2" s="6"/>
      <c r="D2" s="6"/>
      <c r="E2" s="6"/>
      <c r="F2" s="6"/>
      <c r="G2" s="6"/>
      <c r="H2" s="85"/>
      <c r="I2" s="141"/>
      <c r="J2" s="92"/>
      <c r="BA2" s="456" t="s">
        <v>305</v>
      </c>
      <c r="BB2" s="456" t="s">
        <v>443</v>
      </c>
    </row>
    <row r="3" spans="1:54" ht="15.95" customHeight="1" x14ac:dyDescent="0.2">
      <c r="A3" s="135"/>
      <c r="B3" s="7" t="str">
        <f>OPYEAR</f>
        <v>OPERATING FUND 2020/2021 BUDGET</v>
      </c>
      <c r="C3" s="8"/>
      <c r="D3" s="8"/>
      <c r="E3" s="8"/>
      <c r="F3" s="8"/>
      <c r="G3" s="8"/>
      <c r="H3" s="87"/>
      <c r="I3" s="87"/>
      <c r="J3" s="81"/>
    </row>
    <row r="4" spans="1:54" ht="15.95" customHeight="1" x14ac:dyDescent="0.2">
      <c r="B4" s="4"/>
      <c r="C4" s="4"/>
      <c r="D4" s="4"/>
      <c r="E4" s="4"/>
      <c r="F4" s="4"/>
      <c r="G4" s="4"/>
      <c r="H4" s="4"/>
      <c r="I4" s="4"/>
      <c r="J4" s="4"/>
    </row>
    <row r="5" spans="1:54" ht="14.1" customHeight="1" x14ac:dyDescent="0.2"/>
    <row r="6" spans="1:54" ht="18" customHeight="1" x14ac:dyDescent="0.2">
      <c r="B6" s="670" t="s">
        <v>257</v>
      </c>
      <c r="C6" s="671"/>
      <c r="D6" s="671"/>
      <c r="E6" s="671"/>
      <c r="F6" s="671"/>
      <c r="G6" s="671"/>
      <c r="H6" s="671"/>
      <c r="I6" s="671"/>
      <c r="J6" s="672"/>
    </row>
    <row r="7" spans="1:54" ht="15.95" customHeight="1" x14ac:dyDescent="0.2">
      <c r="B7" s="603" t="s">
        <v>64</v>
      </c>
      <c r="C7" s="604"/>
      <c r="D7" s="605"/>
      <c r="E7" s="603" t="s">
        <v>58</v>
      </c>
      <c r="F7" s="604"/>
      <c r="G7" s="605"/>
      <c r="H7" s="603" t="s">
        <v>59</v>
      </c>
      <c r="I7" s="604"/>
      <c r="J7" s="605"/>
    </row>
    <row r="8" spans="1:54" ht="15.95" customHeight="1" x14ac:dyDescent="0.2">
      <c r="A8" s="82"/>
      <c r="B8" s="137"/>
      <c r="C8" s="83"/>
      <c r="D8" s="540" t="s">
        <v>396</v>
      </c>
      <c r="E8" s="137"/>
      <c r="F8" s="138"/>
      <c r="G8" s="540" t="s">
        <v>396</v>
      </c>
      <c r="H8" s="137"/>
      <c r="I8" s="138"/>
      <c r="J8" s="540" t="s">
        <v>396</v>
      </c>
    </row>
    <row r="9" spans="1:54" ht="15.95" customHeight="1" x14ac:dyDescent="0.2">
      <c r="A9" s="27" t="s">
        <v>37</v>
      </c>
      <c r="B9" s="89" t="s">
        <v>38</v>
      </c>
      <c r="C9" s="89" t="s">
        <v>39</v>
      </c>
      <c r="D9" s="580"/>
      <c r="E9" s="89" t="s">
        <v>38</v>
      </c>
      <c r="F9" s="89" t="s">
        <v>39</v>
      </c>
      <c r="G9" s="580"/>
      <c r="H9" s="89" t="s">
        <v>38</v>
      </c>
      <c r="I9" s="89" t="s">
        <v>39</v>
      </c>
      <c r="J9" s="580"/>
    </row>
    <row r="10" spans="1:54" ht="5.0999999999999996" customHeight="1" x14ac:dyDescent="0.2">
      <c r="A10" s="29"/>
    </row>
    <row r="11" spans="1:54" ht="14.1" customHeight="1" x14ac:dyDescent="0.2">
      <c r="A11" s="271" t="s">
        <v>108</v>
      </c>
      <c r="B11" s="272">
        <v>147245</v>
      </c>
      <c r="C11" s="273">
        <f>B11/'- 3 -'!$D11*100</f>
        <v>0.66295695324983983</v>
      </c>
      <c r="D11" s="272">
        <f>B11/'- 7 -'!$E11</f>
        <v>73.825520180496369</v>
      </c>
      <c r="E11" s="272">
        <v>192992</v>
      </c>
      <c r="F11" s="273">
        <f>E11/'- 3 -'!$D11*100</f>
        <v>0.86892857700834047</v>
      </c>
      <c r="G11" s="272">
        <f>E11/'- 7 -'!$E11</f>
        <v>96.762095763349208</v>
      </c>
      <c r="H11" s="272">
        <v>231987</v>
      </c>
      <c r="I11" s="273">
        <f>H11/'- 3 -'!$D11*100</f>
        <v>1.0444999471192271</v>
      </c>
      <c r="J11" s="272">
        <f>H11/'- 7 -'!$E11</f>
        <v>116.3133617447982</v>
      </c>
    </row>
    <row r="12" spans="1:54" ht="14.1" customHeight="1" x14ac:dyDescent="0.2">
      <c r="A12" s="15" t="s">
        <v>109</v>
      </c>
      <c r="B12" s="16">
        <v>331019</v>
      </c>
      <c r="C12" s="267">
        <f>B12/'- 3 -'!$D12*100</f>
        <v>0.95411671100316464</v>
      </c>
      <c r="D12" s="16">
        <f>B12/'- 7 -'!$E12</f>
        <v>153.67641597028785</v>
      </c>
      <c r="E12" s="16">
        <v>355500</v>
      </c>
      <c r="F12" s="267">
        <f>E12/'- 3 -'!$D12*100</f>
        <v>1.024679824305025</v>
      </c>
      <c r="G12" s="16">
        <f>E12/'- 7 -'!$E12</f>
        <v>165.04178272980502</v>
      </c>
      <c r="H12" s="16">
        <v>444590</v>
      </c>
      <c r="I12" s="267">
        <f>H12/'- 3 -'!$D12*100</f>
        <v>1.2814694882919018</v>
      </c>
      <c r="J12" s="16">
        <f>H12/'- 7 -'!$E12</f>
        <v>206.40204271123491</v>
      </c>
    </row>
    <row r="13" spans="1:54" ht="14.1" customHeight="1" x14ac:dyDescent="0.2">
      <c r="A13" s="271" t="s">
        <v>110</v>
      </c>
      <c r="B13" s="272">
        <v>535000</v>
      </c>
      <c r="C13" s="273">
        <f>B13/'- 3 -'!$D13*100</f>
        <v>0.49745091275268877</v>
      </c>
      <c r="D13" s="272">
        <f>B13/'- 7 -'!$E13</f>
        <v>61.20231081622147</v>
      </c>
      <c r="E13" s="272">
        <v>601800</v>
      </c>
      <c r="F13" s="273">
        <f>E13/'- 3 -'!$D13*100</f>
        <v>0.55956254073751044</v>
      </c>
      <c r="G13" s="272">
        <f>E13/'- 7 -'!$E13</f>
        <v>68.844019905050615</v>
      </c>
      <c r="H13" s="272">
        <v>942600</v>
      </c>
      <c r="I13" s="273">
        <f>H13/'- 3 -'!$D13*100</f>
        <v>0.87644342123492425</v>
      </c>
      <c r="J13" s="272">
        <f>H13/'- 7 -'!$E13</f>
        <v>107.83046387919694</v>
      </c>
    </row>
    <row r="14" spans="1:54" ht="14.1" customHeight="1" x14ac:dyDescent="0.2">
      <c r="A14" s="15" t="s">
        <v>319</v>
      </c>
      <c r="B14" s="16">
        <v>596537</v>
      </c>
      <c r="C14" s="267">
        <f>B14/'- 3 -'!$D14*100</f>
        <v>0.61440145972320381</v>
      </c>
      <c r="D14" s="16">
        <f>B14/'- 7 -'!$E14</f>
        <v>99.538962122476221</v>
      </c>
      <c r="E14" s="16">
        <v>500441</v>
      </c>
      <c r="F14" s="267">
        <f>E14/'- 3 -'!$D14*100</f>
        <v>0.51542767825858216</v>
      </c>
      <c r="G14" s="16">
        <f>E14/'- 7 -'!$E14</f>
        <v>83.504254964124812</v>
      </c>
      <c r="H14" s="16">
        <v>619648</v>
      </c>
      <c r="I14" s="267">
        <f>H14/'- 3 -'!$D14*100</f>
        <v>0.63820456353011423</v>
      </c>
      <c r="J14" s="16">
        <f>H14/'- 7 -'!$E14</f>
        <v>103.39529451026198</v>
      </c>
    </row>
    <row r="15" spans="1:54" ht="14.1" customHeight="1" x14ac:dyDescent="0.2">
      <c r="A15" s="271" t="s">
        <v>111</v>
      </c>
      <c r="B15" s="272">
        <v>135000</v>
      </c>
      <c r="C15" s="273">
        <f>B15/'- 3 -'!$D15*100</f>
        <v>0.6386970655560088</v>
      </c>
      <c r="D15" s="272">
        <f>B15/'- 7 -'!$E15</f>
        <v>96.774193548387103</v>
      </c>
      <c r="E15" s="272">
        <v>172400</v>
      </c>
      <c r="F15" s="273">
        <f>E15/'- 3 -'!$D15*100</f>
        <v>0.81563980816189563</v>
      </c>
      <c r="G15" s="272">
        <f>E15/'- 7 -'!$E15</f>
        <v>123.584229390681</v>
      </c>
      <c r="H15" s="272">
        <v>54500</v>
      </c>
      <c r="I15" s="273">
        <f>H15/'- 3 -'!$D15*100</f>
        <v>0.25784437090964796</v>
      </c>
      <c r="J15" s="272">
        <f>H15/'- 7 -'!$E15</f>
        <v>39.068100358422939</v>
      </c>
    </row>
    <row r="16" spans="1:54" ht="14.1" customHeight="1" x14ac:dyDescent="0.2">
      <c r="A16" s="15" t="s">
        <v>112</v>
      </c>
      <c r="B16" s="16">
        <v>0</v>
      </c>
      <c r="C16" s="267">
        <f>B16/'- 3 -'!$D16*100</f>
        <v>0</v>
      </c>
      <c r="D16" s="16">
        <f>B16/'- 7 -'!$E16</f>
        <v>0</v>
      </c>
      <c r="E16" s="16">
        <v>185649</v>
      </c>
      <c r="F16" s="267">
        <f>E16/'- 3 -'!$D16*100</f>
        <v>1.2413199076156138</v>
      </c>
      <c r="G16" s="16">
        <f>E16/'- 7 -'!$E16</f>
        <v>195.83227848101265</v>
      </c>
      <c r="H16" s="16">
        <v>34587</v>
      </c>
      <c r="I16" s="267">
        <f>H16/'- 3 -'!$D16*100</f>
        <v>0.23126185244575106</v>
      </c>
      <c r="J16" s="16">
        <f>H16/'- 7 -'!$E16</f>
        <v>36.484177215189874</v>
      </c>
    </row>
    <row r="17" spans="1:10" ht="14.1" customHeight="1" x14ac:dyDescent="0.2">
      <c r="A17" s="271" t="s">
        <v>113</v>
      </c>
      <c r="B17" s="272">
        <v>123800</v>
      </c>
      <c r="C17" s="273">
        <f>B17/'- 3 -'!$D17*100</f>
        <v>0.65813448643315298</v>
      </c>
      <c r="D17" s="272">
        <f>B17/'- 7 -'!$E17</f>
        <v>85.615491009681875</v>
      </c>
      <c r="E17" s="272">
        <v>144200</v>
      </c>
      <c r="F17" s="273">
        <f>E17/'- 3 -'!$D17*100</f>
        <v>0.76658314170969832</v>
      </c>
      <c r="G17" s="272">
        <f>E17/'- 7 -'!$E17</f>
        <v>99.723374827109268</v>
      </c>
      <c r="H17" s="272">
        <v>90100</v>
      </c>
      <c r="I17" s="273">
        <f>H17/'- 3 -'!$D17*100</f>
        <v>0.47898156080474219</v>
      </c>
      <c r="J17" s="272">
        <f>H17/'- 7 -'!$E17</f>
        <v>62.30982019363762</v>
      </c>
    </row>
    <row r="18" spans="1:10" ht="14.1" customHeight="1" x14ac:dyDescent="0.2">
      <c r="A18" s="15" t="s">
        <v>114</v>
      </c>
      <c r="B18" s="16">
        <v>356980</v>
      </c>
      <c r="C18" s="267">
        <f>B18/'- 3 -'!$D18*100</f>
        <v>0.25644986349134546</v>
      </c>
      <c r="D18" s="16">
        <f>B18/'- 7 -'!$E18</f>
        <v>59.605944231090334</v>
      </c>
      <c r="E18" s="16">
        <v>0</v>
      </c>
      <c r="F18" s="267">
        <f>E18/'- 3 -'!$D18*100</f>
        <v>0</v>
      </c>
      <c r="G18" s="16">
        <f>E18/'- 7 -'!$E18</f>
        <v>0</v>
      </c>
      <c r="H18" s="16">
        <v>1464894</v>
      </c>
      <c r="I18" s="267">
        <f>H18/'- 3 -'!$D18*100</f>
        <v>1.0523611023847022</v>
      </c>
      <c r="J18" s="16">
        <f>H18/'- 7 -'!$E18</f>
        <v>244.59742861913509</v>
      </c>
    </row>
    <row r="19" spans="1:10" ht="14.1" customHeight="1" x14ac:dyDescent="0.2">
      <c r="A19" s="271" t="s">
        <v>115</v>
      </c>
      <c r="B19" s="272">
        <v>477000</v>
      </c>
      <c r="C19" s="273">
        <f>B19/'- 3 -'!$D19*100</f>
        <v>0.92532240793333032</v>
      </c>
      <c r="D19" s="272">
        <f>B19/'- 7 -'!$E19</f>
        <v>107.22715522086096</v>
      </c>
      <c r="E19" s="272">
        <v>236000</v>
      </c>
      <c r="F19" s="273">
        <f>E19/'- 3 -'!$D19*100</f>
        <v>0.45781150581187829</v>
      </c>
      <c r="G19" s="272">
        <f>E19/'- 7 -'!$E19</f>
        <v>53.05159042373834</v>
      </c>
      <c r="H19" s="272">
        <v>637300</v>
      </c>
      <c r="I19" s="273">
        <f>H19/'- 3 -'!$D19*100</f>
        <v>1.2362850536182628</v>
      </c>
      <c r="J19" s="272">
        <f>H19/'- 7 -'!$E19</f>
        <v>143.2617736315612</v>
      </c>
    </row>
    <row r="20" spans="1:10" ht="14.1" customHeight="1" x14ac:dyDescent="0.2">
      <c r="A20" s="15" t="s">
        <v>116</v>
      </c>
      <c r="B20" s="16">
        <v>770000</v>
      </c>
      <c r="C20" s="267">
        <f>B20/'- 3 -'!$D20*100</f>
        <v>0.83754189069099383</v>
      </c>
      <c r="D20" s="16">
        <f>B20/'- 7 -'!$E20</f>
        <v>94.571358388602306</v>
      </c>
      <c r="E20" s="16">
        <v>404200</v>
      </c>
      <c r="F20" s="267">
        <f>E20/'- 3 -'!$D20*100</f>
        <v>0.43965510677571384</v>
      </c>
      <c r="G20" s="16">
        <f>E20/'- 7 -'!$E20</f>
        <v>49.643822156718251</v>
      </c>
      <c r="H20" s="16">
        <v>2197400</v>
      </c>
      <c r="I20" s="267">
        <f>H20/'- 3 -'!$D20*100</f>
        <v>2.3901487670186881</v>
      </c>
      <c r="J20" s="16">
        <f>H20/'- 7 -'!$E20</f>
        <v>269.88454925079833</v>
      </c>
    </row>
    <row r="21" spans="1:10" ht="14.1" customHeight="1" x14ac:dyDescent="0.2">
      <c r="A21" s="271" t="s">
        <v>117</v>
      </c>
      <c r="B21" s="272">
        <v>300158</v>
      </c>
      <c r="C21" s="273">
        <f>B21/'- 3 -'!$D21*100</f>
        <v>0.7860677364654739</v>
      </c>
      <c r="D21" s="272">
        <f>B21/'- 7 -'!$E21</f>
        <v>107.16101392359872</v>
      </c>
      <c r="E21" s="272">
        <v>158000</v>
      </c>
      <c r="F21" s="273">
        <f>E21/'- 3 -'!$D21*100</f>
        <v>0.41377775158931246</v>
      </c>
      <c r="G21" s="272">
        <f>E21/'- 7 -'!$E21</f>
        <v>56.408425562299179</v>
      </c>
      <c r="H21" s="272">
        <v>424720</v>
      </c>
      <c r="I21" s="273">
        <f>H21/'- 3 -'!$D21*100</f>
        <v>1.1122764978165367</v>
      </c>
      <c r="J21" s="272">
        <f>H21/'- 7 -'!$E21</f>
        <v>151.63156015708677</v>
      </c>
    </row>
    <row r="22" spans="1:10" ht="14.1" customHeight="1" x14ac:dyDescent="0.2">
      <c r="A22" s="15" t="s">
        <v>118</v>
      </c>
      <c r="B22" s="16">
        <v>123200</v>
      </c>
      <c r="C22" s="267">
        <f>B22/'- 3 -'!$D22*100</f>
        <v>0.60235883131630319</v>
      </c>
      <c r="D22" s="16">
        <f>B22/'- 7 -'!$E22</f>
        <v>85.88358313001045</v>
      </c>
      <c r="E22" s="16">
        <v>18200</v>
      </c>
      <c r="F22" s="267">
        <f>E22/'- 3 -'!$D22*100</f>
        <v>8.8984827353544779E-2</v>
      </c>
      <c r="G22" s="16">
        <f>E22/'- 7 -'!$E22</f>
        <v>12.687347507842453</v>
      </c>
      <c r="H22" s="16">
        <v>8135</v>
      </c>
      <c r="I22" s="267">
        <f>H22/'- 3 -'!$D22*100</f>
        <v>3.9774262116543231E-2</v>
      </c>
      <c r="J22" s="16">
        <f>H22/'- 7 -'!$E22</f>
        <v>5.670965493203207</v>
      </c>
    </row>
    <row r="23" spans="1:10" ht="14.1" customHeight="1" x14ac:dyDescent="0.2">
      <c r="A23" s="271" t="s">
        <v>119</v>
      </c>
      <c r="B23" s="272">
        <v>125250</v>
      </c>
      <c r="C23" s="273">
        <f>B23/'- 3 -'!$D23*100</f>
        <v>0.78439526256574599</v>
      </c>
      <c r="D23" s="272">
        <f>B23/'- 7 -'!$E23</f>
        <v>134.38841201716738</v>
      </c>
      <c r="E23" s="272">
        <v>90500</v>
      </c>
      <c r="F23" s="273">
        <f>E23/'- 3 -'!$D23*100</f>
        <v>0.56676863283193624</v>
      </c>
      <c r="G23" s="272">
        <f>E23/'- 7 -'!$E23</f>
        <v>97.103004291845494</v>
      </c>
      <c r="H23" s="272">
        <v>150000</v>
      </c>
      <c r="I23" s="273">
        <f>H23/'- 3 -'!$D23*100</f>
        <v>0.93939552403083348</v>
      </c>
      <c r="J23" s="272">
        <f>H23/'- 7 -'!$E23</f>
        <v>160.94420600858368</v>
      </c>
    </row>
    <row r="24" spans="1:10" ht="14.1" customHeight="1" x14ac:dyDescent="0.2">
      <c r="A24" s="15" t="s">
        <v>120</v>
      </c>
      <c r="B24" s="16">
        <v>485564</v>
      </c>
      <c r="C24" s="267">
        <f>B24/'- 3 -'!$D24*100</f>
        <v>0.82482205387085283</v>
      </c>
      <c r="D24" s="16">
        <f>B24/'- 7 -'!$E24</f>
        <v>130.52795698924731</v>
      </c>
      <c r="E24" s="16">
        <v>461805</v>
      </c>
      <c r="F24" s="267">
        <f>E24/'- 3 -'!$D24*100</f>
        <v>0.78446291032248927</v>
      </c>
      <c r="G24" s="16">
        <f>E24/'- 7 -'!$E24</f>
        <v>124.14112903225806</v>
      </c>
      <c r="H24" s="16">
        <v>1112500</v>
      </c>
      <c r="I24" s="267">
        <f>H24/'- 3 -'!$D24*100</f>
        <v>1.8897911190519141</v>
      </c>
      <c r="J24" s="16">
        <f>H24/'- 7 -'!$E24</f>
        <v>299.05913978494624</v>
      </c>
    </row>
    <row r="25" spans="1:10" ht="14.1" customHeight="1" x14ac:dyDescent="0.2">
      <c r="A25" s="271" t="s">
        <v>121</v>
      </c>
      <c r="B25" s="272">
        <v>972152</v>
      </c>
      <c r="C25" s="273">
        <f>B25/'- 3 -'!$D25*100</f>
        <v>0.49982308155362742</v>
      </c>
      <c r="D25" s="272">
        <f>B25/'- 7 -'!$E25</f>
        <v>64.185395483956157</v>
      </c>
      <c r="E25" s="272">
        <v>1256200</v>
      </c>
      <c r="F25" s="273">
        <f>E25/'- 3 -'!$D25*100</f>
        <v>0.64586376929499378</v>
      </c>
      <c r="G25" s="272">
        <f>E25/'- 7 -'!$E25</f>
        <v>82.939389937937406</v>
      </c>
      <c r="H25" s="272">
        <v>1868484</v>
      </c>
      <c r="I25" s="273">
        <f>H25/'- 3 -'!$D25*100</f>
        <v>0.96066400183679912</v>
      </c>
      <c r="J25" s="272">
        <f>H25/'- 7 -'!$E25</f>
        <v>123.36484880496501</v>
      </c>
    </row>
    <row r="26" spans="1:10" ht="14.1" customHeight="1" x14ac:dyDescent="0.2">
      <c r="A26" s="15" t="s">
        <v>122</v>
      </c>
      <c r="B26" s="16">
        <v>410778</v>
      </c>
      <c r="C26" s="267">
        <f>B26/'- 3 -'!$D26*100</f>
        <v>0.97636592541914202</v>
      </c>
      <c r="D26" s="16">
        <f>B26/'- 7 -'!$E26</f>
        <v>133.239701589361</v>
      </c>
      <c r="E26" s="16">
        <v>537425</v>
      </c>
      <c r="F26" s="267">
        <f>E26/'- 3 -'!$D26*100</f>
        <v>1.2773893866477328</v>
      </c>
      <c r="G26" s="16">
        <f>E26/'- 7 -'!$E26</f>
        <v>174.31884528057088</v>
      </c>
      <c r="H26" s="16">
        <v>364125</v>
      </c>
      <c r="I26" s="267">
        <f>H26/'- 3 -'!$D26*100</f>
        <v>0.86547780697419308</v>
      </c>
      <c r="J26" s="16">
        <f>H26/'- 7 -'!$E26</f>
        <v>118.10736295815764</v>
      </c>
    </row>
    <row r="27" spans="1:10" ht="14.1" customHeight="1" x14ac:dyDescent="0.2">
      <c r="A27" s="271" t="s">
        <v>123</v>
      </c>
      <c r="B27" s="272">
        <v>161434</v>
      </c>
      <c r="C27" s="273">
        <f>B27/'- 3 -'!$D27*100</f>
        <v>0.37741047933263006</v>
      </c>
      <c r="D27" s="272">
        <f>B27/'- 7 -'!$E27</f>
        <v>53.703925482368597</v>
      </c>
      <c r="E27" s="272">
        <v>190100</v>
      </c>
      <c r="F27" s="273">
        <f>E27/'- 3 -'!$D27*100</f>
        <v>0.44442764300663418</v>
      </c>
      <c r="G27" s="272">
        <f>E27/'- 7 -'!$E27</f>
        <v>63.240186294078512</v>
      </c>
      <c r="H27" s="272">
        <v>324800</v>
      </c>
      <c r="I27" s="273">
        <f>H27/'- 3 -'!$D27*100</f>
        <v>0.75933770882985141</v>
      </c>
      <c r="J27" s="272">
        <f>H27/'- 7 -'!$E27</f>
        <v>108.05056553559548</v>
      </c>
    </row>
    <row r="28" spans="1:10" ht="14.1" customHeight="1" x14ac:dyDescent="0.2">
      <c r="A28" s="15" t="s">
        <v>124</v>
      </c>
      <c r="B28" s="16">
        <v>238614</v>
      </c>
      <c r="C28" s="267">
        <f>B28/'- 3 -'!$D28*100</f>
        <v>0.82892490544262187</v>
      </c>
      <c r="D28" s="16">
        <f>B28/'- 7 -'!$E28</f>
        <v>118.18424962852897</v>
      </c>
      <c r="E28" s="16">
        <v>273700</v>
      </c>
      <c r="F28" s="267">
        <f>E28/'- 3 -'!$D28*100</f>
        <v>0.95081070942880808</v>
      </c>
      <c r="G28" s="16">
        <f>E28/'- 7 -'!$E28</f>
        <v>135.5621594848935</v>
      </c>
      <c r="H28" s="16">
        <v>274060</v>
      </c>
      <c r="I28" s="267">
        <f>H28/'- 3 -'!$D28*100</f>
        <v>0.95206131905757818</v>
      </c>
      <c r="J28" s="16">
        <f>H28/'- 7 -'!$E28</f>
        <v>135.74046557701831</v>
      </c>
    </row>
    <row r="29" spans="1:10" ht="14.1" customHeight="1" x14ac:dyDescent="0.2">
      <c r="A29" s="271" t="s">
        <v>125</v>
      </c>
      <c r="B29" s="272">
        <v>1551397</v>
      </c>
      <c r="C29" s="273">
        <f>B29/'- 3 -'!$D29*100</f>
        <v>0.8715811462577171</v>
      </c>
      <c r="D29" s="272">
        <f>B29/'- 7 -'!$E29</f>
        <v>107.84824469933959</v>
      </c>
      <c r="E29" s="272">
        <v>1387500</v>
      </c>
      <c r="F29" s="273">
        <f>E29/'- 3 -'!$D29*100</f>
        <v>0.77950314486400485</v>
      </c>
      <c r="G29" s="272">
        <f>E29/'- 7 -'!$E29</f>
        <v>96.454640250260695</v>
      </c>
      <c r="H29" s="272">
        <v>2020500</v>
      </c>
      <c r="I29" s="273">
        <f>H29/'- 3 -'!$D29*100</f>
        <v>1.1351251201425021</v>
      </c>
      <c r="J29" s="272">
        <f>H29/'- 7 -'!$E29</f>
        <v>140.45881126173097</v>
      </c>
    </row>
    <row r="30" spans="1:10" ht="14.1" customHeight="1" x14ac:dyDescent="0.2">
      <c r="A30" s="15" t="s">
        <v>126</v>
      </c>
      <c r="B30" s="16">
        <v>138077</v>
      </c>
      <c r="C30" s="267">
        <f>B30/'- 3 -'!$D30*100</f>
        <v>0.87826302666395273</v>
      </c>
      <c r="D30" s="16">
        <f>B30/'- 7 -'!$E30</f>
        <v>131.9417104634496</v>
      </c>
      <c r="E30" s="16">
        <v>143090</v>
      </c>
      <c r="F30" s="267">
        <f>E30/'- 3 -'!$D30*100</f>
        <v>0.91014909423977208</v>
      </c>
      <c r="G30" s="16">
        <f>E30/'- 7 -'!$E30</f>
        <v>136.73196368848542</v>
      </c>
      <c r="H30" s="16">
        <v>130297</v>
      </c>
      <c r="I30" s="267">
        <f>H30/'- 3 -'!$D30*100</f>
        <v>0.82877696926521482</v>
      </c>
      <c r="J30" s="16">
        <f>H30/'- 7 -'!$E30</f>
        <v>124.50740563784042</v>
      </c>
    </row>
    <row r="31" spans="1:10" ht="14.1" customHeight="1" x14ac:dyDescent="0.2">
      <c r="A31" s="271" t="s">
        <v>127</v>
      </c>
      <c r="B31" s="272">
        <v>275000</v>
      </c>
      <c r="C31" s="273">
        <f>B31/'- 3 -'!$D31*100</f>
        <v>0.67323149797043957</v>
      </c>
      <c r="D31" s="272">
        <f>B31/'- 7 -'!$E31</f>
        <v>82.040572792362767</v>
      </c>
      <c r="E31" s="272">
        <v>216920</v>
      </c>
      <c r="F31" s="273">
        <f>E31/'- 3 -'!$D31*100</f>
        <v>0.53104500559908274</v>
      </c>
      <c r="G31" s="272">
        <f>E31/'- 7 -'!$E31</f>
        <v>64.713603818615752</v>
      </c>
      <c r="H31" s="272">
        <v>275300</v>
      </c>
      <c r="I31" s="273">
        <f>H31/'- 3 -'!$D31*100</f>
        <v>0.67396593233186186</v>
      </c>
      <c r="J31" s="272">
        <f>H31/'- 7 -'!$E31</f>
        <v>82.130071599045351</v>
      </c>
    </row>
    <row r="32" spans="1:10" ht="14.1" customHeight="1" x14ac:dyDescent="0.2">
      <c r="A32" s="15" t="s">
        <v>128</v>
      </c>
      <c r="B32" s="16">
        <v>226370</v>
      </c>
      <c r="C32" s="267">
        <f>B32/'- 3 -'!$D32*100</f>
        <v>0.71416425241480397</v>
      </c>
      <c r="D32" s="16">
        <f>B32/'- 7 -'!$E32</f>
        <v>96.925711839006638</v>
      </c>
      <c r="E32" s="16">
        <v>191970</v>
      </c>
      <c r="F32" s="267">
        <f>E32/'- 3 -'!$D32*100</f>
        <v>0.60563728204298239</v>
      </c>
      <c r="G32" s="16">
        <f>E32/'- 7 -'!$E32</f>
        <v>82.196531791907518</v>
      </c>
      <c r="H32" s="16">
        <v>255446</v>
      </c>
      <c r="I32" s="267">
        <f>H32/'- 3 -'!$D32*100</f>
        <v>0.80589478120931224</v>
      </c>
      <c r="J32" s="16">
        <f>H32/'- 7 -'!$E32</f>
        <v>109.37529436951402</v>
      </c>
    </row>
    <row r="33" spans="1:10" ht="14.1" customHeight="1" x14ac:dyDescent="0.2">
      <c r="A33" s="271" t="s">
        <v>129</v>
      </c>
      <c r="B33" s="272">
        <v>377700</v>
      </c>
      <c r="C33" s="273">
        <f>B33/'- 3 -'!$D33*100</f>
        <v>1.3146653865067506</v>
      </c>
      <c r="D33" s="272">
        <f>B33/'- 7 -'!$E33</f>
        <v>182.88785589773389</v>
      </c>
      <c r="E33" s="272">
        <v>293500</v>
      </c>
      <c r="F33" s="273">
        <f>E33/'- 3 -'!$D33*100</f>
        <v>1.0215893326442449</v>
      </c>
      <c r="G33" s="272">
        <f>E33/'- 7 -'!$E33</f>
        <v>142.11698624830527</v>
      </c>
      <c r="H33" s="272">
        <v>199250</v>
      </c>
      <c r="I33" s="273">
        <f>H33/'- 3 -'!$D33*100</f>
        <v>0.69353211083259214</v>
      </c>
      <c r="J33" s="272">
        <f>H33/'- 7 -'!$E33</f>
        <v>96.479759829556471</v>
      </c>
    </row>
    <row r="34" spans="1:10" ht="14.1" customHeight="1" x14ac:dyDescent="0.2">
      <c r="A34" s="15" t="s">
        <v>130</v>
      </c>
      <c r="B34" s="16">
        <v>204588</v>
      </c>
      <c r="C34" s="267">
        <f>B34/'- 3 -'!$D34*100</f>
        <v>0.63986783045623008</v>
      </c>
      <c r="D34" s="16">
        <f>B34/'- 7 -'!$E34</f>
        <v>89.743387287801028</v>
      </c>
      <c r="E34" s="16">
        <v>198693</v>
      </c>
      <c r="F34" s="267">
        <f>E34/'- 3 -'!$D34*100</f>
        <v>0.62143067451091816</v>
      </c>
      <c r="G34" s="16">
        <f>E34/'- 7 -'!$E34</f>
        <v>87.157520726411377</v>
      </c>
      <c r="H34" s="16">
        <v>211776</v>
      </c>
      <c r="I34" s="267">
        <f>H34/'- 3 -'!$D34*100</f>
        <v>0.66234896309997926</v>
      </c>
      <c r="J34" s="16">
        <f>H34/'- 7 -'!$E34</f>
        <v>92.896433741281754</v>
      </c>
    </row>
    <row r="35" spans="1:10" ht="14.1" customHeight="1" x14ac:dyDescent="0.2">
      <c r="A35" s="271" t="s">
        <v>131</v>
      </c>
      <c r="B35" s="272">
        <v>940000</v>
      </c>
      <c r="C35" s="273">
        <f>B35/'- 3 -'!$D35*100</f>
        <v>0.47843420171787604</v>
      </c>
      <c r="D35" s="272">
        <f>B35/'- 7 -'!$E35</f>
        <v>57.674019081510572</v>
      </c>
      <c r="E35" s="272">
        <v>838280</v>
      </c>
      <c r="F35" s="273">
        <f>E35/'- 3 -'!$D35*100</f>
        <v>0.42666151342134162</v>
      </c>
      <c r="G35" s="272">
        <f>E35/'- 7 -'!$E35</f>
        <v>51.432953952817741</v>
      </c>
      <c r="H35" s="272">
        <v>1387990</v>
      </c>
      <c r="I35" s="273">
        <f>H35/'- 3 -'!$D35*100</f>
        <v>0.70644881664084547</v>
      </c>
      <c r="J35" s="272">
        <f>H35/'- 7 -'!$E35</f>
        <v>85.160597601006231</v>
      </c>
    </row>
    <row r="36" spans="1:10" ht="14.1" customHeight="1" x14ac:dyDescent="0.2">
      <c r="A36" s="15" t="s">
        <v>132</v>
      </c>
      <c r="B36" s="16">
        <v>200300</v>
      </c>
      <c r="C36" s="267">
        <f>B36/'- 3 -'!$D36*100</f>
        <v>0.82839813318847044</v>
      </c>
      <c r="D36" s="16">
        <f>B36/'- 7 -'!$E36</f>
        <v>114.75221999427099</v>
      </c>
      <c r="E36" s="16">
        <v>316275</v>
      </c>
      <c r="F36" s="267">
        <f>E36/'- 3 -'!$D36*100</f>
        <v>1.3080460288276761</v>
      </c>
      <c r="G36" s="16">
        <f>E36/'- 7 -'!$E36</f>
        <v>181.19450014322544</v>
      </c>
      <c r="H36" s="16">
        <v>190500</v>
      </c>
      <c r="I36" s="267">
        <f>H36/'- 3 -'!$D36*100</f>
        <v>0.78786742073092175</v>
      </c>
      <c r="J36" s="16">
        <f>H36/'- 7 -'!$E36</f>
        <v>109.13778287023776</v>
      </c>
    </row>
    <row r="37" spans="1:10" ht="14.1" customHeight="1" x14ac:dyDescent="0.2">
      <c r="A37" s="271" t="s">
        <v>133</v>
      </c>
      <c r="B37" s="272">
        <v>320000</v>
      </c>
      <c r="C37" s="273">
        <f>B37/'- 3 -'!$D37*100</f>
        <v>0.58066318994581689</v>
      </c>
      <c r="D37" s="272">
        <f>B37/'- 7 -'!$E37</f>
        <v>73.327222731439051</v>
      </c>
      <c r="E37" s="272">
        <v>646200</v>
      </c>
      <c r="F37" s="273">
        <f>E37/'- 3 -'!$D37*100</f>
        <v>1.1725767291968341</v>
      </c>
      <c r="G37" s="272">
        <f>E37/'- 7 -'!$E37</f>
        <v>148.07516040329972</v>
      </c>
      <c r="H37" s="272">
        <v>626400</v>
      </c>
      <c r="I37" s="273">
        <f>H37/'- 3 -'!$D37*100</f>
        <v>1.1366481943189364</v>
      </c>
      <c r="J37" s="272">
        <f>H37/'- 7 -'!$E37</f>
        <v>143.53803849679193</v>
      </c>
    </row>
    <row r="38" spans="1:10" ht="14.1" customHeight="1" x14ac:dyDescent="0.2">
      <c r="A38" s="15" t="s">
        <v>134</v>
      </c>
      <c r="B38" s="16">
        <v>370280</v>
      </c>
      <c r="C38" s="267">
        <f>B38/'- 3 -'!$D38*100</f>
        <v>0.24510879598876292</v>
      </c>
      <c r="D38" s="16">
        <f>B38/'- 7 -'!$E38</f>
        <v>31.771691378363538</v>
      </c>
      <c r="E38" s="16">
        <v>615170</v>
      </c>
      <c r="F38" s="267">
        <f>E38/'- 3 -'!$D38*100</f>
        <v>0.40721502114185826</v>
      </c>
      <c r="G38" s="16">
        <f>E38/'- 7 -'!$E38</f>
        <v>52.784356123009339</v>
      </c>
      <c r="H38" s="16">
        <v>1348400</v>
      </c>
      <c r="I38" s="267">
        <f>H38/'- 3 -'!$D38*100</f>
        <v>0.89258048101773768</v>
      </c>
      <c r="J38" s="16">
        <f>H38/'- 7 -'!$E38</f>
        <v>115.69879187259748</v>
      </c>
    </row>
    <row r="39" spans="1:10" ht="14.1" customHeight="1" x14ac:dyDescent="0.2">
      <c r="A39" s="271" t="s">
        <v>135</v>
      </c>
      <c r="B39" s="272">
        <v>181400</v>
      </c>
      <c r="C39" s="273">
        <f>B39/'- 3 -'!$D39*100</f>
        <v>0.77255924089879213</v>
      </c>
      <c r="D39" s="272">
        <f>B39/'- 7 -'!$E39</f>
        <v>121.69596135784249</v>
      </c>
      <c r="E39" s="272">
        <v>146800</v>
      </c>
      <c r="F39" s="273">
        <f>E39/'- 3 -'!$D39*100</f>
        <v>0.62520229638336655</v>
      </c>
      <c r="G39" s="272">
        <f>E39/'- 7 -'!$E39</f>
        <v>98.483832013954114</v>
      </c>
      <c r="H39" s="272">
        <v>89000</v>
      </c>
      <c r="I39" s="273">
        <f>H39/'- 3 -'!$D39*100</f>
        <v>0.3790395393604879</v>
      </c>
      <c r="J39" s="272">
        <f>H39/'- 7 -'!$E39</f>
        <v>59.707500335435398</v>
      </c>
    </row>
    <row r="40" spans="1:10" ht="14.1" customHeight="1" x14ac:dyDescent="0.2">
      <c r="A40" s="15" t="s">
        <v>136</v>
      </c>
      <c r="B40" s="16">
        <v>654342</v>
      </c>
      <c r="C40" s="267">
        <f>B40/'- 3 -'!$D40*100</f>
        <v>0.59554521996420129</v>
      </c>
      <c r="D40" s="16">
        <f>B40/'- 7 -'!$E40</f>
        <v>79.579446640316206</v>
      </c>
      <c r="E40" s="16">
        <v>590184</v>
      </c>
      <c r="F40" s="267">
        <f>E40/'- 3 -'!$D40*100</f>
        <v>0.5371522233011975</v>
      </c>
      <c r="G40" s="16">
        <f>E40/'- 7 -'!$E40</f>
        <v>71.776710246275471</v>
      </c>
      <c r="H40" s="16">
        <v>1140525</v>
      </c>
      <c r="I40" s="267">
        <f>H40/'- 3 -'!$D40*100</f>
        <v>1.0380415929279654</v>
      </c>
      <c r="J40" s="16">
        <f>H40/'- 7 -'!$E40</f>
        <v>138.70781392520522</v>
      </c>
    </row>
    <row r="41" spans="1:10" ht="14.1" customHeight="1" x14ac:dyDescent="0.2">
      <c r="A41" s="271" t="s">
        <v>137</v>
      </c>
      <c r="B41" s="272">
        <v>413149</v>
      </c>
      <c r="C41" s="273">
        <f>B41/'- 3 -'!$D41*100</f>
        <v>0.61950161930003145</v>
      </c>
      <c r="D41" s="272">
        <f>B41/'- 7 -'!$E41</f>
        <v>91.933466844681803</v>
      </c>
      <c r="E41" s="272">
        <v>697894</v>
      </c>
      <c r="F41" s="273">
        <f>E41/'- 3 -'!$D41*100</f>
        <v>1.0464661976666436</v>
      </c>
      <c r="G41" s="272">
        <f>E41/'- 7 -'!$E41</f>
        <v>155.29461504227859</v>
      </c>
      <c r="H41" s="272">
        <v>187200</v>
      </c>
      <c r="I41" s="273">
        <f>H41/'- 3 -'!$D41*100</f>
        <v>0.28069946467973028</v>
      </c>
      <c r="J41" s="272">
        <f>H41/'- 7 -'!$E41</f>
        <v>41.655540720961284</v>
      </c>
    </row>
    <row r="42" spans="1:10" ht="14.1" customHeight="1" x14ac:dyDescent="0.2">
      <c r="A42" s="15" t="s">
        <v>138</v>
      </c>
      <c r="B42" s="16">
        <v>193364</v>
      </c>
      <c r="C42" s="267">
        <f>B42/'- 3 -'!$D42*100</f>
        <v>0.90591616232317518</v>
      </c>
      <c r="D42" s="16">
        <f>B42/'- 7 -'!$E42</f>
        <v>141.29630982827913</v>
      </c>
      <c r="E42" s="16">
        <v>231660</v>
      </c>
      <c r="F42" s="267">
        <f>E42/'- 3 -'!$D42*100</f>
        <v>1.0853340754421028</v>
      </c>
      <c r="G42" s="16">
        <f>E42/'- 7 -'!$E42</f>
        <v>169.2802338326635</v>
      </c>
      <c r="H42" s="16">
        <v>104150</v>
      </c>
      <c r="I42" s="267">
        <f>H42/'- 3 -'!$D42*100</f>
        <v>0.48794588602820954</v>
      </c>
      <c r="J42" s="16">
        <f>H42/'- 7 -'!$E42</f>
        <v>76.105224698575086</v>
      </c>
    </row>
    <row r="43" spans="1:10" ht="14.1" customHeight="1" x14ac:dyDescent="0.2">
      <c r="A43" s="271" t="s">
        <v>139</v>
      </c>
      <c r="B43" s="272">
        <v>65681</v>
      </c>
      <c r="C43" s="273">
        <f>B43/'- 3 -'!$D43*100</f>
        <v>0.47326490311403274</v>
      </c>
      <c r="D43" s="272">
        <f>B43/'- 7 -'!$E43</f>
        <v>65.354228855721388</v>
      </c>
      <c r="E43" s="272">
        <v>88203</v>
      </c>
      <c r="F43" s="273">
        <f>E43/'- 3 -'!$D43*100</f>
        <v>0.63554733102978078</v>
      </c>
      <c r="G43" s="272">
        <f>E43/'- 7 -'!$E43</f>
        <v>87.764179104477606</v>
      </c>
      <c r="H43" s="272">
        <v>178978</v>
      </c>
      <c r="I43" s="273">
        <f>H43/'- 3 -'!$D43*100</f>
        <v>1.2896272259792536</v>
      </c>
      <c r="J43" s="272">
        <f>H43/'- 7 -'!$E43</f>
        <v>178.08756218905472</v>
      </c>
    </row>
    <row r="44" spans="1:10" ht="14.1" customHeight="1" x14ac:dyDescent="0.2">
      <c r="A44" s="15" t="s">
        <v>140</v>
      </c>
      <c r="B44" s="16">
        <v>124762</v>
      </c>
      <c r="C44" s="267">
        <f>B44/'- 3 -'!$D44*100</f>
        <v>1.1105684165850176</v>
      </c>
      <c r="D44" s="16">
        <f>B44/'- 7 -'!$E44</f>
        <v>179.90194664744052</v>
      </c>
      <c r="E44" s="16">
        <v>86500</v>
      </c>
      <c r="F44" s="267">
        <f>E44/'- 3 -'!$D44*100</f>
        <v>0.76997938502592167</v>
      </c>
      <c r="G44" s="16">
        <f>E44/'- 7 -'!$E44</f>
        <v>124.7296322999279</v>
      </c>
      <c r="H44" s="16">
        <v>138845</v>
      </c>
      <c r="I44" s="267">
        <f>H44/'- 3 -'!$D44*100</f>
        <v>1.2359281816638623</v>
      </c>
      <c r="J44" s="16">
        <f>H44/'- 7 -'!$E44</f>
        <v>200.20908435472242</v>
      </c>
    </row>
    <row r="45" spans="1:10" ht="14.1" customHeight="1" x14ac:dyDescent="0.2">
      <c r="A45" s="271" t="s">
        <v>141</v>
      </c>
      <c r="B45" s="272">
        <v>240650</v>
      </c>
      <c r="C45" s="273">
        <f>B45/'- 3 -'!$D45*100</f>
        <v>1.0758751986557842</v>
      </c>
      <c r="D45" s="272">
        <f>B45/'- 7 -'!$E45</f>
        <v>115.97590361445783</v>
      </c>
      <c r="E45" s="272">
        <v>97890</v>
      </c>
      <c r="F45" s="273">
        <f>E45/'- 3 -'!$D45*100</f>
        <v>0.43763732888599499</v>
      </c>
      <c r="G45" s="272">
        <f>E45/'- 7 -'!$E45</f>
        <v>47.17590361445783</v>
      </c>
      <c r="H45" s="272">
        <v>100950</v>
      </c>
      <c r="I45" s="273">
        <f>H45/'- 3 -'!$D45*100</f>
        <v>0.45131768669977729</v>
      </c>
      <c r="J45" s="272">
        <f>H45/'- 7 -'!$E45</f>
        <v>48.650602409638552</v>
      </c>
    </row>
    <row r="46" spans="1:10" ht="14.1" customHeight="1" x14ac:dyDescent="0.2">
      <c r="A46" s="15" t="s">
        <v>142</v>
      </c>
      <c r="B46" s="16">
        <v>1062100</v>
      </c>
      <c r="C46" s="267">
        <f>B46/'- 3 -'!$D46*100</f>
        <v>0.25447709939713536</v>
      </c>
      <c r="D46" s="16">
        <f>B46/'- 7 -'!$E46</f>
        <v>35.501554300230637</v>
      </c>
      <c r="E46" s="16">
        <v>1393500</v>
      </c>
      <c r="F46" s="267">
        <f>E46/'- 3 -'!$D46*100</f>
        <v>0.33387989644092658</v>
      </c>
      <c r="G46" s="16">
        <f>E46/'- 7 -'!$E46</f>
        <v>46.578868202025603</v>
      </c>
      <c r="H46" s="16">
        <v>2884189</v>
      </c>
      <c r="I46" s="267">
        <f>H46/'- 3 -'!$D46*100</f>
        <v>0.69104608872340112</v>
      </c>
      <c r="J46" s="16">
        <f>H46/'- 7 -'!$E46</f>
        <v>96.406357589330483</v>
      </c>
    </row>
    <row r="47" spans="1:10" ht="5.0999999999999996" customHeight="1" x14ac:dyDescent="0.2">
      <c r="A47"/>
      <c r="B47"/>
      <c r="C47"/>
      <c r="D47"/>
      <c r="E47"/>
      <c r="F47"/>
      <c r="G47"/>
      <c r="H47"/>
      <c r="I47"/>
      <c r="J47"/>
    </row>
    <row r="48" spans="1:10" ht="14.1" customHeight="1" x14ac:dyDescent="0.2">
      <c r="A48" s="274" t="s">
        <v>143</v>
      </c>
      <c r="B48" s="275">
        <f>SUM(B11:B46)</f>
        <v>13828891</v>
      </c>
      <c r="C48" s="276">
        <f>B48/'- 3 -'!$D48*100</f>
        <v>0.55744300326101281</v>
      </c>
      <c r="D48" s="275">
        <f>B48/'- 7 -'!$E48</f>
        <v>75.905593971855041</v>
      </c>
      <c r="E48" s="275">
        <f>SUM(E11:E46)</f>
        <v>13959341</v>
      </c>
      <c r="F48" s="276">
        <f>E48/'- 3 -'!$D48*100</f>
        <v>0.56270144660078603</v>
      </c>
      <c r="G48" s="275">
        <f>E48/'- 7 -'!$E48</f>
        <v>76.621622808413846</v>
      </c>
      <c r="H48" s="275">
        <f>SUM(H11:H46)</f>
        <v>22714126</v>
      </c>
      <c r="I48" s="276">
        <f>H48/'- 3 -'!$D48*100</f>
        <v>0.91560708764636711</v>
      </c>
      <c r="J48" s="275">
        <f>H48/'- 7 -'!$E48</f>
        <v>124.67588511483358</v>
      </c>
    </row>
    <row r="49" spans="1:10" ht="5.0999999999999996" customHeight="1" x14ac:dyDescent="0.2">
      <c r="A49" s="17" t="s">
        <v>1</v>
      </c>
      <c r="B49" s="18"/>
      <c r="C49" s="266"/>
      <c r="D49" s="18"/>
      <c r="E49" s="18"/>
      <c r="F49" s="266"/>
      <c r="H49" s="18"/>
      <c r="I49" s="266"/>
      <c r="J49" s="18"/>
    </row>
    <row r="50" spans="1:10" ht="14.1" customHeight="1" x14ac:dyDescent="0.2">
      <c r="A50" s="15" t="s">
        <v>144</v>
      </c>
      <c r="B50" s="16">
        <v>0</v>
      </c>
      <c r="C50" s="267">
        <f>B50/'- 3 -'!$D50*100</f>
        <v>0</v>
      </c>
      <c r="D50" s="16">
        <f>B50/'- 7 -'!$E50</f>
        <v>0</v>
      </c>
      <c r="E50" s="16">
        <v>35000</v>
      </c>
      <c r="F50" s="267">
        <f>E50/'- 3 -'!$D50*100</f>
        <v>0.97543492553111744</v>
      </c>
      <c r="G50" s="16">
        <f>E50/'- 7 -'!$E50</f>
        <v>203.48837209302326</v>
      </c>
      <c r="H50" s="16">
        <v>15000</v>
      </c>
      <c r="I50" s="267">
        <f>H50/'- 3 -'!$D50*100</f>
        <v>0.41804353951333595</v>
      </c>
      <c r="J50" s="16">
        <f>H50/'- 7 -'!$E50</f>
        <v>87.20930232558139</v>
      </c>
    </row>
    <row r="51" spans="1:10" ht="14.1" customHeight="1" x14ac:dyDescent="0.2">
      <c r="A51" s="360" t="s">
        <v>513</v>
      </c>
      <c r="B51" s="272">
        <v>156795</v>
      </c>
      <c r="C51" s="273">
        <f>B51/'- 3 -'!$D51*100</f>
        <v>0.45101043509771577</v>
      </c>
      <c r="D51" s="272">
        <f>B51/'- 7 -'!$E51</f>
        <v>88.380023673975543</v>
      </c>
      <c r="E51" s="272">
        <v>391900</v>
      </c>
      <c r="F51" s="273">
        <f>E51/'- 3 -'!$D51*100</f>
        <v>1.1272743997882255</v>
      </c>
      <c r="G51" s="272">
        <f>E51/'- 7 -'!$E51</f>
        <v>220.90073840257034</v>
      </c>
      <c r="H51" s="272">
        <v>100500</v>
      </c>
      <c r="I51" s="273">
        <f>H51/'- 3 -'!$D51*100</f>
        <v>0.28908159525061661</v>
      </c>
      <c r="J51" s="272">
        <f>H51/'- 7 -'!$E51</f>
        <v>56.648441463277159</v>
      </c>
    </row>
    <row r="52" spans="1:10" ht="50.1" customHeight="1" x14ac:dyDescent="0.2">
      <c r="A52" s="19"/>
      <c r="B52" s="19"/>
      <c r="C52" s="19"/>
      <c r="D52" s="19"/>
      <c r="E52" s="19"/>
      <c r="F52" s="19"/>
      <c r="G52" s="19"/>
      <c r="H52" s="19"/>
      <c r="I52" s="19"/>
      <c r="J52" s="19"/>
    </row>
    <row r="53" spans="1:10" ht="15" customHeight="1" x14ac:dyDescent="0.2">
      <c r="A53" s="568" t="s">
        <v>538</v>
      </c>
      <c r="B53" s="568"/>
      <c r="C53" s="568"/>
      <c r="D53" s="568"/>
      <c r="E53" s="568"/>
      <c r="F53" s="568"/>
      <c r="G53" s="568"/>
      <c r="H53" s="568"/>
      <c r="I53" s="568"/>
      <c r="J53" s="568"/>
    </row>
    <row r="54" spans="1:10" ht="12" customHeight="1" x14ac:dyDescent="0.2">
      <c r="A54" s="569"/>
      <c r="B54" s="569"/>
      <c r="C54" s="569"/>
      <c r="D54" s="569"/>
      <c r="E54" s="569"/>
      <c r="F54" s="569"/>
      <c r="G54" s="569"/>
      <c r="H54" s="569"/>
      <c r="I54" s="569"/>
      <c r="J54" s="569"/>
    </row>
    <row r="55" spans="1:10" x14ac:dyDescent="0.2">
      <c r="A55" s="569"/>
      <c r="B55" s="569"/>
      <c r="C55" s="569"/>
      <c r="D55" s="569"/>
      <c r="E55" s="569"/>
      <c r="F55" s="569"/>
      <c r="G55" s="569"/>
      <c r="H55" s="569"/>
      <c r="I55" s="569"/>
      <c r="J55" s="569"/>
    </row>
    <row r="56" spans="1:10" ht="14.45" customHeight="1" x14ac:dyDescent="0.2"/>
    <row r="57" spans="1:10" ht="14.45" customHeight="1" x14ac:dyDescent="0.2"/>
    <row r="58" spans="1:10" ht="14.45" customHeight="1" x14ac:dyDescent="0.2"/>
    <row r="59" spans="1:10" ht="14.45" customHeight="1" x14ac:dyDescent="0.2"/>
  </sheetData>
  <mergeCells count="8">
    <mergeCell ref="A53:J55"/>
    <mergeCell ref="B6:J6"/>
    <mergeCell ref="B7:D7"/>
    <mergeCell ref="E7:G7"/>
    <mergeCell ref="D8:D9"/>
    <mergeCell ref="G8:G9"/>
    <mergeCell ref="J8:J9"/>
    <mergeCell ref="H7:J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54"/>
  <sheetViews>
    <sheetView showGridLines="0" showZeros="0" workbookViewId="0"/>
  </sheetViews>
  <sheetFormatPr defaultColWidth="15.83203125" defaultRowHeight="12" x14ac:dyDescent="0.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x14ac:dyDescent="0.2">
      <c r="A1" s="3"/>
      <c r="B1" s="3"/>
      <c r="C1" s="3"/>
      <c r="D1" s="3"/>
      <c r="E1" s="4"/>
      <c r="F1" s="4"/>
      <c r="G1" s="4"/>
    </row>
    <row r="2" spans="1:8" ht="15.95" customHeight="1" x14ac:dyDescent="0.2">
      <c r="A2" s="132"/>
      <c r="B2" s="5" t="str">
        <f>+'- 37 -'!B2</f>
        <v>ANALYSIS OF INFORMATION TECHNOLOGY EXPENSES</v>
      </c>
      <c r="C2" s="177"/>
      <c r="D2" s="177"/>
      <c r="E2" s="5"/>
      <c r="F2" s="178"/>
      <c r="G2" s="142"/>
      <c r="H2" s="134"/>
    </row>
    <row r="3" spans="1:8" ht="15.95" customHeight="1" x14ac:dyDescent="0.2">
      <c r="A3" s="135"/>
      <c r="B3" s="7" t="str">
        <f>OPYEAR</f>
        <v>OPERATING FUND 2020/2021 BUDGET</v>
      </c>
      <c r="C3" s="179"/>
      <c r="D3" s="179"/>
      <c r="E3" s="7"/>
      <c r="F3" s="143"/>
      <c r="G3" s="143"/>
      <c r="H3" s="136"/>
    </row>
    <row r="4" spans="1:8" ht="15.95" customHeight="1" x14ac:dyDescent="0.2">
      <c r="E4" s="4"/>
      <c r="F4" s="4"/>
      <c r="G4" s="4"/>
    </row>
    <row r="5" spans="1:8" ht="18" customHeight="1" x14ac:dyDescent="0.2">
      <c r="B5" s="706" t="s">
        <v>257</v>
      </c>
      <c r="C5" s="707"/>
      <c r="D5" s="707"/>
      <c r="E5" s="707"/>
      <c r="F5" s="707"/>
      <c r="G5" s="708"/>
    </row>
    <row r="6" spans="1:8" ht="15.95" customHeight="1" x14ac:dyDescent="0.2">
      <c r="B6" s="693" t="s">
        <v>444</v>
      </c>
      <c r="C6" s="710"/>
      <c r="D6" s="711"/>
      <c r="E6" s="310"/>
      <c r="F6" s="311"/>
      <c r="G6" s="312"/>
    </row>
    <row r="7" spans="1:8" ht="15.95" customHeight="1" x14ac:dyDescent="0.2">
      <c r="B7" s="685"/>
      <c r="C7" s="712"/>
      <c r="D7" s="686"/>
      <c r="E7" s="695" t="s">
        <v>25</v>
      </c>
      <c r="F7" s="709"/>
      <c r="G7" s="696"/>
    </row>
    <row r="8" spans="1:8" ht="15.95" customHeight="1" x14ac:dyDescent="0.2">
      <c r="A8" s="82"/>
      <c r="B8" s="137"/>
      <c r="C8" s="83"/>
      <c r="D8" s="541" t="s">
        <v>396</v>
      </c>
      <c r="E8" s="137"/>
      <c r="F8" s="138"/>
      <c r="G8" s="540" t="s">
        <v>396</v>
      </c>
    </row>
    <row r="9" spans="1:8" ht="15.95" customHeight="1" x14ac:dyDescent="0.2">
      <c r="A9" s="27" t="s">
        <v>37</v>
      </c>
      <c r="B9" s="89" t="s">
        <v>38</v>
      </c>
      <c r="C9" s="89" t="s">
        <v>39</v>
      </c>
      <c r="D9" s="580"/>
      <c r="E9" s="89" t="s">
        <v>38</v>
      </c>
      <c r="F9" s="89" t="s">
        <v>39</v>
      </c>
      <c r="G9" s="580"/>
    </row>
    <row r="10" spans="1:8" ht="5.0999999999999996" customHeight="1" x14ac:dyDescent="0.2">
      <c r="A10" s="29"/>
      <c r="B10" s="29"/>
      <c r="C10" s="29"/>
      <c r="D10" s="29"/>
    </row>
    <row r="11" spans="1:8" ht="14.1" customHeight="1" x14ac:dyDescent="0.2">
      <c r="A11" s="271" t="s">
        <v>108</v>
      </c>
      <c r="B11" s="272">
        <f>'- 26 -'!B11</f>
        <v>14500</v>
      </c>
      <c r="C11" s="273">
        <f>'- 26 -'!C11</f>
        <v>6.5284904900829763E-2</v>
      </c>
      <c r="D11" s="272">
        <f>'- 26 -'!D11</f>
        <v>7.269992479318125</v>
      </c>
      <c r="E11" s="272">
        <f>SUM('- 37 -'!B11,'- 37 -'!E11,'- 37 -'!H11,B11)</f>
        <v>586724</v>
      </c>
      <c r="F11" s="273">
        <f>E11/'- 3 -'!D11*100</f>
        <v>2.641670382278237</v>
      </c>
      <c r="G11" s="272">
        <f>E11/'- 7 -'!E11</f>
        <v>294.17097016796191</v>
      </c>
    </row>
    <row r="12" spans="1:8" ht="14.1" customHeight="1" x14ac:dyDescent="0.2">
      <c r="A12" s="15" t="s">
        <v>109</v>
      </c>
      <c r="B12" s="16">
        <f>'- 26 -'!B12</f>
        <v>64519</v>
      </c>
      <c r="C12" s="267">
        <f>'- 26 -'!C12</f>
        <v>0.18596713807126836</v>
      </c>
      <c r="D12" s="16">
        <f>'- 26 -'!D12</f>
        <v>29.953110492107708</v>
      </c>
      <c r="E12" s="16">
        <f>SUM('- 37 -'!B12,'- 37 -'!E12,'- 37 -'!H12,B12)</f>
        <v>1195628</v>
      </c>
      <c r="F12" s="267">
        <f>E12/'- 3 -'!D12*100</f>
        <v>3.4462331616713597</v>
      </c>
      <c r="G12" s="16">
        <f>E12/'- 7 -'!E12</f>
        <v>555.07335190343542</v>
      </c>
    </row>
    <row r="13" spans="1:8" ht="14.1" customHeight="1" x14ac:dyDescent="0.2">
      <c r="A13" s="271" t="s">
        <v>110</v>
      </c>
      <c r="B13" s="272">
        <f>'- 26 -'!B13</f>
        <v>339000</v>
      </c>
      <c r="C13" s="273">
        <f>'- 26 -'!C13</f>
        <v>0.31520721387506823</v>
      </c>
      <c r="D13" s="272">
        <f>'- 26 -'!D13</f>
        <v>38.780529657381457</v>
      </c>
      <c r="E13" s="272">
        <f>SUM('- 37 -'!B13,'- 37 -'!E13,'- 37 -'!H13,B13)</f>
        <v>2418400</v>
      </c>
      <c r="F13" s="273">
        <f>E13/'- 3 -'!D13*100</f>
        <v>2.2486640886001918</v>
      </c>
      <c r="G13" s="272">
        <f>E13/'- 7 -'!E13</f>
        <v>276.65732425785046</v>
      </c>
    </row>
    <row r="14" spans="1:8" ht="14.1" customHeight="1" x14ac:dyDescent="0.2">
      <c r="A14" s="15" t="s">
        <v>319</v>
      </c>
      <c r="B14" s="16">
        <f>'- 26 -'!B14</f>
        <v>129362</v>
      </c>
      <c r="C14" s="267">
        <f>'- 26 -'!C14</f>
        <v>0.13323599648087728</v>
      </c>
      <c r="D14" s="16">
        <f>'- 26 -'!D14</f>
        <v>21.585516435841814</v>
      </c>
      <c r="E14" s="16">
        <f>SUM('- 37 -'!B14,'- 37 -'!E14,'- 37 -'!H14,B14)</f>
        <v>1845988</v>
      </c>
      <c r="F14" s="267">
        <f>E14/'- 3 -'!D14*100</f>
        <v>1.9012696979927777</v>
      </c>
      <c r="G14" s="16">
        <f>E14/'- 7 -'!E14</f>
        <v>308.02402803270485</v>
      </c>
    </row>
    <row r="15" spans="1:8" ht="14.1" customHeight="1" x14ac:dyDescent="0.2">
      <c r="A15" s="271" t="s">
        <v>111</v>
      </c>
      <c r="B15" s="272">
        <f>'- 26 -'!B15</f>
        <v>44000</v>
      </c>
      <c r="C15" s="273">
        <f>'- 26 -'!C15</f>
        <v>0.20816793247751395</v>
      </c>
      <c r="D15" s="272">
        <f>'- 26 -'!D15</f>
        <v>31.541218637992831</v>
      </c>
      <c r="E15" s="272">
        <f>SUM('- 37 -'!B15,'- 37 -'!E15,'- 37 -'!H15,B15)</f>
        <v>405900</v>
      </c>
      <c r="F15" s="273">
        <f>E15/'- 3 -'!D15*100</f>
        <v>1.9203491771050665</v>
      </c>
      <c r="G15" s="272">
        <f>E15/'- 7 -'!E15</f>
        <v>290.96774193548384</v>
      </c>
    </row>
    <row r="16" spans="1:8" ht="14.1" customHeight="1" x14ac:dyDescent="0.2">
      <c r="A16" s="15" t="s">
        <v>112</v>
      </c>
      <c r="B16" s="16">
        <f>'- 26 -'!B16</f>
        <v>35983</v>
      </c>
      <c r="C16" s="267">
        <f>'- 26 -'!C16</f>
        <v>0.24059604003109436</v>
      </c>
      <c r="D16" s="16">
        <f>'- 26 -'!D16</f>
        <v>37.956751054852319</v>
      </c>
      <c r="E16" s="16">
        <f>SUM('- 37 -'!B16,'- 37 -'!E16,'- 37 -'!H16,B16)</f>
        <v>256219</v>
      </c>
      <c r="F16" s="267">
        <f>E16/'- 3 -'!D16*100</f>
        <v>1.7131778000924593</v>
      </c>
      <c r="G16" s="16">
        <f>E16/'- 7 -'!E16</f>
        <v>270.27320675105483</v>
      </c>
    </row>
    <row r="17" spans="1:7" ht="14.1" customHeight="1" x14ac:dyDescent="0.2">
      <c r="A17" s="271" t="s">
        <v>113</v>
      </c>
      <c r="B17" s="272">
        <f>'- 26 -'!B17</f>
        <v>84640</v>
      </c>
      <c r="C17" s="273">
        <f>'- 26 -'!C17</f>
        <v>0.44995559718660794</v>
      </c>
      <c r="D17" s="272">
        <f>'- 26 -'!D17</f>
        <v>58.533886583679113</v>
      </c>
      <c r="E17" s="272">
        <f>SUM('- 37 -'!B17,'- 37 -'!E17,'- 37 -'!H17,B17)</f>
        <v>442740</v>
      </c>
      <c r="F17" s="273">
        <f>E17/'- 3 -'!D17*100</f>
        <v>2.3536547861342019</v>
      </c>
      <c r="G17" s="272">
        <f>E17/'- 7 -'!E17</f>
        <v>306.18257261410787</v>
      </c>
    </row>
    <row r="18" spans="1:7" ht="14.1" customHeight="1" x14ac:dyDescent="0.2">
      <c r="A18" s="15" t="s">
        <v>114</v>
      </c>
      <c r="B18" s="16">
        <f>'- 26 -'!B18</f>
        <v>751155</v>
      </c>
      <c r="C18" s="267">
        <f>'- 26 -'!C18</f>
        <v>0.5396201389737284</v>
      </c>
      <c r="D18" s="16">
        <f>'- 26 -'!D18</f>
        <v>125.42244114209385</v>
      </c>
      <c r="E18" s="16">
        <f>SUM('- 37 -'!B18,'- 37 -'!E18,'- 37 -'!H18,B18)</f>
        <v>2573029</v>
      </c>
      <c r="F18" s="267">
        <f>E18/'- 3 -'!D18*100</f>
        <v>1.8484311048497761</v>
      </c>
      <c r="G18" s="16">
        <f>E18/'- 7 -'!E18</f>
        <v>429.62581399231925</v>
      </c>
    </row>
    <row r="19" spans="1:7" ht="14.1" customHeight="1" x14ac:dyDescent="0.2">
      <c r="A19" s="271" t="s">
        <v>115</v>
      </c>
      <c r="B19" s="272">
        <f>'- 26 -'!B19</f>
        <v>164100</v>
      </c>
      <c r="C19" s="273">
        <f>'- 26 -'!C19</f>
        <v>0.31833418688020859</v>
      </c>
      <c r="D19" s="272">
        <f>'- 26 -'!D19</f>
        <v>36.888838934472297</v>
      </c>
      <c r="E19" s="272">
        <f>SUM('- 37 -'!B19,'- 37 -'!E19,'- 37 -'!H19,B19)</f>
        <v>1514400</v>
      </c>
      <c r="F19" s="273">
        <f>E19/'- 3 -'!D19*100</f>
        <v>2.9377531542436799</v>
      </c>
      <c r="G19" s="272">
        <f>E19/'- 7 -'!E19</f>
        <v>340.42935821063281</v>
      </c>
    </row>
    <row r="20" spans="1:7" ht="14.1" customHeight="1" x14ac:dyDescent="0.2">
      <c r="A20" s="15" t="s">
        <v>116</v>
      </c>
      <c r="B20" s="16">
        <f>'- 26 -'!B20</f>
        <v>108000</v>
      </c>
      <c r="C20" s="267">
        <f>'- 26 -'!C20</f>
        <v>0.11747340804497057</v>
      </c>
      <c r="D20" s="16">
        <f>'- 26 -'!D20</f>
        <v>13.264554163596168</v>
      </c>
      <c r="E20" s="16">
        <f>SUM('- 37 -'!B20,'- 37 -'!E20,'- 37 -'!H20,B20)</f>
        <v>3479600</v>
      </c>
      <c r="F20" s="267">
        <f>E20/'- 3 -'!D20*100</f>
        <v>3.7848191725303661</v>
      </c>
      <c r="G20" s="16">
        <f>E20/'- 7 -'!E20</f>
        <v>427.36428395971507</v>
      </c>
    </row>
    <row r="21" spans="1:7" ht="14.1" customHeight="1" x14ac:dyDescent="0.2">
      <c r="A21" s="271" t="s">
        <v>117</v>
      </c>
      <c r="B21" s="272">
        <f>'- 26 -'!B21</f>
        <v>44000</v>
      </c>
      <c r="C21" s="273">
        <f>'- 26 -'!C21</f>
        <v>0.11522924727803639</v>
      </c>
      <c r="D21" s="272">
        <f>'- 26 -'!D21</f>
        <v>15.708675473045341</v>
      </c>
      <c r="E21" s="272">
        <f>SUM('- 37 -'!B21,'- 37 -'!E21,'- 37 -'!H21,B21)</f>
        <v>926878</v>
      </c>
      <c r="F21" s="273">
        <f>E21/'- 3 -'!D21*100</f>
        <v>2.4273512331493592</v>
      </c>
      <c r="G21" s="272">
        <f>E21/'- 7 -'!E21</f>
        <v>330.90967511602997</v>
      </c>
    </row>
    <row r="22" spans="1:7" ht="14.1" customHeight="1" x14ac:dyDescent="0.2">
      <c r="A22" s="15" t="s">
        <v>118</v>
      </c>
      <c r="B22" s="16">
        <f>'- 26 -'!B22</f>
        <v>75000</v>
      </c>
      <c r="C22" s="267">
        <f>'- 26 -'!C22</f>
        <v>0.36669571711625598</v>
      </c>
      <c r="D22" s="16">
        <f>'- 26 -'!D22</f>
        <v>52.283025444405716</v>
      </c>
      <c r="E22" s="16">
        <f>SUM('- 37 -'!B22,'- 37 -'!E22,'- 37 -'!H22,B22)</f>
        <v>224535</v>
      </c>
      <c r="F22" s="267">
        <f>E22/'- 3 -'!D22*100</f>
        <v>1.0978136379026471</v>
      </c>
      <c r="G22" s="16">
        <f>E22/'- 7 -'!E22</f>
        <v>156.52492157546183</v>
      </c>
    </row>
    <row r="23" spans="1:7" ht="14.1" customHeight="1" x14ac:dyDescent="0.2">
      <c r="A23" s="271" t="s">
        <v>119</v>
      </c>
      <c r="B23" s="272">
        <f>'- 26 -'!B23</f>
        <v>20000</v>
      </c>
      <c r="C23" s="273">
        <f>'- 26 -'!C23</f>
        <v>0.12525273653744448</v>
      </c>
      <c r="D23" s="272">
        <f>'- 26 -'!D23</f>
        <v>21.459227467811157</v>
      </c>
      <c r="E23" s="272">
        <f>SUM('- 37 -'!B23,'- 37 -'!E23,'- 37 -'!H23,B23)</f>
        <v>385750</v>
      </c>
      <c r="F23" s="273">
        <f>E23/'- 3 -'!D23*100</f>
        <v>2.41581215596596</v>
      </c>
      <c r="G23" s="272">
        <f>E23/'- 7 -'!E23</f>
        <v>413.8948497854077</v>
      </c>
    </row>
    <row r="24" spans="1:7" ht="14.1" customHeight="1" x14ac:dyDescent="0.2">
      <c r="A24" s="15" t="s">
        <v>120</v>
      </c>
      <c r="B24" s="16">
        <f>'- 26 -'!B24</f>
        <v>161220</v>
      </c>
      <c r="C24" s="267">
        <f>'- 26 -'!C24</f>
        <v>0.27386258356274124</v>
      </c>
      <c r="D24" s="16">
        <f>'- 26 -'!D24</f>
        <v>43.338709677419352</v>
      </c>
      <c r="E24" s="16">
        <f>SUM('- 37 -'!B24,'- 37 -'!E24,'- 37 -'!H24,B24)</f>
        <v>2221089</v>
      </c>
      <c r="F24" s="267">
        <f>E24/'- 3 -'!D24*100</f>
        <v>3.7729386668079976</v>
      </c>
      <c r="G24" s="16">
        <f>E24/'- 7 -'!E24</f>
        <v>597.06693548387102</v>
      </c>
    </row>
    <row r="25" spans="1:7" ht="14.1" customHeight="1" x14ac:dyDescent="0.2">
      <c r="A25" s="271" t="s">
        <v>121</v>
      </c>
      <c r="B25" s="272">
        <f>'- 26 -'!B25</f>
        <v>979545</v>
      </c>
      <c r="C25" s="273">
        <f>'- 26 -'!C25</f>
        <v>0.503624125054979</v>
      </c>
      <c r="D25" s="272">
        <f>'- 26 -'!D25</f>
        <v>64.67351115806153</v>
      </c>
      <c r="E25" s="272">
        <f>SUM('- 37 -'!B25,'- 37 -'!E25,'- 37 -'!H25,B25)</f>
        <v>5076381</v>
      </c>
      <c r="F25" s="273">
        <f>E25/'- 3 -'!D25*100</f>
        <v>2.6099749777403995</v>
      </c>
      <c r="G25" s="272">
        <f>E25/'- 7 -'!E25</f>
        <v>335.16314538492009</v>
      </c>
    </row>
    <row r="26" spans="1:7" ht="14.1" customHeight="1" x14ac:dyDescent="0.2">
      <c r="A26" s="15" t="s">
        <v>122</v>
      </c>
      <c r="B26" s="16">
        <f>'- 26 -'!B26</f>
        <v>34000</v>
      </c>
      <c r="C26" s="267">
        <f>'- 26 -'!C26</f>
        <v>8.0813581701675422E-2</v>
      </c>
      <c r="D26" s="16">
        <f>'- 26 -'!D26</f>
        <v>11.028219266947778</v>
      </c>
      <c r="E26" s="16">
        <f>SUM('- 37 -'!B26,'- 37 -'!E26,'- 37 -'!H26,B26)</f>
        <v>1346328</v>
      </c>
      <c r="F26" s="267">
        <f>E26/'- 3 -'!D26*100</f>
        <v>3.2000467007427433</v>
      </c>
      <c r="G26" s="16">
        <f>E26/'- 7 -'!E26</f>
        <v>436.69412909503728</v>
      </c>
    </row>
    <row r="27" spans="1:7" ht="14.1" customHeight="1" x14ac:dyDescent="0.2">
      <c r="A27" s="271" t="s">
        <v>123</v>
      </c>
      <c r="B27" s="272">
        <f>'- 26 -'!B27</f>
        <v>222750</v>
      </c>
      <c r="C27" s="273">
        <f>'- 26 -'!C27</f>
        <v>0.52075885049830484</v>
      </c>
      <c r="D27" s="272">
        <f>'- 26 -'!D27</f>
        <v>74.101796407185631</v>
      </c>
      <c r="E27" s="272">
        <f>SUM('- 37 -'!B27,'- 37 -'!E27,'- 37 -'!H27,B27)</f>
        <v>899084</v>
      </c>
      <c r="F27" s="273">
        <f>E27/'- 3 -'!D27*100</f>
        <v>2.1019346816674207</v>
      </c>
      <c r="G27" s="272">
        <f>E27/'- 7 -'!E27</f>
        <v>299.09647371922819</v>
      </c>
    </row>
    <row r="28" spans="1:7" ht="14.1" customHeight="1" x14ac:dyDescent="0.2">
      <c r="A28" s="15" t="s">
        <v>124</v>
      </c>
      <c r="B28" s="16">
        <f>'- 26 -'!B28</f>
        <v>82500</v>
      </c>
      <c r="C28" s="267">
        <f>'- 26 -'!C28</f>
        <v>0.28659803992647664</v>
      </c>
      <c r="D28" s="16">
        <f>'- 26 -'!D28</f>
        <v>40.861812778603266</v>
      </c>
      <c r="E28" s="16">
        <f>SUM('- 37 -'!B28,'- 37 -'!E28,'- 37 -'!H28,B28)</f>
        <v>868874</v>
      </c>
      <c r="F28" s="267">
        <f>E28/'- 3 -'!D28*100</f>
        <v>3.0183949738554849</v>
      </c>
      <c r="G28" s="16">
        <f>E28/'- 7 -'!E28</f>
        <v>430.34868746904408</v>
      </c>
    </row>
    <row r="29" spans="1:7" ht="14.1" customHeight="1" x14ac:dyDescent="0.2">
      <c r="A29" s="271" t="s">
        <v>125</v>
      </c>
      <c r="B29" s="272">
        <f>'- 26 -'!B29</f>
        <v>1030379</v>
      </c>
      <c r="C29" s="273">
        <f>'- 26 -'!C29</f>
        <v>0.57887111416348003</v>
      </c>
      <c r="D29" s="272">
        <f>'- 26 -'!D29</f>
        <v>71.628710462287103</v>
      </c>
      <c r="E29" s="272">
        <f>SUM('- 37 -'!B29,'- 37 -'!E29,'- 37 -'!H29,B29)</f>
        <v>5989776</v>
      </c>
      <c r="F29" s="273">
        <f>E29/'- 3 -'!D29*100</f>
        <v>3.3650805254277043</v>
      </c>
      <c r="G29" s="272">
        <f>E29/'- 7 -'!E29</f>
        <v>416.39040667361837</v>
      </c>
    </row>
    <row r="30" spans="1:7" ht="14.1" customHeight="1" x14ac:dyDescent="0.2">
      <c r="A30" s="15" t="s">
        <v>126</v>
      </c>
      <c r="B30" s="16">
        <f>'- 26 -'!B30</f>
        <v>23968</v>
      </c>
      <c r="C30" s="267">
        <f>'- 26 -'!C30</f>
        <v>0.15245267657235906</v>
      </c>
      <c r="D30" s="16">
        <f>'- 26 -'!D30</f>
        <v>22.903010033444815</v>
      </c>
      <c r="E30" s="16">
        <f>SUM('- 37 -'!B30,'- 37 -'!E30,'- 37 -'!H30,B30)</f>
        <v>435432</v>
      </c>
      <c r="F30" s="267">
        <f>E30/'- 3 -'!D30*100</f>
        <v>2.7696417667412989</v>
      </c>
      <c r="G30" s="16">
        <f>E30/'- 7 -'!E30</f>
        <v>416.08408982322027</v>
      </c>
    </row>
    <row r="31" spans="1:7" ht="14.1" customHeight="1" x14ac:dyDescent="0.2">
      <c r="A31" s="271" t="s">
        <v>127</v>
      </c>
      <c r="B31" s="272">
        <f>'- 26 -'!B31</f>
        <v>85400</v>
      </c>
      <c r="C31" s="273">
        <f>'- 26 -'!C31</f>
        <v>0.20906898155154743</v>
      </c>
      <c r="D31" s="272">
        <f>'- 26 -'!D31</f>
        <v>25.477326968973745</v>
      </c>
      <c r="E31" s="272">
        <f>SUM('- 37 -'!B31,'- 37 -'!E31,'- 37 -'!H31,B31)</f>
        <v>852620</v>
      </c>
      <c r="F31" s="273">
        <f>E31/'- 3 -'!D31*100</f>
        <v>2.0873114174529315</v>
      </c>
      <c r="G31" s="272">
        <f>E31/'- 7 -'!E31</f>
        <v>254.36157517899761</v>
      </c>
    </row>
    <row r="32" spans="1:7" ht="14.1" customHeight="1" x14ac:dyDescent="0.2">
      <c r="A32" s="15" t="s">
        <v>128</v>
      </c>
      <c r="B32" s="16">
        <f>'- 26 -'!B32</f>
        <v>54000</v>
      </c>
      <c r="C32" s="267">
        <f>'- 26 -'!C32</f>
        <v>0.1703621046534409</v>
      </c>
      <c r="D32" s="16">
        <f>'- 26 -'!D32</f>
        <v>23.121387283236995</v>
      </c>
      <c r="E32" s="16">
        <f>SUM('- 37 -'!B32,'- 37 -'!E32,'- 37 -'!H32,B32)</f>
        <v>727786</v>
      </c>
      <c r="F32" s="267">
        <f>E32/'- 3 -'!D32*100</f>
        <v>2.2960584203205396</v>
      </c>
      <c r="G32" s="16">
        <f>E32/'- 7 -'!E32</f>
        <v>311.61892528366519</v>
      </c>
    </row>
    <row r="33" spans="1:7" ht="14.1" customHeight="1" x14ac:dyDescent="0.2">
      <c r="A33" s="271" t="s">
        <v>129</v>
      </c>
      <c r="B33" s="272">
        <f>'- 26 -'!B33</f>
        <v>43000</v>
      </c>
      <c r="C33" s="273">
        <f>'- 26 -'!C33</f>
        <v>0.14967066883714661</v>
      </c>
      <c r="D33" s="272">
        <f>'- 26 -'!D33</f>
        <v>20.821227968235522</v>
      </c>
      <c r="E33" s="272">
        <f>SUM('- 37 -'!B33,'- 37 -'!E33,'- 37 -'!H33,B33)</f>
        <v>913450</v>
      </c>
      <c r="F33" s="273">
        <f>E33/'- 3 -'!D33*100</f>
        <v>3.1794574988207343</v>
      </c>
      <c r="G33" s="272">
        <f>E33/'- 7 -'!E33</f>
        <v>442.30582994383116</v>
      </c>
    </row>
    <row r="34" spans="1:7" ht="14.1" customHeight="1" x14ac:dyDescent="0.2">
      <c r="A34" s="15" t="s">
        <v>130</v>
      </c>
      <c r="B34" s="16">
        <f>'- 26 -'!B34</f>
        <v>45077</v>
      </c>
      <c r="C34" s="267">
        <f>'- 26 -'!C34</f>
        <v>0.14098247303593311</v>
      </c>
      <c r="D34" s="16">
        <f>'- 26 -'!D34</f>
        <v>19.773215774005354</v>
      </c>
      <c r="E34" s="16">
        <f>SUM('- 37 -'!B34,'- 37 -'!E34,'- 37 -'!H34,B34)</f>
        <v>660134</v>
      </c>
      <c r="F34" s="267">
        <f>E34/'- 3 -'!D34*100</f>
        <v>2.0646299411030604</v>
      </c>
      <c r="G34" s="16">
        <f>E34/'- 7 -'!E34</f>
        <v>289.57055752949952</v>
      </c>
    </row>
    <row r="35" spans="1:7" ht="14.1" customHeight="1" x14ac:dyDescent="0.2">
      <c r="A35" s="271" t="s">
        <v>131</v>
      </c>
      <c r="B35" s="272">
        <f>'- 26 -'!B35</f>
        <v>862152</v>
      </c>
      <c r="C35" s="273">
        <f>'- 26 -'!C35</f>
        <v>0.43881170625475563</v>
      </c>
      <c r="D35" s="272">
        <f>'- 26 -'!D35</f>
        <v>52.897628616130319</v>
      </c>
      <c r="E35" s="272">
        <f>SUM('- 37 -'!B35,'- 37 -'!E35,'- 37 -'!H35,B35)</f>
        <v>4028422</v>
      </c>
      <c r="F35" s="273">
        <f>E35/'- 3 -'!D35*100</f>
        <v>2.0503562380348188</v>
      </c>
      <c r="G35" s="272">
        <f>E35/'- 7 -'!E35</f>
        <v>247.16519925146486</v>
      </c>
    </row>
    <row r="36" spans="1:7" ht="14.1" customHeight="1" x14ac:dyDescent="0.2">
      <c r="A36" s="15" t="s">
        <v>132</v>
      </c>
      <c r="B36" s="16">
        <f>'- 26 -'!B36</f>
        <v>31500</v>
      </c>
      <c r="C36" s="267">
        <f>'- 26 -'!C36</f>
        <v>0.13027729004212091</v>
      </c>
      <c r="D36" s="16">
        <f>'- 26 -'!D36</f>
        <v>18.046405041535376</v>
      </c>
      <c r="E36" s="16">
        <f>SUM('- 37 -'!B36,'- 37 -'!E36,'- 37 -'!H36,B36)</f>
        <v>738575</v>
      </c>
      <c r="F36" s="267">
        <f>E36/'- 3 -'!D36*100</f>
        <v>3.0545888727891892</v>
      </c>
      <c r="G36" s="16">
        <f>E36/'- 7 -'!E36</f>
        <v>423.13090804926958</v>
      </c>
    </row>
    <row r="37" spans="1:7" ht="14.1" customHeight="1" x14ac:dyDescent="0.2">
      <c r="A37" s="360" t="s">
        <v>133</v>
      </c>
      <c r="B37" s="272">
        <f>'- 26 -'!B37</f>
        <v>90500</v>
      </c>
      <c r="C37" s="273">
        <f>'- 26 -'!C37</f>
        <v>0.16421880840655134</v>
      </c>
      <c r="D37" s="272">
        <f>'- 26 -'!D37</f>
        <v>20.737855178735106</v>
      </c>
      <c r="E37" s="272">
        <f>SUM('- 37 -'!B37,'- 37 -'!E37,'- 37 -'!H37,B37)</f>
        <v>1683100</v>
      </c>
      <c r="F37" s="273">
        <f>E37/'- 3 -'!D37*100</f>
        <v>3.0541069218681387</v>
      </c>
      <c r="G37" s="272">
        <f>E37/'- 7 -'!E37</f>
        <v>385.6782768102658</v>
      </c>
    </row>
    <row r="38" spans="1:7" ht="14.1" customHeight="1" x14ac:dyDescent="0.2">
      <c r="A38" s="15" t="s">
        <v>134</v>
      </c>
      <c r="B38" s="16">
        <f>'- 26 -'!B38</f>
        <v>590740</v>
      </c>
      <c r="C38" s="267">
        <f>'- 26 -'!C38</f>
        <v>0.39104345398725771</v>
      </c>
      <c r="D38" s="16">
        <f>'- 26 -'!D38</f>
        <v>50.688152114222959</v>
      </c>
      <c r="E38" s="16">
        <f>SUM('- 37 -'!B38,'- 37 -'!E38,'- 37 -'!H38,B38)</f>
        <v>2924590</v>
      </c>
      <c r="F38" s="267">
        <f>E38/'- 3 -'!D38*100</f>
        <v>1.9359477521356165</v>
      </c>
      <c r="G38" s="16">
        <f>E38/'- 7 -'!E38</f>
        <v>250.94299148819331</v>
      </c>
    </row>
    <row r="39" spans="1:7" ht="14.1" customHeight="1" x14ac:dyDescent="0.2">
      <c r="A39" s="271" t="s">
        <v>135</v>
      </c>
      <c r="B39" s="272">
        <f>'- 26 -'!B39</f>
        <v>55900</v>
      </c>
      <c r="C39" s="273">
        <f>'- 26 -'!C39</f>
        <v>0.23807090168821657</v>
      </c>
      <c r="D39" s="272">
        <f>'- 26 -'!D39</f>
        <v>37.501677176975718</v>
      </c>
      <c r="E39" s="272">
        <f>SUM('- 37 -'!B39,'- 37 -'!E39,'- 37 -'!H39,B39)</f>
        <v>473100</v>
      </c>
      <c r="F39" s="273">
        <f>E39/'- 3 -'!D39*100</f>
        <v>2.0148719783308633</v>
      </c>
      <c r="G39" s="272">
        <f>E39/'- 7 -'!E39</f>
        <v>317.38897088420771</v>
      </c>
    </row>
    <row r="40" spans="1:7" ht="14.1" customHeight="1" x14ac:dyDescent="0.2">
      <c r="A40" s="15" t="s">
        <v>136</v>
      </c>
      <c r="B40" s="16">
        <f>'- 26 -'!B40</f>
        <v>407657</v>
      </c>
      <c r="C40" s="267">
        <f>'- 26 -'!C40</f>
        <v>0.37102643225552756</v>
      </c>
      <c r="D40" s="16">
        <f>'- 26 -'!D40</f>
        <v>49.578230465186984</v>
      </c>
      <c r="E40" s="16">
        <f>SUM('- 37 -'!B40,'- 37 -'!E40,'- 37 -'!H40,B40)</f>
        <v>2792708</v>
      </c>
      <c r="F40" s="267">
        <f>E40/'- 3 -'!D40*100</f>
        <v>2.541765468448892</v>
      </c>
      <c r="G40" s="16">
        <f>E40/'- 7 -'!E40</f>
        <v>339.64220127698388</v>
      </c>
    </row>
    <row r="41" spans="1:7" ht="14.1" customHeight="1" x14ac:dyDescent="0.2">
      <c r="A41" s="271" t="s">
        <v>137</v>
      </c>
      <c r="B41" s="272">
        <f>'- 26 -'!B41</f>
        <v>118811</v>
      </c>
      <c r="C41" s="273">
        <f>'- 26 -'!C41</f>
        <v>0.17815269283153545</v>
      </c>
      <c r="D41" s="272">
        <f>'- 26 -'!D41</f>
        <v>26.437694704049843</v>
      </c>
      <c r="E41" s="272">
        <f>SUM('- 37 -'!B41,'- 37 -'!E41,'- 37 -'!H41,B41)</f>
        <v>1417054</v>
      </c>
      <c r="F41" s="273">
        <f>E41/'- 3 -'!D41*100</f>
        <v>2.124819974477941</v>
      </c>
      <c r="G41" s="272">
        <f>E41/'- 7 -'!E41</f>
        <v>315.32131731197154</v>
      </c>
    </row>
    <row r="42" spans="1:7" ht="14.1" customHeight="1" x14ac:dyDescent="0.2">
      <c r="A42" s="15" t="s">
        <v>138</v>
      </c>
      <c r="B42" s="16">
        <f>'- 26 -'!B42</f>
        <v>17000</v>
      </c>
      <c r="C42" s="267">
        <f>'- 26 -'!C42</f>
        <v>7.9645511881704864E-2</v>
      </c>
      <c r="D42" s="16">
        <f>'- 26 -'!D42</f>
        <v>12.422360248447205</v>
      </c>
      <c r="E42" s="16">
        <f>SUM('- 37 -'!B42,'- 37 -'!E42,'- 37 -'!H42,B42)</f>
        <v>546174</v>
      </c>
      <c r="F42" s="267">
        <f>E42/'- 3 -'!D42*100</f>
        <v>2.5588416356751926</v>
      </c>
      <c r="G42" s="16">
        <f>E42/'- 7 -'!E42</f>
        <v>399.10412860796492</v>
      </c>
    </row>
    <row r="43" spans="1:7" ht="14.1" customHeight="1" x14ac:dyDescent="0.2">
      <c r="A43" s="271" t="s">
        <v>139</v>
      </c>
      <c r="B43" s="272">
        <f>'- 26 -'!B43</f>
        <v>21582</v>
      </c>
      <c r="C43" s="273">
        <f>'- 26 -'!C43</f>
        <v>0.15550925136656044</v>
      </c>
      <c r="D43" s="272">
        <f>'- 26 -'!D43</f>
        <v>21.474626865671642</v>
      </c>
      <c r="E43" s="272">
        <f>SUM('- 37 -'!B43,'- 37 -'!E43,'- 37 -'!H43,B43)</f>
        <v>354444</v>
      </c>
      <c r="F43" s="273">
        <f>E43/'- 3 -'!D43*100</f>
        <v>2.5539487114896278</v>
      </c>
      <c r="G43" s="272">
        <f>E43/'- 7 -'!E43</f>
        <v>352.68059701492535</v>
      </c>
    </row>
    <row r="44" spans="1:7" ht="14.1" customHeight="1" x14ac:dyDescent="0.2">
      <c r="A44" s="15" t="s">
        <v>140</v>
      </c>
      <c r="B44" s="16">
        <f>'- 26 -'!B44</f>
        <v>10000</v>
      </c>
      <c r="C44" s="267">
        <f>'- 26 -'!C44</f>
        <v>8.9014957806464928E-2</v>
      </c>
      <c r="D44" s="16">
        <f>'- 26 -'!D44</f>
        <v>14.419610670511895</v>
      </c>
      <c r="E44" s="16">
        <f>SUM('- 37 -'!B44,'- 37 -'!E44,'- 37 -'!H44,B44)</f>
        <v>360107</v>
      </c>
      <c r="F44" s="267">
        <f>E44/'- 3 -'!D44*100</f>
        <v>3.2054909410812669</v>
      </c>
      <c r="G44" s="16">
        <f>E44/'- 7 -'!E44</f>
        <v>519.2602739726027</v>
      </c>
    </row>
    <row r="45" spans="1:7" ht="14.1" customHeight="1" x14ac:dyDescent="0.2">
      <c r="A45" s="271" t="s">
        <v>141</v>
      </c>
      <c r="B45" s="272">
        <f>'- 26 -'!B45</f>
        <v>55000</v>
      </c>
      <c r="C45" s="273">
        <f>'- 26 -'!C45</f>
        <v>0.24588878423464836</v>
      </c>
      <c r="D45" s="272">
        <f>'- 26 -'!D45</f>
        <v>26.506024096385541</v>
      </c>
      <c r="E45" s="272">
        <f>SUM('- 37 -'!B45,'- 37 -'!E45,'- 37 -'!H45,B45)</f>
        <v>494490</v>
      </c>
      <c r="F45" s="273">
        <f>E45/'- 3 -'!D45*100</f>
        <v>2.2107189984762048</v>
      </c>
      <c r="G45" s="272">
        <f>E45/'- 7 -'!E45</f>
        <v>238.30843373493977</v>
      </c>
    </row>
    <row r="46" spans="1:7" ht="14.1" customHeight="1" x14ac:dyDescent="0.2">
      <c r="A46" s="15" t="s">
        <v>142</v>
      </c>
      <c r="B46" s="16">
        <f>'- 26 -'!B46</f>
        <v>1088100</v>
      </c>
      <c r="C46" s="267">
        <f>'- 26 -'!C46</f>
        <v>0.26070664895398077</v>
      </c>
      <c r="D46" s="16">
        <f>'- 26 -'!D46</f>
        <v>36.370625396931509</v>
      </c>
      <c r="E46" s="16">
        <f>SUM('- 37 -'!B46,'- 37 -'!E46,'- 37 -'!H46,B46)</f>
        <v>6427889</v>
      </c>
      <c r="F46" s="267">
        <f>E46/'- 3 -'!D46*100</f>
        <v>1.5401097335154439</v>
      </c>
      <c r="G46" s="16">
        <f>E46/'- 7 -'!E46</f>
        <v>214.85740548851822</v>
      </c>
    </row>
    <row r="47" spans="1:7" ht="5.0999999999999996" customHeight="1" x14ac:dyDescent="0.2">
      <c r="A47"/>
      <c r="B47"/>
      <c r="C47"/>
      <c r="D47"/>
      <c r="E47"/>
      <c r="F47"/>
      <c r="G47"/>
    </row>
    <row r="48" spans="1:7" ht="14.1" customHeight="1" x14ac:dyDescent="0.2">
      <c r="A48" s="274" t="s">
        <v>143</v>
      </c>
      <c r="B48" s="275">
        <f>SUM(B11:B46)</f>
        <v>7985040</v>
      </c>
      <c r="C48" s="276">
        <f>'- 26 -'!C48</f>
        <v>0.3218771974382702</v>
      </c>
      <c r="D48" s="275">
        <f>'- 26 -'!D48</f>
        <v>43.829198168459165</v>
      </c>
      <c r="E48" s="275">
        <f>SUM(E11:E46)</f>
        <v>58487398</v>
      </c>
      <c r="F48" s="276">
        <f>E48/'- 3 -'!D48*100</f>
        <v>2.3576287349464362</v>
      </c>
      <c r="G48" s="275">
        <f>E48/'- 7 -'!E48</f>
        <v>321.03230006356165</v>
      </c>
    </row>
    <row r="49" spans="1:8" ht="5.0999999999999996" customHeight="1" x14ac:dyDescent="0.2">
      <c r="A49" s="17" t="s">
        <v>1</v>
      </c>
      <c r="B49" s="18"/>
      <c r="C49" s="266"/>
      <c r="D49" s="18"/>
      <c r="E49" s="18"/>
      <c r="F49" s="266"/>
    </row>
    <row r="50" spans="1:8" ht="14.1" customHeight="1" x14ac:dyDescent="0.2">
      <c r="A50" s="15" t="s">
        <v>144</v>
      </c>
      <c r="B50" s="16">
        <f>'- 26 -'!B50</f>
        <v>9000</v>
      </c>
      <c r="C50" s="267">
        <f>'- 26 -'!C50</f>
        <v>0.25082612370800161</v>
      </c>
      <c r="D50" s="16">
        <f>'- 26 -'!D50</f>
        <v>52.325581395348834</v>
      </c>
      <c r="E50" s="16">
        <f>SUM('- 37 -'!B50,'- 37 -'!E50,'- 37 -'!H50,B50)</f>
        <v>59000</v>
      </c>
      <c r="F50" s="267">
        <f>E50/'- 3 -'!D50*100</f>
        <v>1.644304588752455</v>
      </c>
      <c r="G50" s="16">
        <f>E50/'- 7 -'!E50</f>
        <v>343.02325581395348</v>
      </c>
    </row>
    <row r="51" spans="1:8" ht="14.1" customHeight="1" x14ac:dyDescent="0.2">
      <c r="A51" s="360" t="s">
        <v>513</v>
      </c>
      <c r="B51" s="272">
        <f>'- 26 -'!B51</f>
        <v>1598371</v>
      </c>
      <c r="C51" s="273">
        <f>'- 26 -'!C51</f>
        <v>4.5976083431076953</v>
      </c>
      <c r="D51" s="272">
        <f>'- 26 -'!D51</f>
        <v>900.94752268755997</v>
      </c>
      <c r="E51" s="272">
        <f>SUM('- 37 -'!B51,'- 37 -'!E51,'- 37 -'!H51,B51)</f>
        <v>2247566</v>
      </c>
      <c r="F51" s="273">
        <f>E51/'- 3 -'!D51*100</f>
        <v>6.4649747732442533</v>
      </c>
      <c r="G51" s="272">
        <f>E51/'- 7 -'!E51</f>
        <v>1266.876726227383</v>
      </c>
    </row>
    <row r="52" spans="1:8" ht="50.1" customHeight="1" x14ac:dyDescent="0.2">
      <c r="A52" s="19"/>
      <c r="B52" s="19"/>
      <c r="C52" s="19"/>
      <c r="D52" s="19"/>
      <c r="E52" s="19"/>
      <c r="F52" s="19"/>
      <c r="G52" s="19"/>
      <c r="H52" s="19"/>
    </row>
    <row r="53" spans="1:8" ht="15" customHeight="1" x14ac:dyDescent="0.2">
      <c r="A53" s="1" t="s">
        <v>335</v>
      </c>
    </row>
    <row r="54" spans="1:8" ht="12" customHeight="1" x14ac:dyDescent="0.2">
      <c r="A54" s="131" t="s">
        <v>539</v>
      </c>
      <c r="B54" s="127"/>
      <c r="C54" s="127"/>
      <c r="D54" s="127"/>
    </row>
  </sheetData>
  <mergeCells count="5">
    <mergeCell ref="B5:G5"/>
    <mergeCell ref="E7:G7"/>
    <mergeCell ref="D8:D9"/>
    <mergeCell ref="G8:G9"/>
    <mergeCell ref="B6: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B59"/>
  <sheetViews>
    <sheetView showGridLines="0" showZeros="0" workbookViewId="0"/>
  </sheetViews>
  <sheetFormatPr defaultColWidth="14.83203125" defaultRowHeight="12" x14ac:dyDescent="0.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9" width="14.83203125" style="1"/>
    <col min="10" max="10" width="0" style="1" hidden="1" customWidth="1"/>
    <col min="11" max="11" width="19.5" style="1" hidden="1" customWidth="1"/>
    <col min="12" max="12" width="0" style="1" hidden="1" customWidth="1"/>
    <col min="13" max="16384" width="14.83203125" style="1"/>
  </cols>
  <sheetData>
    <row r="1" spans="1:54" ht="6.95" customHeight="1" x14ac:dyDescent="0.2">
      <c r="A1" s="3"/>
    </row>
    <row r="2" spans="1:54" ht="15.95" customHeight="1" x14ac:dyDescent="0.2">
      <c r="A2" s="100" t="str">
        <f>IF(Lang=1,BA2,BB2)</f>
        <v xml:space="preserve">  SUMMARY OF OPERATING FUND REVENUE: 2020/2021 BUDGET</v>
      </c>
      <c r="B2" s="101"/>
      <c r="C2" s="101"/>
      <c r="D2" s="101"/>
      <c r="E2" s="101"/>
      <c r="F2" s="101"/>
      <c r="G2" s="101"/>
      <c r="H2" s="101"/>
      <c r="BA2" s="471" t="str">
        <f>"  SUMMARY"&amp;REPLACE(REVYEAR,1,8,"")</f>
        <v xml:space="preserve">  SUMMARY OF OPERATING FUND REVENUE: 2020/2021 BUDGET</v>
      </c>
      <c r="BB2" s="456" t="str">
        <f>"SOMMAIRE DES RECETTES DU FONDS DE FONCTIONNEMENT : BUDGET "&amp;YEAR&amp;" - "&amp;YEAR+1</f>
        <v>SOMMAIRE DES RECETTES DU FONDS DE FONCTIONNEMENT : BUDGET 2020 - 2021</v>
      </c>
    </row>
    <row r="3" spans="1:54" ht="15.95" customHeight="1" x14ac:dyDescent="0.2">
      <c r="A3" s="180"/>
    </row>
    <row r="4" spans="1:54" ht="15.95" customHeight="1" x14ac:dyDescent="0.2">
      <c r="B4" s="4"/>
      <c r="C4" s="84"/>
      <c r="D4" s="84"/>
      <c r="E4" s="4"/>
      <c r="F4" s="4"/>
      <c r="G4" s="4"/>
      <c r="H4" s="4"/>
    </row>
    <row r="5" spans="1:54" ht="15.95" customHeight="1" x14ac:dyDescent="0.2">
      <c r="B5" s="4"/>
      <c r="C5" s="4"/>
      <c r="D5" s="4"/>
      <c r="E5" s="4"/>
      <c r="F5" s="4"/>
      <c r="G5" s="4"/>
      <c r="H5" s="4"/>
    </row>
    <row r="6" spans="1:54" ht="15.95" customHeight="1" x14ac:dyDescent="0.2">
      <c r="B6" s="715" t="s">
        <v>49</v>
      </c>
      <c r="C6" s="716"/>
      <c r="D6" s="716"/>
      <c r="E6" s="717"/>
      <c r="F6" s="717"/>
      <c r="G6" s="717"/>
      <c r="H6" s="718"/>
    </row>
    <row r="7" spans="1:54" ht="15.95" customHeight="1" x14ac:dyDescent="0.2">
      <c r="B7" s="719" t="s">
        <v>52</v>
      </c>
      <c r="C7" s="720"/>
      <c r="D7" s="721"/>
      <c r="E7" s="623" t="s">
        <v>445</v>
      </c>
      <c r="F7" s="464" t="s">
        <v>1</v>
      </c>
      <c r="G7" s="608" t="s">
        <v>446</v>
      </c>
      <c r="H7" s="284" t="s">
        <v>1</v>
      </c>
    </row>
    <row r="8" spans="1:54" ht="15.95" customHeight="1" x14ac:dyDescent="0.2">
      <c r="A8" s="469"/>
      <c r="B8" s="722"/>
      <c r="C8" s="723"/>
      <c r="D8" s="724"/>
      <c r="E8" s="688"/>
      <c r="F8" s="725" t="s">
        <v>54</v>
      </c>
      <c r="G8" s="725"/>
      <c r="H8" s="313" t="s">
        <v>1</v>
      </c>
    </row>
    <row r="9" spans="1:54" ht="15.95" customHeight="1" x14ac:dyDescent="0.2">
      <c r="A9" s="93" t="s">
        <v>37</v>
      </c>
      <c r="B9" s="285" t="s">
        <v>306</v>
      </c>
      <c r="C9" s="285" t="s">
        <v>50</v>
      </c>
      <c r="D9" s="285" t="s">
        <v>51</v>
      </c>
      <c r="E9" s="625"/>
      <c r="F9" s="726"/>
      <c r="G9" s="609"/>
      <c r="H9" s="285" t="s">
        <v>19</v>
      </c>
      <c r="J9" s="128" t="s">
        <v>77</v>
      </c>
    </row>
    <row r="10" spans="1:54" ht="5.0999999999999996" customHeight="1" x14ac:dyDescent="0.2">
      <c r="A10" s="29"/>
      <c r="B10" s="182"/>
      <c r="C10" s="182"/>
      <c r="D10" s="182"/>
      <c r="E10" s="182"/>
      <c r="F10" s="182"/>
      <c r="G10" s="182"/>
      <c r="H10" s="182"/>
    </row>
    <row r="11" spans="1:54" ht="14.1" customHeight="1" x14ac:dyDescent="0.2">
      <c r="A11" s="271" t="s">
        <v>108</v>
      </c>
      <c r="B11" s="273">
        <f>'- 41 -'!I11</f>
        <v>64.185964973194032</v>
      </c>
      <c r="C11" s="273">
        <f>'- 42 -'!C11</f>
        <v>0</v>
      </c>
      <c r="D11" s="273">
        <f>'- 42 -'!E11</f>
        <v>35.194317161742511</v>
      </c>
      <c r="E11" s="273">
        <f>'- 42 -'!G11</f>
        <v>0.15700530063352536</v>
      </c>
      <c r="F11" s="273">
        <f>'- 42 -'!I11</f>
        <v>0</v>
      </c>
      <c r="G11" s="273">
        <f>'- 43 -'!C11</f>
        <v>6.2802120253410143E-2</v>
      </c>
      <c r="H11" s="273">
        <f>'- 43 -'!E11</f>
        <v>0.39991044417651866</v>
      </c>
      <c r="J11" s="337">
        <f>SUM(B11:H11)</f>
        <v>100</v>
      </c>
      <c r="K11" s="1" t="s">
        <v>53</v>
      </c>
      <c r="L11" s="337">
        <f>B48</f>
        <v>57.849337559177805</v>
      </c>
    </row>
    <row r="12" spans="1:54" ht="14.1" customHeight="1" x14ac:dyDescent="0.2">
      <c r="A12" s="15" t="s">
        <v>109</v>
      </c>
      <c r="B12" s="267">
        <f>'- 41 -'!I12</f>
        <v>58.04416894758424</v>
      </c>
      <c r="C12" s="267">
        <f>'- 42 -'!C12</f>
        <v>0</v>
      </c>
      <c r="D12" s="267">
        <f>'- 42 -'!E12</f>
        <v>36.341329552162527</v>
      </c>
      <c r="E12" s="267">
        <f>'- 42 -'!G12</f>
        <v>1.6097620013235447</v>
      </c>
      <c r="F12" s="267">
        <f>'- 42 -'!I12</f>
        <v>2.9413975835702466</v>
      </c>
      <c r="G12" s="267">
        <f>'- 43 -'!C12</f>
        <v>0.39611944535186699</v>
      </c>
      <c r="H12" s="267">
        <f>'- 43 -'!E12</f>
        <v>0.6672224700075774</v>
      </c>
      <c r="J12" s="337">
        <f t="shared" ref="J12:J46" si="0">SUM(B12:H12)</f>
        <v>100.00000000000001</v>
      </c>
      <c r="K12" s="1" t="s">
        <v>50</v>
      </c>
      <c r="L12" s="337">
        <f>C48</f>
        <v>0.23766603774731976</v>
      </c>
    </row>
    <row r="13" spans="1:54" ht="14.1" customHeight="1" x14ac:dyDescent="0.2">
      <c r="A13" s="271" t="s">
        <v>110</v>
      </c>
      <c r="B13" s="273">
        <f>'- 41 -'!I13</f>
        <v>60.491787675570471</v>
      </c>
      <c r="C13" s="273">
        <f>'- 42 -'!C13</f>
        <v>2.395725579849162E-2</v>
      </c>
      <c r="D13" s="273">
        <f>'- 42 -'!E13</f>
        <v>37.584203254101055</v>
      </c>
      <c r="E13" s="273">
        <f>'- 42 -'!G13</f>
        <v>0.41850911582868888</v>
      </c>
      <c r="F13" s="273">
        <f>'- 42 -'!I13</f>
        <v>0.33456586295335389</v>
      </c>
      <c r="G13" s="273">
        <f>'- 43 -'!C13</f>
        <v>0.86441121793859899</v>
      </c>
      <c r="H13" s="273">
        <f>'- 43 -'!E13</f>
        <v>0.28256561780934109</v>
      </c>
      <c r="J13" s="337">
        <f t="shared" si="0"/>
        <v>100</v>
      </c>
      <c r="K13" s="1" t="s">
        <v>51</v>
      </c>
      <c r="L13" s="337">
        <f>D48</f>
        <v>36.020517489680088</v>
      </c>
    </row>
    <row r="14" spans="1:54" ht="14.1" customHeight="1" x14ac:dyDescent="0.2">
      <c r="A14" s="15" t="s">
        <v>319</v>
      </c>
      <c r="B14" s="267">
        <f>'- 41 -'!I14</f>
        <v>68.894298075358279</v>
      </c>
      <c r="C14" s="267">
        <f>'- 42 -'!C14</f>
        <v>0.1809301277104704</v>
      </c>
      <c r="D14" s="267">
        <f>'- 42 -'!E14</f>
        <v>28.316775429305874</v>
      </c>
      <c r="E14" s="267">
        <f>'- 42 -'!G14</f>
        <v>2.5053730003298109</v>
      </c>
      <c r="F14" s="267">
        <f>'- 42 -'!I14</f>
        <v>0</v>
      </c>
      <c r="G14" s="267">
        <f>'- 43 -'!C14</f>
        <v>9.2361030566021032E-2</v>
      </c>
      <c r="H14" s="267">
        <f>'- 43 -'!E14</f>
        <v>1.0262336729557892E-2</v>
      </c>
      <c r="J14" s="337">
        <f t="shared" si="0"/>
        <v>100.00000000000001</v>
      </c>
      <c r="K14" s="1" t="s">
        <v>62</v>
      </c>
      <c r="L14" s="337">
        <f>E48</f>
        <v>0.53538846768226167</v>
      </c>
    </row>
    <row r="15" spans="1:54" ht="14.1" customHeight="1" x14ac:dyDescent="0.2">
      <c r="A15" s="271" t="s">
        <v>111</v>
      </c>
      <c r="B15" s="273">
        <f>'- 41 -'!I15</f>
        <v>58.16208839010315</v>
      </c>
      <c r="C15" s="273">
        <f>'- 42 -'!C15</f>
        <v>0</v>
      </c>
      <c r="D15" s="273">
        <f>'- 42 -'!E15</f>
        <v>40.703609128647308</v>
      </c>
      <c r="E15" s="273">
        <f>'- 42 -'!G15</f>
        <v>0.23205860909360645</v>
      </c>
      <c r="F15" s="273">
        <f>'- 42 -'!I15</f>
        <v>0.60335238364337673</v>
      </c>
      <c r="G15" s="273">
        <f>'- 43 -'!C15</f>
        <v>0.29053737858519529</v>
      </c>
      <c r="H15" s="273">
        <f>'- 43 -'!E15</f>
        <v>8.3541099273698322E-3</v>
      </c>
      <c r="J15" s="337">
        <f t="shared" si="0"/>
        <v>100.00000000000003</v>
      </c>
      <c r="K15" s="1" t="s">
        <v>54</v>
      </c>
      <c r="L15" s="337">
        <f>F48</f>
        <v>4.2311944232785983</v>
      </c>
    </row>
    <row r="16" spans="1:54" ht="14.1" customHeight="1" x14ac:dyDescent="0.2">
      <c r="A16" s="15" t="s">
        <v>112</v>
      </c>
      <c r="B16" s="267">
        <f>'- 41 -'!I16</f>
        <v>72.449107355536952</v>
      </c>
      <c r="C16" s="267">
        <f>'- 42 -'!C16</f>
        <v>0</v>
      </c>
      <c r="D16" s="267">
        <f>'- 42 -'!E16</f>
        <v>24.412064781219854</v>
      </c>
      <c r="E16" s="267">
        <f>'- 42 -'!G16</f>
        <v>1.5845770305341262</v>
      </c>
      <c r="F16" s="267">
        <f>'- 42 -'!I16</f>
        <v>0</v>
      </c>
      <c r="G16" s="267">
        <f>'- 43 -'!C16</f>
        <v>1.102498034240986</v>
      </c>
      <c r="H16" s="267">
        <f>'- 43 -'!E16</f>
        <v>0.45175279846807559</v>
      </c>
      <c r="J16" s="337">
        <f t="shared" si="0"/>
        <v>99.999999999999986</v>
      </c>
      <c r="K16" s="1" t="s">
        <v>48</v>
      </c>
      <c r="L16" s="337">
        <f>G48</f>
        <v>0.87569392295423543</v>
      </c>
    </row>
    <row r="17" spans="1:12" ht="14.1" customHeight="1" x14ac:dyDescent="0.2">
      <c r="A17" s="271" t="s">
        <v>113</v>
      </c>
      <c r="B17" s="273">
        <f>'- 41 -'!I17</f>
        <v>50.620868364108084</v>
      </c>
      <c r="C17" s="273">
        <f>'- 42 -'!C17</f>
        <v>0</v>
      </c>
      <c r="D17" s="273">
        <f>'- 42 -'!E17</f>
        <v>44.320797450163987</v>
      </c>
      <c r="E17" s="273">
        <f>'- 42 -'!G17</f>
        <v>0.20510331947564386</v>
      </c>
      <c r="F17" s="273">
        <f>'- 42 -'!I17</f>
        <v>4.7390496368534718</v>
      </c>
      <c r="G17" s="273">
        <f>'- 43 -'!C17</f>
        <v>0</v>
      </c>
      <c r="H17" s="273">
        <f>'- 43 -'!E17</f>
        <v>0.11418122939881203</v>
      </c>
      <c r="J17" s="337">
        <f t="shared" si="0"/>
        <v>99.999999999999986</v>
      </c>
      <c r="K17" s="131" t="s">
        <v>19</v>
      </c>
      <c r="L17" s="337">
        <f>H48</f>
        <v>0.25020209947969319</v>
      </c>
    </row>
    <row r="18" spans="1:12" ht="14.1" customHeight="1" x14ac:dyDescent="0.2">
      <c r="A18" s="15" t="s">
        <v>114</v>
      </c>
      <c r="B18" s="267">
        <f>'- 41 -'!I18</f>
        <v>34.017043283312951</v>
      </c>
      <c r="C18" s="267">
        <f>'- 42 -'!C18</f>
        <v>0</v>
      </c>
      <c r="D18" s="267">
        <f>'- 42 -'!E18</f>
        <v>2.2687117296827983</v>
      </c>
      <c r="E18" s="267">
        <f>'- 42 -'!G18</f>
        <v>0</v>
      </c>
      <c r="F18" s="267">
        <f>'- 42 -'!I18</f>
        <v>60.023114230927142</v>
      </c>
      <c r="G18" s="267">
        <f>'- 43 -'!C18</f>
        <v>3.4180131663433024</v>
      </c>
      <c r="H18" s="267">
        <f>'- 43 -'!E18</f>
        <v>0.27311758973381378</v>
      </c>
      <c r="J18" s="337">
        <f t="shared" si="0"/>
        <v>100</v>
      </c>
      <c r="L18" s="337"/>
    </row>
    <row r="19" spans="1:12" ht="14.1" customHeight="1" x14ac:dyDescent="0.2">
      <c r="A19" s="271" t="s">
        <v>115</v>
      </c>
      <c r="B19" s="273">
        <f>'- 41 -'!I19</f>
        <v>65.851123325711995</v>
      </c>
      <c r="C19" s="273">
        <f>'- 42 -'!C19</f>
        <v>0</v>
      </c>
      <c r="D19" s="273">
        <f>'- 42 -'!E19</f>
        <v>32.663223243584298</v>
      </c>
      <c r="E19" s="273">
        <f>'- 42 -'!G19</f>
        <v>0.66564991375685367</v>
      </c>
      <c r="F19" s="273">
        <f>'- 42 -'!I19</f>
        <v>0</v>
      </c>
      <c r="G19" s="273">
        <f>'- 43 -'!C19</f>
        <v>2.1223620438624319E-2</v>
      </c>
      <c r="H19" s="273">
        <f>'- 43 -'!E19</f>
        <v>0.79877989650822445</v>
      </c>
      <c r="J19" s="337">
        <f t="shared" si="0"/>
        <v>99.999999999999986</v>
      </c>
      <c r="L19" s="337">
        <f>SUM(L11:L17)</f>
        <v>100</v>
      </c>
    </row>
    <row r="20" spans="1:12" ht="14.1" customHeight="1" x14ac:dyDescent="0.2">
      <c r="A20" s="15" t="s">
        <v>116</v>
      </c>
      <c r="B20" s="267">
        <f>'- 41 -'!I20</f>
        <v>68.892894868575112</v>
      </c>
      <c r="C20" s="267">
        <f>'- 42 -'!C20</f>
        <v>0</v>
      </c>
      <c r="D20" s="267">
        <f>'- 42 -'!E20</f>
        <v>30.356044569072303</v>
      </c>
      <c r="E20" s="267">
        <f>'- 42 -'!G20</f>
        <v>7.3178802328146483E-2</v>
      </c>
      <c r="F20" s="267">
        <f>'- 42 -'!I20</f>
        <v>0</v>
      </c>
      <c r="G20" s="267">
        <f>'- 43 -'!C20</f>
        <v>0.49422205630313421</v>
      </c>
      <c r="H20" s="267">
        <f>'- 43 -'!E20</f>
        <v>0.18365970372130119</v>
      </c>
      <c r="J20" s="337">
        <f t="shared" si="0"/>
        <v>99.999999999999986</v>
      </c>
    </row>
    <row r="21" spans="1:12" ht="14.1" customHeight="1" x14ac:dyDescent="0.2">
      <c r="A21" s="271" t="s">
        <v>117</v>
      </c>
      <c r="B21" s="273">
        <f>'- 41 -'!I21</f>
        <v>56.248135156048498</v>
      </c>
      <c r="C21" s="273">
        <f>'- 42 -'!C21</f>
        <v>0</v>
      </c>
      <c r="D21" s="273">
        <f>'- 42 -'!E21</f>
        <v>42.841630126386384</v>
      </c>
      <c r="E21" s="273">
        <f>'- 42 -'!G21</f>
        <v>6.4482847562548365E-2</v>
      </c>
      <c r="F21" s="273">
        <f>'- 42 -'!I21</f>
        <v>0</v>
      </c>
      <c r="G21" s="273">
        <f>'- 43 -'!C21</f>
        <v>0.51147794686613357</v>
      </c>
      <c r="H21" s="273">
        <f>'- 43 -'!E21</f>
        <v>0.33427392313644572</v>
      </c>
      <c r="J21" s="337">
        <f t="shared" si="0"/>
        <v>100.00000000000001</v>
      </c>
    </row>
    <row r="22" spans="1:12" ht="14.1" customHeight="1" x14ac:dyDescent="0.2">
      <c r="A22" s="15" t="s">
        <v>118</v>
      </c>
      <c r="B22" s="267">
        <f>'- 41 -'!I22</f>
        <v>82.548039714898707</v>
      </c>
      <c r="C22" s="267">
        <f>'- 42 -'!C22</f>
        <v>0.12699389574533818</v>
      </c>
      <c r="D22" s="267">
        <f>'- 42 -'!E22</f>
        <v>16.462873212469333</v>
      </c>
      <c r="E22" s="267">
        <f>'- 42 -'!G22</f>
        <v>2.4421903027949648E-2</v>
      </c>
      <c r="F22" s="267">
        <f>'- 42 -'!I22</f>
        <v>0.39075044844719437</v>
      </c>
      <c r="G22" s="267">
        <f>'- 43 -'!C22</f>
        <v>0</v>
      </c>
      <c r="H22" s="267">
        <f>'- 43 -'!E22</f>
        <v>0.44692082541147854</v>
      </c>
      <c r="J22" s="337">
        <f t="shared" si="0"/>
        <v>100.00000000000001</v>
      </c>
    </row>
    <row r="23" spans="1:12" ht="14.1" customHeight="1" x14ac:dyDescent="0.2">
      <c r="A23" s="271" t="s">
        <v>119</v>
      </c>
      <c r="B23" s="273">
        <f>'- 41 -'!I23</f>
        <v>70.109032589988303</v>
      </c>
      <c r="C23" s="273">
        <f>'- 42 -'!C23</f>
        <v>1.5451684231528782</v>
      </c>
      <c r="D23" s="273">
        <f>'- 42 -'!E23</f>
        <v>24.666930210086729</v>
      </c>
      <c r="E23" s="273">
        <f>'- 42 -'!G23</f>
        <v>0.34207571043527457</v>
      </c>
      <c r="F23" s="273">
        <f>'- 42 -'!I23</f>
        <v>1.5548895928876114</v>
      </c>
      <c r="G23" s="273">
        <f>'- 43 -'!C23</f>
        <v>1.489584229986332</v>
      </c>
      <c r="H23" s="273">
        <f>'- 43 -'!E23</f>
        <v>0.29231924346287103</v>
      </c>
      <c r="J23" s="337">
        <f t="shared" si="0"/>
        <v>100</v>
      </c>
    </row>
    <row r="24" spans="1:12" ht="14.1" customHeight="1" x14ac:dyDescent="0.2">
      <c r="A24" s="15" t="s">
        <v>120</v>
      </c>
      <c r="B24" s="267">
        <f>'- 41 -'!I24</f>
        <v>54.487418017368292</v>
      </c>
      <c r="C24" s="267">
        <f>'- 42 -'!C24</f>
        <v>0</v>
      </c>
      <c r="D24" s="267">
        <f>'- 42 -'!E24</f>
        <v>43.506788421589029</v>
      </c>
      <c r="E24" s="267">
        <f>'- 42 -'!G24</f>
        <v>0.26944525479978604</v>
      </c>
      <c r="F24" s="267">
        <f>'- 42 -'!I24</f>
        <v>0.82466067989940761</v>
      </c>
      <c r="G24" s="267">
        <f>'- 43 -'!C24</f>
        <v>0.64121575314627399</v>
      </c>
      <c r="H24" s="267">
        <f>'- 43 -'!E24</f>
        <v>0.27047187319721178</v>
      </c>
      <c r="J24" s="337">
        <f t="shared" si="0"/>
        <v>100</v>
      </c>
    </row>
    <row r="25" spans="1:12" ht="14.1" customHeight="1" x14ac:dyDescent="0.2">
      <c r="A25" s="271" t="s">
        <v>121</v>
      </c>
      <c r="B25" s="273">
        <f>'- 41 -'!I25</f>
        <v>57.254816643678765</v>
      </c>
      <c r="C25" s="273">
        <f>'- 42 -'!C25</f>
        <v>0</v>
      </c>
      <c r="D25" s="273">
        <f>'- 42 -'!E25</f>
        <v>40.910160217092134</v>
      </c>
      <c r="E25" s="273">
        <f>'- 42 -'!G25</f>
        <v>0.27997201745860706</v>
      </c>
      <c r="F25" s="273">
        <f>'- 42 -'!I25</f>
        <v>0</v>
      </c>
      <c r="G25" s="273">
        <f>'- 43 -'!C25</f>
        <v>1.5041471185962076</v>
      </c>
      <c r="H25" s="273">
        <f>'- 43 -'!E25</f>
        <v>5.0904003174292188E-2</v>
      </c>
      <c r="J25" s="337">
        <f t="shared" si="0"/>
        <v>100.00000000000001</v>
      </c>
    </row>
    <row r="26" spans="1:12" ht="14.1" customHeight="1" x14ac:dyDescent="0.2">
      <c r="A26" s="15" t="s">
        <v>122</v>
      </c>
      <c r="B26" s="267">
        <f>'- 41 -'!I26</f>
        <v>62.750224116989273</v>
      </c>
      <c r="C26" s="267">
        <f>'- 42 -'!C26</f>
        <v>4.6455492364839007E-2</v>
      </c>
      <c r="D26" s="267">
        <f>'- 42 -'!E26</f>
        <v>32.586624170609269</v>
      </c>
      <c r="E26" s="267">
        <f>'- 42 -'!G26</f>
        <v>1.0385971546393993</v>
      </c>
      <c r="F26" s="267">
        <f>'- 42 -'!I26</f>
        <v>1.8582475539592964</v>
      </c>
      <c r="G26" s="267">
        <f>'- 43 -'!C26</f>
        <v>1.209096472943936</v>
      </c>
      <c r="H26" s="267">
        <f>'- 43 -'!E26</f>
        <v>0.51075503849398207</v>
      </c>
      <c r="J26" s="337">
        <f t="shared" si="0"/>
        <v>100.00000000000001</v>
      </c>
    </row>
    <row r="27" spans="1:12" ht="14.1" customHeight="1" x14ac:dyDescent="0.2">
      <c r="A27" s="271" t="s">
        <v>123</v>
      </c>
      <c r="B27" s="273">
        <f>'- 41 -'!I27</f>
        <v>81.581796701643825</v>
      </c>
      <c r="C27" s="273">
        <f>'- 42 -'!C27</f>
        <v>0</v>
      </c>
      <c r="D27" s="273">
        <f>'- 42 -'!E27</f>
        <v>16.630170634841758</v>
      </c>
      <c r="E27" s="273">
        <f>'- 42 -'!G27</f>
        <v>0.31532907847739594</v>
      </c>
      <c r="F27" s="273">
        <f>'- 42 -'!I27</f>
        <v>0.70073128550532437</v>
      </c>
      <c r="G27" s="273">
        <f>'- 43 -'!C27</f>
        <v>0.58744639434863022</v>
      </c>
      <c r="H27" s="273">
        <f>'- 43 -'!E27</f>
        <v>0.18452590518306874</v>
      </c>
      <c r="J27" s="337">
        <f t="shared" si="0"/>
        <v>100</v>
      </c>
    </row>
    <row r="28" spans="1:12" ht="14.1" customHeight="1" x14ac:dyDescent="0.2">
      <c r="A28" s="15" t="s">
        <v>124</v>
      </c>
      <c r="B28" s="267">
        <f>'- 41 -'!I28</f>
        <v>44.66218742561388</v>
      </c>
      <c r="C28" s="267">
        <f>'- 42 -'!C28</f>
        <v>0</v>
      </c>
      <c r="D28" s="267">
        <f>'- 42 -'!E28</f>
        <v>28.984905496989011</v>
      </c>
      <c r="E28" s="267">
        <f>'- 42 -'!G28</f>
        <v>0.22506680126759271</v>
      </c>
      <c r="F28" s="267">
        <f>'- 42 -'!I28</f>
        <v>26.062653245274575</v>
      </c>
      <c r="G28" s="267">
        <f>'- 43 -'!C28</f>
        <v>4.8032549051010634E-2</v>
      </c>
      <c r="H28" s="267">
        <f>'- 43 -'!E28</f>
        <v>1.7154481803932371E-2</v>
      </c>
      <c r="J28" s="337">
        <f t="shared" si="0"/>
        <v>100</v>
      </c>
    </row>
    <row r="29" spans="1:12" ht="14.1" customHeight="1" x14ac:dyDescent="0.2">
      <c r="A29" s="271" t="s">
        <v>125</v>
      </c>
      <c r="B29" s="273">
        <f>'- 41 -'!I29</f>
        <v>48.61417163188873</v>
      </c>
      <c r="C29" s="273">
        <f>'- 42 -'!C29</f>
        <v>0</v>
      </c>
      <c r="D29" s="273">
        <f>'- 42 -'!E29</f>
        <v>49.142711984448653</v>
      </c>
      <c r="E29" s="273">
        <f>'- 42 -'!G29</f>
        <v>0.28785580797723614</v>
      </c>
      <c r="F29" s="273">
        <f>'- 42 -'!I29</f>
        <v>0</v>
      </c>
      <c r="G29" s="273">
        <f>'- 43 -'!C29</f>
        <v>1.8046898453588225</v>
      </c>
      <c r="H29" s="273">
        <f>'- 43 -'!E29</f>
        <v>0.15057073032655433</v>
      </c>
      <c r="J29" s="337">
        <f t="shared" si="0"/>
        <v>99.999999999999986</v>
      </c>
    </row>
    <row r="30" spans="1:12" ht="14.1" customHeight="1" x14ac:dyDescent="0.2">
      <c r="A30" s="15" t="s">
        <v>126</v>
      </c>
      <c r="B30" s="267">
        <f>'- 41 -'!I30</f>
        <v>55.7509125522784</v>
      </c>
      <c r="C30" s="267">
        <f>'- 42 -'!C30</f>
        <v>0</v>
      </c>
      <c r="D30" s="267">
        <f>'- 42 -'!E30</f>
        <v>43.636409015608272</v>
      </c>
      <c r="E30" s="267">
        <f>'- 42 -'!G30</f>
        <v>0.29021609942210236</v>
      </c>
      <c r="F30" s="267">
        <f>'- 42 -'!I30</f>
        <v>0</v>
      </c>
      <c r="G30" s="267">
        <f>'- 43 -'!C30</f>
        <v>0</v>
      </c>
      <c r="H30" s="267">
        <f>'- 43 -'!E30</f>
        <v>0.32246233269122482</v>
      </c>
      <c r="J30" s="337">
        <f t="shared" si="0"/>
        <v>100</v>
      </c>
    </row>
    <row r="31" spans="1:12" ht="14.1" customHeight="1" x14ac:dyDescent="0.2">
      <c r="A31" s="271" t="s">
        <v>127</v>
      </c>
      <c r="B31" s="273">
        <f>'- 41 -'!I31</f>
        <v>56.036314339580152</v>
      </c>
      <c r="C31" s="273">
        <f>'- 42 -'!C31</f>
        <v>0</v>
      </c>
      <c r="D31" s="273">
        <f>'- 42 -'!E31</f>
        <v>38.234923917730526</v>
      </c>
      <c r="E31" s="273">
        <f>'- 42 -'!G31</f>
        <v>0.43620013269208036</v>
      </c>
      <c r="F31" s="273">
        <f>'- 42 -'!I31</f>
        <v>5.2101682515998489</v>
      </c>
      <c r="G31" s="273">
        <f>'- 43 -'!C31</f>
        <v>1.4540004423069344E-2</v>
      </c>
      <c r="H31" s="273">
        <f>'- 43 -'!E31</f>
        <v>6.7853353974323613E-2</v>
      </c>
      <c r="J31" s="337">
        <f t="shared" si="0"/>
        <v>100</v>
      </c>
    </row>
    <row r="32" spans="1:12" ht="14.1" customHeight="1" x14ac:dyDescent="0.2">
      <c r="A32" s="15" t="s">
        <v>128</v>
      </c>
      <c r="B32" s="267">
        <f>'- 41 -'!I32</f>
        <v>52.261146397823552</v>
      </c>
      <c r="C32" s="267">
        <f>'- 42 -'!C32</f>
        <v>0</v>
      </c>
      <c r="D32" s="267">
        <f>'- 42 -'!E32</f>
        <v>47.08721223031737</v>
      </c>
      <c r="E32" s="267">
        <f>'- 42 -'!G32</f>
        <v>0.36475423589094141</v>
      </c>
      <c r="F32" s="267">
        <f>'- 42 -'!I32</f>
        <v>0</v>
      </c>
      <c r="G32" s="267">
        <f>'- 43 -'!C32</f>
        <v>1.2687103857076222E-2</v>
      </c>
      <c r="H32" s="267">
        <f>'- 43 -'!E32</f>
        <v>0.27420003211105987</v>
      </c>
      <c r="J32" s="337">
        <f t="shared" si="0"/>
        <v>99.999999999999986</v>
      </c>
    </row>
    <row r="33" spans="1:10" ht="14.1" customHeight="1" x14ac:dyDescent="0.2">
      <c r="A33" s="271" t="s">
        <v>129</v>
      </c>
      <c r="B33" s="273">
        <f>'- 41 -'!I33</f>
        <v>56.653406850481623</v>
      </c>
      <c r="C33" s="273">
        <f>'- 42 -'!C33</f>
        <v>0</v>
      </c>
      <c r="D33" s="273">
        <f>'- 42 -'!E33</f>
        <v>41.5438021266514</v>
      </c>
      <c r="E33" s="273">
        <f>'- 42 -'!G33</f>
        <v>0.13806555794501013</v>
      </c>
      <c r="F33" s="273">
        <f>'- 42 -'!I33</f>
        <v>0.79387695818380832</v>
      </c>
      <c r="G33" s="273">
        <f>'- 43 -'!C33</f>
        <v>0.54363313440847749</v>
      </c>
      <c r="H33" s="273">
        <f>'- 43 -'!E33</f>
        <v>0.32721537232967407</v>
      </c>
      <c r="J33" s="337">
        <f t="shared" si="0"/>
        <v>99.999999999999986</v>
      </c>
    </row>
    <row r="34" spans="1:10" ht="14.1" customHeight="1" x14ac:dyDescent="0.2">
      <c r="A34" s="15" t="s">
        <v>130</v>
      </c>
      <c r="B34" s="267">
        <f>'- 41 -'!I34</f>
        <v>47.067301501510158</v>
      </c>
      <c r="C34" s="267">
        <f>'- 42 -'!C34</f>
        <v>6.4216308749446865E-2</v>
      </c>
      <c r="D34" s="267">
        <f>'- 42 -'!E34</f>
        <v>46.999212361393568</v>
      </c>
      <c r="E34" s="267">
        <f>'- 42 -'!G34</f>
        <v>5.3526377891093047</v>
      </c>
      <c r="F34" s="267">
        <f>'- 42 -'!I34</f>
        <v>0</v>
      </c>
      <c r="G34" s="267">
        <f>'- 43 -'!C34</f>
        <v>0.42210196761824292</v>
      </c>
      <c r="H34" s="267">
        <f>'- 43 -'!E34</f>
        <v>9.4530071619280884E-2</v>
      </c>
      <c r="J34" s="337">
        <f t="shared" si="0"/>
        <v>100</v>
      </c>
    </row>
    <row r="35" spans="1:10" ht="14.1" customHeight="1" x14ac:dyDescent="0.2">
      <c r="A35" s="271" t="s">
        <v>131</v>
      </c>
      <c r="B35" s="273">
        <f>'- 41 -'!I35</f>
        <v>64.119881167090526</v>
      </c>
      <c r="C35" s="273">
        <f>'- 42 -'!C35</f>
        <v>0</v>
      </c>
      <c r="D35" s="273">
        <f>'- 42 -'!E35</f>
        <v>35.314555174471344</v>
      </c>
      <c r="E35" s="273">
        <f>'- 42 -'!G35</f>
        <v>0.10790326254698636</v>
      </c>
      <c r="F35" s="273">
        <f>'- 42 -'!I35</f>
        <v>0</v>
      </c>
      <c r="G35" s="273">
        <f>'- 43 -'!C35</f>
        <v>0.24090030708164395</v>
      </c>
      <c r="H35" s="273">
        <f>'- 43 -'!E35</f>
        <v>0.2167600888095042</v>
      </c>
      <c r="J35" s="337">
        <f t="shared" si="0"/>
        <v>100.00000000000001</v>
      </c>
    </row>
    <row r="36" spans="1:10" ht="14.1" customHeight="1" x14ac:dyDescent="0.2">
      <c r="A36" s="15" t="s">
        <v>132</v>
      </c>
      <c r="B36" s="267">
        <f>'- 41 -'!I36</f>
        <v>52.868304043055183</v>
      </c>
      <c r="C36" s="267">
        <f>'- 42 -'!C36</f>
        <v>0</v>
      </c>
      <c r="D36" s="267">
        <f>'- 42 -'!E36</f>
        <v>41.558222982996412</v>
      </c>
      <c r="E36" s="267">
        <f>'- 42 -'!G36</f>
        <v>0.21027777086961383</v>
      </c>
      <c r="F36" s="267">
        <f>'- 42 -'!I36</f>
        <v>4.9483009859398983</v>
      </c>
      <c r="G36" s="267">
        <f>'- 43 -'!C36</f>
        <v>0.16013461012378286</v>
      </c>
      <c r="H36" s="267">
        <f>'- 43 -'!E36</f>
        <v>0.25475960701510908</v>
      </c>
      <c r="J36" s="337">
        <f t="shared" si="0"/>
        <v>99.999999999999972</v>
      </c>
    </row>
    <row r="37" spans="1:10" ht="14.1" customHeight="1" x14ac:dyDescent="0.2">
      <c r="A37" s="271" t="s">
        <v>133</v>
      </c>
      <c r="B37" s="273">
        <f>'- 41 -'!I37</f>
        <v>66.956170197588989</v>
      </c>
      <c r="C37" s="273">
        <f>'- 42 -'!C37</f>
        <v>2.6749411512946717E-2</v>
      </c>
      <c r="D37" s="273">
        <f>'- 42 -'!E37</f>
        <v>32.471392396033956</v>
      </c>
      <c r="E37" s="273">
        <f>'- 42 -'!G37</f>
        <v>0.44582352521577856</v>
      </c>
      <c r="F37" s="273">
        <f>'- 42 -'!I37</f>
        <v>0</v>
      </c>
      <c r="G37" s="273">
        <f>'- 43 -'!C37</f>
        <v>0</v>
      </c>
      <c r="H37" s="273">
        <f>'- 43 -'!E37</f>
        <v>9.9864469648334397E-2</v>
      </c>
      <c r="J37" s="337">
        <f t="shared" si="0"/>
        <v>100.00000000000001</v>
      </c>
    </row>
    <row r="38" spans="1:10" ht="14.1" customHeight="1" x14ac:dyDescent="0.2">
      <c r="A38" s="15" t="s">
        <v>134</v>
      </c>
      <c r="B38" s="267">
        <f>'- 41 -'!I38</f>
        <v>64.647326803364365</v>
      </c>
      <c r="C38" s="267">
        <f>'- 42 -'!C38</f>
        <v>1.1173851547677531</v>
      </c>
      <c r="D38" s="267">
        <f>'- 42 -'!E38</f>
        <v>31.787292059780654</v>
      </c>
      <c r="E38" s="267">
        <f>'- 42 -'!G38</f>
        <v>0.90377215129404043</v>
      </c>
      <c r="F38" s="267">
        <f>'- 42 -'!I38</f>
        <v>0.47125262174617821</v>
      </c>
      <c r="G38" s="267">
        <f>'- 43 -'!C38</f>
        <v>1.0652245906073543</v>
      </c>
      <c r="H38" s="267">
        <f>'- 43 -'!E38</f>
        <v>7.7466184396632028E-3</v>
      </c>
      <c r="J38" s="337">
        <f t="shared" si="0"/>
        <v>100.00000000000001</v>
      </c>
    </row>
    <row r="39" spans="1:10" ht="14.1" customHeight="1" x14ac:dyDescent="0.2">
      <c r="A39" s="271" t="s">
        <v>135</v>
      </c>
      <c r="B39" s="273">
        <f>'- 41 -'!I39</f>
        <v>48.404753487040921</v>
      </c>
      <c r="C39" s="273">
        <f>'- 42 -'!C39</f>
        <v>0</v>
      </c>
      <c r="D39" s="273">
        <f>'- 42 -'!E39</f>
        <v>50.922123454295985</v>
      </c>
      <c r="E39" s="273">
        <f>'- 42 -'!G39</f>
        <v>0.42088604931100954</v>
      </c>
      <c r="F39" s="273">
        <f>'- 42 -'!I39</f>
        <v>0</v>
      </c>
      <c r="G39" s="273">
        <f>'- 43 -'!C39</f>
        <v>0</v>
      </c>
      <c r="H39" s="273">
        <f>'- 43 -'!E39</f>
        <v>0.25223700935208804</v>
      </c>
      <c r="J39" s="337">
        <f t="shared" si="0"/>
        <v>100</v>
      </c>
    </row>
    <row r="40" spans="1:10" ht="14.1" customHeight="1" x14ac:dyDescent="0.2">
      <c r="A40" s="15" t="s">
        <v>136</v>
      </c>
      <c r="B40" s="267">
        <f>'- 41 -'!I40</f>
        <v>49.254066108444682</v>
      </c>
      <c r="C40" s="267">
        <f>'- 42 -'!C40</f>
        <v>3.5598352804501222E-3</v>
      </c>
      <c r="D40" s="267">
        <f>'- 42 -'!E40</f>
        <v>47.453862368563961</v>
      </c>
      <c r="E40" s="267">
        <f>'- 42 -'!G40</f>
        <v>0.43944208539155327</v>
      </c>
      <c r="F40" s="267">
        <f>'- 42 -'!I40</f>
        <v>0.20377354766140574</v>
      </c>
      <c r="G40" s="267">
        <f>'- 43 -'!C40</f>
        <v>1.8482632881106968</v>
      </c>
      <c r="H40" s="267">
        <f>'- 43 -'!E40</f>
        <v>0.79703276654725153</v>
      </c>
      <c r="J40" s="337">
        <f t="shared" si="0"/>
        <v>99.999999999999986</v>
      </c>
    </row>
    <row r="41" spans="1:10" ht="14.1" customHeight="1" x14ac:dyDescent="0.2">
      <c r="A41" s="271" t="s">
        <v>137</v>
      </c>
      <c r="B41" s="273">
        <f>'- 41 -'!I41</f>
        <v>54.234147374842621</v>
      </c>
      <c r="C41" s="273">
        <f>'- 42 -'!C41</f>
        <v>0</v>
      </c>
      <c r="D41" s="273">
        <f>'- 42 -'!E41</f>
        <v>45.078406200076365</v>
      </c>
      <c r="E41" s="273">
        <f>'- 42 -'!G41</f>
        <v>0.10900801180495472</v>
      </c>
      <c r="F41" s="273">
        <f>'- 42 -'!I41</f>
        <v>0.35692079665972781</v>
      </c>
      <c r="G41" s="273">
        <f>'- 43 -'!C41</f>
        <v>0</v>
      </c>
      <c r="H41" s="273">
        <f>'- 43 -'!E41</f>
        <v>0.22151761661633279</v>
      </c>
      <c r="J41" s="337">
        <f t="shared" si="0"/>
        <v>100</v>
      </c>
    </row>
    <row r="42" spans="1:10" ht="14.1" customHeight="1" x14ac:dyDescent="0.2">
      <c r="A42" s="15" t="s">
        <v>138</v>
      </c>
      <c r="B42" s="267">
        <f>'- 41 -'!I42</f>
        <v>65.802847455853595</v>
      </c>
      <c r="C42" s="267">
        <f>'- 42 -'!C42</f>
        <v>0</v>
      </c>
      <c r="D42" s="267">
        <f>'- 42 -'!E42</f>
        <v>30.84506226415623</v>
      </c>
      <c r="E42" s="267">
        <f>'- 42 -'!G42</f>
        <v>5.6055958795133226E-2</v>
      </c>
      <c r="F42" s="267">
        <f>'- 42 -'!I42</f>
        <v>1.1447093918956164</v>
      </c>
      <c r="G42" s="267">
        <f>'- 43 -'!C42</f>
        <v>1.264061870830254</v>
      </c>
      <c r="H42" s="267">
        <f>'- 43 -'!E42</f>
        <v>0.88726305846916786</v>
      </c>
      <c r="J42" s="337">
        <f t="shared" si="0"/>
        <v>99.999999999999986</v>
      </c>
    </row>
    <row r="43" spans="1:10" ht="14.1" customHeight="1" x14ac:dyDescent="0.2">
      <c r="A43" s="271" t="s">
        <v>139</v>
      </c>
      <c r="B43" s="273">
        <f>'- 41 -'!I43</f>
        <v>53.862157778682196</v>
      </c>
      <c r="C43" s="273">
        <f>'- 42 -'!C43</f>
        <v>0</v>
      </c>
      <c r="D43" s="273">
        <f>'- 42 -'!E43</f>
        <v>45.590400924710224</v>
      </c>
      <c r="E43" s="273">
        <f>'- 42 -'!G43</f>
        <v>0.29221167093760836</v>
      </c>
      <c r="F43" s="273">
        <f>'- 42 -'!I43</f>
        <v>0</v>
      </c>
      <c r="G43" s="273">
        <f>'- 43 -'!C43</f>
        <v>9.9448002839387997E-2</v>
      </c>
      <c r="H43" s="273">
        <f>'- 43 -'!E43</f>
        <v>0.15578162283057712</v>
      </c>
      <c r="J43" s="337">
        <f t="shared" si="0"/>
        <v>99.999999999999972</v>
      </c>
    </row>
    <row r="44" spans="1:10" ht="14.1" customHeight="1" x14ac:dyDescent="0.2">
      <c r="A44" s="15" t="s">
        <v>140</v>
      </c>
      <c r="B44" s="267">
        <f>'- 41 -'!I44</f>
        <v>73.212591507101351</v>
      </c>
      <c r="C44" s="267">
        <f>'- 42 -'!C44</f>
        <v>0</v>
      </c>
      <c r="D44" s="267">
        <f>'- 42 -'!E44</f>
        <v>26.069585217564551</v>
      </c>
      <c r="E44" s="267">
        <f>'- 42 -'!G44</f>
        <v>0.50225677491266052</v>
      </c>
      <c r="F44" s="267">
        <f>'- 42 -'!I44</f>
        <v>0</v>
      </c>
      <c r="G44" s="267">
        <f>'- 43 -'!C44</f>
        <v>0</v>
      </c>
      <c r="H44" s="267">
        <f>'- 43 -'!E44</f>
        <v>0.2155665004214303</v>
      </c>
      <c r="J44" s="337">
        <f t="shared" si="0"/>
        <v>100</v>
      </c>
    </row>
    <row r="45" spans="1:10" ht="14.1" customHeight="1" x14ac:dyDescent="0.2">
      <c r="A45" s="271" t="s">
        <v>141</v>
      </c>
      <c r="B45" s="273">
        <f>'- 41 -'!I45</f>
        <v>65.408502757930876</v>
      </c>
      <c r="C45" s="273">
        <f>'- 42 -'!C45</f>
        <v>8.843773850552604E-2</v>
      </c>
      <c r="D45" s="273">
        <f>'- 42 -'!E45</f>
        <v>33.336786827021974</v>
      </c>
      <c r="E45" s="273">
        <f>'- 42 -'!G45</f>
        <v>0.24430925262151565</v>
      </c>
      <c r="F45" s="273">
        <f>'- 42 -'!I45</f>
        <v>0</v>
      </c>
      <c r="G45" s="273">
        <f>'- 43 -'!C45</f>
        <v>0.85077104442316043</v>
      </c>
      <c r="H45" s="273">
        <f>'- 43 -'!E45</f>
        <v>7.1192379496948455E-2</v>
      </c>
      <c r="J45" s="337">
        <f t="shared" si="0"/>
        <v>100.00000000000001</v>
      </c>
    </row>
    <row r="46" spans="1:10" ht="14.1" customHeight="1" x14ac:dyDescent="0.2">
      <c r="A46" s="15" t="s">
        <v>142</v>
      </c>
      <c r="B46" s="267">
        <f>'- 41 -'!I46</f>
        <v>57.54976678551936</v>
      </c>
      <c r="C46" s="267">
        <f>'- 42 -'!C46</f>
        <v>0.87747164972744751</v>
      </c>
      <c r="D46" s="267">
        <f>'- 42 -'!E46</f>
        <v>39.61210759084824</v>
      </c>
      <c r="E46" s="267">
        <f>'- 42 -'!G46</f>
        <v>0.56725472595547666</v>
      </c>
      <c r="F46" s="267">
        <f>'- 42 -'!I46</f>
        <v>0.53890860798482132</v>
      </c>
      <c r="G46" s="267">
        <f>'- 43 -'!C46</f>
        <v>0.55514708762630227</v>
      </c>
      <c r="H46" s="267">
        <f>'- 43 -'!E46</f>
        <v>0.29934355233835291</v>
      </c>
      <c r="J46" s="337">
        <f t="shared" si="0"/>
        <v>100</v>
      </c>
    </row>
    <row r="47" spans="1:10" ht="5.0999999999999996" customHeight="1" x14ac:dyDescent="0.2">
      <c r="A47"/>
      <c r="B47"/>
      <c r="C47"/>
      <c r="D47"/>
      <c r="E47"/>
      <c r="F47"/>
      <c r="G47"/>
      <c r="H47"/>
      <c r="J47" s="337"/>
    </row>
    <row r="48" spans="1:10" ht="14.1" customHeight="1" x14ac:dyDescent="0.2">
      <c r="A48" s="274" t="s">
        <v>143</v>
      </c>
      <c r="B48" s="276">
        <f>'- 41 -'!I48</f>
        <v>57.849337559177805</v>
      </c>
      <c r="C48" s="276">
        <f>'- 42 -'!C48</f>
        <v>0.23766603774731976</v>
      </c>
      <c r="D48" s="276">
        <f>'- 42 -'!E48</f>
        <v>36.020517489680088</v>
      </c>
      <c r="E48" s="276">
        <f>'- 42 -'!G48</f>
        <v>0.53538846768226167</v>
      </c>
      <c r="F48" s="276">
        <f>'- 42 -'!I48</f>
        <v>4.2311944232785983</v>
      </c>
      <c r="G48" s="276">
        <f>'- 43 -'!C48</f>
        <v>0.87569392295423543</v>
      </c>
      <c r="H48" s="276">
        <f>'- 43 -'!E48</f>
        <v>0.25020209947969319</v>
      </c>
      <c r="J48" s="337">
        <f>SUM(B48:H48)</f>
        <v>100</v>
      </c>
    </row>
    <row r="49" spans="1:10" ht="5.0999999999999996" customHeight="1" x14ac:dyDescent="0.2">
      <c r="A49" s="17" t="s">
        <v>1</v>
      </c>
      <c r="B49" s="266"/>
      <c r="C49" s="266"/>
      <c r="D49" s="266"/>
      <c r="E49" s="266"/>
      <c r="F49" s="266"/>
      <c r="G49" s="266"/>
      <c r="H49" s="266"/>
      <c r="J49" s="337"/>
    </row>
    <row r="50" spans="1:10" ht="14.1" customHeight="1" x14ac:dyDescent="0.2">
      <c r="A50" s="15" t="s">
        <v>144</v>
      </c>
      <c r="B50" s="267">
        <f>'- 41 -'!I50</f>
        <v>38.933536215017654</v>
      </c>
      <c r="C50" s="267">
        <f>'- 42 -'!C50</f>
        <v>0</v>
      </c>
      <c r="D50" s="267">
        <f>'- 42 -'!E50</f>
        <v>59.079726242666474</v>
      </c>
      <c r="E50" s="267">
        <f>'- 42 -'!G50</f>
        <v>0.90011668281799118</v>
      </c>
      <c r="F50" s="267">
        <f>'- 42 -'!I50</f>
        <v>0</v>
      </c>
      <c r="G50" s="267">
        <f>'- 43 -'!C50</f>
        <v>1.0866208594978788</v>
      </c>
      <c r="H50" s="267">
        <f>'- 43 -'!E50</f>
        <v>0</v>
      </c>
      <c r="J50" s="337">
        <f>SUM(B50:H50)</f>
        <v>100.00000000000001</v>
      </c>
    </row>
    <row r="51" spans="1:10" ht="14.1" customHeight="1" x14ac:dyDescent="0.2">
      <c r="A51" s="360" t="s">
        <v>513</v>
      </c>
      <c r="B51" s="273">
        <f>'- 41 -'!I51</f>
        <v>30.155068588831941</v>
      </c>
      <c r="C51" s="273">
        <f>'- 42 -'!C51</f>
        <v>7.3597819828379141</v>
      </c>
      <c r="D51" s="273">
        <f>'- 42 -'!E51</f>
        <v>0</v>
      </c>
      <c r="E51" s="273">
        <f>'- 42 -'!G51</f>
        <v>6.243507686085187</v>
      </c>
      <c r="F51" s="273">
        <f>'- 42 -'!I51</f>
        <v>0</v>
      </c>
      <c r="G51" s="273">
        <f>'- 43 -'!C51</f>
        <v>53.594073183424207</v>
      </c>
      <c r="H51" s="273">
        <f>'- 43 -'!E51</f>
        <v>2.6475685588207507</v>
      </c>
      <c r="J51" s="337">
        <f>SUM(B51:H51)</f>
        <v>100</v>
      </c>
    </row>
    <row r="52" spans="1:10" ht="50.1" customHeight="1" x14ac:dyDescent="0.2">
      <c r="A52" s="19"/>
      <c r="B52" s="19"/>
      <c r="C52" s="19"/>
      <c r="D52" s="19"/>
      <c r="E52" s="19"/>
      <c r="F52" s="19"/>
      <c r="G52" s="19"/>
      <c r="H52" s="19"/>
    </row>
    <row r="53" spans="1:10" ht="14.45" customHeight="1" x14ac:dyDescent="0.2">
      <c r="A53" s="713" t="s">
        <v>617</v>
      </c>
      <c r="B53" s="713"/>
      <c r="C53" s="713"/>
      <c r="D53" s="713"/>
      <c r="E53" s="713"/>
      <c r="F53" s="713"/>
      <c r="G53" s="713"/>
      <c r="H53" s="713"/>
    </row>
    <row r="54" spans="1:10" x14ac:dyDescent="0.2">
      <c r="A54" s="714"/>
      <c r="B54" s="714"/>
      <c r="C54" s="714"/>
      <c r="D54" s="714"/>
      <c r="E54" s="714"/>
      <c r="F54" s="714"/>
      <c r="G54" s="714"/>
      <c r="H54" s="714"/>
    </row>
    <row r="55" spans="1:10" x14ac:dyDescent="0.2">
      <c r="A55" s="714"/>
      <c r="B55" s="714"/>
      <c r="C55" s="714"/>
      <c r="D55" s="714"/>
      <c r="E55" s="714"/>
      <c r="F55" s="714"/>
      <c r="G55" s="714"/>
      <c r="H55" s="714"/>
    </row>
    <row r="56" spans="1:10" ht="14.45" customHeight="1" x14ac:dyDescent="0.2"/>
    <row r="57" spans="1:10" ht="14.45" customHeight="1" x14ac:dyDescent="0.2"/>
    <row r="58" spans="1:10" ht="14.45" customHeight="1" x14ac:dyDescent="0.2"/>
    <row r="59" spans="1:10" ht="14.45" customHeight="1" x14ac:dyDescent="0.2"/>
  </sheetData>
  <mergeCells count="6">
    <mergeCell ref="A53:H55"/>
    <mergeCell ref="B6:H6"/>
    <mergeCell ref="B7:D8"/>
    <mergeCell ref="E7:E9"/>
    <mergeCell ref="F8:F9"/>
    <mergeCell ref="G7: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BB67"/>
  <sheetViews>
    <sheetView showGridLines="0" showZeros="0" workbookViewId="0"/>
  </sheetViews>
  <sheetFormatPr defaultColWidth="15.83203125" defaultRowHeight="12" x14ac:dyDescent="0.2"/>
  <cols>
    <col min="1" max="1" width="26.83203125" style="1" customWidth="1"/>
    <col min="2" max="2" width="14.6640625" style="1" customWidth="1"/>
    <col min="3" max="3" width="15.5" style="1" customWidth="1"/>
    <col min="4" max="4" width="14.33203125" style="1" customWidth="1"/>
    <col min="5" max="5" width="14.1640625" style="1" customWidth="1"/>
    <col min="6" max="6" width="15.6640625" style="1" customWidth="1"/>
    <col min="7" max="7" width="13.5" style="1" customWidth="1"/>
    <col min="8" max="8" width="15.33203125" style="1" customWidth="1"/>
    <col min="9" max="9" width="13.33203125" style="1" customWidth="1"/>
    <col min="10" max="16384" width="15.83203125" style="1"/>
  </cols>
  <sheetData>
    <row r="1" spans="1:54" ht="18" customHeight="1" x14ac:dyDescent="0.2">
      <c r="A1" s="183"/>
      <c r="B1" s="184" t="str">
        <f>IF(Lang=1,BA1,BB1)</f>
        <v>ANALYSIS OF OPERATING FUND REVENUE: 2020/2021 BUDGET</v>
      </c>
      <c r="C1" s="184"/>
      <c r="D1" s="184"/>
      <c r="E1" s="101"/>
      <c r="F1" s="101"/>
      <c r="G1" s="101"/>
      <c r="H1" s="101"/>
      <c r="I1" s="185" t="s">
        <v>0</v>
      </c>
      <c r="BA1" s="472" t="str">
        <f>"ANALYSIS OF OPERATING FUND REVENUE: "&amp;YEAR&amp;"/"&amp;YEAR+1&amp;" BUDGET"</f>
        <v>ANALYSIS OF OPERATING FUND REVENUE: 2020/2021 BUDGET</v>
      </c>
      <c r="BB1" s="472" t="str">
        <f>"ANALYSE DES RECETTES DU FONDS DE FONCTIONNEMENT : BUDGET "&amp;YEAR&amp;" - "&amp;YEAR+1</f>
        <v>ANALYSE DES RECETTES DU FONDS DE FONCTIONNEMENT : BUDGET 2020 - 2021</v>
      </c>
    </row>
    <row r="2" spans="1:54" ht="8.1" customHeight="1" x14ac:dyDescent="0.2">
      <c r="A2" s="180"/>
    </row>
    <row r="3" spans="1:54" ht="15.95" customHeight="1" x14ac:dyDescent="0.2">
      <c r="B3" s="597" t="s">
        <v>45</v>
      </c>
      <c r="C3" s="731"/>
      <c r="D3" s="731"/>
      <c r="E3" s="731"/>
      <c r="F3" s="731"/>
      <c r="G3" s="731"/>
      <c r="H3" s="731"/>
      <c r="I3" s="598"/>
    </row>
    <row r="4" spans="1:54" ht="8.1" customHeight="1" x14ac:dyDescent="0.2"/>
    <row r="5" spans="1:54" ht="15.95" customHeight="1" x14ac:dyDescent="0.2">
      <c r="B5" s="728" t="s">
        <v>34</v>
      </c>
      <c r="C5" s="729"/>
      <c r="D5" s="729"/>
      <c r="E5" s="729"/>
      <c r="F5" s="730"/>
    </row>
    <row r="6" spans="1:54" ht="15.95" customHeight="1" x14ac:dyDescent="0.2">
      <c r="B6" s="251"/>
      <c r="C6" s="251"/>
      <c r="D6" s="251"/>
      <c r="E6" s="253"/>
      <c r="F6" s="253"/>
      <c r="G6" s="251"/>
      <c r="H6" s="470"/>
      <c r="I6" s="738" t="s">
        <v>453</v>
      </c>
    </row>
    <row r="7" spans="1:54" ht="15.95" customHeight="1" x14ac:dyDescent="0.2">
      <c r="B7" s="732" t="s">
        <v>447</v>
      </c>
      <c r="C7" s="732" t="s">
        <v>448</v>
      </c>
      <c r="D7" s="732" t="s">
        <v>449</v>
      </c>
      <c r="E7" s="254"/>
      <c r="F7" s="254"/>
      <c r="G7" s="732" t="s">
        <v>451</v>
      </c>
      <c r="H7" s="736" t="s">
        <v>452</v>
      </c>
      <c r="I7" s="739"/>
    </row>
    <row r="8" spans="1:54" ht="15.95" customHeight="1" x14ac:dyDescent="0.2">
      <c r="A8" s="249"/>
      <c r="B8" s="733"/>
      <c r="C8" s="733"/>
      <c r="D8" s="733"/>
      <c r="E8" s="732" t="s">
        <v>450</v>
      </c>
      <c r="F8" s="254"/>
      <c r="G8" s="733"/>
      <c r="H8" s="736"/>
      <c r="I8" s="739"/>
    </row>
    <row r="9" spans="1:54" ht="15.95" customHeight="1" x14ac:dyDescent="0.2">
      <c r="A9" s="250" t="s">
        <v>37</v>
      </c>
      <c r="B9" s="734"/>
      <c r="C9" s="734"/>
      <c r="D9" s="734"/>
      <c r="E9" s="735"/>
      <c r="F9" s="252" t="s">
        <v>25</v>
      </c>
      <c r="G9" s="734"/>
      <c r="H9" s="737"/>
      <c r="I9" s="740"/>
    </row>
    <row r="10" spans="1:54" ht="5.0999999999999996" customHeight="1" x14ac:dyDescent="0.2">
      <c r="A10" s="29"/>
      <c r="B10" s="182"/>
      <c r="C10" s="182"/>
      <c r="D10" s="182"/>
      <c r="E10" s="182"/>
      <c r="F10" s="182"/>
      <c r="G10" s="182"/>
      <c r="H10" s="182"/>
      <c r="I10" s="182"/>
    </row>
    <row r="11" spans="1:54" ht="14.1" customHeight="1" x14ac:dyDescent="0.2">
      <c r="A11" s="271" t="s">
        <v>108</v>
      </c>
      <c r="B11" s="272">
        <f>'- 55 -'!$F11</f>
        <v>11819755</v>
      </c>
      <c r="C11" s="272">
        <v>1759169</v>
      </c>
      <c r="D11" s="272">
        <v>252166</v>
      </c>
      <c r="E11" s="272">
        <f>Data!Q11-C11-D11</f>
        <v>477400</v>
      </c>
      <c r="F11" s="272">
        <f>SUM(B11:E11)</f>
        <v>14308490</v>
      </c>
      <c r="G11" s="272">
        <v>0</v>
      </c>
      <c r="H11" s="272">
        <f>SUM(F11,G11)</f>
        <v>14308490</v>
      </c>
      <c r="I11" s="273">
        <f>H11/'- 43 -'!$I11*100</f>
        <v>64.185964973194032</v>
      </c>
    </row>
    <row r="12" spans="1:54" ht="14.1" customHeight="1" x14ac:dyDescent="0.2">
      <c r="A12" s="15" t="s">
        <v>109</v>
      </c>
      <c r="B12" s="16">
        <f>'- 55 -'!$F12</f>
        <v>14266136</v>
      </c>
      <c r="C12" s="16">
        <v>2428763</v>
      </c>
      <c r="D12" s="16">
        <v>2562850</v>
      </c>
      <c r="E12" s="16">
        <f>Data!Q12-C12-D12</f>
        <v>1398211</v>
      </c>
      <c r="F12" s="16">
        <f t="shared" ref="F12:F46" si="0">SUM(B12:E12)</f>
        <v>20655960</v>
      </c>
      <c r="G12" s="16">
        <v>5050</v>
      </c>
      <c r="H12" s="16">
        <f>SUM(F12,G12)</f>
        <v>20661010</v>
      </c>
      <c r="I12" s="267">
        <f>H12/'- 43 -'!$I12*100</f>
        <v>58.04416894758424</v>
      </c>
    </row>
    <row r="13" spans="1:54" ht="14.1" customHeight="1" x14ac:dyDescent="0.2">
      <c r="A13" s="271" t="s">
        <v>110</v>
      </c>
      <c r="B13" s="272">
        <f>'- 55 -'!$F13</f>
        <v>53670200</v>
      </c>
      <c r="C13" s="272">
        <v>7801089</v>
      </c>
      <c r="D13" s="272">
        <v>909006</v>
      </c>
      <c r="E13" s="272">
        <f>Data!Q13-C13-D13</f>
        <v>2764400</v>
      </c>
      <c r="F13" s="272">
        <f t="shared" si="0"/>
        <v>65144695</v>
      </c>
      <c r="G13" s="272">
        <v>0</v>
      </c>
      <c r="H13" s="272">
        <f t="shared" ref="H13:H46" si="1">SUM(F13,G13)</f>
        <v>65144695</v>
      </c>
      <c r="I13" s="273">
        <f>H13/'- 43 -'!$I13*100</f>
        <v>60.491787675570471</v>
      </c>
    </row>
    <row r="14" spans="1:54" ht="14.1" customHeight="1" x14ac:dyDescent="0.2">
      <c r="A14" s="15" t="s">
        <v>319</v>
      </c>
      <c r="B14" s="16">
        <f>'- 55 -'!$F14</f>
        <v>37859888</v>
      </c>
      <c r="C14" s="16">
        <v>6584364</v>
      </c>
      <c r="D14" s="16">
        <f>+Data!L2</f>
        <v>1127822</v>
      </c>
      <c r="E14" s="16">
        <f>Data!Q14-C14-D14</f>
        <v>20989238</v>
      </c>
      <c r="F14" s="16">
        <f t="shared" si="0"/>
        <v>66561312</v>
      </c>
      <c r="G14" s="16">
        <v>571837</v>
      </c>
      <c r="H14" s="16">
        <f t="shared" si="1"/>
        <v>67133149</v>
      </c>
      <c r="I14" s="267">
        <f>H14/'- 43 -'!$I14*100</f>
        <v>68.894298075358279</v>
      </c>
    </row>
    <row r="15" spans="1:54" ht="14.1" customHeight="1" x14ac:dyDescent="0.2">
      <c r="A15" s="271" t="s">
        <v>111</v>
      </c>
      <c r="B15" s="272">
        <f>'- 55 -'!$F15</f>
        <v>7663330</v>
      </c>
      <c r="C15" s="272">
        <v>2908449</v>
      </c>
      <c r="D15" s="272">
        <v>1501499</v>
      </c>
      <c r="E15" s="272">
        <f>Data!Q15-C15-D15</f>
        <v>458489</v>
      </c>
      <c r="F15" s="272">
        <f t="shared" si="0"/>
        <v>12531767</v>
      </c>
      <c r="G15" s="272">
        <v>0</v>
      </c>
      <c r="H15" s="272">
        <f t="shared" si="1"/>
        <v>12531767</v>
      </c>
      <c r="I15" s="273">
        <f>H15/'- 43 -'!$I15*100</f>
        <v>58.16208839010315</v>
      </c>
    </row>
    <row r="16" spans="1:54" ht="14.1" customHeight="1" x14ac:dyDescent="0.2">
      <c r="A16" s="15" t="s">
        <v>112</v>
      </c>
      <c r="B16" s="16">
        <f>'- 55 -'!$F16</f>
        <v>9153944</v>
      </c>
      <c r="C16" s="16">
        <v>892612</v>
      </c>
      <c r="D16" s="16">
        <v>376357</v>
      </c>
      <c r="E16" s="16">
        <f>Data!Q16-C16-D16</f>
        <v>490012</v>
      </c>
      <c r="F16" s="16">
        <f t="shared" si="0"/>
        <v>10912925</v>
      </c>
      <c r="G16" s="16">
        <v>0</v>
      </c>
      <c r="H16" s="16">
        <f t="shared" si="1"/>
        <v>10912925</v>
      </c>
      <c r="I16" s="267">
        <f>H16/'- 43 -'!$I16*100</f>
        <v>72.449107355536952</v>
      </c>
    </row>
    <row r="17" spans="1:9" ht="14.1" customHeight="1" x14ac:dyDescent="0.2">
      <c r="A17" s="271" t="s">
        <v>113</v>
      </c>
      <c r="B17" s="272">
        <f>'- 55 -'!$F17</f>
        <v>6881748</v>
      </c>
      <c r="C17" s="272">
        <v>1440726</v>
      </c>
      <c r="D17" s="272">
        <v>458758</v>
      </c>
      <c r="E17" s="272">
        <f>Data!Q17-C17-D17</f>
        <v>610167</v>
      </c>
      <c r="F17" s="272">
        <f t="shared" si="0"/>
        <v>9391399</v>
      </c>
      <c r="G17" s="272">
        <v>184700</v>
      </c>
      <c r="H17" s="272">
        <f t="shared" si="1"/>
        <v>9576099</v>
      </c>
      <c r="I17" s="273">
        <f>H17/'- 43 -'!$I17*100</f>
        <v>50.620868364108084</v>
      </c>
    </row>
    <row r="18" spans="1:9" ht="14.1" customHeight="1" x14ac:dyDescent="0.2">
      <c r="A18" s="15" t="s">
        <v>114</v>
      </c>
      <c r="B18" s="16">
        <f>'- 55 -'!$F18</f>
        <v>36900318</v>
      </c>
      <c r="C18" s="16">
        <v>546172</v>
      </c>
      <c r="D18" s="16">
        <v>159237</v>
      </c>
      <c r="E18" s="16">
        <f>Data!Q18-C18-D18</f>
        <v>11723176</v>
      </c>
      <c r="F18" s="16">
        <f t="shared" si="0"/>
        <v>49328903</v>
      </c>
      <c r="G18" s="16">
        <v>119675</v>
      </c>
      <c r="H18" s="16">
        <f t="shared" si="1"/>
        <v>49448578</v>
      </c>
      <c r="I18" s="267">
        <f>H18/'- 43 -'!$I18*100</f>
        <v>34.017043283312951</v>
      </c>
    </row>
    <row r="19" spans="1:9" ht="14.1" customHeight="1" x14ac:dyDescent="0.2">
      <c r="A19" s="271" t="s">
        <v>115</v>
      </c>
      <c r="B19" s="272">
        <f>'- 55 -'!$F19</f>
        <v>29207180</v>
      </c>
      <c r="C19" s="272">
        <v>3484244</v>
      </c>
      <c r="D19" s="272">
        <v>323087</v>
      </c>
      <c r="E19" s="272">
        <f>Data!Q19-C19-D19</f>
        <v>1115498</v>
      </c>
      <c r="F19" s="272">
        <f t="shared" si="0"/>
        <v>34130009</v>
      </c>
      <c r="G19" s="272">
        <v>0</v>
      </c>
      <c r="H19" s="272">
        <f t="shared" si="1"/>
        <v>34130009</v>
      </c>
      <c r="I19" s="273">
        <f>H19/'- 43 -'!$I19*100</f>
        <v>65.851123325711995</v>
      </c>
    </row>
    <row r="20" spans="1:9" ht="14.1" customHeight="1" x14ac:dyDescent="0.2">
      <c r="A20" s="15" t="s">
        <v>116</v>
      </c>
      <c r="B20" s="16">
        <f>'- 55 -'!$F20</f>
        <v>55010190</v>
      </c>
      <c r="C20" s="16">
        <v>6751157</v>
      </c>
      <c r="D20" s="16">
        <v>747253</v>
      </c>
      <c r="E20" s="16">
        <f>Data!Q20-C20-D20</f>
        <v>2450235</v>
      </c>
      <c r="F20" s="16">
        <f t="shared" si="0"/>
        <v>64958835</v>
      </c>
      <c r="G20" s="16">
        <v>0</v>
      </c>
      <c r="H20" s="16">
        <f t="shared" si="1"/>
        <v>64958835</v>
      </c>
      <c r="I20" s="267">
        <f>H20/'- 43 -'!$I20*100</f>
        <v>68.892894868575112</v>
      </c>
    </row>
    <row r="21" spans="1:9" ht="14.1" customHeight="1" x14ac:dyDescent="0.2">
      <c r="A21" s="271" t="s">
        <v>117</v>
      </c>
      <c r="B21" s="272">
        <f>'- 55 -'!$F21</f>
        <v>16431578</v>
      </c>
      <c r="C21" s="272">
        <v>3739390</v>
      </c>
      <c r="D21" s="272">
        <v>808470</v>
      </c>
      <c r="E21" s="272">
        <f>Data!Q21-C21-D21</f>
        <v>789964</v>
      </c>
      <c r="F21" s="272">
        <f t="shared" si="0"/>
        <v>21769402</v>
      </c>
      <c r="G21" s="272">
        <v>38000</v>
      </c>
      <c r="H21" s="272">
        <f t="shared" si="1"/>
        <v>21807402</v>
      </c>
      <c r="I21" s="273">
        <f>H21/'- 43 -'!$I21*100</f>
        <v>56.248135156048498</v>
      </c>
    </row>
    <row r="22" spans="1:9" ht="14.1" customHeight="1" x14ac:dyDescent="0.2">
      <c r="A22" s="15" t="s">
        <v>118</v>
      </c>
      <c r="B22" s="16">
        <f>'- 55 -'!$F22</f>
        <v>14082710</v>
      </c>
      <c r="C22" s="16">
        <v>1121969</v>
      </c>
      <c r="D22" s="16">
        <v>154704</v>
      </c>
      <c r="E22" s="16">
        <f>Data!Q22-C22-D22</f>
        <v>1541028</v>
      </c>
      <c r="F22" s="16">
        <f t="shared" si="0"/>
        <v>16900411</v>
      </c>
      <c r="G22" s="16">
        <v>0</v>
      </c>
      <c r="H22" s="16">
        <f t="shared" si="1"/>
        <v>16900411</v>
      </c>
      <c r="I22" s="267">
        <f>H22/'- 43 -'!$I22*100</f>
        <v>82.548039714898707</v>
      </c>
    </row>
    <row r="23" spans="1:9" ht="14.1" customHeight="1" x14ac:dyDescent="0.2">
      <c r="A23" s="271" t="s">
        <v>119</v>
      </c>
      <c r="B23" s="272">
        <f>'- 55 -'!$F23</f>
        <v>8997313</v>
      </c>
      <c r="C23" s="272">
        <v>1141780</v>
      </c>
      <c r="D23" s="272">
        <v>414194</v>
      </c>
      <c r="E23" s="272">
        <f>Data!Q23-C23-D23</f>
        <v>667062</v>
      </c>
      <c r="F23" s="272">
        <f t="shared" si="0"/>
        <v>11220349</v>
      </c>
      <c r="G23" s="272">
        <v>52000</v>
      </c>
      <c r="H23" s="272">
        <f t="shared" si="1"/>
        <v>11272349</v>
      </c>
      <c r="I23" s="273">
        <f>H23/'- 43 -'!$I23*100</f>
        <v>70.109032589988303</v>
      </c>
    </row>
    <row r="24" spans="1:9" ht="14.1" customHeight="1" x14ac:dyDescent="0.2">
      <c r="A24" s="15" t="s">
        <v>120</v>
      </c>
      <c r="B24" s="16">
        <f>'- 55 -'!$F24</f>
        <v>22268601</v>
      </c>
      <c r="C24" s="16">
        <v>6041759</v>
      </c>
      <c r="D24" s="16">
        <v>2534539</v>
      </c>
      <c r="E24" s="16">
        <f>Data!Q24-C24-D24</f>
        <v>1530641</v>
      </c>
      <c r="F24" s="16">
        <f t="shared" si="0"/>
        <v>32375540</v>
      </c>
      <c r="G24" s="16">
        <v>0</v>
      </c>
      <c r="H24" s="16">
        <f t="shared" si="1"/>
        <v>32375540</v>
      </c>
      <c r="I24" s="267">
        <f>H24/'- 43 -'!$I24*100</f>
        <v>54.487418017368292</v>
      </c>
    </row>
    <row r="25" spans="1:9" ht="14.1" customHeight="1" x14ac:dyDescent="0.2">
      <c r="A25" s="271" t="s">
        <v>121</v>
      </c>
      <c r="B25" s="272">
        <f>'- 55 -'!$F25</f>
        <v>81252115</v>
      </c>
      <c r="C25" s="272">
        <v>22338024</v>
      </c>
      <c r="D25" s="272">
        <v>2910625</v>
      </c>
      <c r="E25" s="272">
        <f>Data!Q25-C25-D25</f>
        <v>5975295</v>
      </c>
      <c r="F25" s="272">
        <f t="shared" si="0"/>
        <v>112476059</v>
      </c>
      <c r="G25" s="272">
        <v>0</v>
      </c>
      <c r="H25" s="272">
        <f t="shared" si="1"/>
        <v>112476059</v>
      </c>
      <c r="I25" s="273">
        <f>H25/'- 43 -'!$I25*100</f>
        <v>57.254816643678765</v>
      </c>
    </row>
    <row r="26" spans="1:9" ht="14.1" customHeight="1" x14ac:dyDescent="0.2">
      <c r="A26" s="15" t="s">
        <v>122</v>
      </c>
      <c r="B26" s="16">
        <f>'- 55 -'!$F26</f>
        <v>22129939</v>
      </c>
      <c r="C26" s="16">
        <v>3630790</v>
      </c>
      <c r="D26" s="16">
        <v>345180</v>
      </c>
      <c r="E26" s="16">
        <f>Data!Q26-C26-D26</f>
        <v>922800</v>
      </c>
      <c r="F26" s="16">
        <f t="shared" si="0"/>
        <v>27028709</v>
      </c>
      <c r="G26" s="16">
        <v>0</v>
      </c>
      <c r="H26" s="16">
        <f t="shared" si="1"/>
        <v>27028709</v>
      </c>
      <c r="I26" s="267">
        <f>H26/'- 43 -'!$I26*100</f>
        <v>62.750224116989273</v>
      </c>
    </row>
    <row r="27" spans="1:9" ht="14.1" customHeight="1" x14ac:dyDescent="0.2">
      <c r="A27" s="271" t="s">
        <v>123</v>
      </c>
      <c r="B27" s="272">
        <f>'- 55 -'!$F27</f>
        <v>31826422</v>
      </c>
      <c r="C27" s="272">
        <v>1621894</v>
      </c>
      <c r="D27" s="272">
        <v>526092</v>
      </c>
      <c r="E27" s="272">
        <f>Data!Q27-C27-D27</f>
        <v>940731</v>
      </c>
      <c r="F27" s="272">
        <f t="shared" si="0"/>
        <v>34915139</v>
      </c>
      <c r="G27" s="272">
        <v>12000</v>
      </c>
      <c r="H27" s="272">
        <f t="shared" si="1"/>
        <v>34927139</v>
      </c>
      <c r="I27" s="273">
        <f>H27/'- 43 -'!$I27*100</f>
        <v>81.581796701643825</v>
      </c>
    </row>
    <row r="28" spans="1:9" ht="14.1" customHeight="1" x14ac:dyDescent="0.2">
      <c r="A28" s="15" t="s">
        <v>124</v>
      </c>
      <c r="B28" s="16">
        <f>'- 55 -'!$F28</f>
        <v>9917684</v>
      </c>
      <c r="C28" s="16">
        <v>1723972</v>
      </c>
      <c r="D28" s="16">
        <v>746974</v>
      </c>
      <c r="E28" s="16">
        <f>Data!Q28-C28-D28</f>
        <v>629014</v>
      </c>
      <c r="F28" s="16">
        <f t="shared" si="0"/>
        <v>13017644</v>
      </c>
      <c r="G28" s="16">
        <v>0</v>
      </c>
      <c r="H28" s="16">
        <f t="shared" si="1"/>
        <v>13017644</v>
      </c>
      <c r="I28" s="267">
        <f>H28/'- 43 -'!$I28*100</f>
        <v>44.66218742561388</v>
      </c>
    </row>
    <row r="29" spans="1:9" ht="14.1" customHeight="1" x14ac:dyDescent="0.2">
      <c r="A29" s="271" t="s">
        <v>125</v>
      </c>
      <c r="B29" s="272">
        <f>'- 55 -'!$F29</f>
        <v>59652553</v>
      </c>
      <c r="C29" s="272">
        <v>21932394</v>
      </c>
      <c r="D29" s="272">
        <v>2401965</v>
      </c>
      <c r="E29" s="272">
        <f>Data!Q29-C29-D29</f>
        <v>3832644</v>
      </c>
      <c r="F29" s="272">
        <f t="shared" si="0"/>
        <v>87819556</v>
      </c>
      <c r="G29" s="272">
        <v>0</v>
      </c>
      <c r="H29" s="272">
        <f t="shared" si="1"/>
        <v>87819556</v>
      </c>
      <c r="I29" s="273">
        <f>H29/'- 43 -'!$I29*100</f>
        <v>48.61417163188873</v>
      </c>
    </row>
    <row r="30" spans="1:9" ht="14.1" customHeight="1" x14ac:dyDescent="0.2">
      <c r="A30" s="15" t="s">
        <v>126</v>
      </c>
      <c r="B30" s="16">
        <f>'- 55 -'!$F30</f>
        <v>6990538</v>
      </c>
      <c r="C30" s="16">
        <v>1069011</v>
      </c>
      <c r="D30" s="16">
        <v>312066</v>
      </c>
      <c r="E30" s="16">
        <f>Data!Q30-C30-D30</f>
        <v>272947</v>
      </c>
      <c r="F30" s="16">
        <f t="shared" si="0"/>
        <v>8644562</v>
      </c>
      <c r="G30" s="16">
        <v>0</v>
      </c>
      <c r="H30" s="16">
        <f t="shared" si="1"/>
        <v>8644562</v>
      </c>
      <c r="I30" s="267">
        <f>H30/'- 43 -'!$I30*100</f>
        <v>55.7509125522784</v>
      </c>
    </row>
    <row r="31" spans="1:9" ht="14.1" customHeight="1" x14ac:dyDescent="0.2">
      <c r="A31" s="271" t="s">
        <v>127</v>
      </c>
      <c r="B31" s="272">
        <f>'- 55 -'!$F31</f>
        <v>18596497</v>
      </c>
      <c r="C31" s="272">
        <v>3357648</v>
      </c>
      <c r="D31" s="272">
        <v>269506</v>
      </c>
      <c r="E31" s="272">
        <f>Data!Q31-C31-D31</f>
        <v>899993</v>
      </c>
      <c r="F31" s="272">
        <f t="shared" si="0"/>
        <v>23123644</v>
      </c>
      <c r="G31" s="272">
        <v>0</v>
      </c>
      <c r="H31" s="272">
        <f t="shared" si="1"/>
        <v>23123644</v>
      </c>
      <c r="I31" s="273">
        <f>H31/'- 43 -'!$I31*100</f>
        <v>56.036314339580152</v>
      </c>
    </row>
    <row r="32" spans="1:9" ht="14.1" customHeight="1" x14ac:dyDescent="0.2">
      <c r="A32" s="15" t="s">
        <v>128</v>
      </c>
      <c r="B32" s="16">
        <f>'- 55 -'!$F32</f>
        <v>11967227</v>
      </c>
      <c r="C32" s="16">
        <v>2521714</v>
      </c>
      <c r="D32" s="16">
        <v>1058593</v>
      </c>
      <c r="E32" s="16">
        <f>Data!Q32-C32-D32</f>
        <v>925901</v>
      </c>
      <c r="F32" s="16">
        <f t="shared" si="0"/>
        <v>16473435</v>
      </c>
      <c r="G32" s="16">
        <v>3500</v>
      </c>
      <c r="H32" s="16">
        <f t="shared" si="1"/>
        <v>16476935</v>
      </c>
      <c r="I32" s="267">
        <f>H32/'- 43 -'!$I32*100</f>
        <v>52.261146397823552</v>
      </c>
    </row>
    <row r="33" spans="1:9" ht="14.1" customHeight="1" x14ac:dyDescent="0.2">
      <c r="A33" s="271" t="s">
        <v>129</v>
      </c>
      <c r="B33" s="272">
        <f>'- 55 -'!$F33</f>
        <v>13057190</v>
      </c>
      <c r="C33" s="272">
        <v>1906798</v>
      </c>
      <c r="D33" s="272">
        <v>763122</v>
      </c>
      <c r="E33" s="272">
        <f>Data!Q33-C33-D33</f>
        <v>676370</v>
      </c>
      <c r="F33" s="272">
        <f t="shared" si="0"/>
        <v>16403480</v>
      </c>
      <c r="G33" s="272">
        <v>10000</v>
      </c>
      <c r="H33" s="272">
        <f t="shared" si="1"/>
        <v>16413480</v>
      </c>
      <c r="I33" s="273">
        <f>H33/'- 43 -'!$I33*100</f>
        <v>56.653406850481623</v>
      </c>
    </row>
    <row r="34" spans="1:9" ht="14.1" customHeight="1" x14ac:dyDescent="0.2">
      <c r="A34" s="15" t="s">
        <v>130</v>
      </c>
      <c r="B34" s="16">
        <f>'- 55 -'!$F34</f>
        <v>11620166</v>
      </c>
      <c r="C34" s="16">
        <v>2340043</v>
      </c>
      <c r="D34" s="16">
        <v>657434</v>
      </c>
      <c r="E34" s="16">
        <f>Data!Q34-C34-D34</f>
        <v>792617</v>
      </c>
      <c r="F34" s="16">
        <f t="shared" si="0"/>
        <v>15410260</v>
      </c>
      <c r="G34" s="16">
        <v>0</v>
      </c>
      <c r="H34" s="16">
        <f t="shared" si="1"/>
        <v>15410260</v>
      </c>
      <c r="I34" s="267">
        <f>H34/'- 43 -'!$I34*100</f>
        <v>47.067301501510158</v>
      </c>
    </row>
    <row r="35" spans="1:9" ht="14.1" customHeight="1" x14ac:dyDescent="0.2">
      <c r="A35" s="271" t="s">
        <v>131</v>
      </c>
      <c r="B35" s="272">
        <f>'- 55 -'!$F35</f>
        <v>97774175</v>
      </c>
      <c r="C35" s="272">
        <v>23781446</v>
      </c>
      <c r="D35" s="272">
        <v>730547</v>
      </c>
      <c r="E35" s="272">
        <f>Data!Q35-C35-D35</f>
        <v>5474329</v>
      </c>
      <c r="F35" s="272">
        <f t="shared" si="0"/>
        <v>127760497</v>
      </c>
      <c r="G35" s="272">
        <v>0</v>
      </c>
      <c r="H35" s="272">
        <f t="shared" si="1"/>
        <v>127760497</v>
      </c>
      <c r="I35" s="273">
        <f>H35/'- 43 -'!$I35*100</f>
        <v>64.119881167090526</v>
      </c>
    </row>
    <row r="36" spans="1:9" ht="14.1" customHeight="1" x14ac:dyDescent="0.2">
      <c r="A36" s="15" t="s">
        <v>132</v>
      </c>
      <c r="B36" s="16">
        <f>'- 55 -'!$F36</f>
        <v>9413066</v>
      </c>
      <c r="C36" s="16">
        <v>2290497</v>
      </c>
      <c r="D36" s="16">
        <v>717685</v>
      </c>
      <c r="E36" s="16">
        <f>Data!Q36-C36-D36</f>
        <v>520158</v>
      </c>
      <c r="F36" s="16">
        <f t="shared" si="0"/>
        <v>12941406</v>
      </c>
      <c r="G36" s="16">
        <v>132500</v>
      </c>
      <c r="H36" s="16">
        <f t="shared" si="1"/>
        <v>13073906</v>
      </c>
      <c r="I36" s="267">
        <f>H36/'- 43 -'!$I36*100</f>
        <v>52.868304043055183</v>
      </c>
    </row>
    <row r="37" spans="1:9" ht="14.1" customHeight="1" x14ac:dyDescent="0.2">
      <c r="A37" s="271" t="s">
        <v>133</v>
      </c>
      <c r="B37" s="272">
        <f>'- 55 -'!$F37</f>
        <v>30052155</v>
      </c>
      <c r="C37" s="272">
        <v>5198820</v>
      </c>
      <c r="D37" s="272">
        <v>1027522</v>
      </c>
      <c r="E37" s="272">
        <f>Data!Q37-C37-D37</f>
        <v>1267845</v>
      </c>
      <c r="F37" s="272">
        <f t="shared" si="0"/>
        <v>37546342</v>
      </c>
      <c r="G37" s="272">
        <v>0</v>
      </c>
      <c r="H37" s="272">
        <f t="shared" si="1"/>
        <v>37546342</v>
      </c>
      <c r="I37" s="273">
        <f>H37/'- 43 -'!$I37*100</f>
        <v>66.956170197588989</v>
      </c>
    </row>
    <row r="38" spans="1:9" ht="14.1" customHeight="1" x14ac:dyDescent="0.2">
      <c r="A38" s="15" t="s">
        <v>134</v>
      </c>
      <c r="B38" s="16">
        <f>'- 55 -'!$F38</f>
        <v>78892543</v>
      </c>
      <c r="C38" s="16">
        <v>12601319</v>
      </c>
      <c r="D38" s="16">
        <v>2675130</v>
      </c>
      <c r="E38" s="16">
        <f>Data!Q38-C38-D38</f>
        <v>5078465</v>
      </c>
      <c r="F38" s="16">
        <f t="shared" si="0"/>
        <v>99247457</v>
      </c>
      <c r="G38" s="16">
        <v>895325</v>
      </c>
      <c r="H38" s="16">
        <f t="shared" si="1"/>
        <v>100142782</v>
      </c>
      <c r="I38" s="267">
        <f>H38/'- 43 -'!$I38*100</f>
        <v>64.647326803364365</v>
      </c>
    </row>
    <row r="39" spans="1:9" ht="14.1" customHeight="1" x14ac:dyDescent="0.2">
      <c r="A39" s="271" t="s">
        <v>135</v>
      </c>
      <c r="B39" s="272">
        <f>'- 55 -'!$F39</f>
        <v>8465227</v>
      </c>
      <c r="C39" s="272">
        <v>1701239</v>
      </c>
      <c r="D39" s="272">
        <v>713357</v>
      </c>
      <c r="E39" s="272">
        <f>Data!Q39-C39-D39</f>
        <v>460056</v>
      </c>
      <c r="F39" s="272">
        <f t="shared" si="0"/>
        <v>11339879</v>
      </c>
      <c r="G39" s="272">
        <v>160800</v>
      </c>
      <c r="H39" s="272">
        <f t="shared" si="1"/>
        <v>11500679</v>
      </c>
      <c r="I39" s="273">
        <f>H39/'- 43 -'!$I39*100</f>
        <v>48.404753487040921</v>
      </c>
    </row>
    <row r="40" spans="1:9" ht="14.1" customHeight="1" x14ac:dyDescent="0.2">
      <c r="A40" s="15" t="s">
        <v>136</v>
      </c>
      <c r="B40" s="16">
        <f>'- 55 -'!$F40</f>
        <v>37910311</v>
      </c>
      <c r="C40" s="16">
        <v>12844866</v>
      </c>
      <c r="D40" s="16">
        <v>1751136</v>
      </c>
      <c r="E40" s="16">
        <f>Data!Q40-C40-D40</f>
        <v>3078444</v>
      </c>
      <c r="F40" s="16">
        <f t="shared" si="0"/>
        <v>55584757</v>
      </c>
      <c r="G40" s="16">
        <v>8500</v>
      </c>
      <c r="H40" s="16">
        <f t="shared" si="1"/>
        <v>55593257</v>
      </c>
      <c r="I40" s="267">
        <f>H40/'- 43 -'!$I40*100</f>
        <v>49.254066108444682</v>
      </c>
    </row>
    <row r="41" spans="1:9" ht="14.1" customHeight="1" x14ac:dyDescent="0.2">
      <c r="A41" s="271" t="s">
        <v>137</v>
      </c>
      <c r="B41" s="272">
        <f>'- 55 -'!$F41</f>
        <v>25538466</v>
      </c>
      <c r="C41" s="272">
        <v>7455077</v>
      </c>
      <c r="D41" s="272">
        <v>1465603</v>
      </c>
      <c r="E41" s="272">
        <f>Data!Q41-C41-D41</f>
        <v>2497507</v>
      </c>
      <c r="F41" s="272">
        <f t="shared" si="0"/>
        <v>36956653</v>
      </c>
      <c r="G41" s="272">
        <v>293000</v>
      </c>
      <c r="H41" s="272">
        <f t="shared" si="1"/>
        <v>37249653</v>
      </c>
      <c r="I41" s="273">
        <f>H41/'- 43 -'!$I41*100</f>
        <v>54.234147374842621</v>
      </c>
    </row>
    <row r="42" spans="1:9" ht="14.1" customHeight="1" x14ac:dyDescent="0.2">
      <c r="A42" s="15" t="s">
        <v>138</v>
      </c>
      <c r="B42" s="16">
        <f>'- 55 -'!$F42</f>
        <v>10868035</v>
      </c>
      <c r="C42" s="16">
        <v>1638206</v>
      </c>
      <c r="D42" s="16">
        <v>994366</v>
      </c>
      <c r="E42" s="16">
        <f>Data!Q42-C42-D42</f>
        <v>585927</v>
      </c>
      <c r="F42" s="16">
        <f t="shared" si="0"/>
        <v>14086534</v>
      </c>
      <c r="G42" s="16">
        <v>0</v>
      </c>
      <c r="H42" s="16">
        <f t="shared" si="1"/>
        <v>14086534</v>
      </c>
      <c r="I42" s="267">
        <f>H42/'- 43 -'!$I42*100</f>
        <v>65.802847455853595</v>
      </c>
    </row>
    <row r="43" spans="1:9" ht="14.1" customHeight="1" x14ac:dyDescent="0.2">
      <c r="A43" s="271" t="s">
        <v>139</v>
      </c>
      <c r="B43" s="272">
        <f>'- 55 -'!$F43</f>
        <v>5595698</v>
      </c>
      <c r="C43" s="272">
        <v>1316338</v>
      </c>
      <c r="D43" s="272">
        <v>0</v>
      </c>
      <c r="E43" s="272">
        <f>Data!Q43-C43-D43</f>
        <v>536202</v>
      </c>
      <c r="F43" s="272">
        <f t="shared" si="0"/>
        <v>7448238</v>
      </c>
      <c r="G43" s="272">
        <v>0</v>
      </c>
      <c r="H43" s="272">
        <f t="shared" si="1"/>
        <v>7448238</v>
      </c>
      <c r="I43" s="273">
        <f>H43/'- 43 -'!$I43*100</f>
        <v>53.862157778682196</v>
      </c>
    </row>
    <row r="44" spans="1:9" ht="14.1" customHeight="1" x14ac:dyDescent="0.2">
      <c r="A44" s="15" t="s">
        <v>140</v>
      </c>
      <c r="B44" s="16">
        <f>'- 55 -'!$F44</f>
        <v>6997282</v>
      </c>
      <c r="C44" s="16">
        <v>728257</v>
      </c>
      <c r="D44" s="16">
        <v>263938</v>
      </c>
      <c r="E44" s="16">
        <f>Data!Q44-C44-D44</f>
        <v>348410</v>
      </c>
      <c r="F44" s="16">
        <f t="shared" si="0"/>
        <v>8337887</v>
      </c>
      <c r="G44" s="16">
        <v>0</v>
      </c>
      <c r="H44" s="16">
        <f t="shared" si="1"/>
        <v>8337887</v>
      </c>
      <c r="I44" s="267">
        <f>H44/'- 43 -'!$I44*100</f>
        <v>73.212591507101351</v>
      </c>
    </row>
    <row r="45" spans="1:9" ht="14.1" customHeight="1" x14ac:dyDescent="0.2">
      <c r="A45" s="271" t="s">
        <v>141</v>
      </c>
      <c r="B45" s="272">
        <f>'- 55 -'!$F45</f>
        <v>11878874</v>
      </c>
      <c r="C45" s="272">
        <v>2102316</v>
      </c>
      <c r="D45" s="272">
        <v>0</v>
      </c>
      <c r="E45" s="272">
        <f>Data!Q45-C45-D45</f>
        <v>810799</v>
      </c>
      <c r="F45" s="272">
        <f t="shared" si="0"/>
        <v>14791989</v>
      </c>
      <c r="G45" s="272">
        <v>0</v>
      </c>
      <c r="H45" s="272">
        <f t="shared" si="1"/>
        <v>14791989</v>
      </c>
      <c r="I45" s="273">
        <f>H45/'- 43 -'!$I45*100</f>
        <v>65.408502757930876</v>
      </c>
    </row>
    <row r="46" spans="1:9" ht="14.1" customHeight="1" x14ac:dyDescent="0.2">
      <c r="A46" s="15" t="s">
        <v>142</v>
      </c>
      <c r="B46" s="16">
        <f>'- 55 -'!$F46</f>
        <v>185167789</v>
      </c>
      <c r="C46" s="16">
        <v>30370653</v>
      </c>
      <c r="D46" s="16">
        <v>4731651</v>
      </c>
      <c r="E46" s="16">
        <f>Data!Q46-C46-D46</f>
        <v>21723637</v>
      </c>
      <c r="F46" s="16">
        <f t="shared" si="0"/>
        <v>241993730</v>
      </c>
      <c r="G46" s="16">
        <v>418376</v>
      </c>
      <c r="H46" s="16">
        <f t="shared" si="1"/>
        <v>242412106</v>
      </c>
      <c r="I46" s="267">
        <f>H46/'- 43 -'!$I46*100</f>
        <v>57.54976678551936</v>
      </c>
    </row>
    <row r="47" spans="1:9" ht="5.0999999999999996" customHeight="1" x14ac:dyDescent="0.2">
      <c r="A47"/>
      <c r="B47"/>
      <c r="C47"/>
      <c r="D47"/>
      <c r="E47"/>
      <c r="F47"/>
      <c r="G47" s="507"/>
      <c r="H47"/>
      <c r="I47"/>
    </row>
    <row r="48" spans="1:9" ht="14.1" customHeight="1" x14ac:dyDescent="0.2">
      <c r="A48" s="274" t="s">
        <v>143</v>
      </c>
      <c r="B48" s="275">
        <f t="shared" ref="B48:H48" si="2">SUM(B11:B46)</f>
        <v>1099776843</v>
      </c>
      <c r="C48" s="275">
        <f t="shared" si="2"/>
        <v>211112965</v>
      </c>
      <c r="D48" s="275">
        <f>SUM(D11:D46)</f>
        <v>37392434</v>
      </c>
      <c r="E48" s="275">
        <f t="shared" si="2"/>
        <v>105255612</v>
      </c>
      <c r="F48" s="275">
        <f t="shared" si="2"/>
        <v>1453537854</v>
      </c>
      <c r="G48" s="275">
        <f>SUM(G11:G46)</f>
        <v>2905263</v>
      </c>
      <c r="H48" s="275">
        <f t="shared" si="2"/>
        <v>1456443117</v>
      </c>
      <c r="I48" s="276">
        <f>H48/'- 43 -'!$I48*100</f>
        <v>57.849337559177805</v>
      </c>
    </row>
    <row r="49" spans="1:9" ht="5.0999999999999996" customHeight="1" x14ac:dyDescent="0.2">
      <c r="A49" s="17" t="s">
        <v>1</v>
      </c>
      <c r="B49" s="18"/>
      <c r="C49" s="18"/>
      <c r="D49" s="18"/>
      <c r="E49" s="18"/>
      <c r="F49" s="18"/>
      <c r="G49" s="18"/>
      <c r="H49" s="18"/>
      <c r="I49" s="266"/>
    </row>
    <row r="50" spans="1:9" ht="14.1" customHeight="1" x14ac:dyDescent="0.2">
      <c r="A50" s="15" t="s">
        <v>144</v>
      </c>
      <c r="B50" s="16">
        <f>'- 55 -'!$F50</f>
        <v>878779</v>
      </c>
      <c r="C50" s="16">
        <v>406152</v>
      </c>
      <c r="D50" s="16">
        <v>22588</v>
      </c>
      <c r="E50" s="16">
        <f>Data!Q50-C50-D50</f>
        <v>98232</v>
      </c>
      <c r="F50" s="16">
        <f>SUM(B50:E50)</f>
        <v>1405751</v>
      </c>
      <c r="G50" s="16">
        <v>0</v>
      </c>
      <c r="H50" s="16">
        <f>SUM(F50,G50)</f>
        <v>1405751</v>
      </c>
      <c r="I50" s="267">
        <f>H50/'- 43 -'!$I50*100</f>
        <v>38.933536215017654</v>
      </c>
    </row>
    <row r="51" spans="1:9" ht="14.1" customHeight="1" x14ac:dyDescent="0.2">
      <c r="A51" s="360" t="s">
        <v>513</v>
      </c>
      <c r="B51" s="272">
        <f>'- 55 -'!$F51</f>
        <v>0</v>
      </c>
      <c r="C51" s="272">
        <v>0</v>
      </c>
      <c r="D51" s="272">
        <v>0</v>
      </c>
      <c r="E51" s="272">
        <f>Data!Q51-C51-D51</f>
        <v>10625699</v>
      </c>
      <c r="F51" s="272">
        <f>SUM(B51:E51)</f>
        <v>10625699</v>
      </c>
      <c r="G51" s="272">
        <v>0</v>
      </c>
      <c r="H51" s="272">
        <f>SUM(F51,G51)</f>
        <v>10625699</v>
      </c>
      <c r="I51" s="273">
        <f>H51/'- 43 -'!$I51*100</f>
        <v>30.155068588831941</v>
      </c>
    </row>
    <row r="52" spans="1:9" ht="50.1" customHeight="1" x14ac:dyDescent="0.2">
      <c r="A52" s="19"/>
      <c r="B52" s="19"/>
      <c r="C52" s="19"/>
      <c r="D52" s="19"/>
      <c r="E52" s="19"/>
      <c r="F52" s="19"/>
      <c r="G52" s="19"/>
      <c r="H52" s="19"/>
      <c r="I52" s="19"/>
    </row>
    <row r="53" spans="1:9" ht="15" customHeight="1" x14ac:dyDescent="0.2">
      <c r="A53" s="2" t="s">
        <v>333</v>
      </c>
      <c r="E53" s="31"/>
      <c r="F53" s="187"/>
      <c r="G53" s="187"/>
      <c r="H53" s="187"/>
      <c r="I53" s="187"/>
    </row>
    <row r="54" spans="1:9" ht="12" customHeight="1" x14ac:dyDescent="0.2">
      <c r="A54" s="551" t="s">
        <v>585</v>
      </c>
      <c r="B54" s="551"/>
      <c r="C54" s="551"/>
      <c r="D54" s="551"/>
      <c r="E54" s="551"/>
      <c r="F54" s="551"/>
      <c r="G54" s="551"/>
      <c r="H54" s="551"/>
      <c r="I54" s="551"/>
    </row>
    <row r="55" spans="1:9" ht="12" customHeight="1" x14ac:dyDescent="0.2">
      <c r="A55" s="551"/>
      <c r="B55" s="551"/>
      <c r="C55" s="551"/>
      <c r="D55" s="551"/>
      <c r="E55" s="551"/>
      <c r="F55" s="551"/>
      <c r="G55" s="551"/>
      <c r="H55" s="551"/>
      <c r="I55" s="551"/>
    </row>
    <row r="56" spans="1:9" ht="12" customHeight="1" x14ac:dyDescent="0.2">
      <c r="A56" s="551"/>
      <c r="B56" s="551"/>
      <c r="C56" s="551"/>
      <c r="D56" s="551"/>
      <c r="E56" s="551"/>
      <c r="F56" s="551"/>
      <c r="G56" s="551"/>
      <c r="H56" s="551"/>
      <c r="I56" s="551"/>
    </row>
    <row r="57" spans="1:9" ht="22.15" customHeight="1" x14ac:dyDescent="0.2">
      <c r="A57" s="551"/>
      <c r="B57" s="551"/>
      <c r="C57" s="551"/>
      <c r="D57" s="551"/>
      <c r="E57" s="551"/>
      <c r="F57" s="551"/>
      <c r="G57" s="551"/>
      <c r="H57" s="551"/>
      <c r="I57" s="551"/>
    </row>
    <row r="58" spans="1:9" ht="12" customHeight="1" x14ac:dyDescent="0.2">
      <c r="A58" s="727" t="s">
        <v>574</v>
      </c>
      <c r="B58" s="727"/>
      <c r="C58" s="727"/>
      <c r="D58" s="727"/>
      <c r="E58" s="727"/>
      <c r="F58" s="727"/>
      <c r="G58" s="727"/>
      <c r="H58" s="727"/>
      <c r="I58" s="727"/>
    </row>
    <row r="59" spans="1:9" ht="12" customHeight="1" x14ac:dyDescent="0.2">
      <c r="A59" s="727"/>
      <c r="B59" s="727"/>
      <c r="C59" s="727"/>
      <c r="D59" s="727"/>
      <c r="E59" s="727"/>
      <c r="F59" s="727"/>
      <c r="G59" s="727"/>
      <c r="H59" s="727"/>
      <c r="I59" s="727"/>
    </row>
    <row r="60" spans="1:9" ht="12" customHeight="1" x14ac:dyDescent="0.2">
      <c r="A60" s="356" t="s">
        <v>570</v>
      </c>
      <c r="B60" s="90"/>
      <c r="C60" s="90"/>
      <c r="D60" s="90"/>
      <c r="E60" s="90"/>
      <c r="F60" s="90"/>
      <c r="G60" s="90"/>
      <c r="H60" s="90"/>
      <c r="I60" s="90"/>
    </row>
    <row r="61" spans="1:9" x14ac:dyDescent="0.2">
      <c r="A61" s="2" t="s">
        <v>334</v>
      </c>
      <c r="B61" s="90"/>
      <c r="C61" s="90"/>
      <c r="D61" s="90"/>
      <c r="E61" s="90"/>
      <c r="F61" s="90"/>
      <c r="G61" s="90"/>
      <c r="H61" s="90"/>
      <c r="I61" s="90"/>
    </row>
    <row r="62" spans="1:9" x14ac:dyDescent="0.2">
      <c r="A62" s="443" t="s">
        <v>618</v>
      </c>
    </row>
    <row r="67" spans="7:7" x14ac:dyDescent="0.2">
      <c r="G67" s="131"/>
    </row>
  </sheetData>
  <mergeCells count="11">
    <mergeCell ref="A58:I59"/>
    <mergeCell ref="A54:I57"/>
    <mergeCell ref="B5:F5"/>
    <mergeCell ref="B3:I3"/>
    <mergeCell ref="B7:B9"/>
    <mergeCell ref="C7:C9"/>
    <mergeCell ref="D7:D9"/>
    <mergeCell ref="E8:E9"/>
    <mergeCell ref="G7:G9"/>
    <mergeCell ref="H7:H9"/>
    <mergeCell ref="I6:I9"/>
  </mergeCells>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59"/>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x14ac:dyDescent="0.2">
      <c r="A1" s="3"/>
    </row>
    <row r="2" spans="1:9" ht="15.95" customHeight="1" x14ac:dyDescent="0.2">
      <c r="A2" s="183"/>
      <c r="B2" s="53" t="str">
        <f>REVYEAR</f>
        <v>ANALYSIS OF OPERATING FUND REVENUE: 2020/2021 BUDGET</v>
      </c>
      <c r="C2" s="101"/>
      <c r="D2" s="101"/>
      <c r="E2" s="101"/>
      <c r="F2" s="101"/>
      <c r="G2" s="190"/>
      <c r="H2" s="191"/>
      <c r="I2" s="185" t="s">
        <v>2</v>
      </c>
    </row>
    <row r="3" spans="1:9" ht="15.95" customHeight="1" x14ac:dyDescent="0.2">
      <c r="A3" s="180"/>
    </row>
    <row r="4" spans="1:9" ht="15.95" customHeight="1" x14ac:dyDescent="0.2">
      <c r="B4" s="4"/>
      <c r="C4" s="4"/>
      <c r="D4" s="4"/>
      <c r="E4" s="4"/>
      <c r="F4" s="4"/>
      <c r="G4" s="4"/>
      <c r="H4" s="4"/>
      <c r="I4" s="55"/>
    </row>
    <row r="5" spans="1:9" ht="15.95" customHeight="1" x14ac:dyDescent="0.2">
      <c r="B5" s="4"/>
      <c r="C5" s="4"/>
      <c r="D5" s="4"/>
      <c r="E5" s="4"/>
      <c r="F5" s="4"/>
      <c r="G5" s="4"/>
      <c r="H5" s="4"/>
      <c r="I5" s="4"/>
    </row>
    <row r="6" spans="1:9" ht="15.95" customHeight="1" x14ac:dyDescent="0.2">
      <c r="B6" s="4"/>
      <c r="C6" s="4"/>
      <c r="D6" s="4"/>
      <c r="E6" s="4"/>
      <c r="F6" s="4"/>
      <c r="G6" s="4"/>
      <c r="H6" s="4"/>
      <c r="I6" s="4"/>
    </row>
    <row r="7" spans="1:9" ht="15.95" customHeight="1" x14ac:dyDescent="0.2">
      <c r="B7" s="693" t="s">
        <v>454</v>
      </c>
      <c r="C7" s="694"/>
      <c r="D7" s="741" t="s">
        <v>455</v>
      </c>
      <c r="E7" s="623"/>
      <c r="F7" s="626" t="s">
        <v>445</v>
      </c>
      <c r="G7" s="623"/>
      <c r="H7" s="278"/>
      <c r="I7" s="270"/>
    </row>
    <row r="8" spans="1:9" ht="15.95" customHeight="1" x14ac:dyDescent="0.2">
      <c r="A8" s="249"/>
      <c r="B8" s="695"/>
      <c r="C8" s="696"/>
      <c r="D8" s="742"/>
      <c r="E8" s="625"/>
      <c r="F8" s="624"/>
      <c r="G8" s="625"/>
      <c r="H8" s="629" t="s">
        <v>54</v>
      </c>
      <c r="I8" s="617"/>
    </row>
    <row r="9" spans="1:9" ht="15.95" customHeight="1" x14ac:dyDescent="0.2">
      <c r="A9" s="27" t="s">
        <v>37</v>
      </c>
      <c r="B9" s="473" t="s">
        <v>55</v>
      </c>
      <c r="C9" s="108" t="s">
        <v>39</v>
      </c>
      <c r="D9" s="181" t="s">
        <v>55</v>
      </c>
      <c r="E9" s="181" t="s">
        <v>39</v>
      </c>
      <c r="F9" s="181" t="s">
        <v>55</v>
      </c>
      <c r="G9" s="181" t="s">
        <v>39</v>
      </c>
      <c r="H9" s="189" t="s">
        <v>55</v>
      </c>
      <c r="I9" s="189" t="s">
        <v>39</v>
      </c>
    </row>
    <row r="10" spans="1:9" ht="5.0999999999999996" customHeight="1" x14ac:dyDescent="0.2">
      <c r="A10" s="29"/>
      <c r="B10" s="182"/>
      <c r="C10" s="182"/>
      <c r="D10" s="182"/>
      <c r="E10" s="182"/>
      <c r="F10" s="182"/>
      <c r="G10" s="182"/>
      <c r="H10" s="182"/>
      <c r="I10" s="182"/>
    </row>
    <row r="11" spans="1:9" ht="14.1" customHeight="1" x14ac:dyDescent="0.2">
      <c r="A11" s="271" t="s">
        <v>108</v>
      </c>
      <c r="B11" s="272">
        <v>0</v>
      </c>
      <c r="C11" s="273">
        <f>B11/'- 43 -'!$I11*100</f>
        <v>0</v>
      </c>
      <c r="D11" s="272">
        <v>7845602</v>
      </c>
      <c r="E11" s="273">
        <f>D11/'- 43 -'!$I11*100</f>
        <v>35.194317161742511</v>
      </c>
      <c r="F11" s="272">
        <v>35000</v>
      </c>
      <c r="G11" s="273">
        <f>F11/'- 43 -'!$I11*100</f>
        <v>0.15700530063352536</v>
      </c>
      <c r="H11" s="272">
        <v>0</v>
      </c>
      <c r="I11" s="273">
        <f>H11/'- 43 -'!$I11*100</f>
        <v>0</v>
      </c>
    </row>
    <row r="12" spans="1:9" ht="14.1" customHeight="1" x14ac:dyDescent="0.2">
      <c r="A12" s="15" t="s">
        <v>109</v>
      </c>
      <c r="B12" s="16">
        <v>0</v>
      </c>
      <c r="C12" s="267">
        <f>B12/'- 43 -'!$I12*100</f>
        <v>0</v>
      </c>
      <c r="D12" s="16">
        <v>12935814</v>
      </c>
      <c r="E12" s="267">
        <f>D12/'- 43 -'!$I12*100</f>
        <v>36.341329552162527</v>
      </c>
      <c r="F12" s="16">
        <v>573000</v>
      </c>
      <c r="G12" s="267">
        <f>F12/'- 43 -'!$I12*100</f>
        <v>1.6097620013235447</v>
      </c>
      <c r="H12" s="16">
        <v>1047000</v>
      </c>
      <c r="I12" s="267">
        <f>H12/'- 43 -'!$I12*100</f>
        <v>2.9413975835702466</v>
      </c>
    </row>
    <row r="13" spans="1:9" ht="14.1" customHeight="1" x14ac:dyDescent="0.2">
      <c r="A13" s="271" t="s">
        <v>110</v>
      </c>
      <c r="B13" s="272">
        <v>25800</v>
      </c>
      <c r="C13" s="273">
        <f>B13/'- 43 -'!$I13*100</f>
        <v>2.395725579849162E-2</v>
      </c>
      <c r="D13" s="272">
        <v>40475105</v>
      </c>
      <c r="E13" s="273">
        <f>D13/'- 43 -'!$I13*100</f>
        <v>37.584203254101055</v>
      </c>
      <c r="F13" s="272">
        <v>450700</v>
      </c>
      <c r="G13" s="273">
        <f>F13/'- 43 -'!$I13*100</f>
        <v>0.41850911582868888</v>
      </c>
      <c r="H13" s="272">
        <v>360300</v>
      </c>
      <c r="I13" s="273">
        <f>H13/'- 43 -'!$I13*100</f>
        <v>0.33456586295335389</v>
      </c>
    </row>
    <row r="14" spans="1:9" ht="14.1" customHeight="1" x14ac:dyDescent="0.2">
      <c r="A14" s="15" t="s">
        <v>319</v>
      </c>
      <c r="B14" s="16">
        <v>176305</v>
      </c>
      <c r="C14" s="267">
        <f>B14/'- 43 -'!$I14*100</f>
        <v>0.1809301277104704</v>
      </c>
      <c r="D14" s="16">
        <v>27592912</v>
      </c>
      <c r="E14" s="267">
        <f>D14/'- 43 -'!$I14*100</f>
        <v>28.316775429305874</v>
      </c>
      <c r="F14" s="16">
        <v>2441328</v>
      </c>
      <c r="G14" s="267">
        <f>F14/'- 43 -'!$I14*100</f>
        <v>2.5053730003298109</v>
      </c>
      <c r="H14" s="16">
        <v>0</v>
      </c>
      <c r="I14" s="267">
        <f>H14/'- 43 -'!$I14*100</f>
        <v>0</v>
      </c>
    </row>
    <row r="15" spans="1:9" ht="14.1" customHeight="1" x14ac:dyDescent="0.2">
      <c r="A15" s="271" t="s">
        <v>111</v>
      </c>
      <c r="B15" s="272">
        <v>0</v>
      </c>
      <c r="C15" s="273">
        <f>B15/'- 43 -'!$I15*100</f>
        <v>0</v>
      </c>
      <c r="D15" s="272">
        <v>8770114</v>
      </c>
      <c r="E15" s="273">
        <f>D15/'- 43 -'!$I15*100</f>
        <v>40.703609128647308</v>
      </c>
      <c r="F15" s="272">
        <v>50000</v>
      </c>
      <c r="G15" s="273">
        <f>F15/'- 43 -'!$I15*100</f>
        <v>0.23205860909360645</v>
      </c>
      <c r="H15" s="272">
        <v>130000</v>
      </c>
      <c r="I15" s="273">
        <f>H15/'- 43 -'!$I15*100</f>
        <v>0.60335238364337673</v>
      </c>
    </row>
    <row r="16" spans="1:9" ht="14.1" customHeight="1" x14ac:dyDescent="0.2">
      <c r="A16" s="15" t="s">
        <v>112</v>
      </c>
      <c r="B16" s="16">
        <v>0</v>
      </c>
      <c r="C16" s="267">
        <f>B16/'- 43 -'!$I16*100</f>
        <v>0</v>
      </c>
      <c r="D16" s="16">
        <v>3677161</v>
      </c>
      <c r="E16" s="267">
        <f>D16/'- 43 -'!$I16*100</f>
        <v>24.412064781219854</v>
      </c>
      <c r="F16" s="16">
        <v>238683</v>
      </c>
      <c r="G16" s="267">
        <f>F16/'- 43 -'!$I16*100</f>
        <v>1.5845770305341262</v>
      </c>
      <c r="H16" s="16">
        <v>0</v>
      </c>
      <c r="I16" s="267">
        <f>H16/'- 43 -'!$I16*100</f>
        <v>0</v>
      </c>
    </row>
    <row r="17" spans="1:9" ht="14.1" customHeight="1" x14ac:dyDescent="0.2">
      <c r="A17" s="271" t="s">
        <v>113</v>
      </c>
      <c r="B17" s="272">
        <v>0</v>
      </c>
      <c r="C17" s="273">
        <f>B17/'- 43 -'!$I17*100</f>
        <v>0</v>
      </c>
      <c r="D17" s="272">
        <v>8384296</v>
      </c>
      <c r="E17" s="273">
        <f>D17/'- 43 -'!$I17*100</f>
        <v>44.320797450163987</v>
      </c>
      <c r="F17" s="272">
        <v>38800</v>
      </c>
      <c r="G17" s="273">
        <f>F17/'- 43 -'!$I17*100</f>
        <v>0.20510331947564386</v>
      </c>
      <c r="H17" s="272">
        <v>896500</v>
      </c>
      <c r="I17" s="273">
        <f>H17/'- 43 -'!$I17*100</f>
        <v>4.7390496368534718</v>
      </c>
    </row>
    <row r="18" spans="1:9" ht="14.1" customHeight="1" x14ac:dyDescent="0.2">
      <c r="A18" s="15" t="s">
        <v>114</v>
      </c>
      <c r="B18" s="16">
        <v>0</v>
      </c>
      <c r="C18" s="374">
        <f>B18/'- 43 -'!$I18*100</f>
        <v>0</v>
      </c>
      <c r="D18" s="16">
        <v>3297893</v>
      </c>
      <c r="E18" s="267">
        <f>D18/'- 43 -'!$I18*100</f>
        <v>2.2687117296827983</v>
      </c>
      <c r="F18" s="16">
        <v>0</v>
      </c>
      <c r="G18" s="267">
        <f>F18/'- 43 -'!$I18*100</f>
        <v>0</v>
      </c>
      <c r="H18" s="16">
        <v>87252076</v>
      </c>
      <c r="I18" s="267">
        <f>H18/'- 43 -'!$I18*100</f>
        <v>60.023114230927142</v>
      </c>
    </row>
    <row r="19" spans="1:9" ht="14.1" customHeight="1" x14ac:dyDescent="0.2">
      <c r="A19" s="271" t="s">
        <v>115</v>
      </c>
      <c r="B19" s="272">
        <v>0</v>
      </c>
      <c r="C19" s="273">
        <f>B19/'- 43 -'!$I19*100</f>
        <v>0</v>
      </c>
      <c r="D19" s="272">
        <v>16929037</v>
      </c>
      <c r="E19" s="273">
        <f>D19/'- 43 -'!$I19*100</f>
        <v>32.663223243584298</v>
      </c>
      <c r="F19" s="272">
        <v>345000</v>
      </c>
      <c r="G19" s="273">
        <f>F19/'- 43 -'!$I19*100</f>
        <v>0.66564991375685367</v>
      </c>
      <c r="H19" s="272">
        <v>0</v>
      </c>
      <c r="I19" s="273">
        <f>H19/'- 43 -'!$I19*100</f>
        <v>0</v>
      </c>
    </row>
    <row r="20" spans="1:9" ht="14.1" customHeight="1" x14ac:dyDescent="0.2">
      <c r="A20" s="15" t="s">
        <v>116</v>
      </c>
      <c r="B20" s="16">
        <v>0</v>
      </c>
      <c r="C20" s="267">
        <f>B20/'- 43 -'!$I20*100</f>
        <v>0</v>
      </c>
      <c r="D20" s="16">
        <v>28622593</v>
      </c>
      <c r="E20" s="267">
        <f>D20/'- 43 -'!$I20*100</f>
        <v>30.356044569072303</v>
      </c>
      <c r="F20" s="16">
        <v>69000</v>
      </c>
      <c r="G20" s="267">
        <f>F20/'- 43 -'!$I20*100</f>
        <v>7.3178802328146483E-2</v>
      </c>
      <c r="H20" s="16">
        <v>0</v>
      </c>
      <c r="I20" s="267">
        <f>H20/'- 43 -'!$I20*100</f>
        <v>0</v>
      </c>
    </row>
    <row r="21" spans="1:9" ht="14.1" customHeight="1" x14ac:dyDescent="0.2">
      <c r="A21" s="271" t="s">
        <v>117</v>
      </c>
      <c r="B21" s="272">
        <v>0</v>
      </c>
      <c r="C21" s="273">
        <f>B21/'- 43 -'!$I21*100</f>
        <v>0</v>
      </c>
      <c r="D21" s="272">
        <v>16609700</v>
      </c>
      <c r="E21" s="273">
        <f>D21/'- 43 -'!$I21*100</f>
        <v>42.841630126386384</v>
      </c>
      <c r="F21" s="272">
        <v>25000</v>
      </c>
      <c r="G21" s="273">
        <f>F21/'- 43 -'!$I21*100</f>
        <v>6.4482847562548365E-2</v>
      </c>
      <c r="H21" s="272">
        <v>0</v>
      </c>
      <c r="I21" s="273">
        <f>H21/'- 43 -'!$I21*100</f>
        <v>0</v>
      </c>
    </row>
    <row r="22" spans="1:9" ht="14.1" customHeight="1" x14ac:dyDescent="0.2">
      <c r="A22" s="15" t="s">
        <v>118</v>
      </c>
      <c r="B22" s="16">
        <v>26000</v>
      </c>
      <c r="C22" s="267">
        <f>B22/'- 43 -'!$I22*100</f>
        <v>0.12699389574533818</v>
      </c>
      <c r="D22" s="16">
        <v>3370514</v>
      </c>
      <c r="E22" s="267">
        <f>D22/'- 43 -'!$I22*100</f>
        <v>16.462873212469333</v>
      </c>
      <c r="F22" s="16">
        <v>5000</v>
      </c>
      <c r="G22" s="267">
        <f>F22/'- 43 -'!$I22*100</f>
        <v>2.4421903027949648E-2</v>
      </c>
      <c r="H22" s="16">
        <v>80000</v>
      </c>
      <c r="I22" s="267">
        <f>H22/'- 43 -'!$I22*100</f>
        <v>0.39075044844719437</v>
      </c>
    </row>
    <row r="23" spans="1:9" ht="14.1" customHeight="1" x14ac:dyDescent="0.2">
      <c r="A23" s="271" t="s">
        <v>119</v>
      </c>
      <c r="B23" s="272">
        <v>248437</v>
      </c>
      <c r="C23" s="273">
        <f>B23/'- 43 -'!$I23*100</f>
        <v>1.5451684231528782</v>
      </c>
      <c r="D23" s="272">
        <v>3966026</v>
      </c>
      <c r="E23" s="273">
        <f>D23/'- 43 -'!$I23*100</f>
        <v>24.666930210086729</v>
      </c>
      <c r="F23" s="272">
        <v>55000</v>
      </c>
      <c r="G23" s="273">
        <f>F23/'- 43 -'!$I23*100</f>
        <v>0.34207571043527457</v>
      </c>
      <c r="H23" s="272">
        <v>250000</v>
      </c>
      <c r="I23" s="273">
        <f>H23/'- 43 -'!$I23*100</f>
        <v>1.5548895928876114</v>
      </c>
    </row>
    <row r="24" spans="1:9" ht="14.1" customHeight="1" x14ac:dyDescent="0.2">
      <c r="A24" s="15" t="s">
        <v>120</v>
      </c>
      <c r="B24" s="16">
        <v>0</v>
      </c>
      <c r="C24" s="267">
        <f>B24/'- 43 -'!$I24*100</f>
        <v>0</v>
      </c>
      <c r="D24" s="16">
        <v>25851028</v>
      </c>
      <c r="E24" s="267">
        <f>D24/'- 43 -'!$I24*100</f>
        <v>43.506788421589029</v>
      </c>
      <c r="F24" s="16">
        <v>160100</v>
      </c>
      <c r="G24" s="267">
        <f>F24/'- 43 -'!$I24*100</f>
        <v>0.26944525479978604</v>
      </c>
      <c r="H24" s="16">
        <v>490000</v>
      </c>
      <c r="I24" s="267">
        <f>H24/'- 43 -'!$I24*100</f>
        <v>0.82466067989940761</v>
      </c>
    </row>
    <row r="25" spans="1:9" ht="14.1" customHeight="1" x14ac:dyDescent="0.2">
      <c r="A25" s="271" t="s">
        <v>121</v>
      </c>
      <c r="B25" s="272">
        <v>0</v>
      </c>
      <c r="C25" s="273">
        <f>B25/'- 43 -'!$I25*100</f>
        <v>0</v>
      </c>
      <c r="D25" s="272">
        <v>80367275</v>
      </c>
      <c r="E25" s="273">
        <f>D25/'- 43 -'!$I25*100</f>
        <v>40.910160217092134</v>
      </c>
      <c r="F25" s="272">
        <v>550000</v>
      </c>
      <c r="G25" s="273">
        <f>F25/'- 43 -'!$I25*100</f>
        <v>0.27997201745860706</v>
      </c>
      <c r="H25" s="272">
        <v>0</v>
      </c>
      <c r="I25" s="273">
        <f>H25/'- 43 -'!$I25*100</f>
        <v>0</v>
      </c>
    </row>
    <row r="26" spans="1:9" ht="14.1" customHeight="1" x14ac:dyDescent="0.2">
      <c r="A26" s="15" t="s">
        <v>122</v>
      </c>
      <c r="B26" s="16">
        <v>20010</v>
      </c>
      <c r="C26" s="267">
        <f>B26/'- 43 -'!$I26*100</f>
        <v>4.6455492364839007E-2</v>
      </c>
      <c r="D26" s="16">
        <v>14036195</v>
      </c>
      <c r="E26" s="267">
        <f>D26/'- 43 -'!$I26*100</f>
        <v>32.586624170609269</v>
      </c>
      <c r="F26" s="16">
        <v>447360</v>
      </c>
      <c r="G26" s="267">
        <f>F26/'- 43 -'!$I26*100</f>
        <v>1.0385971546393993</v>
      </c>
      <c r="H26" s="16">
        <v>800412</v>
      </c>
      <c r="I26" s="267">
        <f>H26/'- 43 -'!$I26*100</f>
        <v>1.8582475539592964</v>
      </c>
    </row>
    <row r="27" spans="1:9" ht="14.1" customHeight="1" x14ac:dyDescent="0.2">
      <c r="A27" s="271" t="s">
        <v>123</v>
      </c>
      <c r="B27" s="272">
        <v>0</v>
      </c>
      <c r="C27" s="273">
        <f>B27/'- 43 -'!$I27*100</f>
        <v>0</v>
      </c>
      <c r="D27" s="272">
        <v>7119778</v>
      </c>
      <c r="E27" s="273">
        <f>D27/'- 43 -'!$I27*100</f>
        <v>16.630170634841758</v>
      </c>
      <c r="F27" s="272">
        <v>135000</v>
      </c>
      <c r="G27" s="273">
        <f>F27/'- 43 -'!$I27*100</f>
        <v>0.31532907847739594</v>
      </c>
      <c r="H27" s="272">
        <v>300000</v>
      </c>
      <c r="I27" s="273">
        <f>H27/'- 43 -'!$I27*100</f>
        <v>0.70073128550532437</v>
      </c>
    </row>
    <row r="28" spans="1:9" ht="14.1" customHeight="1" x14ac:dyDescent="0.2">
      <c r="A28" s="15" t="s">
        <v>124</v>
      </c>
      <c r="B28" s="16">
        <v>0</v>
      </c>
      <c r="C28" s="267">
        <f>B28/'- 43 -'!$I28*100</f>
        <v>0</v>
      </c>
      <c r="D28" s="16">
        <v>8448202</v>
      </c>
      <c r="E28" s="267">
        <f>D28/'- 43 -'!$I28*100</f>
        <v>28.984905496989011</v>
      </c>
      <c r="F28" s="16">
        <v>65600</v>
      </c>
      <c r="G28" s="267">
        <f>F28/'- 43 -'!$I28*100</f>
        <v>0.22506680126759271</v>
      </c>
      <c r="H28" s="16">
        <v>7596456</v>
      </c>
      <c r="I28" s="267">
        <f>H28/'- 43 -'!$I28*100</f>
        <v>26.062653245274575</v>
      </c>
    </row>
    <row r="29" spans="1:9" ht="14.1" customHeight="1" x14ac:dyDescent="0.2">
      <c r="A29" s="271" t="s">
        <v>125</v>
      </c>
      <c r="B29" s="272">
        <v>0</v>
      </c>
      <c r="C29" s="273">
        <f>B29/'- 43 -'!$I29*100</f>
        <v>0</v>
      </c>
      <c r="D29" s="272">
        <v>88774343</v>
      </c>
      <c r="E29" s="273">
        <f>D29/'- 43 -'!$I29*100</f>
        <v>49.142711984448653</v>
      </c>
      <c r="F29" s="272">
        <v>520000</v>
      </c>
      <c r="G29" s="273">
        <f>F29/'- 43 -'!$I29*100</f>
        <v>0.28785580797723614</v>
      </c>
      <c r="H29" s="272">
        <v>0</v>
      </c>
      <c r="I29" s="273">
        <f>H29/'- 43 -'!$I29*100</f>
        <v>0</v>
      </c>
    </row>
    <row r="30" spans="1:9" ht="14.1" customHeight="1" x14ac:dyDescent="0.2">
      <c r="A30" s="15" t="s">
        <v>126</v>
      </c>
      <c r="B30" s="16">
        <v>0</v>
      </c>
      <c r="C30" s="267">
        <f>B30/'- 43 -'!$I30*100</f>
        <v>0</v>
      </c>
      <c r="D30" s="16">
        <v>6766125</v>
      </c>
      <c r="E30" s="267">
        <f>D30/'- 43 -'!$I30*100</f>
        <v>43.636409015608272</v>
      </c>
      <c r="F30" s="16">
        <v>45000</v>
      </c>
      <c r="G30" s="267">
        <f>F30/'- 43 -'!$I30*100</f>
        <v>0.29021609942210236</v>
      </c>
      <c r="H30" s="16">
        <v>0</v>
      </c>
      <c r="I30" s="267">
        <f>H30/'- 43 -'!$I30*100</f>
        <v>0</v>
      </c>
    </row>
    <row r="31" spans="1:9" ht="14.1" customHeight="1" x14ac:dyDescent="0.2">
      <c r="A31" s="271" t="s">
        <v>127</v>
      </c>
      <c r="B31" s="272">
        <v>0</v>
      </c>
      <c r="C31" s="273">
        <f>B31/'- 43 -'!$I31*100</f>
        <v>0</v>
      </c>
      <c r="D31" s="272">
        <v>15777818</v>
      </c>
      <c r="E31" s="273">
        <f>D31/'- 43 -'!$I31*100</f>
        <v>38.234923917730526</v>
      </c>
      <c r="F31" s="272">
        <v>180000</v>
      </c>
      <c r="G31" s="273">
        <f>F31/'- 43 -'!$I31*100</f>
        <v>0.43620013269208036</v>
      </c>
      <c r="H31" s="272">
        <v>2150000</v>
      </c>
      <c r="I31" s="273">
        <f>H31/'- 43 -'!$I31*100</f>
        <v>5.2101682515998489</v>
      </c>
    </row>
    <row r="32" spans="1:9" ht="14.1" customHeight="1" x14ac:dyDescent="0.2">
      <c r="A32" s="15" t="s">
        <v>128</v>
      </c>
      <c r="B32" s="16">
        <v>0</v>
      </c>
      <c r="C32" s="267">
        <f>B32/'- 43 -'!$I32*100</f>
        <v>0</v>
      </c>
      <c r="D32" s="16">
        <v>14845693</v>
      </c>
      <c r="E32" s="267">
        <f>D32/'- 43 -'!$I32*100</f>
        <v>47.08721223031737</v>
      </c>
      <c r="F32" s="16">
        <v>115000</v>
      </c>
      <c r="G32" s="267">
        <f>F32/'- 43 -'!$I32*100</f>
        <v>0.36475423589094141</v>
      </c>
      <c r="H32" s="16">
        <v>0</v>
      </c>
      <c r="I32" s="267">
        <f>H32/'- 43 -'!$I32*100</f>
        <v>0</v>
      </c>
    </row>
    <row r="33" spans="1:9" ht="14.1" customHeight="1" x14ac:dyDescent="0.2">
      <c r="A33" s="271" t="s">
        <v>129</v>
      </c>
      <c r="B33" s="272">
        <v>0</v>
      </c>
      <c r="C33" s="273">
        <f>B33/'- 43 -'!$I33*100</f>
        <v>0</v>
      </c>
      <c r="D33" s="272">
        <v>12035964</v>
      </c>
      <c r="E33" s="273">
        <f>D33/'- 43 -'!$I33*100</f>
        <v>41.5438021266514</v>
      </c>
      <c r="F33" s="272">
        <v>40000</v>
      </c>
      <c r="G33" s="273">
        <f>F33/'- 43 -'!$I33*100</f>
        <v>0.13806555794501013</v>
      </c>
      <c r="H33" s="272">
        <v>230000</v>
      </c>
      <c r="I33" s="273">
        <f>H33/'- 43 -'!$I33*100</f>
        <v>0.79387695818380832</v>
      </c>
    </row>
    <row r="34" spans="1:9" ht="14.1" customHeight="1" x14ac:dyDescent="0.2">
      <c r="A34" s="15" t="s">
        <v>130</v>
      </c>
      <c r="B34" s="16">
        <v>21025</v>
      </c>
      <c r="C34" s="267">
        <f>B34/'- 43 -'!$I34*100</f>
        <v>6.4216308749446865E-2</v>
      </c>
      <c r="D34" s="16">
        <v>15387967</v>
      </c>
      <c r="E34" s="267">
        <f>D34/'- 43 -'!$I34*100</f>
        <v>46.999212361393568</v>
      </c>
      <c r="F34" s="16">
        <v>1752502</v>
      </c>
      <c r="G34" s="267">
        <f>F34/'- 43 -'!$I34*100</f>
        <v>5.3526377891093047</v>
      </c>
      <c r="H34" s="16">
        <v>0</v>
      </c>
      <c r="I34" s="267">
        <f>H34/'- 43 -'!$I34*100</f>
        <v>0</v>
      </c>
    </row>
    <row r="35" spans="1:9" ht="14.1" customHeight="1" x14ac:dyDescent="0.2">
      <c r="A35" s="271" t="s">
        <v>131</v>
      </c>
      <c r="B35" s="272">
        <v>0</v>
      </c>
      <c r="C35" s="273">
        <f>B35/'- 43 -'!$I35*100</f>
        <v>0</v>
      </c>
      <c r="D35" s="272">
        <v>70365151</v>
      </c>
      <c r="E35" s="273">
        <f>D35/'- 43 -'!$I35*100</f>
        <v>35.314555174471344</v>
      </c>
      <c r="F35" s="272">
        <v>215000</v>
      </c>
      <c r="G35" s="273">
        <f>F35/'- 43 -'!$I35*100</f>
        <v>0.10790326254698636</v>
      </c>
      <c r="H35" s="272">
        <v>0</v>
      </c>
      <c r="I35" s="273">
        <f>H35/'- 43 -'!$I35*100</f>
        <v>0</v>
      </c>
    </row>
    <row r="36" spans="1:9" ht="14.1" customHeight="1" x14ac:dyDescent="0.2">
      <c r="A36" s="15" t="s">
        <v>132</v>
      </c>
      <c r="B36" s="16">
        <v>0</v>
      </c>
      <c r="C36" s="267">
        <f>B36/'- 43 -'!$I36*100</f>
        <v>0</v>
      </c>
      <c r="D36" s="16">
        <v>10277014</v>
      </c>
      <c r="E36" s="267">
        <f>D36/'- 43 -'!$I36*100</f>
        <v>41.558222982996412</v>
      </c>
      <c r="F36" s="16">
        <v>52000</v>
      </c>
      <c r="G36" s="267">
        <f>F36/'- 43 -'!$I36*100</f>
        <v>0.21027777086961383</v>
      </c>
      <c r="H36" s="16">
        <v>1223675</v>
      </c>
      <c r="I36" s="267">
        <f>H36/'- 43 -'!$I36*100</f>
        <v>4.9483009859398983</v>
      </c>
    </row>
    <row r="37" spans="1:9" ht="14.1" customHeight="1" x14ac:dyDescent="0.2">
      <c r="A37" s="271" t="s">
        <v>133</v>
      </c>
      <c r="B37" s="272">
        <v>15000</v>
      </c>
      <c r="C37" s="273">
        <f>B37/'- 43 -'!$I37*100</f>
        <v>2.6749411512946717E-2</v>
      </c>
      <c r="D37" s="272">
        <v>18208658</v>
      </c>
      <c r="E37" s="273">
        <f>D37/'- 43 -'!$I37*100</f>
        <v>32.471392396033956</v>
      </c>
      <c r="F37" s="272">
        <v>250000</v>
      </c>
      <c r="G37" s="273">
        <f>F37/'- 43 -'!$I37*100</f>
        <v>0.44582352521577856</v>
      </c>
      <c r="H37" s="272">
        <v>0</v>
      </c>
      <c r="I37" s="273">
        <f>H37/'- 43 -'!$I37*100</f>
        <v>0</v>
      </c>
    </row>
    <row r="38" spans="1:9" ht="14.1" customHeight="1" x14ac:dyDescent="0.2">
      <c r="A38" s="15" t="s">
        <v>134</v>
      </c>
      <c r="B38" s="16">
        <v>1730900</v>
      </c>
      <c r="C38" s="267">
        <f>B38/'- 43 -'!$I38*100</f>
        <v>1.1173851547677531</v>
      </c>
      <c r="D38" s="16">
        <v>49240518</v>
      </c>
      <c r="E38" s="267">
        <f>D38/'- 43 -'!$I38*100</f>
        <v>31.787292059780654</v>
      </c>
      <c r="F38" s="16">
        <v>1400000</v>
      </c>
      <c r="G38" s="267">
        <f>F38/'- 43 -'!$I38*100</f>
        <v>0.90377215129404043</v>
      </c>
      <c r="H38" s="16">
        <v>730000</v>
      </c>
      <c r="I38" s="267">
        <f>H38/'- 43 -'!$I38*100</f>
        <v>0.47125262174617821</v>
      </c>
    </row>
    <row r="39" spans="1:9" ht="14.1" customHeight="1" x14ac:dyDescent="0.2">
      <c r="A39" s="271" t="s">
        <v>135</v>
      </c>
      <c r="B39" s="272">
        <v>0</v>
      </c>
      <c r="C39" s="273">
        <f>B39/'- 43 -'!$I39*100</f>
        <v>0</v>
      </c>
      <c r="D39" s="272">
        <v>12098791</v>
      </c>
      <c r="E39" s="273">
        <f>D39/'- 43 -'!$I39*100</f>
        <v>50.922123454295985</v>
      </c>
      <c r="F39" s="272">
        <v>100000</v>
      </c>
      <c r="G39" s="273">
        <f>F39/'- 43 -'!$I39*100</f>
        <v>0.42088604931100954</v>
      </c>
      <c r="H39" s="272">
        <v>0</v>
      </c>
      <c r="I39" s="273">
        <f>H39/'- 43 -'!$I39*100</f>
        <v>0</v>
      </c>
    </row>
    <row r="40" spans="1:9" ht="14.1" customHeight="1" x14ac:dyDescent="0.2">
      <c r="A40" s="15" t="s">
        <v>136</v>
      </c>
      <c r="B40" s="16">
        <v>4018</v>
      </c>
      <c r="C40" s="267">
        <f>B40/'- 43 -'!$I40*100</f>
        <v>3.5598352804501222E-3</v>
      </c>
      <c r="D40" s="16">
        <v>53561360</v>
      </c>
      <c r="E40" s="267">
        <f>D40/'- 43 -'!$I40*100</f>
        <v>47.453862368563961</v>
      </c>
      <c r="F40" s="16">
        <v>496000</v>
      </c>
      <c r="G40" s="267">
        <f>F40/'- 43 -'!$I40*100</f>
        <v>0.43944208539155327</v>
      </c>
      <c r="H40" s="16">
        <v>230000</v>
      </c>
      <c r="I40" s="267">
        <f>H40/'- 43 -'!$I40*100</f>
        <v>0.20377354766140574</v>
      </c>
    </row>
    <row r="41" spans="1:9" ht="14.1" customHeight="1" x14ac:dyDescent="0.2">
      <c r="A41" s="271" t="s">
        <v>137</v>
      </c>
      <c r="B41" s="272">
        <v>0</v>
      </c>
      <c r="C41" s="273">
        <f>B41/'- 43 -'!$I41*100</f>
        <v>0</v>
      </c>
      <c r="D41" s="272">
        <v>30961213</v>
      </c>
      <c r="E41" s="273">
        <f>D41/'- 43 -'!$I41*100</f>
        <v>45.078406200076365</v>
      </c>
      <c r="F41" s="272">
        <v>74870</v>
      </c>
      <c r="G41" s="273">
        <f>F41/'- 43 -'!$I41*100</f>
        <v>0.10900801180495472</v>
      </c>
      <c r="H41" s="272">
        <v>245144</v>
      </c>
      <c r="I41" s="273">
        <f>H41/'- 43 -'!$I41*100</f>
        <v>0.35692079665972781</v>
      </c>
    </row>
    <row r="42" spans="1:9" ht="14.1" customHeight="1" x14ac:dyDescent="0.2">
      <c r="A42" s="15" t="s">
        <v>138</v>
      </c>
      <c r="B42" s="16">
        <v>0</v>
      </c>
      <c r="C42" s="267">
        <f>B42/'- 43 -'!$I42*100</f>
        <v>0</v>
      </c>
      <c r="D42" s="16">
        <v>6603058</v>
      </c>
      <c r="E42" s="267">
        <f>D42/'- 43 -'!$I42*100</f>
        <v>30.84506226415623</v>
      </c>
      <c r="F42" s="16">
        <v>12000</v>
      </c>
      <c r="G42" s="267">
        <f>F42/'- 43 -'!$I42*100</f>
        <v>5.6055958795133226E-2</v>
      </c>
      <c r="H42" s="16">
        <v>245050</v>
      </c>
      <c r="I42" s="267">
        <f>H42/'- 43 -'!$I42*100</f>
        <v>1.1447093918956164</v>
      </c>
    </row>
    <row r="43" spans="1:9" ht="14.1" customHeight="1" x14ac:dyDescent="0.2">
      <c r="A43" s="271" t="s">
        <v>139</v>
      </c>
      <c r="B43" s="272">
        <v>0</v>
      </c>
      <c r="C43" s="273">
        <f>B43/'- 43 -'!$I43*100</f>
        <v>0</v>
      </c>
      <c r="D43" s="272">
        <v>6304392</v>
      </c>
      <c r="E43" s="273">
        <f>D43/'- 43 -'!$I43*100</f>
        <v>45.590400924710224</v>
      </c>
      <c r="F43" s="272">
        <v>40408</v>
      </c>
      <c r="G43" s="273">
        <f>F43/'- 43 -'!$I43*100</f>
        <v>0.29221167093760836</v>
      </c>
      <c r="H43" s="272">
        <v>0</v>
      </c>
      <c r="I43" s="273">
        <f>H43/'- 43 -'!$I43*100</f>
        <v>0</v>
      </c>
    </row>
    <row r="44" spans="1:9" ht="14.1" customHeight="1" x14ac:dyDescent="0.2">
      <c r="A44" s="15" t="s">
        <v>140</v>
      </c>
      <c r="B44" s="16">
        <v>0</v>
      </c>
      <c r="C44" s="267">
        <f>B44/'- 43 -'!$I44*100</f>
        <v>0</v>
      </c>
      <c r="D44" s="16">
        <v>2968960</v>
      </c>
      <c r="E44" s="267">
        <f>D44/'- 43 -'!$I44*100</f>
        <v>26.069585217564551</v>
      </c>
      <c r="F44" s="16">
        <v>57200</v>
      </c>
      <c r="G44" s="267">
        <f>F44/'- 43 -'!$I44*100</f>
        <v>0.50225677491266052</v>
      </c>
      <c r="H44" s="16">
        <v>0</v>
      </c>
      <c r="I44" s="267">
        <f>H44/'- 43 -'!$I44*100</f>
        <v>0</v>
      </c>
    </row>
    <row r="45" spans="1:9" ht="14.1" customHeight="1" x14ac:dyDescent="0.2">
      <c r="A45" s="271" t="s">
        <v>141</v>
      </c>
      <c r="B45" s="272">
        <v>20000</v>
      </c>
      <c r="C45" s="273">
        <f>B45/'- 43 -'!$I45*100</f>
        <v>8.843773850552604E-2</v>
      </c>
      <c r="D45" s="272">
        <v>7539041</v>
      </c>
      <c r="E45" s="273">
        <f>D45/'- 43 -'!$I45*100</f>
        <v>33.336786827021974</v>
      </c>
      <c r="F45" s="272">
        <v>55250</v>
      </c>
      <c r="G45" s="273">
        <f>F45/'- 43 -'!$I45*100</f>
        <v>0.24430925262151565</v>
      </c>
      <c r="H45" s="272">
        <v>0</v>
      </c>
      <c r="I45" s="273">
        <f>H45/'- 43 -'!$I45*100</f>
        <v>0</v>
      </c>
    </row>
    <row r="46" spans="1:9" ht="14.1" customHeight="1" x14ac:dyDescent="0.2">
      <c r="A46" s="15" t="s">
        <v>142</v>
      </c>
      <c r="B46" s="16">
        <v>3696101</v>
      </c>
      <c r="C46" s="267">
        <f>B46/'- 43 -'!$I46*100</f>
        <v>0.87747164972744751</v>
      </c>
      <c r="D46" s="16">
        <v>166854793</v>
      </c>
      <c r="E46" s="267">
        <f>D46/'- 43 -'!$I46*100</f>
        <v>39.61210759084824</v>
      </c>
      <c r="F46" s="16">
        <v>2389400</v>
      </c>
      <c r="G46" s="267">
        <f>F46/'- 43 -'!$I46*100</f>
        <v>0.56725472595547666</v>
      </c>
      <c r="H46" s="16">
        <v>2270000</v>
      </c>
      <c r="I46" s="267">
        <f>H46/'- 43 -'!$I46*100</f>
        <v>0.53890860798482132</v>
      </c>
    </row>
    <row r="47" spans="1:9" ht="5.0999999999999996" customHeight="1" x14ac:dyDescent="0.2">
      <c r="A47"/>
      <c r="B47"/>
      <c r="C47"/>
      <c r="D47" s="507"/>
      <c r="E47"/>
      <c r="F47" s="507"/>
      <c r="G47"/>
      <c r="H47" s="507"/>
      <c r="I47"/>
    </row>
    <row r="48" spans="1:9" ht="14.1" customHeight="1" x14ac:dyDescent="0.2">
      <c r="A48" s="274" t="s">
        <v>143</v>
      </c>
      <c r="B48" s="275">
        <f>SUM(B11:B46)</f>
        <v>5983596</v>
      </c>
      <c r="C48" s="276">
        <f>B48/'- 43 -'!$I48*100</f>
        <v>0.23766603774731976</v>
      </c>
      <c r="D48" s="275">
        <f>SUM(D11:D46)</f>
        <v>906870104</v>
      </c>
      <c r="E48" s="276">
        <f>D48/'- 43 -'!$I48*100</f>
        <v>36.020517489680088</v>
      </c>
      <c r="F48" s="275">
        <f>SUM(F11:F46)</f>
        <v>13479201</v>
      </c>
      <c r="G48" s="276">
        <f>F48/'- 43 -'!$I48*100</f>
        <v>0.53538846768226167</v>
      </c>
      <c r="H48" s="275">
        <f>SUM(H11:H46)</f>
        <v>106526613</v>
      </c>
      <c r="I48" s="276">
        <f>H48/'- 43 -'!$I48*100</f>
        <v>4.2311944232785983</v>
      </c>
    </row>
    <row r="49" spans="1:9" ht="5.0999999999999996" customHeight="1" x14ac:dyDescent="0.2">
      <c r="A49" s="17" t="s">
        <v>1</v>
      </c>
      <c r="B49" s="18"/>
      <c r="C49" s="266"/>
      <c r="D49" s="18"/>
      <c r="E49" s="266"/>
      <c r="F49" s="18"/>
      <c r="G49" s="266"/>
      <c r="H49" s="18"/>
      <c r="I49" s="266"/>
    </row>
    <row r="50" spans="1:9" ht="14.1" customHeight="1" x14ac:dyDescent="0.2">
      <c r="A50" s="15" t="s">
        <v>144</v>
      </c>
      <c r="B50" s="16">
        <v>0</v>
      </c>
      <c r="C50" s="267">
        <f>B50/'- 43 -'!$I50*100</f>
        <v>0</v>
      </c>
      <c r="D50" s="16">
        <v>2133158</v>
      </c>
      <c r="E50" s="267">
        <f>D50/'- 43 -'!$I50*100</f>
        <v>59.079726242666474</v>
      </c>
      <c r="F50" s="16">
        <v>32500</v>
      </c>
      <c r="G50" s="267">
        <f>F50/'- 43 -'!$I50*100</f>
        <v>0.90011668281799118</v>
      </c>
      <c r="H50" s="16">
        <v>0</v>
      </c>
      <c r="I50" s="267">
        <f>H50/'- 43 -'!$I50*100</f>
        <v>0</v>
      </c>
    </row>
    <row r="51" spans="1:9" ht="14.1" customHeight="1" x14ac:dyDescent="0.2">
      <c r="A51" s="360" t="s">
        <v>513</v>
      </c>
      <c r="B51" s="272">
        <v>2593356</v>
      </c>
      <c r="C51" s="273">
        <f>B51/'- 43 -'!$I51*100</f>
        <v>7.3597819828379141</v>
      </c>
      <c r="D51" s="272">
        <v>0</v>
      </c>
      <c r="E51" s="273">
        <f>D51/'- 43 -'!$I51*100</f>
        <v>0</v>
      </c>
      <c r="F51" s="272">
        <v>2200016</v>
      </c>
      <c r="G51" s="273">
        <f>F51/'- 43 -'!$I51*100</f>
        <v>6.243507686085187</v>
      </c>
      <c r="H51" s="272">
        <v>0</v>
      </c>
      <c r="I51" s="273">
        <f>H51/'- 43 -'!$I51*100</f>
        <v>0</v>
      </c>
    </row>
    <row r="52" spans="1:9" ht="50.1" customHeight="1" x14ac:dyDescent="0.2">
      <c r="A52" s="19"/>
      <c r="B52" s="19"/>
      <c r="C52" s="19"/>
      <c r="D52" s="19"/>
      <c r="E52" s="19"/>
      <c r="F52" s="19"/>
      <c r="G52" s="19"/>
      <c r="H52" s="19"/>
      <c r="I52" s="19"/>
    </row>
    <row r="53" spans="1:9" ht="14.45" customHeight="1" x14ac:dyDescent="0.2">
      <c r="A53" s="743" t="str">
        <f>"(1)  Municipal Government revenue is net of "&amp;"$"&amp;TEXT('- 41 -'!C48,"00,0")&amp;" in Education Property Tax Credit (EPTC) revenue paid directly to school divisions. See 
       page 41 for EPTC revenue."</f>
        <v>(1)  Municipal Government revenue is net of $211,112,965 in Education Property Tax Credit (EPTC) revenue paid directly to school divisions. See 
       page 41 for EPTC revenue.</v>
      </c>
      <c r="B53" s="743"/>
      <c r="C53" s="743"/>
      <c r="D53" s="743"/>
      <c r="E53" s="743"/>
      <c r="F53" s="743"/>
      <c r="G53" s="743"/>
      <c r="H53" s="743"/>
      <c r="I53" s="743"/>
    </row>
    <row r="54" spans="1:9" ht="12" customHeight="1" x14ac:dyDescent="0.2">
      <c r="A54" s="744"/>
      <c r="B54" s="744"/>
      <c r="C54" s="744"/>
      <c r="D54" s="744"/>
      <c r="E54" s="744"/>
      <c r="F54" s="744"/>
      <c r="G54" s="744"/>
      <c r="H54" s="744"/>
      <c r="I54" s="744"/>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7:C8"/>
    <mergeCell ref="D7:E8"/>
    <mergeCell ref="F7:G8"/>
    <mergeCell ref="H8:I8"/>
    <mergeCell ref="A53:I54"/>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63"/>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x14ac:dyDescent="0.2">
      <c r="A1" s="3"/>
    </row>
    <row r="2" spans="1:9" ht="15.95" customHeight="1" x14ac:dyDescent="0.2">
      <c r="A2" s="183"/>
      <c r="B2" s="53" t="str">
        <f>REVYEAR</f>
        <v>ANALYSIS OF OPERATING FUND REVENUE: 2020/2021 BUDGET</v>
      </c>
      <c r="C2" s="101"/>
      <c r="D2" s="101"/>
      <c r="E2" s="101"/>
      <c r="F2" s="101"/>
      <c r="G2" s="188"/>
      <c r="H2" s="102"/>
      <c r="I2" s="185" t="s">
        <v>3</v>
      </c>
    </row>
    <row r="3" spans="1:9" ht="15.95" customHeight="1" x14ac:dyDescent="0.2">
      <c r="A3" s="180"/>
    </row>
    <row r="4" spans="1:9" ht="15.95" customHeight="1" x14ac:dyDescent="0.2">
      <c r="B4" s="55"/>
      <c r="C4" s="4"/>
      <c r="D4" s="4"/>
      <c r="E4" s="4"/>
      <c r="F4" s="4"/>
      <c r="G4" s="4"/>
      <c r="H4" s="4"/>
      <c r="I4" s="4"/>
    </row>
    <row r="5" spans="1:9" ht="15.95" customHeight="1" x14ac:dyDescent="0.2">
      <c r="B5" s="4"/>
      <c r="C5" s="4"/>
      <c r="D5" s="4"/>
      <c r="E5" s="4"/>
      <c r="F5" s="4"/>
      <c r="G5" s="4"/>
      <c r="H5" s="4"/>
      <c r="I5" s="4"/>
    </row>
    <row r="6" spans="1:9" ht="15.95" customHeight="1" x14ac:dyDescent="0.2">
      <c r="B6" s="693" t="s">
        <v>456</v>
      </c>
      <c r="C6" s="711"/>
      <c r="D6" s="278"/>
      <c r="E6" s="278"/>
      <c r="F6" s="622" t="s">
        <v>457</v>
      </c>
      <c r="G6" s="623"/>
      <c r="H6" s="4"/>
      <c r="I6" s="745" t="s">
        <v>458</v>
      </c>
    </row>
    <row r="7" spans="1:9" ht="15.95" customHeight="1" x14ac:dyDescent="0.2">
      <c r="B7" s="683"/>
      <c r="C7" s="684"/>
      <c r="D7" s="315"/>
      <c r="E7" s="315"/>
      <c r="F7" s="689"/>
      <c r="G7" s="688"/>
      <c r="H7" s="4"/>
      <c r="I7" s="746"/>
    </row>
    <row r="8" spans="1:9" ht="15.95" customHeight="1" x14ac:dyDescent="0.2">
      <c r="A8" s="249"/>
      <c r="B8" s="685"/>
      <c r="C8" s="686"/>
      <c r="D8" s="616" t="s">
        <v>19</v>
      </c>
      <c r="E8" s="617"/>
      <c r="F8" s="624"/>
      <c r="G8" s="625"/>
      <c r="H8" s="4"/>
      <c r="I8" s="747"/>
    </row>
    <row r="9" spans="1:9" ht="15.95" customHeight="1" x14ac:dyDescent="0.2">
      <c r="A9" s="27" t="s">
        <v>37</v>
      </c>
      <c r="B9" s="473" t="s">
        <v>55</v>
      </c>
      <c r="C9" s="108" t="s">
        <v>39</v>
      </c>
      <c r="D9" s="189" t="s">
        <v>55</v>
      </c>
      <c r="E9" s="189" t="s">
        <v>39</v>
      </c>
      <c r="F9" s="181" t="s">
        <v>55</v>
      </c>
      <c r="G9" s="189" t="s">
        <v>39</v>
      </c>
      <c r="H9" s="4"/>
      <c r="I9" s="189" t="s">
        <v>55</v>
      </c>
    </row>
    <row r="10" spans="1:9" ht="5.0999999999999996" customHeight="1" x14ac:dyDescent="0.2">
      <c r="A10" s="29"/>
      <c r="B10" s="182"/>
      <c r="C10" s="182"/>
      <c r="D10" s="182"/>
      <c r="E10" s="182"/>
      <c r="F10" s="182"/>
      <c r="G10" s="3"/>
      <c r="H10" s="3"/>
      <c r="I10" s="182"/>
    </row>
    <row r="11" spans="1:9" ht="14.1" customHeight="1" x14ac:dyDescent="0.2">
      <c r="A11" s="271" t="s">
        <v>108</v>
      </c>
      <c r="B11" s="272">
        <v>14000</v>
      </c>
      <c r="C11" s="273">
        <f>B11/I11*100</f>
        <v>6.2802120253410143E-2</v>
      </c>
      <c r="D11" s="272">
        <v>89149</v>
      </c>
      <c r="E11" s="273">
        <f>D11/I11*100</f>
        <v>0.39991044417651866</v>
      </c>
      <c r="F11" s="272">
        <f>SUM('- 42 -'!$B11,'- 42 -'!$D11,'- 42 -'!$F11,'- 42 -'!$H11,B11,D11)</f>
        <v>7983751</v>
      </c>
      <c r="G11" s="273">
        <f>F11/I11*100</f>
        <v>35.814035026805961</v>
      </c>
      <c r="I11" s="272">
        <f>SUM('- 41 -'!$H11,F11)</f>
        <v>22292241</v>
      </c>
    </row>
    <row r="12" spans="1:9" ht="14.1" customHeight="1" x14ac:dyDescent="0.2">
      <c r="A12" s="15" t="s">
        <v>109</v>
      </c>
      <c r="B12" s="16">
        <v>141000</v>
      </c>
      <c r="C12" s="267">
        <f t="shared" ref="C12:C46" si="0">B12/I12*100</f>
        <v>0.39611944535186699</v>
      </c>
      <c r="D12" s="16">
        <v>237500</v>
      </c>
      <c r="E12" s="267">
        <f t="shared" ref="E12:E48" si="1">D12/I12*100</f>
        <v>0.6672224700075774</v>
      </c>
      <c r="F12" s="16">
        <f>SUM('- 42 -'!$B12,'- 42 -'!$D12,'- 42 -'!$F12,'- 42 -'!$H12,B12,D12)</f>
        <v>14934314</v>
      </c>
      <c r="G12" s="267">
        <f t="shared" ref="G12:G48" si="2">F12/I12*100</f>
        <v>41.95583105241576</v>
      </c>
      <c r="I12" s="16">
        <f>SUM('- 41 -'!$H12,F12)</f>
        <v>35595324</v>
      </c>
    </row>
    <row r="13" spans="1:9" ht="14.1" customHeight="1" x14ac:dyDescent="0.2">
      <c r="A13" s="271" t="s">
        <v>110</v>
      </c>
      <c r="B13" s="272">
        <v>930900</v>
      </c>
      <c r="C13" s="273">
        <f t="shared" si="0"/>
        <v>0.86441121793859899</v>
      </c>
      <c r="D13" s="272">
        <v>304300</v>
      </c>
      <c r="E13" s="273">
        <f t="shared" si="1"/>
        <v>0.28256561780934109</v>
      </c>
      <c r="F13" s="272">
        <f>SUM('- 42 -'!$B13,'- 42 -'!$D13,'- 42 -'!$F13,'- 42 -'!$H13,B13,D13)</f>
        <v>42547105</v>
      </c>
      <c r="G13" s="273">
        <f t="shared" si="2"/>
        <v>39.508212324429529</v>
      </c>
      <c r="I13" s="272">
        <f>SUM('- 41 -'!$H13,F13)</f>
        <v>107691800</v>
      </c>
    </row>
    <row r="14" spans="1:9" ht="14.1" customHeight="1" x14ac:dyDescent="0.2">
      <c r="A14" s="15" t="s">
        <v>319</v>
      </c>
      <c r="B14" s="16">
        <v>90000</v>
      </c>
      <c r="C14" s="267">
        <f t="shared" si="0"/>
        <v>9.2361030566021032E-2</v>
      </c>
      <c r="D14" s="16">
        <v>10000</v>
      </c>
      <c r="E14" s="267">
        <f t="shared" si="1"/>
        <v>1.0262336729557892E-2</v>
      </c>
      <c r="F14" s="16">
        <f>SUM('- 42 -'!$B14,'- 42 -'!$D14,'- 42 -'!$F14,'- 42 -'!$H14,B14,D14)</f>
        <v>30310545</v>
      </c>
      <c r="G14" s="267">
        <f t="shared" si="2"/>
        <v>31.105701924641732</v>
      </c>
      <c r="I14" s="16">
        <f>SUM('- 41 -'!$H14,F14)</f>
        <v>97443694</v>
      </c>
    </row>
    <row r="15" spans="1:9" ht="14.1" customHeight="1" x14ac:dyDescent="0.2">
      <c r="A15" s="271" t="s">
        <v>111</v>
      </c>
      <c r="B15" s="272">
        <v>62600</v>
      </c>
      <c r="C15" s="273">
        <f t="shared" si="0"/>
        <v>0.29053737858519529</v>
      </c>
      <c r="D15" s="272">
        <v>1800</v>
      </c>
      <c r="E15" s="273">
        <f t="shared" si="1"/>
        <v>8.3541099273698322E-3</v>
      </c>
      <c r="F15" s="272">
        <f>SUM('- 42 -'!$B15,'- 42 -'!$D15,'- 42 -'!$F15,'- 42 -'!$H15,B15,D15)</f>
        <v>9014514</v>
      </c>
      <c r="G15" s="273">
        <f t="shared" si="2"/>
        <v>41.837911609896857</v>
      </c>
      <c r="I15" s="272">
        <f>SUM('- 41 -'!$H15,F15)</f>
        <v>21546281</v>
      </c>
    </row>
    <row r="16" spans="1:9" ht="14.1" customHeight="1" x14ac:dyDescent="0.2">
      <c r="A16" s="15" t="s">
        <v>112</v>
      </c>
      <c r="B16" s="16">
        <v>166068</v>
      </c>
      <c r="C16" s="267">
        <f t="shared" si="0"/>
        <v>1.102498034240986</v>
      </c>
      <c r="D16" s="16">
        <v>68047</v>
      </c>
      <c r="E16" s="267">
        <f t="shared" si="1"/>
        <v>0.45175279846807559</v>
      </c>
      <c r="F16" s="16">
        <f>SUM('- 42 -'!$B16,'- 42 -'!$D16,'- 42 -'!$F16,'- 42 -'!$H16,B16,D16)</f>
        <v>4149959</v>
      </c>
      <c r="G16" s="267">
        <f t="shared" si="2"/>
        <v>27.550892644463037</v>
      </c>
      <c r="I16" s="16">
        <f>SUM('- 41 -'!$H16,F16)</f>
        <v>15062884</v>
      </c>
    </row>
    <row r="17" spans="1:9" ht="14.1" customHeight="1" x14ac:dyDescent="0.2">
      <c r="A17" s="271" t="s">
        <v>113</v>
      </c>
      <c r="B17" s="272">
        <v>0</v>
      </c>
      <c r="C17" s="273">
        <f t="shared" si="0"/>
        <v>0</v>
      </c>
      <c r="D17" s="272">
        <v>21600</v>
      </c>
      <c r="E17" s="273">
        <f t="shared" si="1"/>
        <v>0.11418122939881203</v>
      </c>
      <c r="F17" s="272">
        <f>SUM('- 42 -'!$B17,'- 42 -'!$D17,'- 42 -'!$F17,'- 42 -'!$H17,B17,D17)</f>
        <v>9341196</v>
      </c>
      <c r="G17" s="273">
        <f t="shared" si="2"/>
        <v>49.379131635891916</v>
      </c>
      <c r="I17" s="272">
        <f>SUM('- 41 -'!$H17,F17)</f>
        <v>18917295</v>
      </c>
    </row>
    <row r="18" spans="1:9" ht="14.1" customHeight="1" x14ac:dyDescent="0.2">
      <c r="A18" s="15" t="s">
        <v>114</v>
      </c>
      <c r="B18" s="16">
        <v>4968565</v>
      </c>
      <c r="C18" s="267">
        <f t="shared" si="0"/>
        <v>3.4180131663433024</v>
      </c>
      <c r="D18" s="16">
        <v>397015</v>
      </c>
      <c r="E18" s="267">
        <f t="shared" si="1"/>
        <v>0.27311758973381378</v>
      </c>
      <c r="F18" s="16">
        <f>SUM('- 42 -'!$B18,'- 42 -'!$D18,'- 42 -'!$F18,'- 42 -'!$H18,B18,D18)</f>
        <v>95915549</v>
      </c>
      <c r="G18" s="267">
        <f t="shared" si="2"/>
        <v>65.982956716687056</v>
      </c>
      <c r="I18" s="16">
        <f>SUM('- 41 -'!$H18,F18)</f>
        <v>145364127</v>
      </c>
    </row>
    <row r="19" spans="1:9" ht="14.1" customHeight="1" x14ac:dyDescent="0.2">
      <c r="A19" s="271" t="s">
        <v>115</v>
      </c>
      <c r="B19" s="272">
        <v>11000</v>
      </c>
      <c r="C19" s="273">
        <f t="shared" si="0"/>
        <v>2.1223620438624319E-2</v>
      </c>
      <c r="D19" s="272">
        <v>414000</v>
      </c>
      <c r="E19" s="273">
        <f t="shared" si="1"/>
        <v>0.79877989650822445</v>
      </c>
      <c r="F19" s="272">
        <f>SUM('- 42 -'!$B19,'- 42 -'!$D19,'- 42 -'!$F19,'- 42 -'!$H19,B19,D19)</f>
        <v>17699037</v>
      </c>
      <c r="G19" s="273">
        <f t="shared" si="2"/>
        <v>34.148876674288005</v>
      </c>
      <c r="I19" s="272">
        <f>SUM('- 41 -'!$H19,F19)</f>
        <v>51829046</v>
      </c>
    </row>
    <row r="20" spans="1:9" ht="14.1" customHeight="1" x14ac:dyDescent="0.2">
      <c r="A20" s="15" t="s">
        <v>116</v>
      </c>
      <c r="B20" s="16">
        <v>466000</v>
      </c>
      <c r="C20" s="267">
        <f t="shared" si="0"/>
        <v>0.49422205630313421</v>
      </c>
      <c r="D20" s="16">
        <v>173172</v>
      </c>
      <c r="E20" s="267">
        <f t="shared" si="1"/>
        <v>0.18365970372130119</v>
      </c>
      <c r="F20" s="16">
        <f>SUM('- 42 -'!$B20,'- 42 -'!$D20,'- 42 -'!$F20,'- 42 -'!$H20,B20,D20)</f>
        <v>29330765</v>
      </c>
      <c r="G20" s="267">
        <f t="shared" si="2"/>
        <v>31.107105131424888</v>
      </c>
      <c r="I20" s="16">
        <f>SUM('- 41 -'!$H20,F20)</f>
        <v>94289600</v>
      </c>
    </row>
    <row r="21" spans="1:9" ht="14.1" customHeight="1" x14ac:dyDescent="0.2">
      <c r="A21" s="271" t="s">
        <v>117</v>
      </c>
      <c r="B21" s="272">
        <v>198300</v>
      </c>
      <c r="C21" s="273">
        <f t="shared" si="0"/>
        <v>0.51147794686613357</v>
      </c>
      <c r="D21" s="272">
        <v>129598</v>
      </c>
      <c r="E21" s="273">
        <f t="shared" si="1"/>
        <v>0.33427392313644572</v>
      </c>
      <c r="F21" s="272">
        <f>SUM('- 42 -'!$B21,'- 42 -'!$D21,'- 42 -'!$F21,'- 42 -'!$H21,B21,D21)</f>
        <v>16962598</v>
      </c>
      <c r="G21" s="273">
        <f t="shared" si="2"/>
        <v>43.751864843951509</v>
      </c>
      <c r="I21" s="272">
        <f>SUM('- 41 -'!$H21,F21)</f>
        <v>38770000</v>
      </c>
    </row>
    <row r="22" spans="1:9" ht="14.1" customHeight="1" x14ac:dyDescent="0.2">
      <c r="A22" s="15" t="s">
        <v>118</v>
      </c>
      <c r="B22" s="16">
        <v>0</v>
      </c>
      <c r="C22" s="267">
        <f t="shared" si="0"/>
        <v>0</v>
      </c>
      <c r="D22" s="16">
        <v>91500</v>
      </c>
      <c r="E22" s="267">
        <f t="shared" si="1"/>
        <v>0.44692082541147854</v>
      </c>
      <c r="F22" s="16">
        <f>SUM('- 42 -'!$B22,'- 42 -'!$D22,'- 42 -'!$F22,'- 42 -'!$H22,B22,D22)</f>
        <v>3573014</v>
      </c>
      <c r="G22" s="267">
        <f t="shared" si="2"/>
        <v>17.451960285101293</v>
      </c>
      <c r="I22" s="16">
        <f>SUM('- 41 -'!$H22,F22)</f>
        <v>20473425</v>
      </c>
    </row>
    <row r="23" spans="1:9" ht="14.1" customHeight="1" x14ac:dyDescent="0.2">
      <c r="A23" s="271" t="s">
        <v>119</v>
      </c>
      <c r="B23" s="272">
        <v>239500</v>
      </c>
      <c r="C23" s="273">
        <f t="shared" si="0"/>
        <v>1.489584229986332</v>
      </c>
      <c r="D23" s="272">
        <v>47000</v>
      </c>
      <c r="E23" s="273">
        <f t="shared" si="1"/>
        <v>0.29231924346287103</v>
      </c>
      <c r="F23" s="272">
        <f>SUM('- 42 -'!$B23,'- 42 -'!$D23,'- 42 -'!$F23,'- 42 -'!$H23,B23,D23)</f>
        <v>4805963</v>
      </c>
      <c r="G23" s="273">
        <f t="shared" si="2"/>
        <v>29.890967410011697</v>
      </c>
      <c r="I23" s="272">
        <f>SUM('- 41 -'!$H23,F23)</f>
        <v>16078312</v>
      </c>
    </row>
    <row r="24" spans="1:9" ht="14.1" customHeight="1" x14ac:dyDescent="0.2">
      <c r="A24" s="15" t="s">
        <v>120</v>
      </c>
      <c r="B24" s="16">
        <v>381000</v>
      </c>
      <c r="C24" s="267">
        <f t="shared" si="0"/>
        <v>0.64121575314627399</v>
      </c>
      <c r="D24" s="16">
        <v>160710</v>
      </c>
      <c r="E24" s="267">
        <f t="shared" si="1"/>
        <v>0.27047187319721178</v>
      </c>
      <c r="F24" s="16">
        <f>SUM('- 42 -'!$B24,'- 42 -'!$D24,'- 42 -'!$F24,'- 42 -'!$H24,B24,D24)</f>
        <v>27042838</v>
      </c>
      <c r="G24" s="267">
        <f t="shared" si="2"/>
        <v>45.512581982631708</v>
      </c>
      <c r="I24" s="16">
        <f>SUM('- 41 -'!$H24,F24)</f>
        <v>59418378</v>
      </c>
    </row>
    <row r="25" spans="1:9" ht="14.1" customHeight="1" x14ac:dyDescent="0.2">
      <c r="A25" s="271" t="s">
        <v>121</v>
      </c>
      <c r="B25" s="272">
        <v>2954870</v>
      </c>
      <c r="C25" s="273">
        <f t="shared" si="0"/>
        <v>1.5041471185962076</v>
      </c>
      <c r="D25" s="272">
        <v>100000</v>
      </c>
      <c r="E25" s="273">
        <f t="shared" si="1"/>
        <v>5.0904003174292188E-2</v>
      </c>
      <c r="F25" s="272">
        <f>SUM('- 42 -'!$B25,'- 42 -'!$D25,'- 42 -'!$F25,'- 42 -'!$H25,B25,D25)</f>
        <v>83972145</v>
      </c>
      <c r="G25" s="273">
        <f t="shared" si="2"/>
        <v>42.745183356321242</v>
      </c>
      <c r="I25" s="272">
        <f>SUM('- 41 -'!$H25,F25)</f>
        <v>196448204</v>
      </c>
    </row>
    <row r="26" spans="1:9" ht="14.1" customHeight="1" x14ac:dyDescent="0.2">
      <c r="A26" s="15" t="s">
        <v>122</v>
      </c>
      <c r="B26" s="16">
        <v>520800</v>
      </c>
      <c r="C26" s="267">
        <f t="shared" si="0"/>
        <v>1.209096472943936</v>
      </c>
      <c r="D26" s="16">
        <v>220000</v>
      </c>
      <c r="E26" s="267">
        <f t="shared" si="1"/>
        <v>0.51075503849398207</v>
      </c>
      <c r="F26" s="16">
        <f>SUM('- 42 -'!$B26,'- 42 -'!$D26,'- 42 -'!$F26,'- 42 -'!$H26,B26,D26)</f>
        <v>16044777</v>
      </c>
      <c r="G26" s="267">
        <f t="shared" si="2"/>
        <v>37.24977588301072</v>
      </c>
      <c r="I26" s="16">
        <f>SUM('- 41 -'!$H26,F26)</f>
        <v>43073486</v>
      </c>
    </row>
    <row r="27" spans="1:9" ht="14.1" customHeight="1" x14ac:dyDescent="0.2">
      <c r="A27" s="271" t="s">
        <v>123</v>
      </c>
      <c r="B27" s="272">
        <v>251500</v>
      </c>
      <c r="C27" s="273">
        <f t="shared" si="0"/>
        <v>0.58744639434863022</v>
      </c>
      <c r="D27" s="272">
        <v>79000</v>
      </c>
      <c r="E27" s="273">
        <f t="shared" si="1"/>
        <v>0.18452590518306874</v>
      </c>
      <c r="F27" s="272">
        <f>SUM('- 42 -'!$B27,'- 42 -'!$D27,'- 42 -'!$F27,'- 42 -'!$H27,B27,D27)</f>
        <v>7885278</v>
      </c>
      <c r="G27" s="273">
        <f t="shared" si="2"/>
        <v>18.418203298356175</v>
      </c>
      <c r="I27" s="272">
        <f>SUM('- 41 -'!$H27,F27)</f>
        <v>42812417</v>
      </c>
    </row>
    <row r="28" spans="1:9" ht="14.1" customHeight="1" x14ac:dyDescent="0.2">
      <c r="A28" s="15" t="s">
        <v>124</v>
      </c>
      <c r="B28" s="16">
        <v>14000</v>
      </c>
      <c r="C28" s="267">
        <f t="shared" si="0"/>
        <v>4.8032549051010634E-2</v>
      </c>
      <c r="D28" s="16">
        <v>5000</v>
      </c>
      <c r="E28" s="267">
        <f t="shared" si="1"/>
        <v>1.7154481803932371E-2</v>
      </c>
      <c r="F28" s="16">
        <f>SUM('- 42 -'!$B28,'- 42 -'!$D28,'- 42 -'!$F28,'- 42 -'!$H28,B28,D28)</f>
        <v>16129258</v>
      </c>
      <c r="G28" s="267">
        <f t="shared" si="2"/>
        <v>55.337812574386128</v>
      </c>
      <c r="I28" s="16">
        <f>SUM('- 41 -'!$H28,F28)</f>
        <v>29146902</v>
      </c>
    </row>
    <row r="29" spans="1:9" ht="14.1" customHeight="1" x14ac:dyDescent="0.2">
      <c r="A29" s="271" t="s">
        <v>125</v>
      </c>
      <c r="B29" s="272">
        <v>3260100</v>
      </c>
      <c r="C29" s="273">
        <f t="shared" si="0"/>
        <v>1.8046898453588225</v>
      </c>
      <c r="D29" s="272">
        <v>272000</v>
      </c>
      <c r="E29" s="273">
        <f t="shared" si="1"/>
        <v>0.15057073032655433</v>
      </c>
      <c r="F29" s="272">
        <f>SUM('- 42 -'!$B29,'- 42 -'!$D29,'- 42 -'!$F29,'- 42 -'!$H29,B29,D29)</f>
        <v>92826443</v>
      </c>
      <c r="G29" s="273">
        <f t="shared" si="2"/>
        <v>51.385828368111277</v>
      </c>
      <c r="I29" s="272">
        <f>SUM('- 41 -'!$H29,F29)</f>
        <v>180645999</v>
      </c>
    </row>
    <row r="30" spans="1:9" ht="14.1" customHeight="1" x14ac:dyDescent="0.2">
      <c r="A30" s="15" t="s">
        <v>126</v>
      </c>
      <c r="B30" s="16">
        <v>0</v>
      </c>
      <c r="C30" s="267">
        <f t="shared" si="0"/>
        <v>0</v>
      </c>
      <c r="D30" s="16">
        <v>50000</v>
      </c>
      <c r="E30" s="267">
        <f t="shared" si="1"/>
        <v>0.32246233269122482</v>
      </c>
      <c r="F30" s="16">
        <f>SUM('- 42 -'!$B30,'- 42 -'!$D30,'- 42 -'!$F30,'- 42 -'!$H30,B30,D30)</f>
        <v>6861125</v>
      </c>
      <c r="G30" s="267">
        <f t="shared" si="2"/>
        <v>44.2490874477216</v>
      </c>
      <c r="I30" s="16">
        <f>SUM('- 41 -'!$H30,F30)</f>
        <v>15505687</v>
      </c>
    </row>
    <row r="31" spans="1:9" ht="14.1" customHeight="1" x14ac:dyDescent="0.2">
      <c r="A31" s="271" t="s">
        <v>127</v>
      </c>
      <c r="B31" s="272">
        <v>6000</v>
      </c>
      <c r="C31" s="273">
        <f t="shared" si="0"/>
        <v>1.4540004423069344E-2</v>
      </c>
      <c r="D31" s="272">
        <v>28000</v>
      </c>
      <c r="E31" s="273">
        <f t="shared" si="1"/>
        <v>6.7853353974323613E-2</v>
      </c>
      <c r="F31" s="272">
        <f>SUM('- 42 -'!$B31,'- 42 -'!$D31,'- 42 -'!$F31,'- 42 -'!$H31,B31,D31)</f>
        <v>18141818</v>
      </c>
      <c r="G31" s="273">
        <f t="shared" si="2"/>
        <v>43.963685660419841</v>
      </c>
      <c r="I31" s="272">
        <f>SUM('- 41 -'!$H31,F31)</f>
        <v>41265462</v>
      </c>
    </row>
    <row r="32" spans="1:9" ht="14.1" customHeight="1" x14ac:dyDescent="0.2">
      <c r="A32" s="15" t="s">
        <v>128</v>
      </c>
      <c r="B32" s="16">
        <v>4000</v>
      </c>
      <c r="C32" s="267">
        <f t="shared" si="0"/>
        <v>1.2687103857076222E-2</v>
      </c>
      <c r="D32" s="16">
        <v>86450</v>
      </c>
      <c r="E32" s="267">
        <f t="shared" si="1"/>
        <v>0.27420003211105987</v>
      </c>
      <c r="F32" s="16">
        <f>SUM('- 42 -'!$B32,'- 42 -'!$D32,'- 42 -'!$F32,'- 42 -'!$H32,B32,D32)</f>
        <v>15051143</v>
      </c>
      <c r="G32" s="267">
        <f t="shared" si="2"/>
        <v>47.738853602176448</v>
      </c>
      <c r="I32" s="16">
        <f>SUM('- 41 -'!$H32,F32)</f>
        <v>31528078</v>
      </c>
    </row>
    <row r="33" spans="1:11" ht="14.1" customHeight="1" x14ac:dyDescent="0.2">
      <c r="A33" s="271" t="s">
        <v>129</v>
      </c>
      <c r="B33" s="272">
        <v>157500</v>
      </c>
      <c r="C33" s="273">
        <f t="shared" si="0"/>
        <v>0.54363313440847749</v>
      </c>
      <c r="D33" s="272">
        <v>94800</v>
      </c>
      <c r="E33" s="273">
        <f t="shared" si="1"/>
        <v>0.32721537232967407</v>
      </c>
      <c r="F33" s="272">
        <f>SUM('- 42 -'!$B33,'- 42 -'!$D33,'- 42 -'!$F33,'- 42 -'!$H33,B33,D33)</f>
        <v>12558264</v>
      </c>
      <c r="G33" s="273">
        <f t="shared" si="2"/>
        <v>43.34659314951837</v>
      </c>
      <c r="I33" s="272">
        <f>SUM('- 41 -'!$H33,F33)</f>
        <v>28971744</v>
      </c>
    </row>
    <row r="34" spans="1:11" ht="14.1" customHeight="1" x14ac:dyDescent="0.2">
      <c r="A34" s="15" t="s">
        <v>130</v>
      </c>
      <c r="B34" s="16">
        <v>138200</v>
      </c>
      <c r="C34" s="267">
        <f t="shared" si="0"/>
        <v>0.42210196761824292</v>
      </c>
      <c r="D34" s="16">
        <v>30950</v>
      </c>
      <c r="E34" s="267">
        <f t="shared" si="1"/>
        <v>9.4530071619280884E-2</v>
      </c>
      <c r="F34" s="16">
        <f>SUM('- 42 -'!$B34,'- 42 -'!$D34,'- 42 -'!$F34,'- 42 -'!$H34,B34,D34)</f>
        <v>17330644</v>
      </c>
      <c r="G34" s="267">
        <f t="shared" si="2"/>
        <v>52.932698498489842</v>
      </c>
      <c r="I34" s="16">
        <f>SUM('- 41 -'!$H34,F34)</f>
        <v>32740904</v>
      </c>
    </row>
    <row r="35" spans="1:11" ht="14.1" customHeight="1" x14ac:dyDescent="0.2">
      <c r="A35" s="271" t="s">
        <v>131</v>
      </c>
      <c r="B35" s="272">
        <v>480000</v>
      </c>
      <c r="C35" s="273">
        <f t="shared" si="0"/>
        <v>0.24090030708164395</v>
      </c>
      <c r="D35" s="272">
        <v>431900</v>
      </c>
      <c r="E35" s="273">
        <f t="shared" si="1"/>
        <v>0.2167600888095042</v>
      </c>
      <c r="F35" s="272">
        <f>SUM('- 42 -'!$B35,'- 42 -'!$D35,'- 42 -'!$F35,'- 42 -'!$H35,B35,D35)</f>
        <v>71492051</v>
      </c>
      <c r="G35" s="273">
        <f t="shared" si="2"/>
        <v>35.880118832909481</v>
      </c>
      <c r="I35" s="272">
        <f>SUM('- 41 -'!$H35,F35)</f>
        <v>199252548</v>
      </c>
    </row>
    <row r="36" spans="1:11" ht="14.1" customHeight="1" x14ac:dyDescent="0.2">
      <c r="A36" s="15" t="s">
        <v>132</v>
      </c>
      <c r="B36" s="16">
        <v>39600</v>
      </c>
      <c r="C36" s="267">
        <f t="shared" si="0"/>
        <v>0.16013461012378286</v>
      </c>
      <c r="D36" s="16">
        <v>63000</v>
      </c>
      <c r="E36" s="267">
        <f t="shared" si="1"/>
        <v>0.25475960701510908</v>
      </c>
      <c r="F36" s="16">
        <f>SUM('- 42 -'!$B36,'- 42 -'!$D36,'- 42 -'!$F36,'- 42 -'!$H36,B36,D36)</f>
        <v>11655289</v>
      </c>
      <c r="G36" s="267">
        <f t="shared" si="2"/>
        <v>47.131695956944817</v>
      </c>
      <c r="I36" s="16">
        <f>SUM('- 41 -'!$H36,F36)</f>
        <v>24729195</v>
      </c>
    </row>
    <row r="37" spans="1:11" ht="14.1" customHeight="1" x14ac:dyDescent="0.2">
      <c r="A37" s="271" t="s">
        <v>133</v>
      </c>
      <c r="B37" s="272">
        <v>0</v>
      </c>
      <c r="C37" s="273">
        <f t="shared" si="0"/>
        <v>0</v>
      </c>
      <c r="D37" s="272">
        <v>56000</v>
      </c>
      <c r="E37" s="273">
        <f t="shared" si="1"/>
        <v>9.9864469648334397E-2</v>
      </c>
      <c r="F37" s="272">
        <f>SUM('- 42 -'!$B37,'- 42 -'!$D37,'- 42 -'!$F37,'- 42 -'!$H37,B37,D37)</f>
        <v>18529658</v>
      </c>
      <c r="G37" s="273">
        <f t="shared" si="2"/>
        <v>33.043829802411011</v>
      </c>
      <c r="I37" s="272">
        <f>SUM('- 41 -'!$H37,F37)</f>
        <v>56076000</v>
      </c>
    </row>
    <row r="38" spans="1:11" ht="14.1" customHeight="1" x14ac:dyDescent="0.2">
      <c r="A38" s="15" t="s">
        <v>134</v>
      </c>
      <c r="B38" s="16">
        <v>1650100</v>
      </c>
      <c r="C38" s="267">
        <f t="shared" si="0"/>
        <v>1.0652245906073543</v>
      </c>
      <c r="D38" s="16">
        <v>12000</v>
      </c>
      <c r="E38" s="267">
        <f t="shared" si="1"/>
        <v>7.7466184396632028E-3</v>
      </c>
      <c r="F38" s="16">
        <f>SUM('- 42 -'!$B38,'- 42 -'!$D38,'- 42 -'!$F38,'- 42 -'!$H38,B38,D38)</f>
        <v>54763518</v>
      </c>
      <c r="G38" s="267">
        <f t="shared" si="2"/>
        <v>35.352673196635642</v>
      </c>
      <c r="I38" s="16">
        <f>SUM('- 41 -'!$H38,F38)</f>
        <v>154906300</v>
      </c>
    </row>
    <row r="39" spans="1:11" ht="14.1" customHeight="1" x14ac:dyDescent="0.2">
      <c r="A39" s="271" t="s">
        <v>135</v>
      </c>
      <c r="B39" s="272">
        <v>0</v>
      </c>
      <c r="C39" s="273">
        <f t="shared" si="0"/>
        <v>0</v>
      </c>
      <c r="D39" s="272">
        <v>59930</v>
      </c>
      <c r="E39" s="273">
        <f t="shared" si="1"/>
        <v>0.25223700935208804</v>
      </c>
      <c r="F39" s="272">
        <f>SUM('- 42 -'!$B39,'- 42 -'!$D39,'- 42 -'!$F39,'- 42 -'!$H39,B39,D39)</f>
        <v>12258721</v>
      </c>
      <c r="G39" s="273">
        <f t="shared" si="2"/>
        <v>51.595246512959079</v>
      </c>
      <c r="I39" s="272">
        <f>SUM('- 41 -'!$H39,F39)</f>
        <v>23759400</v>
      </c>
    </row>
    <row r="40" spans="1:11" ht="14.1" customHeight="1" x14ac:dyDescent="0.2">
      <c r="A40" s="15" t="s">
        <v>136</v>
      </c>
      <c r="B40" s="16">
        <v>2086142</v>
      </c>
      <c r="C40" s="267">
        <f t="shared" si="0"/>
        <v>1.8482632881106968</v>
      </c>
      <c r="D40" s="16">
        <v>899614</v>
      </c>
      <c r="E40" s="267">
        <f t="shared" si="1"/>
        <v>0.79703276654725153</v>
      </c>
      <c r="F40" s="16">
        <f>SUM('- 42 -'!$B40,'- 42 -'!$D40,'- 42 -'!$F40,'- 42 -'!$H40,B40,D40)</f>
        <v>57277134</v>
      </c>
      <c r="G40" s="267">
        <f t="shared" si="2"/>
        <v>50.745933891555318</v>
      </c>
      <c r="I40" s="16">
        <f>SUM('- 41 -'!$H40,F40)</f>
        <v>112870391</v>
      </c>
    </row>
    <row r="41" spans="1:11" ht="14.1" customHeight="1" x14ac:dyDescent="0.2">
      <c r="A41" s="271" t="s">
        <v>137</v>
      </c>
      <c r="B41" s="272">
        <v>0</v>
      </c>
      <c r="C41" s="273">
        <f t="shared" si="0"/>
        <v>0</v>
      </c>
      <c r="D41" s="272">
        <v>152145</v>
      </c>
      <c r="E41" s="273">
        <f t="shared" si="1"/>
        <v>0.22151761661633279</v>
      </c>
      <c r="F41" s="272">
        <f>SUM('- 42 -'!$B41,'- 42 -'!$D41,'- 42 -'!$F41,'- 42 -'!$H41,B41,D41)</f>
        <v>31433372</v>
      </c>
      <c r="G41" s="273">
        <f t="shared" si="2"/>
        <v>45.765852625157386</v>
      </c>
      <c r="I41" s="272">
        <f>SUM('- 41 -'!$H41,F41)</f>
        <v>68683025</v>
      </c>
    </row>
    <row r="42" spans="1:11" ht="14.1" customHeight="1" x14ac:dyDescent="0.2">
      <c r="A42" s="15" t="s">
        <v>138</v>
      </c>
      <c r="B42" s="16">
        <v>270600</v>
      </c>
      <c r="C42" s="267">
        <f t="shared" si="0"/>
        <v>1.264061870830254</v>
      </c>
      <c r="D42" s="16">
        <v>189938</v>
      </c>
      <c r="E42" s="267">
        <f t="shared" si="1"/>
        <v>0.88726305846916786</v>
      </c>
      <c r="F42" s="16">
        <f>SUM('- 42 -'!$B42,'- 42 -'!$D42,'- 42 -'!$F42,'- 42 -'!$H42,B42,D42)</f>
        <v>7320646</v>
      </c>
      <c r="G42" s="267">
        <f t="shared" si="2"/>
        <v>34.197152544146405</v>
      </c>
      <c r="I42" s="16">
        <f>SUM('- 41 -'!$H42,F42)</f>
        <v>21407180</v>
      </c>
    </row>
    <row r="43" spans="1:11" ht="14.1" customHeight="1" x14ac:dyDescent="0.2">
      <c r="A43" s="271" t="s">
        <v>139</v>
      </c>
      <c r="B43" s="272">
        <v>13752</v>
      </c>
      <c r="C43" s="273">
        <f t="shared" si="0"/>
        <v>9.9448002839387997E-2</v>
      </c>
      <c r="D43" s="272">
        <v>21542</v>
      </c>
      <c r="E43" s="273">
        <f t="shared" si="1"/>
        <v>0.15578162283057712</v>
      </c>
      <c r="F43" s="272">
        <f>SUM('- 42 -'!$B43,'- 42 -'!$D43,'- 42 -'!$F43,'- 42 -'!$H43,B43,D43)</f>
        <v>6380094</v>
      </c>
      <c r="G43" s="273">
        <f t="shared" si="2"/>
        <v>46.137842221317797</v>
      </c>
      <c r="I43" s="272">
        <f>SUM('- 41 -'!$H43,F43)</f>
        <v>13828332</v>
      </c>
    </row>
    <row r="44" spans="1:11" ht="14.1" customHeight="1" x14ac:dyDescent="0.2">
      <c r="A44" s="15" t="s">
        <v>140</v>
      </c>
      <c r="B44" s="16">
        <v>0</v>
      </c>
      <c r="C44" s="267">
        <f t="shared" si="0"/>
        <v>0</v>
      </c>
      <c r="D44" s="16">
        <v>24550</v>
      </c>
      <c r="E44" s="267">
        <f t="shared" si="1"/>
        <v>0.2155665004214303</v>
      </c>
      <c r="F44" s="16">
        <f>SUM('- 42 -'!$B44,'- 42 -'!$D44,'- 42 -'!$F44,'- 42 -'!$H44,B44,D44)</f>
        <v>3050710</v>
      </c>
      <c r="G44" s="267">
        <f t="shared" si="2"/>
        <v>26.787408492898638</v>
      </c>
      <c r="I44" s="16">
        <f>SUM('- 41 -'!$H44,F44)</f>
        <v>11388597</v>
      </c>
    </row>
    <row r="45" spans="1:11" ht="14.1" customHeight="1" x14ac:dyDescent="0.2">
      <c r="A45" s="271" t="s">
        <v>141</v>
      </c>
      <c r="B45" s="272">
        <v>192400</v>
      </c>
      <c r="C45" s="273">
        <f t="shared" si="0"/>
        <v>0.85077104442316043</v>
      </c>
      <c r="D45" s="272">
        <v>16100</v>
      </c>
      <c r="E45" s="273">
        <f t="shared" si="1"/>
        <v>7.1192379496948455E-2</v>
      </c>
      <c r="F45" s="272">
        <f>SUM('- 42 -'!$B45,'- 42 -'!$D45,'- 42 -'!$F45,'- 42 -'!$H45,B45,D45)</f>
        <v>7822791</v>
      </c>
      <c r="G45" s="273">
        <f t="shared" si="2"/>
        <v>34.591497242069124</v>
      </c>
      <c r="I45" s="272">
        <f>SUM('- 41 -'!$H45,F45)</f>
        <v>22614780</v>
      </c>
    </row>
    <row r="46" spans="1:11" ht="14.1" customHeight="1" x14ac:dyDescent="0.2">
      <c r="A46" s="15" t="s">
        <v>142</v>
      </c>
      <c r="B46" s="16">
        <v>2338400</v>
      </c>
      <c r="C46" s="267">
        <f t="shared" si="0"/>
        <v>0.55514708762630227</v>
      </c>
      <c r="D46" s="16">
        <v>1260900</v>
      </c>
      <c r="E46" s="267">
        <f t="shared" si="1"/>
        <v>0.29934355233835291</v>
      </c>
      <c r="F46" s="16">
        <f>SUM('- 42 -'!$B46,'- 42 -'!$D46,'- 42 -'!$F46,'- 42 -'!$H46,B46,D46)</f>
        <v>178809594</v>
      </c>
      <c r="G46" s="267">
        <f t="shared" si="2"/>
        <v>42.45023321448064</v>
      </c>
      <c r="I46" s="16">
        <f>SUM('- 41 -'!$H46,F46)</f>
        <v>421221700</v>
      </c>
    </row>
    <row r="47" spans="1:11" ht="5.0999999999999996" customHeight="1" x14ac:dyDescent="0.2">
      <c r="A47"/>
      <c r="B47" s="507"/>
      <c r="C47"/>
      <c r="D47" s="507"/>
      <c r="E47"/>
      <c r="F47"/>
      <c r="G47"/>
      <c r="I47"/>
    </row>
    <row r="48" spans="1:11" ht="14.1" customHeight="1" x14ac:dyDescent="0.2">
      <c r="A48" s="274" t="s">
        <v>143</v>
      </c>
      <c r="B48" s="275">
        <f>SUM(B11:B46)</f>
        <v>22046897</v>
      </c>
      <c r="C48" s="276">
        <f>B48/I48*100</f>
        <v>0.87569392295423543</v>
      </c>
      <c r="D48" s="275">
        <f>SUM(D11:D46)</f>
        <v>6299210</v>
      </c>
      <c r="E48" s="276">
        <f t="shared" si="1"/>
        <v>0.25020209947969319</v>
      </c>
      <c r="F48" s="275">
        <f>SUM(F11:F46)</f>
        <v>1061205621</v>
      </c>
      <c r="G48" s="276">
        <f t="shared" si="2"/>
        <v>42.150662440822195</v>
      </c>
      <c r="I48" s="275">
        <f>SUM(I11:I46)</f>
        <v>2517648738</v>
      </c>
      <c r="K48" s="1">
        <v>0</v>
      </c>
    </row>
    <row r="49" spans="1:9" ht="5.0999999999999996" customHeight="1" x14ac:dyDescent="0.2">
      <c r="A49" s="17" t="s">
        <v>1</v>
      </c>
      <c r="B49" s="18"/>
      <c r="C49" s="266"/>
      <c r="D49" s="18"/>
      <c r="E49" s="266"/>
      <c r="F49" s="18"/>
      <c r="G49" s="266"/>
      <c r="I49" s="18"/>
    </row>
    <row r="50" spans="1:9" ht="14.1" customHeight="1" x14ac:dyDescent="0.2">
      <c r="A50" s="15" t="s">
        <v>144</v>
      </c>
      <c r="B50" s="16">
        <v>39234</v>
      </c>
      <c r="C50" s="267">
        <f>B50/I50*100</f>
        <v>1.0866208594978788</v>
      </c>
      <c r="D50" s="16">
        <v>0</v>
      </c>
      <c r="E50" s="267">
        <f>D50/I50*100</f>
        <v>0</v>
      </c>
      <c r="F50" s="16">
        <f>SUM('- 42 -'!$B50,'- 42 -'!$D50,'- 42 -'!$F50,'- 42 -'!$H50,B50,D50)</f>
        <v>2204892</v>
      </c>
      <c r="G50" s="267">
        <f>F50/I50*100</f>
        <v>61.066463784982339</v>
      </c>
      <c r="I50" s="16">
        <f>SUM('- 41 -'!$H50,F50)</f>
        <v>3610643</v>
      </c>
    </row>
    <row r="51" spans="1:9" ht="14.1" customHeight="1" x14ac:dyDescent="0.2">
      <c r="A51" s="360" t="s">
        <v>513</v>
      </c>
      <c r="B51" s="272">
        <v>18884868</v>
      </c>
      <c r="C51" s="273">
        <f>B51/I51*100</f>
        <v>53.594073183424207</v>
      </c>
      <c r="D51" s="272">
        <v>932920</v>
      </c>
      <c r="E51" s="273">
        <f>D51/I51*100</f>
        <v>2.6475685588207507</v>
      </c>
      <c r="F51" s="272">
        <f>SUM('- 42 -'!$B51,'- 42 -'!$D51,'- 42 -'!$F51,'- 42 -'!$H51,B51,D51)</f>
        <v>24611160</v>
      </c>
      <c r="G51" s="273">
        <f>F51/I51*100</f>
        <v>69.844931411168062</v>
      </c>
      <c r="I51" s="272">
        <f>SUM('- 41 -'!$H51,F51)</f>
        <v>35236859</v>
      </c>
    </row>
    <row r="52" spans="1:9" ht="50.1" customHeight="1" x14ac:dyDescent="0.2"/>
    <row r="53" spans="1:9" ht="14.45" customHeight="1" x14ac:dyDescent="0.2">
      <c r="I53" s="72"/>
    </row>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row r="63" spans="1:9" x14ac:dyDescent="0.2">
      <c r="I63" s="1">
        <v>0</v>
      </c>
    </row>
  </sheetData>
  <mergeCells count="4">
    <mergeCell ref="B6:C8"/>
    <mergeCell ref="D8:E8"/>
    <mergeCell ref="F6:G8"/>
    <mergeCell ref="I6:I8"/>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BB60"/>
  <sheetViews>
    <sheetView showGridLines="0" showZeros="0" workbookViewId="0"/>
  </sheetViews>
  <sheetFormatPr defaultColWidth="19.83203125" defaultRowHeight="12" x14ac:dyDescent="0.2"/>
  <cols>
    <col min="1" max="1" width="38.83203125" style="1" customWidth="1"/>
    <col min="2" max="2" width="40.83203125" style="1" customWidth="1"/>
    <col min="3" max="3" width="53.83203125" style="1" customWidth="1"/>
    <col min="4" max="16384" width="19.83203125" style="1"/>
  </cols>
  <sheetData>
    <row r="1" spans="1:54" ht="6.95" customHeight="1" x14ac:dyDescent="0.2">
      <c r="A1" s="3"/>
    </row>
    <row r="2" spans="1:54" ht="15.95" customHeight="1" x14ac:dyDescent="0.2">
      <c r="A2" s="193" t="str">
        <f>IF(Lang=1,BA2,BB2)</f>
        <v>NET TRANSFERS TO/(FROM) CAPITAL FUND</v>
      </c>
      <c r="B2" s="193"/>
      <c r="C2" s="194"/>
      <c r="BA2" s="456" t="s">
        <v>320</v>
      </c>
      <c r="BB2" s="474" t="s">
        <v>459</v>
      </c>
    </row>
    <row r="3" spans="1:54" ht="15.95" customHeight="1" x14ac:dyDescent="0.2">
      <c r="A3" s="195" t="str">
        <f>IF(Lang=1,BA3,BB3)</f>
        <v>2020/2021 BUDGET</v>
      </c>
      <c r="B3" s="195"/>
      <c r="C3" s="196"/>
      <c r="BA3" s="456" t="str">
        <f>REPLACE(REVYEAR,1,36,"")</f>
        <v>2020/2021 BUDGET</v>
      </c>
      <c r="BB3" s="475" t="str">
        <f>"BUDGET "&amp;YEAR&amp;" -"&amp;YEAR+1</f>
        <v>BUDGET 2020 -2021</v>
      </c>
    </row>
    <row r="4" spans="1:54" ht="15.95" customHeight="1" x14ac:dyDescent="0.2">
      <c r="B4" s="4"/>
    </row>
    <row r="5" spans="1:54" ht="15.95" customHeight="1" x14ac:dyDescent="0.2">
      <c r="A5"/>
      <c r="B5"/>
      <c r="C5"/>
    </row>
    <row r="6" spans="1:54" ht="15.95" customHeight="1" x14ac:dyDescent="0.2">
      <c r="A6"/>
      <c r="B6"/>
      <c r="C6"/>
    </row>
    <row r="7" spans="1:54" ht="15.95" customHeight="1" x14ac:dyDescent="0.2">
      <c r="B7" s="745" t="s">
        <v>460</v>
      </c>
      <c r="C7"/>
    </row>
    <row r="8" spans="1:54" ht="15.95" customHeight="1" x14ac:dyDescent="0.2">
      <c r="A8" s="249"/>
      <c r="B8" s="725"/>
      <c r="C8"/>
    </row>
    <row r="9" spans="1:54" ht="15.95" customHeight="1" x14ac:dyDescent="0.2">
      <c r="A9" s="250" t="s">
        <v>37</v>
      </c>
      <c r="B9" s="609"/>
      <c r="C9"/>
    </row>
    <row r="10" spans="1:54" ht="5.0999999999999996" customHeight="1" x14ac:dyDescent="0.2">
      <c r="A10" s="29"/>
      <c r="B10" s="182"/>
      <c r="C10"/>
    </row>
    <row r="11" spans="1:54" ht="14.1" customHeight="1" x14ac:dyDescent="0.2">
      <c r="A11" s="271" t="s">
        <v>108</v>
      </c>
      <c r="B11" s="272">
        <v>0</v>
      </c>
      <c r="C11"/>
    </row>
    <row r="12" spans="1:54" ht="14.1" customHeight="1" x14ac:dyDescent="0.2">
      <c r="A12" s="15" t="s">
        <v>109</v>
      </c>
      <c r="B12" s="16">
        <v>378560</v>
      </c>
      <c r="C12"/>
    </row>
    <row r="13" spans="1:54" ht="14.1" customHeight="1" x14ac:dyDescent="0.2">
      <c r="A13" s="271" t="s">
        <v>110</v>
      </c>
      <c r="B13" s="272">
        <v>45000</v>
      </c>
      <c r="C13"/>
    </row>
    <row r="14" spans="1:54" ht="14.1" customHeight="1" x14ac:dyDescent="0.2">
      <c r="A14" s="15" t="s">
        <v>319</v>
      </c>
      <c r="B14" s="16">
        <v>32500</v>
      </c>
      <c r="C14"/>
    </row>
    <row r="15" spans="1:54" ht="14.1" customHeight="1" x14ac:dyDescent="0.2">
      <c r="A15" s="271" t="s">
        <v>111</v>
      </c>
      <c r="B15" s="272">
        <v>320000</v>
      </c>
      <c r="C15"/>
    </row>
    <row r="16" spans="1:54" ht="14.1" customHeight="1" x14ac:dyDescent="0.2">
      <c r="A16" s="15" t="s">
        <v>112</v>
      </c>
      <c r="B16" s="16">
        <v>22500</v>
      </c>
      <c r="C16"/>
    </row>
    <row r="17" spans="1:3" ht="14.1" customHeight="1" x14ac:dyDescent="0.2">
      <c r="A17" s="271" t="s">
        <v>113</v>
      </c>
      <c r="B17" s="272">
        <v>0</v>
      </c>
      <c r="C17"/>
    </row>
    <row r="18" spans="1:3" ht="14.1" customHeight="1" x14ac:dyDescent="0.2">
      <c r="A18" s="15" t="s">
        <v>114</v>
      </c>
      <c r="B18" s="16">
        <v>775000</v>
      </c>
      <c r="C18"/>
    </row>
    <row r="19" spans="1:3" ht="14.1" customHeight="1" x14ac:dyDescent="0.2">
      <c r="A19" s="271" t="s">
        <v>115</v>
      </c>
      <c r="B19" s="272">
        <v>200000</v>
      </c>
      <c r="C19"/>
    </row>
    <row r="20" spans="1:3" ht="14.1" customHeight="1" x14ac:dyDescent="0.2">
      <c r="A20" s="15" t="s">
        <v>116</v>
      </c>
      <c r="B20" s="16">
        <v>463100</v>
      </c>
      <c r="C20"/>
    </row>
    <row r="21" spans="1:3" ht="14.1" customHeight="1" x14ac:dyDescent="0.2">
      <c r="A21" s="271" t="s">
        <v>117</v>
      </c>
      <c r="B21" s="272">
        <v>247000</v>
      </c>
      <c r="C21"/>
    </row>
    <row r="22" spans="1:3" ht="14.1" customHeight="1" x14ac:dyDescent="0.2">
      <c r="A22" s="15" t="s">
        <v>118</v>
      </c>
      <c r="B22" s="16">
        <v>0</v>
      </c>
      <c r="C22"/>
    </row>
    <row r="23" spans="1:3" ht="14.1" customHeight="1" x14ac:dyDescent="0.2">
      <c r="A23" s="271" t="s">
        <v>119</v>
      </c>
      <c r="B23" s="272">
        <v>200000</v>
      </c>
      <c r="C23"/>
    </row>
    <row r="24" spans="1:3" ht="14.1" customHeight="1" x14ac:dyDescent="0.2">
      <c r="A24" s="15" t="s">
        <v>120</v>
      </c>
      <c r="B24" s="16">
        <v>367438</v>
      </c>
      <c r="C24"/>
    </row>
    <row r="25" spans="1:3" ht="14.1" customHeight="1" x14ac:dyDescent="0.2">
      <c r="A25" s="271" t="s">
        <v>121</v>
      </c>
      <c r="B25" s="272">
        <v>972983</v>
      </c>
      <c r="C25"/>
    </row>
    <row r="26" spans="1:3" ht="14.1" customHeight="1" x14ac:dyDescent="0.2">
      <c r="A26" s="15" t="s">
        <v>122</v>
      </c>
      <c r="B26" s="16">
        <v>996350</v>
      </c>
      <c r="C26"/>
    </row>
    <row r="27" spans="1:3" ht="14.1" customHeight="1" x14ac:dyDescent="0.2">
      <c r="A27" s="271" t="s">
        <v>123</v>
      </c>
      <c r="B27" s="272">
        <v>30000</v>
      </c>
      <c r="C27"/>
    </row>
    <row r="28" spans="1:3" ht="14.1" customHeight="1" x14ac:dyDescent="0.2">
      <c r="A28" s="15" t="s">
        <v>124</v>
      </c>
      <c r="B28" s="16">
        <v>120000</v>
      </c>
      <c r="C28"/>
    </row>
    <row r="29" spans="1:3" ht="14.1" customHeight="1" x14ac:dyDescent="0.2">
      <c r="A29" s="271" t="s">
        <v>125</v>
      </c>
      <c r="B29" s="272">
        <v>580000</v>
      </c>
      <c r="C29"/>
    </row>
    <row r="30" spans="1:3" ht="14.1" customHeight="1" x14ac:dyDescent="0.2">
      <c r="A30" s="15" t="s">
        <v>126</v>
      </c>
      <c r="B30" s="16">
        <v>0</v>
      </c>
      <c r="C30"/>
    </row>
    <row r="31" spans="1:3" ht="14.1" customHeight="1" x14ac:dyDescent="0.2">
      <c r="A31" s="271" t="s">
        <v>127</v>
      </c>
      <c r="B31" s="272">
        <v>865700</v>
      </c>
      <c r="C31"/>
    </row>
    <row r="32" spans="1:3" ht="14.1" customHeight="1" x14ac:dyDescent="0.2">
      <c r="A32" s="15" t="s">
        <v>128</v>
      </c>
      <c r="B32" s="16">
        <v>430400</v>
      </c>
      <c r="C32"/>
    </row>
    <row r="33" spans="1:3" ht="14.1" customHeight="1" x14ac:dyDescent="0.2">
      <c r="A33" s="271" t="s">
        <v>129</v>
      </c>
      <c r="B33" s="272">
        <v>150000</v>
      </c>
      <c r="C33"/>
    </row>
    <row r="34" spans="1:3" ht="14.1" customHeight="1" x14ac:dyDescent="0.2">
      <c r="A34" s="15" t="s">
        <v>130</v>
      </c>
      <c r="B34" s="16">
        <v>544653</v>
      </c>
      <c r="C34"/>
    </row>
    <row r="35" spans="1:3" ht="14.1" customHeight="1" x14ac:dyDescent="0.2">
      <c r="A35" s="271" t="s">
        <v>131</v>
      </c>
      <c r="B35" s="272">
        <v>2719500</v>
      </c>
      <c r="C35"/>
    </row>
    <row r="36" spans="1:3" ht="14.1" customHeight="1" x14ac:dyDescent="0.2">
      <c r="A36" s="15" t="s">
        <v>132</v>
      </c>
      <c r="B36" s="16">
        <v>150000</v>
      </c>
      <c r="C36"/>
    </row>
    <row r="37" spans="1:3" ht="14.1" customHeight="1" x14ac:dyDescent="0.2">
      <c r="A37" s="271" t="s">
        <v>133</v>
      </c>
      <c r="B37" s="272">
        <v>510000</v>
      </c>
      <c r="C37"/>
    </row>
    <row r="38" spans="1:3" ht="14.1" customHeight="1" x14ac:dyDescent="0.2">
      <c r="A38" s="15" t="s">
        <v>134</v>
      </c>
      <c r="B38" s="16">
        <v>2673440</v>
      </c>
      <c r="C38"/>
    </row>
    <row r="39" spans="1:3" ht="14.1" customHeight="1" x14ac:dyDescent="0.2">
      <c r="A39" s="271" t="s">
        <v>135</v>
      </c>
      <c r="B39" s="272">
        <v>0</v>
      </c>
      <c r="C39"/>
    </row>
    <row r="40" spans="1:3" ht="14.1" customHeight="1" x14ac:dyDescent="0.2">
      <c r="A40" s="15" t="s">
        <v>136</v>
      </c>
      <c r="B40" s="16">
        <v>2491515</v>
      </c>
      <c r="C40"/>
    </row>
    <row r="41" spans="1:3" ht="14.1" customHeight="1" x14ac:dyDescent="0.2">
      <c r="A41" s="271" t="s">
        <v>137</v>
      </c>
      <c r="B41" s="272">
        <v>1178481</v>
      </c>
      <c r="C41"/>
    </row>
    <row r="42" spans="1:3" ht="14.1" customHeight="1" x14ac:dyDescent="0.2">
      <c r="A42" s="15" t="s">
        <v>138</v>
      </c>
      <c r="B42" s="16">
        <v>0</v>
      </c>
      <c r="C42"/>
    </row>
    <row r="43" spans="1:3" ht="14.1" customHeight="1" x14ac:dyDescent="0.2">
      <c r="A43" s="271" t="s">
        <v>139</v>
      </c>
      <c r="B43" s="272">
        <v>32000</v>
      </c>
      <c r="C43"/>
    </row>
    <row r="44" spans="1:3" ht="14.1" customHeight="1" x14ac:dyDescent="0.2">
      <c r="A44" s="15" t="s">
        <v>140</v>
      </c>
      <c r="B44" s="16">
        <v>0</v>
      </c>
      <c r="C44"/>
    </row>
    <row r="45" spans="1:3" ht="14.1" customHeight="1" x14ac:dyDescent="0.2">
      <c r="A45" s="271" t="s">
        <v>141</v>
      </c>
      <c r="B45" s="272">
        <v>175000</v>
      </c>
      <c r="C45"/>
    </row>
    <row r="46" spans="1:3" ht="14.1" customHeight="1" x14ac:dyDescent="0.2">
      <c r="A46" s="15" t="s">
        <v>142</v>
      </c>
      <c r="B46" s="16">
        <v>1374000</v>
      </c>
      <c r="C46"/>
    </row>
    <row r="47" spans="1:3" ht="5.0999999999999996" customHeight="1" x14ac:dyDescent="0.2">
      <c r="A47"/>
      <c r="B47" s="368"/>
      <c r="C47"/>
    </row>
    <row r="48" spans="1:3" ht="14.1" customHeight="1" x14ac:dyDescent="0.2">
      <c r="A48" s="274" t="s">
        <v>143</v>
      </c>
      <c r="B48" s="275">
        <f>SUM(B11:B46)</f>
        <v>19045120</v>
      </c>
      <c r="C48"/>
    </row>
    <row r="49" spans="1:3" ht="5.0999999999999996" customHeight="1" x14ac:dyDescent="0.2">
      <c r="A49" s="17" t="s">
        <v>1</v>
      </c>
      <c r="B49" s="369"/>
      <c r="C49"/>
    </row>
    <row r="50" spans="1:3" ht="14.1" customHeight="1" x14ac:dyDescent="0.2">
      <c r="A50" s="15" t="s">
        <v>144</v>
      </c>
      <c r="B50" s="16">
        <v>0</v>
      </c>
      <c r="C50"/>
    </row>
    <row r="51" spans="1:3" ht="14.1" customHeight="1" x14ac:dyDescent="0.2">
      <c r="A51" s="360" t="s">
        <v>513</v>
      </c>
      <c r="B51" s="272">
        <v>449298</v>
      </c>
      <c r="C51"/>
    </row>
    <row r="52" spans="1:3" ht="14.1" customHeight="1" x14ac:dyDescent="0.2">
      <c r="A52" s="239"/>
      <c r="B52" s="240"/>
      <c r="C52"/>
    </row>
    <row r="53" spans="1:3" ht="50.1" customHeight="1" x14ac:dyDescent="0.2">
      <c r="A53" s="19"/>
      <c r="B53" s="19"/>
      <c r="C53" s="429"/>
    </row>
    <row r="54" spans="1:3" ht="14.45" customHeight="1" x14ac:dyDescent="0.2">
      <c r="A54" s="127" t="s">
        <v>332</v>
      </c>
    </row>
    <row r="55" spans="1:3" ht="14.45" customHeight="1" x14ac:dyDescent="0.2"/>
    <row r="56" spans="1:3" ht="14.45" customHeight="1" x14ac:dyDescent="0.2"/>
    <row r="57" spans="1:3" ht="14.45" customHeight="1" x14ac:dyDescent="0.2"/>
    <row r="58" spans="1:3" ht="14.45" customHeight="1" x14ac:dyDescent="0.2"/>
    <row r="59" spans="1:3" ht="14.45" customHeight="1" x14ac:dyDescent="0.2"/>
    <row r="60" spans="1:3" ht="14.45" customHeight="1" x14ac:dyDescent="0.2"/>
  </sheetData>
  <mergeCells count="1">
    <mergeCell ref="B7:B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59"/>
  <sheetViews>
    <sheetView showGridLines="0" showZeros="0" workbookViewId="0"/>
  </sheetViews>
  <sheetFormatPr defaultColWidth="12.83203125" defaultRowHeight="12" x14ac:dyDescent="0.2"/>
  <cols>
    <col min="1" max="1" width="29.83203125" style="1" customWidth="1"/>
    <col min="2" max="8" width="14.83203125" style="1" customWidth="1"/>
    <col min="9" max="9" width="15.83203125" style="1" customWidth="1"/>
    <col min="10" max="16384" width="12.83203125" style="1"/>
  </cols>
  <sheetData>
    <row r="1" spans="1:55" ht="6.95" customHeight="1" x14ac:dyDescent="0.2">
      <c r="A1" s="3"/>
      <c r="B1" s="32"/>
      <c r="C1" s="32"/>
      <c r="D1" s="32"/>
      <c r="E1" s="32"/>
      <c r="F1" s="32"/>
      <c r="G1" s="32"/>
      <c r="H1" s="32"/>
      <c r="I1" s="32"/>
      <c r="BA1" s="164"/>
      <c r="BB1" s="164"/>
      <c r="BC1" s="164"/>
    </row>
    <row r="2" spans="1:55" ht="15.95" customHeight="1" x14ac:dyDescent="0.2">
      <c r="A2" s="33"/>
      <c r="B2" s="34" t="str">
        <f>IF(Lang=1,BA2,BB2)</f>
        <v>FRAME STUDENT STATISTICS</v>
      </c>
      <c r="C2" s="35"/>
      <c r="D2" s="35"/>
      <c r="E2" s="35"/>
      <c r="F2" s="35"/>
      <c r="G2" s="35"/>
      <c r="H2" s="36" t="s">
        <v>74</v>
      </c>
      <c r="BA2" s="461" t="s">
        <v>73</v>
      </c>
      <c r="BB2" s="461" t="s">
        <v>374</v>
      </c>
      <c r="BC2" s="164"/>
    </row>
    <row r="3" spans="1:55" ht="15.95" customHeight="1" x14ac:dyDescent="0.2">
      <c r="A3" s="37"/>
      <c r="B3" s="38" t="str">
        <f>IF(Lang=1,BA3,BB3)</f>
        <v>ESTIMATE SEPTEMBER 30, 2020</v>
      </c>
      <c r="C3" s="39"/>
      <c r="D3" s="40"/>
      <c r="E3" s="39"/>
      <c r="F3" s="40"/>
      <c r="G3" s="39"/>
      <c r="H3" s="41"/>
      <c r="BA3" s="462" t="str">
        <f>"ESTIMATE SEPTEMBER 30, "&amp;YEAR</f>
        <v>ESTIMATE SEPTEMBER 30, 2020</v>
      </c>
      <c r="BB3" s="462" t="str">
        <f>"PRÉVISIONS AU 30 SEPTEMBRE "&amp;YEAR</f>
        <v>PRÉVISIONS AU 30 SEPTEMBRE 2020</v>
      </c>
      <c r="BC3" s="164"/>
    </row>
    <row r="4" spans="1:55" ht="15.95" customHeight="1" x14ac:dyDescent="0.2">
      <c r="B4" s="32"/>
      <c r="C4" s="32"/>
      <c r="D4" s="32"/>
      <c r="E4" s="32"/>
      <c r="F4" s="32"/>
      <c r="G4" s="42"/>
      <c r="H4" s="32"/>
      <c r="I4" s="32"/>
      <c r="BA4" s="164"/>
      <c r="BB4" s="164"/>
      <c r="BC4" s="164"/>
    </row>
    <row r="5" spans="1:55" ht="15.95" customHeight="1" x14ac:dyDescent="0.2">
      <c r="B5" s="32"/>
      <c r="C5" s="32"/>
      <c r="D5" s="32"/>
      <c r="E5" s="32"/>
      <c r="F5" s="32"/>
      <c r="G5" s="32"/>
      <c r="H5" s="32"/>
      <c r="I5" s="32"/>
    </row>
    <row r="6" spans="1:55" ht="15.95" customHeight="1" x14ac:dyDescent="0.2">
      <c r="B6" s="559" t="s">
        <v>21</v>
      </c>
      <c r="C6" s="560"/>
      <c r="D6" s="560"/>
      <c r="E6" s="560"/>
      <c r="F6" s="560"/>
      <c r="G6" s="560"/>
      <c r="H6" s="561"/>
    </row>
    <row r="7" spans="1:55" ht="15.95" customHeight="1" x14ac:dyDescent="0.2">
      <c r="B7" s="557" t="s">
        <v>231</v>
      </c>
      <c r="C7" s="555"/>
      <c r="D7" s="558"/>
      <c r="E7" s="554" t="s">
        <v>232</v>
      </c>
      <c r="F7" s="555"/>
      <c r="G7" s="555"/>
      <c r="H7" s="556"/>
    </row>
    <row r="8" spans="1:55" ht="15.95" customHeight="1" x14ac:dyDescent="0.2">
      <c r="A8" s="44"/>
      <c r="B8" s="562" t="s">
        <v>15</v>
      </c>
      <c r="C8" s="552" t="s">
        <v>16</v>
      </c>
      <c r="D8" s="564" t="s">
        <v>17</v>
      </c>
      <c r="E8" s="566" t="s">
        <v>15</v>
      </c>
      <c r="F8" s="552" t="s">
        <v>372</v>
      </c>
      <c r="G8" s="552" t="s">
        <v>17</v>
      </c>
      <c r="H8" s="552" t="s">
        <v>373</v>
      </c>
    </row>
    <row r="9" spans="1:55" ht="15.95" customHeight="1" x14ac:dyDescent="0.2">
      <c r="A9" s="45" t="s">
        <v>37</v>
      </c>
      <c r="B9" s="563"/>
      <c r="C9" s="553"/>
      <c r="D9" s="565"/>
      <c r="E9" s="567"/>
      <c r="F9" s="553"/>
      <c r="G9" s="553"/>
      <c r="H9" s="553"/>
    </row>
    <row r="10" spans="1:55" ht="5.0999999999999996" customHeight="1" x14ac:dyDescent="0.2">
      <c r="A10" s="29"/>
      <c r="B10" s="46"/>
      <c r="C10" s="46"/>
      <c r="D10" s="46"/>
      <c r="E10" s="46"/>
      <c r="F10" s="46"/>
      <c r="G10" s="46"/>
      <c r="H10" s="46"/>
    </row>
    <row r="11" spans="1:55" ht="14.1" customHeight="1" x14ac:dyDescent="0.2">
      <c r="A11" s="271" t="s">
        <v>108</v>
      </c>
      <c r="B11" s="292">
        <v>1994.5</v>
      </c>
      <c r="C11" s="292">
        <v>0</v>
      </c>
      <c r="D11" s="295">
        <v>0</v>
      </c>
      <c r="E11" s="296">
        <v>0</v>
      </c>
      <c r="F11" s="292">
        <v>0</v>
      </c>
      <c r="G11" s="292">
        <v>0</v>
      </c>
      <c r="H11" s="292">
        <v>0</v>
      </c>
    </row>
    <row r="12" spans="1:55" ht="14.1" customHeight="1" x14ac:dyDescent="0.2">
      <c r="A12" s="15" t="s">
        <v>109</v>
      </c>
      <c r="B12" s="47">
        <v>1373.5</v>
      </c>
      <c r="C12" s="47">
        <v>0</v>
      </c>
      <c r="D12" s="48">
        <v>0</v>
      </c>
      <c r="E12" s="49">
        <v>504</v>
      </c>
      <c r="F12" s="47">
        <v>0</v>
      </c>
      <c r="G12" s="47">
        <v>130.5</v>
      </c>
      <c r="H12" s="47">
        <v>0</v>
      </c>
    </row>
    <row r="13" spans="1:55" ht="14.1" customHeight="1" x14ac:dyDescent="0.2">
      <c r="A13" s="271" t="s">
        <v>110</v>
      </c>
      <c r="B13" s="292">
        <v>6834.5</v>
      </c>
      <c r="C13" s="292">
        <v>0</v>
      </c>
      <c r="D13" s="295">
        <v>336</v>
      </c>
      <c r="E13" s="296">
        <v>654.5</v>
      </c>
      <c r="F13" s="292">
        <v>0</v>
      </c>
      <c r="G13" s="292">
        <v>496.5</v>
      </c>
      <c r="H13" s="292">
        <v>0</v>
      </c>
    </row>
    <row r="14" spans="1:55" ht="14.1" customHeight="1" x14ac:dyDescent="0.2">
      <c r="A14" s="15" t="s">
        <v>319</v>
      </c>
      <c r="B14" s="47">
        <v>0</v>
      </c>
      <c r="C14" s="47">
        <v>5959</v>
      </c>
      <c r="D14" s="48">
        <v>0</v>
      </c>
      <c r="E14" s="49">
        <v>0</v>
      </c>
      <c r="F14" s="47">
        <v>0</v>
      </c>
      <c r="G14" s="47">
        <v>0</v>
      </c>
      <c r="H14" s="47">
        <v>0</v>
      </c>
    </row>
    <row r="15" spans="1:55" ht="14.1" customHeight="1" x14ac:dyDescent="0.2">
      <c r="A15" s="271" t="s">
        <v>111</v>
      </c>
      <c r="B15" s="292">
        <v>1375</v>
      </c>
      <c r="C15" s="292">
        <v>0</v>
      </c>
      <c r="D15" s="295">
        <v>0</v>
      </c>
      <c r="E15" s="296">
        <v>0</v>
      </c>
      <c r="F15" s="292">
        <v>0</v>
      </c>
      <c r="G15" s="292">
        <v>0</v>
      </c>
      <c r="H15" s="292">
        <v>0</v>
      </c>
    </row>
    <row r="16" spans="1:55" ht="14.1" customHeight="1" x14ac:dyDescent="0.2">
      <c r="A16" s="15" t="s">
        <v>112</v>
      </c>
      <c r="B16" s="47">
        <v>572</v>
      </c>
      <c r="C16" s="47">
        <v>0</v>
      </c>
      <c r="D16" s="48">
        <v>0</v>
      </c>
      <c r="E16" s="49">
        <v>258.5</v>
      </c>
      <c r="F16" s="47">
        <v>0</v>
      </c>
      <c r="G16" s="47">
        <v>117.5</v>
      </c>
      <c r="H16" s="47">
        <v>0</v>
      </c>
    </row>
    <row r="17" spans="1:8" ht="14.1" customHeight="1" x14ac:dyDescent="0.2">
      <c r="A17" s="271" t="s">
        <v>113</v>
      </c>
      <c r="B17" s="292">
        <v>1421</v>
      </c>
      <c r="C17" s="292">
        <v>0</v>
      </c>
      <c r="D17" s="295">
        <v>0</v>
      </c>
      <c r="E17" s="296">
        <v>0</v>
      </c>
      <c r="F17" s="292">
        <v>0</v>
      </c>
      <c r="G17" s="292">
        <v>0</v>
      </c>
      <c r="H17" s="292">
        <v>0</v>
      </c>
    </row>
    <row r="18" spans="1:8" ht="14.1" customHeight="1" x14ac:dyDescent="0.2">
      <c r="A18" s="15" t="s">
        <v>114</v>
      </c>
      <c r="B18" s="47">
        <v>5930</v>
      </c>
      <c r="C18" s="47">
        <v>0</v>
      </c>
      <c r="D18" s="48">
        <v>0</v>
      </c>
      <c r="E18" s="49">
        <v>0</v>
      </c>
      <c r="F18" s="47">
        <v>0</v>
      </c>
      <c r="G18" s="47">
        <v>0</v>
      </c>
      <c r="H18" s="47">
        <v>0</v>
      </c>
    </row>
    <row r="19" spans="1:8" ht="14.1" customHeight="1" x14ac:dyDescent="0.2">
      <c r="A19" s="271" t="s">
        <v>115</v>
      </c>
      <c r="B19" s="292">
        <v>4322.5</v>
      </c>
      <c r="C19" s="292">
        <v>0</v>
      </c>
      <c r="D19" s="295">
        <v>0</v>
      </c>
      <c r="E19" s="296">
        <v>0</v>
      </c>
      <c r="F19" s="292">
        <v>0</v>
      </c>
      <c r="G19" s="292">
        <v>0</v>
      </c>
      <c r="H19" s="292">
        <v>0</v>
      </c>
    </row>
    <row r="20" spans="1:8" ht="14.1" customHeight="1" x14ac:dyDescent="0.2">
      <c r="A20" s="15" t="s">
        <v>116</v>
      </c>
      <c r="B20" s="47">
        <v>7616.1</v>
      </c>
      <c r="C20" s="47">
        <v>0</v>
      </c>
      <c r="D20" s="48">
        <v>0</v>
      </c>
      <c r="E20" s="49">
        <v>0</v>
      </c>
      <c r="F20" s="47">
        <v>0</v>
      </c>
      <c r="G20" s="47">
        <v>0</v>
      </c>
      <c r="H20" s="47">
        <v>0</v>
      </c>
    </row>
    <row r="21" spans="1:8" ht="14.1" customHeight="1" x14ac:dyDescent="0.2">
      <c r="A21" s="271" t="s">
        <v>117</v>
      </c>
      <c r="B21" s="292">
        <v>2041</v>
      </c>
      <c r="C21" s="292">
        <v>0</v>
      </c>
      <c r="D21" s="295">
        <v>0</v>
      </c>
      <c r="E21" s="296">
        <v>426</v>
      </c>
      <c r="F21" s="292">
        <v>0</v>
      </c>
      <c r="G21" s="292">
        <v>0</v>
      </c>
      <c r="H21" s="292">
        <v>334</v>
      </c>
    </row>
    <row r="22" spans="1:8" ht="14.1" customHeight="1" x14ac:dyDescent="0.2">
      <c r="A22" s="15" t="s">
        <v>118</v>
      </c>
      <c r="B22" s="47">
        <v>718.5</v>
      </c>
      <c r="C22" s="47">
        <v>0</v>
      </c>
      <c r="D22" s="48">
        <v>0</v>
      </c>
      <c r="E22" s="49">
        <v>581</v>
      </c>
      <c r="F22" s="47">
        <v>0</v>
      </c>
      <c r="G22" s="47">
        <v>135</v>
      </c>
      <c r="H22" s="47">
        <v>0</v>
      </c>
    </row>
    <row r="23" spans="1:8" ht="14.1" customHeight="1" x14ac:dyDescent="0.2">
      <c r="A23" s="271" t="s">
        <v>119</v>
      </c>
      <c r="B23" s="292">
        <v>918</v>
      </c>
      <c r="C23" s="292">
        <v>0</v>
      </c>
      <c r="D23" s="295">
        <v>0</v>
      </c>
      <c r="E23" s="296">
        <v>0</v>
      </c>
      <c r="F23" s="292">
        <v>0</v>
      </c>
      <c r="G23" s="292">
        <v>0</v>
      </c>
      <c r="H23" s="292">
        <v>0</v>
      </c>
    </row>
    <row r="24" spans="1:8" ht="14.1" customHeight="1" x14ac:dyDescent="0.2">
      <c r="A24" s="15" t="s">
        <v>120</v>
      </c>
      <c r="B24" s="47">
        <v>2584</v>
      </c>
      <c r="C24" s="47">
        <v>0</v>
      </c>
      <c r="D24" s="48">
        <v>228</v>
      </c>
      <c r="E24" s="49">
        <v>494</v>
      </c>
      <c r="F24" s="47">
        <v>0</v>
      </c>
      <c r="G24" s="47">
        <v>121</v>
      </c>
      <c r="H24" s="47">
        <v>89</v>
      </c>
    </row>
    <row r="25" spans="1:8" ht="14.1" customHeight="1" x14ac:dyDescent="0.2">
      <c r="A25" s="271" t="s">
        <v>121</v>
      </c>
      <c r="B25" s="292">
        <v>9301.7999999999993</v>
      </c>
      <c r="C25" s="292">
        <v>0</v>
      </c>
      <c r="D25" s="295">
        <v>4833</v>
      </c>
      <c r="E25" s="296">
        <v>381</v>
      </c>
      <c r="F25" s="292">
        <v>0</v>
      </c>
      <c r="G25" s="292">
        <v>395</v>
      </c>
      <c r="H25" s="292">
        <v>0</v>
      </c>
    </row>
    <row r="26" spans="1:8" ht="14.1" customHeight="1" x14ac:dyDescent="0.2">
      <c r="A26" s="15" t="s">
        <v>122</v>
      </c>
      <c r="B26" s="47">
        <v>2283.9</v>
      </c>
      <c r="C26" s="47">
        <v>0</v>
      </c>
      <c r="D26" s="48">
        <v>149</v>
      </c>
      <c r="E26" s="49">
        <v>352</v>
      </c>
      <c r="F26" s="47">
        <v>0</v>
      </c>
      <c r="G26" s="47">
        <v>91</v>
      </c>
      <c r="H26" s="47">
        <v>59.5</v>
      </c>
    </row>
    <row r="27" spans="1:8" ht="14.1" customHeight="1" x14ac:dyDescent="0.2">
      <c r="A27" s="271" t="s">
        <v>123</v>
      </c>
      <c r="B27" s="292">
        <v>2480.5</v>
      </c>
      <c r="C27" s="292">
        <v>0</v>
      </c>
      <c r="D27" s="295">
        <v>0</v>
      </c>
      <c r="E27" s="296">
        <v>133.5</v>
      </c>
      <c r="F27" s="292">
        <v>0</v>
      </c>
      <c r="G27" s="292">
        <v>232</v>
      </c>
      <c r="H27" s="292">
        <v>0</v>
      </c>
    </row>
    <row r="28" spans="1:8" ht="14.1" customHeight="1" x14ac:dyDescent="0.2">
      <c r="A28" s="15" t="s">
        <v>124</v>
      </c>
      <c r="B28" s="47">
        <v>2019</v>
      </c>
      <c r="C28" s="47">
        <v>0</v>
      </c>
      <c r="D28" s="48">
        <v>0</v>
      </c>
      <c r="E28" s="49">
        <v>0</v>
      </c>
      <c r="F28" s="47">
        <v>0</v>
      </c>
      <c r="G28" s="47">
        <v>0</v>
      </c>
      <c r="H28" s="47">
        <v>0</v>
      </c>
    </row>
    <row r="29" spans="1:8" ht="14.1" customHeight="1" x14ac:dyDescent="0.2">
      <c r="A29" s="271" t="s">
        <v>125</v>
      </c>
      <c r="B29" s="292">
        <v>8490.6</v>
      </c>
      <c r="C29" s="292">
        <v>0</v>
      </c>
      <c r="D29" s="295">
        <v>1354.5</v>
      </c>
      <c r="E29" s="296">
        <v>2564.4</v>
      </c>
      <c r="F29" s="292">
        <v>0</v>
      </c>
      <c r="G29" s="292">
        <v>1975.5</v>
      </c>
      <c r="H29" s="292">
        <v>0</v>
      </c>
    </row>
    <row r="30" spans="1:8" ht="14.1" customHeight="1" x14ac:dyDescent="0.2">
      <c r="A30" s="15" t="s">
        <v>126</v>
      </c>
      <c r="B30" s="47">
        <v>1034.5</v>
      </c>
      <c r="C30" s="47">
        <v>0</v>
      </c>
      <c r="D30" s="48">
        <v>0</v>
      </c>
      <c r="E30" s="49">
        <v>0</v>
      </c>
      <c r="F30" s="47">
        <v>0</v>
      </c>
      <c r="G30" s="47">
        <v>0</v>
      </c>
      <c r="H30" s="47">
        <v>0</v>
      </c>
    </row>
    <row r="31" spans="1:8" ht="14.1" customHeight="1" x14ac:dyDescent="0.2">
      <c r="A31" s="271" t="s">
        <v>127</v>
      </c>
      <c r="B31" s="292">
        <v>2414.5</v>
      </c>
      <c r="C31" s="292">
        <v>0</v>
      </c>
      <c r="D31" s="295">
        <v>0</v>
      </c>
      <c r="E31" s="296">
        <v>487.5</v>
      </c>
      <c r="F31" s="292">
        <v>0</v>
      </c>
      <c r="G31" s="292">
        <v>345</v>
      </c>
      <c r="H31" s="292">
        <v>0</v>
      </c>
    </row>
    <row r="32" spans="1:8" ht="14.1" customHeight="1" x14ac:dyDescent="0.2">
      <c r="A32" s="15" t="s">
        <v>128</v>
      </c>
      <c r="B32" s="47">
        <v>1730</v>
      </c>
      <c r="C32" s="47">
        <v>0</v>
      </c>
      <c r="D32" s="48">
        <v>135</v>
      </c>
      <c r="E32" s="49">
        <v>384</v>
      </c>
      <c r="F32" s="47">
        <v>0</v>
      </c>
      <c r="G32" s="47">
        <v>86.5</v>
      </c>
      <c r="H32" s="47">
        <v>0</v>
      </c>
    </row>
    <row r="33" spans="1:9" ht="14.1" customHeight="1" x14ac:dyDescent="0.2">
      <c r="A33" s="271" t="s">
        <v>129</v>
      </c>
      <c r="B33" s="292">
        <v>1618.6999999999998</v>
      </c>
      <c r="C33" s="292">
        <v>0</v>
      </c>
      <c r="D33" s="295">
        <v>0</v>
      </c>
      <c r="E33" s="296">
        <v>213</v>
      </c>
      <c r="F33" s="292">
        <v>118</v>
      </c>
      <c r="G33" s="292">
        <v>115.5</v>
      </c>
      <c r="H33" s="292">
        <v>0</v>
      </c>
    </row>
    <row r="34" spans="1:9" ht="14.1" customHeight="1" x14ac:dyDescent="0.2">
      <c r="A34" s="15" t="s">
        <v>130</v>
      </c>
      <c r="B34" s="47">
        <v>1700</v>
      </c>
      <c r="C34" s="47">
        <v>0</v>
      </c>
      <c r="D34" s="48">
        <v>304.5</v>
      </c>
      <c r="E34" s="49">
        <v>84.5</v>
      </c>
      <c r="F34" s="47">
        <v>164</v>
      </c>
      <c r="G34" s="47">
        <v>0</v>
      </c>
      <c r="H34" s="47">
        <v>0</v>
      </c>
    </row>
    <row r="35" spans="1:9" ht="14.1" customHeight="1" x14ac:dyDescent="0.2">
      <c r="A35" s="271" t="s">
        <v>131</v>
      </c>
      <c r="B35" s="292">
        <v>7913.5</v>
      </c>
      <c r="C35" s="292">
        <v>0</v>
      </c>
      <c r="D35" s="295">
        <v>1386</v>
      </c>
      <c r="E35" s="296">
        <v>3807</v>
      </c>
      <c r="F35" s="292">
        <v>0</v>
      </c>
      <c r="G35" s="292">
        <v>1957.5</v>
      </c>
      <c r="H35" s="292">
        <v>557.5</v>
      </c>
    </row>
    <row r="36" spans="1:9" ht="14.1" customHeight="1" x14ac:dyDescent="0.2">
      <c r="A36" s="15" t="s">
        <v>132</v>
      </c>
      <c r="B36" s="47">
        <v>1737.6</v>
      </c>
      <c r="C36" s="47">
        <v>0</v>
      </c>
      <c r="D36" s="48">
        <v>0</v>
      </c>
      <c r="E36" s="49">
        <v>0</v>
      </c>
      <c r="F36" s="47">
        <v>0</v>
      </c>
      <c r="G36" s="47">
        <v>0</v>
      </c>
      <c r="H36" s="47">
        <v>0</v>
      </c>
    </row>
    <row r="37" spans="1:9" ht="14.1" customHeight="1" x14ac:dyDescent="0.2">
      <c r="A37" s="271" t="s">
        <v>133</v>
      </c>
      <c r="B37" s="292">
        <v>2179</v>
      </c>
      <c r="C37" s="292">
        <v>0</v>
      </c>
      <c r="D37" s="295">
        <v>795</v>
      </c>
      <c r="E37" s="296">
        <v>751</v>
      </c>
      <c r="F37" s="292">
        <v>0</v>
      </c>
      <c r="G37" s="292">
        <v>639</v>
      </c>
      <c r="H37" s="292">
        <v>0</v>
      </c>
    </row>
    <row r="38" spans="1:9" ht="14.1" customHeight="1" x14ac:dyDescent="0.2">
      <c r="A38" s="15" t="s">
        <v>134</v>
      </c>
      <c r="B38" s="47">
        <v>6780</v>
      </c>
      <c r="C38" s="47">
        <v>0</v>
      </c>
      <c r="D38" s="48">
        <v>976</v>
      </c>
      <c r="E38" s="49">
        <v>2301.8000000000002</v>
      </c>
      <c r="F38" s="47">
        <v>0</v>
      </c>
      <c r="G38" s="47">
        <v>1140.8</v>
      </c>
      <c r="H38" s="47">
        <v>256.2</v>
      </c>
    </row>
    <row r="39" spans="1:9" ht="14.1" customHeight="1" x14ac:dyDescent="0.2">
      <c r="A39" s="271" t="s">
        <v>135</v>
      </c>
      <c r="B39" s="292">
        <v>1490.6</v>
      </c>
      <c r="C39" s="292">
        <v>0</v>
      </c>
      <c r="D39" s="295">
        <v>0</v>
      </c>
      <c r="E39" s="296">
        <v>0</v>
      </c>
      <c r="F39" s="292">
        <v>0</v>
      </c>
      <c r="G39" s="292">
        <v>0</v>
      </c>
      <c r="H39" s="292">
        <v>0</v>
      </c>
    </row>
    <row r="40" spans="1:9" ht="14.1" customHeight="1" x14ac:dyDescent="0.2">
      <c r="A40" s="15" t="s">
        <v>136</v>
      </c>
      <c r="B40" s="47">
        <v>5566.4</v>
      </c>
      <c r="C40" s="47">
        <v>0</v>
      </c>
      <c r="D40" s="48">
        <v>1413</v>
      </c>
      <c r="E40" s="49">
        <v>667.5</v>
      </c>
      <c r="F40" s="47">
        <v>0</v>
      </c>
      <c r="G40" s="47">
        <v>346</v>
      </c>
      <c r="H40" s="47">
        <v>0</v>
      </c>
    </row>
    <row r="41" spans="1:9" ht="14.1" customHeight="1" x14ac:dyDescent="0.2">
      <c r="A41" s="271" t="s">
        <v>137</v>
      </c>
      <c r="B41" s="292">
        <v>2039.5</v>
      </c>
      <c r="C41" s="292">
        <v>0</v>
      </c>
      <c r="D41" s="295">
        <v>0</v>
      </c>
      <c r="E41" s="296">
        <v>1553.5</v>
      </c>
      <c r="F41" s="292">
        <v>0</v>
      </c>
      <c r="G41" s="292">
        <v>815</v>
      </c>
      <c r="H41" s="292">
        <v>86</v>
      </c>
    </row>
    <row r="42" spans="1:9" ht="14.1" customHeight="1" x14ac:dyDescent="0.2">
      <c r="A42" s="15" t="s">
        <v>138</v>
      </c>
      <c r="B42" s="47">
        <v>970.5</v>
      </c>
      <c r="C42" s="47">
        <v>0</v>
      </c>
      <c r="D42" s="48">
        <v>0</v>
      </c>
      <c r="E42" s="49">
        <v>180.4</v>
      </c>
      <c r="F42" s="47">
        <v>0</v>
      </c>
      <c r="G42" s="47">
        <v>77.599999999999994</v>
      </c>
      <c r="H42" s="47">
        <v>0</v>
      </c>
    </row>
    <row r="43" spans="1:9" ht="14.1" customHeight="1" x14ac:dyDescent="0.2">
      <c r="A43" s="271" t="s">
        <v>139</v>
      </c>
      <c r="B43" s="292">
        <v>978</v>
      </c>
      <c r="C43" s="292">
        <v>0</v>
      </c>
      <c r="D43" s="295">
        <v>0</v>
      </c>
      <c r="E43" s="296">
        <v>0</v>
      </c>
      <c r="F43" s="292">
        <v>0</v>
      </c>
      <c r="G43" s="292">
        <v>0</v>
      </c>
      <c r="H43" s="292">
        <v>0</v>
      </c>
    </row>
    <row r="44" spans="1:9" ht="14.1" customHeight="1" x14ac:dyDescent="0.2">
      <c r="A44" s="15" t="s">
        <v>140</v>
      </c>
      <c r="B44" s="47">
        <v>642.5</v>
      </c>
      <c r="C44" s="47">
        <v>0</v>
      </c>
      <c r="D44" s="48">
        <v>51</v>
      </c>
      <c r="E44" s="49">
        <v>0</v>
      </c>
      <c r="F44" s="47">
        <v>0</v>
      </c>
      <c r="G44" s="47">
        <v>0</v>
      </c>
      <c r="H44" s="47">
        <v>0</v>
      </c>
    </row>
    <row r="45" spans="1:9" ht="14.1" customHeight="1" x14ac:dyDescent="0.2">
      <c r="A45" s="271" t="s">
        <v>141</v>
      </c>
      <c r="B45" s="292">
        <v>900</v>
      </c>
      <c r="C45" s="292">
        <v>0</v>
      </c>
      <c r="D45" s="295">
        <v>0</v>
      </c>
      <c r="E45" s="296">
        <v>814</v>
      </c>
      <c r="F45" s="292">
        <v>0</v>
      </c>
      <c r="G45" s="292">
        <v>336</v>
      </c>
      <c r="H45" s="292">
        <v>0</v>
      </c>
    </row>
    <row r="46" spans="1:9" ht="14.1" customHeight="1" x14ac:dyDescent="0.2">
      <c r="A46" s="15" t="s">
        <v>142</v>
      </c>
      <c r="B46" s="47">
        <v>18359.5</v>
      </c>
      <c r="C46" s="47">
        <v>0</v>
      </c>
      <c r="D46" s="48">
        <v>1422.5</v>
      </c>
      <c r="E46" s="49">
        <v>6123</v>
      </c>
      <c r="F46" s="47">
        <v>0</v>
      </c>
      <c r="G46" s="47">
        <v>2985</v>
      </c>
      <c r="H46" s="47">
        <v>357</v>
      </c>
    </row>
    <row r="47" spans="1:9" ht="5.0999999999999996" customHeight="1" x14ac:dyDescent="0.2">
      <c r="A47"/>
      <c r="B47"/>
      <c r="C47"/>
      <c r="D47"/>
      <c r="E47"/>
      <c r="F47"/>
      <c r="G47"/>
      <c r="H47"/>
      <c r="I47"/>
    </row>
    <row r="48" spans="1:9" ht="14.1" customHeight="1" x14ac:dyDescent="0.2">
      <c r="A48" s="274" t="s">
        <v>143</v>
      </c>
      <c r="B48" s="293">
        <f>SUM(B11:B46)</f>
        <v>120331.2</v>
      </c>
      <c r="C48" s="293">
        <f t="shared" ref="C48:H48" si="0">SUM(C11:C46)</f>
        <v>5959</v>
      </c>
      <c r="D48" s="358">
        <f t="shared" si="0"/>
        <v>13383.5</v>
      </c>
      <c r="E48" s="357">
        <f t="shared" si="0"/>
        <v>23716.100000000002</v>
      </c>
      <c r="F48" s="293">
        <f t="shared" si="0"/>
        <v>282</v>
      </c>
      <c r="G48" s="293">
        <f t="shared" si="0"/>
        <v>12537.9</v>
      </c>
      <c r="H48" s="293">
        <f t="shared" si="0"/>
        <v>1739.2</v>
      </c>
    </row>
    <row r="49" spans="1:9" ht="5.0999999999999996" customHeight="1" x14ac:dyDescent="0.2">
      <c r="A49" s="17" t="s">
        <v>1</v>
      </c>
      <c r="B49" s="50"/>
      <c r="C49" s="50"/>
      <c r="D49" s="50"/>
      <c r="E49" s="50"/>
      <c r="F49" s="50"/>
      <c r="G49" s="50"/>
      <c r="H49" s="50"/>
    </row>
    <row r="50" spans="1:9" ht="14.1" customHeight="1" x14ac:dyDescent="0.2">
      <c r="A50" s="15" t="s">
        <v>144</v>
      </c>
      <c r="B50" s="47">
        <v>172</v>
      </c>
      <c r="C50" s="47">
        <v>0</v>
      </c>
      <c r="D50" s="48">
        <v>0</v>
      </c>
      <c r="E50" s="49">
        <v>0</v>
      </c>
      <c r="F50" s="47">
        <v>0</v>
      </c>
      <c r="G50" s="47">
        <v>0</v>
      </c>
      <c r="H50" s="47">
        <v>0</v>
      </c>
    </row>
    <row r="51" spans="1:9" ht="14.1" customHeight="1" x14ac:dyDescent="0.2">
      <c r="A51" s="360" t="s">
        <v>513</v>
      </c>
      <c r="B51" s="292">
        <v>131</v>
      </c>
      <c r="C51" s="292">
        <v>18</v>
      </c>
      <c r="D51" s="295">
        <v>0</v>
      </c>
      <c r="E51" s="296">
        <v>0</v>
      </c>
      <c r="F51" s="292">
        <v>0</v>
      </c>
      <c r="G51" s="292">
        <v>0</v>
      </c>
      <c r="H51" s="292">
        <v>0</v>
      </c>
    </row>
    <row r="52" spans="1:9" ht="50.1" customHeight="1" x14ac:dyDescent="0.2">
      <c r="A52" s="19"/>
      <c r="B52" s="51"/>
      <c r="C52" s="51"/>
      <c r="D52" s="51"/>
      <c r="E52" s="51"/>
      <c r="F52" s="51"/>
      <c r="G52" s="51"/>
      <c r="H52" s="51"/>
      <c r="I52" s="46"/>
    </row>
    <row r="53" spans="1:9" ht="15" customHeight="1" x14ac:dyDescent="0.2">
      <c r="A53" s="46" t="s">
        <v>340</v>
      </c>
      <c r="C53" s="46"/>
      <c r="D53" s="46"/>
      <c r="E53" s="46"/>
      <c r="F53" s="46"/>
      <c r="G53" s="46"/>
      <c r="H53" s="46"/>
      <c r="I53" s="46"/>
    </row>
    <row r="54" spans="1:9" ht="12" customHeight="1" x14ac:dyDescent="0.2">
      <c r="A54" s="46" t="s">
        <v>341</v>
      </c>
      <c r="C54" s="46"/>
      <c r="D54" s="46"/>
      <c r="E54" s="46"/>
      <c r="F54" s="46"/>
      <c r="G54" s="46"/>
      <c r="H54" s="46"/>
      <c r="I54" s="46"/>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10">
    <mergeCell ref="H8:H9"/>
    <mergeCell ref="E7:H7"/>
    <mergeCell ref="B7:D7"/>
    <mergeCell ref="B6:H6"/>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BB59"/>
  <sheetViews>
    <sheetView showGridLines="0" showZeros="0" workbookViewId="0"/>
  </sheetViews>
  <sheetFormatPr defaultColWidth="15.83203125" defaultRowHeight="12" x14ac:dyDescent="0.2"/>
  <cols>
    <col min="1" max="1" width="35.83203125" style="1" customWidth="1"/>
    <col min="2" max="3" width="25.83203125" style="1" customWidth="1"/>
    <col min="4" max="4" width="45.83203125" style="1" customWidth="1"/>
    <col min="5" max="52" width="15.83203125" style="1"/>
    <col min="53" max="53" width="73.5" style="1" bestFit="1" customWidth="1"/>
    <col min="54" max="16384" width="15.83203125" style="1"/>
  </cols>
  <sheetData>
    <row r="1" spans="1:54" ht="6.95" customHeight="1" x14ac:dyDescent="0.2">
      <c r="A1" s="3"/>
    </row>
    <row r="2" spans="1:54" ht="17.100000000000001" customHeight="1" x14ac:dyDescent="0.2">
      <c r="A2" s="241"/>
      <c r="B2" s="242" t="s">
        <v>550</v>
      </c>
      <c r="C2" s="133"/>
      <c r="D2" s="141"/>
      <c r="BA2" s="131" t="s">
        <v>463</v>
      </c>
      <c r="BB2" s="1" t="s">
        <v>459</v>
      </c>
    </row>
    <row r="3" spans="1:54" ht="15" customHeight="1" x14ac:dyDescent="0.2">
      <c r="A3" s="243"/>
      <c r="B3" s="195" t="str">
        <f>IF(Lang=1,BA3,BB3)</f>
        <v>FOR THE 2020 TAXATION YEAR  (2020 IS A REASSESSMENT YEAR)</v>
      </c>
      <c r="C3" s="144"/>
      <c r="D3" s="244"/>
      <c r="BA3" s="1" t="str">
        <f>"FOR THE "&amp;YEAR&amp;" TAXATION YEAR  (2020 IS A REASSESSMENT YEAR)"</f>
        <v>FOR THE 2020 TAXATION YEAR  (2020 IS A REASSESSMENT YEAR)</v>
      </c>
      <c r="BB3" s="131" t="s">
        <v>599</v>
      </c>
    </row>
    <row r="4" spans="1:54" ht="15.95" customHeight="1" x14ac:dyDescent="0.2">
      <c r="A4" s="131"/>
      <c r="B4" s="4"/>
      <c r="C4" s="55"/>
      <c r="BA4" s="1" t="s">
        <v>588</v>
      </c>
      <c r="BB4" s="1" t="s">
        <v>589</v>
      </c>
    </row>
    <row r="5" spans="1:54" ht="15.95" customHeight="1" x14ac:dyDescent="0.2">
      <c r="A5" s="1" t="str">
        <f>REPLACE(A4,5,5,"")</f>
        <v/>
      </c>
      <c r="B5" s="4"/>
      <c r="C5" s="4"/>
    </row>
    <row r="6" spans="1:54" ht="15.95" customHeight="1" x14ac:dyDescent="0.2">
      <c r="B6"/>
      <c r="C6"/>
    </row>
    <row r="7" spans="1:54" ht="15.95" customHeight="1" x14ac:dyDescent="0.2">
      <c r="B7" s="748" t="s">
        <v>461</v>
      </c>
      <c r="C7" s="476"/>
    </row>
    <row r="8" spans="1:54" ht="15.95" customHeight="1" x14ac:dyDescent="0.2">
      <c r="A8" s="249"/>
      <c r="B8" s="749"/>
      <c r="C8" s="751" t="s">
        <v>462</v>
      </c>
    </row>
    <row r="9" spans="1:54" ht="15.95" customHeight="1" x14ac:dyDescent="0.2">
      <c r="A9" s="250" t="s">
        <v>37</v>
      </c>
      <c r="B9" s="750"/>
      <c r="C9" s="752"/>
    </row>
    <row r="10" spans="1:54" ht="4.5" customHeight="1" x14ac:dyDescent="0.2">
      <c r="A10" s="29"/>
      <c r="B10" s="182"/>
      <c r="C10" s="422">
        <f>8.828/1000</f>
        <v>8.827999999999999E-3</v>
      </c>
    </row>
    <row r="11" spans="1:54" ht="14.1" customHeight="1" x14ac:dyDescent="0.2">
      <c r="A11" s="271" t="s">
        <v>108</v>
      </c>
      <c r="B11" s="272">
        <f>'- 47 -'!D11</f>
        <v>168418270</v>
      </c>
      <c r="C11" s="272">
        <f t="shared" ref="C11:C46" si="0">B11*C$10</f>
        <v>1486796.4875599998</v>
      </c>
      <c r="D11" s="528"/>
    </row>
    <row r="12" spans="1:54" ht="14.1" customHeight="1" x14ac:dyDescent="0.2">
      <c r="A12" s="15" t="s">
        <v>109</v>
      </c>
      <c r="B12" s="16">
        <f>'- 47 -'!D12</f>
        <v>229760770</v>
      </c>
      <c r="C12" s="16">
        <f t="shared" si="0"/>
        <v>2028328.0775599999</v>
      </c>
    </row>
    <row r="13" spans="1:54" ht="14.1" customHeight="1" x14ac:dyDescent="0.2">
      <c r="A13" s="271" t="s">
        <v>110</v>
      </c>
      <c r="B13" s="272">
        <f>'- 47 -'!D13</f>
        <v>1023607480</v>
      </c>
      <c r="C13" s="272">
        <f t="shared" si="0"/>
        <v>9036406.8334399983</v>
      </c>
    </row>
    <row r="14" spans="1:54" ht="14.1" customHeight="1" x14ac:dyDescent="0.2">
      <c r="A14" s="15" t="s">
        <v>319</v>
      </c>
      <c r="B14" s="16">
        <f>'- 47 -'!D14</f>
        <v>0</v>
      </c>
      <c r="C14" s="16">
        <f t="shared" si="0"/>
        <v>0</v>
      </c>
    </row>
    <row r="15" spans="1:54" ht="14.1" customHeight="1" x14ac:dyDescent="0.2">
      <c r="A15" s="271" t="s">
        <v>111</v>
      </c>
      <c r="B15" s="272">
        <f>'- 47 -'!D15</f>
        <v>134728530</v>
      </c>
      <c r="C15" s="272">
        <f t="shared" si="0"/>
        <v>1189383.4628399999</v>
      </c>
    </row>
    <row r="16" spans="1:54" ht="14.1" customHeight="1" x14ac:dyDescent="0.2">
      <c r="A16" s="15" t="s">
        <v>112</v>
      </c>
      <c r="B16" s="16">
        <f>'- 47 -'!D16</f>
        <v>35027800</v>
      </c>
      <c r="C16" s="16">
        <f t="shared" si="0"/>
        <v>309225.41839999997</v>
      </c>
    </row>
    <row r="17" spans="1:3" ht="14.1" customHeight="1" x14ac:dyDescent="0.2">
      <c r="A17" s="271" t="s">
        <v>113</v>
      </c>
      <c r="B17" s="272">
        <f>'- 47 -'!D17</f>
        <v>691111500</v>
      </c>
      <c r="C17" s="272">
        <f t="shared" si="0"/>
        <v>6101132.3219999997</v>
      </c>
    </row>
    <row r="18" spans="1:3" ht="14.1" customHeight="1" x14ac:dyDescent="0.2">
      <c r="A18" s="15" t="s">
        <v>114</v>
      </c>
      <c r="B18" s="16">
        <f>'- 47 -'!D18</f>
        <v>76172270</v>
      </c>
      <c r="C18" s="16">
        <f t="shared" si="0"/>
        <v>672448.79955999996</v>
      </c>
    </row>
    <row r="19" spans="1:3" ht="14.1" customHeight="1" x14ac:dyDescent="0.2">
      <c r="A19" s="271" t="s">
        <v>115</v>
      </c>
      <c r="B19" s="272">
        <f>'- 47 -'!D19</f>
        <v>395019960</v>
      </c>
      <c r="C19" s="272">
        <f t="shared" si="0"/>
        <v>3487236.2068799995</v>
      </c>
    </row>
    <row r="20" spans="1:3" ht="14.1" customHeight="1" x14ac:dyDescent="0.2">
      <c r="A20" s="15" t="s">
        <v>116</v>
      </c>
      <c r="B20" s="16">
        <f>'- 47 -'!D20</f>
        <v>491148540</v>
      </c>
      <c r="C20" s="16">
        <f t="shared" si="0"/>
        <v>4335859.3111199997</v>
      </c>
    </row>
    <row r="21" spans="1:3" ht="14.1" customHeight="1" x14ac:dyDescent="0.2">
      <c r="A21" s="271" t="s">
        <v>117</v>
      </c>
      <c r="B21" s="272">
        <f>'- 47 -'!D21</f>
        <v>373816360</v>
      </c>
      <c r="C21" s="272">
        <f t="shared" si="0"/>
        <v>3300050.8260799996</v>
      </c>
    </row>
    <row r="22" spans="1:3" ht="14.1" customHeight="1" x14ac:dyDescent="0.2">
      <c r="A22" s="15" t="s">
        <v>118</v>
      </c>
      <c r="B22" s="16">
        <f>'- 47 -'!D22</f>
        <v>68184210</v>
      </c>
      <c r="C22" s="16">
        <f t="shared" si="0"/>
        <v>601930.20587999991</v>
      </c>
    </row>
    <row r="23" spans="1:3" ht="14.1" customHeight="1" x14ac:dyDescent="0.2">
      <c r="A23" s="271" t="s">
        <v>119</v>
      </c>
      <c r="B23" s="272">
        <f>'- 47 -'!D23</f>
        <v>37386080</v>
      </c>
      <c r="C23" s="272">
        <f t="shared" si="0"/>
        <v>330044.31423999998</v>
      </c>
    </row>
    <row r="24" spans="1:3" ht="14.1" customHeight="1" x14ac:dyDescent="0.2">
      <c r="A24" s="15" t="s">
        <v>120</v>
      </c>
      <c r="B24" s="16">
        <f>'- 47 -'!D24</f>
        <v>277441570</v>
      </c>
      <c r="C24" s="16">
        <f t="shared" si="0"/>
        <v>2449254.1799599999</v>
      </c>
    </row>
    <row r="25" spans="1:3" ht="14.1" customHeight="1" x14ac:dyDescent="0.2">
      <c r="A25" s="271" t="s">
        <v>121</v>
      </c>
      <c r="B25" s="272">
        <f>'- 47 -'!D25</f>
        <v>1652795200</v>
      </c>
      <c r="C25" s="272">
        <f t="shared" si="0"/>
        <v>14590876.025599997</v>
      </c>
    </row>
    <row r="26" spans="1:3" ht="14.1" customHeight="1" x14ac:dyDescent="0.2">
      <c r="A26" s="15" t="s">
        <v>122</v>
      </c>
      <c r="B26" s="16">
        <f>'- 47 -'!D26</f>
        <v>167733400</v>
      </c>
      <c r="C26" s="16">
        <f t="shared" si="0"/>
        <v>1480750.4551999997</v>
      </c>
    </row>
    <row r="27" spans="1:3" ht="14.1" customHeight="1" x14ac:dyDescent="0.2">
      <c r="A27" s="271" t="s">
        <v>123</v>
      </c>
      <c r="B27" s="272">
        <f>'- 47 -'!D27</f>
        <v>135024210</v>
      </c>
      <c r="C27" s="272">
        <f t="shared" si="0"/>
        <v>1191993.7258799998</v>
      </c>
    </row>
    <row r="28" spans="1:3" ht="14.1" customHeight="1" x14ac:dyDescent="0.2">
      <c r="A28" s="15" t="s">
        <v>124</v>
      </c>
      <c r="B28" s="16">
        <f>'- 47 -'!D28</f>
        <v>214185960</v>
      </c>
      <c r="C28" s="16">
        <f t="shared" si="0"/>
        <v>1890833.6548799998</v>
      </c>
    </row>
    <row r="29" spans="1:3" ht="14.1" customHeight="1" x14ac:dyDescent="0.2">
      <c r="A29" s="271" t="s">
        <v>125</v>
      </c>
      <c r="B29" s="272">
        <f>'- 47 -'!D29</f>
        <v>1921548550</v>
      </c>
      <c r="C29" s="272">
        <f t="shared" si="0"/>
        <v>16963430.599399999</v>
      </c>
    </row>
    <row r="30" spans="1:3" ht="14.1" customHeight="1" x14ac:dyDescent="0.2">
      <c r="A30" s="15" t="s">
        <v>126</v>
      </c>
      <c r="B30" s="16">
        <f>'- 47 -'!D30</f>
        <v>117133750</v>
      </c>
      <c r="C30" s="16">
        <f t="shared" si="0"/>
        <v>1034056.7449999999</v>
      </c>
    </row>
    <row r="31" spans="1:3" ht="14.1" customHeight="1" x14ac:dyDescent="0.2">
      <c r="A31" s="271" t="s">
        <v>127</v>
      </c>
      <c r="B31" s="272">
        <f>'- 47 -'!D31</f>
        <v>390629580</v>
      </c>
      <c r="C31" s="272">
        <f t="shared" si="0"/>
        <v>3448477.9322399995</v>
      </c>
    </row>
    <row r="32" spans="1:3" ht="14.1" customHeight="1" x14ac:dyDescent="0.2">
      <c r="A32" s="15" t="s">
        <v>128</v>
      </c>
      <c r="B32" s="16">
        <f>'- 47 -'!D32</f>
        <v>171022940</v>
      </c>
      <c r="C32" s="16">
        <f t="shared" si="0"/>
        <v>1509790.5143199998</v>
      </c>
    </row>
    <row r="33" spans="1:4" ht="14.1" customHeight="1" x14ac:dyDescent="0.2">
      <c r="A33" s="271" t="s">
        <v>129</v>
      </c>
      <c r="B33" s="272">
        <f>'- 47 -'!D33</f>
        <v>200168760</v>
      </c>
      <c r="C33" s="272">
        <f t="shared" si="0"/>
        <v>1767089.8132799999</v>
      </c>
    </row>
    <row r="34" spans="1:4" ht="14.1" customHeight="1" x14ac:dyDescent="0.2">
      <c r="A34" s="15" t="s">
        <v>130</v>
      </c>
      <c r="B34" s="16">
        <f>'- 47 -'!D34</f>
        <v>367629510</v>
      </c>
      <c r="C34" s="16">
        <f t="shared" si="0"/>
        <v>3245433.3142799996</v>
      </c>
    </row>
    <row r="35" spans="1:4" ht="14.1" customHeight="1" x14ac:dyDescent="0.2">
      <c r="A35" s="271" t="s">
        <v>131</v>
      </c>
      <c r="B35" s="272">
        <f>'- 47 -'!D35</f>
        <v>1347799950</v>
      </c>
      <c r="C35" s="272">
        <f t="shared" si="0"/>
        <v>11898377.9586</v>
      </c>
    </row>
    <row r="36" spans="1:4" ht="14.1" customHeight="1" x14ac:dyDescent="0.2">
      <c r="A36" s="15" t="s">
        <v>132</v>
      </c>
      <c r="B36" s="16">
        <f>'- 47 -'!D36</f>
        <v>197084480</v>
      </c>
      <c r="C36" s="16">
        <f t="shared" si="0"/>
        <v>1739861.7894399997</v>
      </c>
    </row>
    <row r="37" spans="1:4" ht="14.1" customHeight="1" x14ac:dyDescent="0.2">
      <c r="A37" s="271" t="s">
        <v>133</v>
      </c>
      <c r="B37" s="272">
        <f>'- 47 -'!D37</f>
        <v>222980730</v>
      </c>
      <c r="C37" s="272">
        <f t="shared" si="0"/>
        <v>1968473.8844399997</v>
      </c>
    </row>
    <row r="38" spans="1:4" ht="14.1" customHeight="1" x14ac:dyDescent="0.2">
      <c r="A38" s="15" t="s">
        <v>134</v>
      </c>
      <c r="B38" s="16">
        <f>'- 47 -'!D38</f>
        <v>538276190</v>
      </c>
      <c r="C38" s="16">
        <f t="shared" si="0"/>
        <v>4751902.2053199997</v>
      </c>
    </row>
    <row r="39" spans="1:4" ht="14.1" customHeight="1" x14ac:dyDescent="0.2">
      <c r="A39" s="271" t="s">
        <v>135</v>
      </c>
      <c r="B39" s="272">
        <f>'- 47 -'!D39</f>
        <v>412250700</v>
      </c>
      <c r="C39" s="272">
        <f t="shared" si="0"/>
        <v>3639349.1795999995</v>
      </c>
    </row>
    <row r="40" spans="1:4" ht="14.1" customHeight="1" x14ac:dyDescent="0.2">
      <c r="A40" s="15" t="s">
        <v>136</v>
      </c>
      <c r="B40" s="16">
        <f>'- 47 -'!D40</f>
        <v>1922697370</v>
      </c>
      <c r="C40" s="16">
        <f t="shared" si="0"/>
        <v>16973572.382359996</v>
      </c>
    </row>
    <row r="41" spans="1:4" ht="14.1" customHeight="1" x14ac:dyDescent="0.2">
      <c r="A41" s="271" t="s">
        <v>137</v>
      </c>
      <c r="B41" s="272">
        <f>'- 47 -'!D41</f>
        <v>510600700</v>
      </c>
      <c r="C41" s="272">
        <f t="shared" si="0"/>
        <v>4507582.9795999993</v>
      </c>
    </row>
    <row r="42" spans="1:4" ht="14.1" customHeight="1" x14ac:dyDescent="0.2">
      <c r="A42" s="15" t="s">
        <v>138</v>
      </c>
      <c r="B42" s="16">
        <f>'- 47 -'!D42</f>
        <v>90744170</v>
      </c>
      <c r="C42" s="16">
        <f t="shared" si="0"/>
        <v>801089.53275999986</v>
      </c>
    </row>
    <row r="43" spans="1:4" ht="14.1" customHeight="1" x14ac:dyDescent="0.2">
      <c r="A43" s="271" t="s">
        <v>139</v>
      </c>
      <c r="B43" s="272">
        <f>'- 47 -'!D43</f>
        <v>75544020</v>
      </c>
      <c r="C43" s="272">
        <f t="shared" si="0"/>
        <v>666902.60855999996</v>
      </c>
    </row>
    <row r="44" spans="1:4" ht="14.1" customHeight="1" x14ac:dyDescent="0.2">
      <c r="A44" s="15" t="s">
        <v>140</v>
      </c>
      <c r="B44" s="16">
        <f>'- 47 -'!D44</f>
        <v>15393100</v>
      </c>
      <c r="C44" s="16">
        <f t="shared" si="0"/>
        <v>135890.28679999997</v>
      </c>
    </row>
    <row r="45" spans="1:4" ht="14.1" customHeight="1" x14ac:dyDescent="0.2">
      <c r="A45" s="271" t="s">
        <v>141</v>
      </c>
      <c r="B45" s="272">
        <f>'- 47 -'!D45</f>
        <v>126485580</v>
      </c>
      <c r="C45" s="272">
        <f t="shared" si="0"/>
        <v>1116614.7002399999</v>
      </c>
    </row>
    <row r="46" spans="1:4" ht="14.1" customHeight="1" x14ac:dyDescent="0.2">
      <c r="A46" s="15" t="s">
        <v>142</v>
      </c>
      <c r="B46" s="16">
        <f>'- 47 -'!D46</f>
        <v>5539360220</v>
      </c>
      <c r="C46" s="16">
        <f t="shared" si="0"/>
        <v>48901472.022159994</v>
      </c>
      <c r="D46"/>
    </row>
    <row r="47" spans="1:4" ht="6" customHeight="1" x14ac:dyDescent="0.2">
      <c r="A47"/>
      <c r="B47"/>
      <c r="C47"/>
      <c r="D47"/>
    </row>
    <row r="48" spans="1:4" ht="14.1" customHeight="1" x14ac:dyDescent="0.2">
      <c r="A48" s="274" t="s">
        <v>147</v>
      </c>
      <c r="B48" s="275">
        <f>SUM(B11:B46)</f>
        <v>20338912410</v>
      </c>
      <c r="C48" s="275">
        <f>SUM(C11:C46)</f>
        <v>179551918.75547999</v>
      </c>
      <c r="D48"/>
    </row>
    <row r="49" spans="1:4" ht="6" customHeight="1" x14ac:dyDescent="0.2">
      <c r="A49" s="17"/>
      <c r="B49" s="18"/>
      <c r="C49" s="18"/>
      <c r="D49"/>
    </row>
    <row r="50" spans="1:4" ht="14.1" customHeight="1" x14ac:dyDescent="0.2">
      <c r="A50" s="15" t="s">
        <v>145</v>
      </c>
      <c r="B50" s="16">
        <f>'- 47 -'!D50</f>
        <v>3953440</v>
      </c>
      <c r="C50" s="16">
        <v>0</v>
      </c>
      <c r="D50"/>
    </row>
    <row r="51" spans="1:4" ht="14.1" customHeight="1" x14ac:dyDescent="0.2">
      <c r="A51" s="271" t="s">
        <v>146</v>
      </c>
      <c r="B51" s="272">
        <f>'- 47 -'!D51</f>
        <v>56629530</v>
      </c>
      <c r="C51" s="272">
        <f>B51*C$10</f>
        <v>499925.49083999993</v>
      </c>
      <c r="D51"/>
    </row>
    <row r="52" spans="1:4" ht="6" customHeight="1" x14ac:dyDescent="0.2">
      <c r="A52" s="127"/>
      <c r="B52" s="140"/>
      <c r="C52" s="140"/>
      <c r="D52"/>
    </row>
    <row r="53" spans="1:4" ht="14.45" customHeight="1" x14ac:dyDescent="0.2">
      <c r="A53" s="274" t="s">
        <v>143</v>
      </c>
      <c r="B53" s="275">
        <f>SUM(B48,B50:B51)</f>
        <v>20399495380</v>
      </c>
      <c r="C53" s="275">
        <f>SUM(C48,C50:C51)</f>
        <v>180051844.24631998</v>
      </c>
      <c r="D53" s="428"/>
    </row>
    <row r="54" spans="1:4" ht="29.1" customHeight="1" x14ac:dyDescent="0.2">
      <c r="A54" s="245"/>
      <c r="B54" s="245"/>
      <c r="C54" s="245"/>
      <c r="D54" s="19"/>
    </row>
    <row r="55" spans="1:4" ht="14.45" customHeight="1" x14ac:dyDescent="0.2">
      <c r="A55" s="356" t="s">
        <v>606</v>
      </c>
      <c r="B55" s="31"/>
      <c r="C55" s="31"/>
      <c r="D55" s="31"/>
    </row>
    <row r="56" spans="1:4" ht="14.45" customHeight="1" x14ac:dyDescent="0.2">
      <c r="A56" s="20"/>
      <c r="B56" s="31"/>
      <c r="C56" s="31"/>
      <c r="D56" s="31"/>
    </row>
    <row r="57" spans="1:4" ht="14.45" customHeight="1" x14ac:dyDescent="0.2">
      <c r="A57" s="21"/>
      <c r="B57" s="31"/>
      <c r="C57" s="31"/>
      <c r="D57" s="31"/>
    </row>
    <row r="58" spans="1:4" ht="14.45" customHeight="1" x14ac:dyDescent="0.2">
      <c r="B58" s="90"/>
      <c r="C58" s="90"/>
    </row>
    <row r="59" spans="1:4" ht="14.45" customHeight="1" x14ac:dyDescent="0.2"/>
  </sheetData>
  <mergeCells count="2">
    <mergeCell ref="B7:B9"/>
    <mergeCell ref="C8:C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pageSetUpPr fitToPage="1"/>
  </sheetPr>
  <dimension ref="A1:BB57"/>
  <sheetViews>
    <sheetView showGridLines="0" showZeros="0" workbookViewId="0"/>
  </sheetViews>
  <sheetFormatPr defaultColWidth="15.83203125" defaultRowHeight="12" x14ac:dyDescent="0.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6" style="1" customWidth="1"/>
    <col min="8" max="8" width="0" style="1" hidden="1" customWidth="1"/>
    <col min="9" max="9" width="21" style="1" hidden="1" customWidth="1"/>
    <col min="10" max="10" width="0" style="1" hidden="1" customWidth="1"/>
    <col min="11" max="16384" width="15.83203125" style="1"/>
  </cols>
  <sheetData>
    <row r="1" spans="1:54" ht="6.95" customHeight="1" x14ac:dyDescent="0.2">
      <c r="A1" s="3"/>
    </row>
    <row r="2" spans="1:54" ht="15.95" customHeight="1" x14ac:dyDescent="0.2">
      <c r="A2" s="193" t="str">
        <f>IF(Lang=1,BA2,BB2)</f>
        <v>TOTAL PORTIONED ASSESSMENT, SPECIAL LEVY AND MILL RATES</v>
      </c>
      <c r="B2" s="194"/>
      <c r="C2" s="194"/>
      <c r="D2" s="194"/>
      <c r="E2" s="194"/>
      <c r="F2" s="194"/>
      <c r="G2" s="194"/>
      <c r="BA2" s="456" t="s">
        <v>43</v>
      </c>
      <c r="BB2" s="456" t="s">
        <v>468</v>
      </c>
    </row>
    <row r="3" spans="1:54" ht="15.95" customHeight="1" x14ac:dyDescent="0.2">
      <c r="A3" s="195" t="str">
        <f>TAXYEAR</f>
        <v>FOR THE 2020 TAXATION YEAR  (2020 IS A REASSESSMENT YEAR)</v>
      </c>
      <c r="B3" s="196"/>
      <c r="C3" s="196"/>
      <c r="D3" s="196"/>
      <c r="E3" s="197"/>
      <c r="F3" s="197"/>
      <c r="G3" s="196"/>
    </row>
    <row r="4" spans="1:54" ht="15.95" customHeight="1" x14ac:dyDescent="0.2">
      <c r="B4" s="4"/>
      <c r="C4" s="4"/>
      <c r="D4" s="4"/>
      <c r="E4" s="55"/>
      <c r="F4" s="55"/>
      <c r="G4" s="55"/>
    </row>
    <row r="5" spans="1:54" ht="15.95" customHeight="1" x14ac:dyDescent="0.2">
      <c r="B5" s="4"/>
      <c r="C5" s="4"/>
      <c r="D5" s="4"/>
      <c r="E5" s="4"/>
      <c r="F5" s="4"/>
      <c r="G5" s="4"/>
    </row>
    <row r="6" spans="1:54" ht="15.95" customHeight="1" x14ac:dyDescent="0.2">
      <c r="B6" s="756" t="s">
        <v>299</v>
      </c>
      <c r="C6" s="717"/>
      <c r="D6" s="717"/>
      <c r="E6" s="718"/>
      <c r="F6" s="4"/>
      <c r="G6" s="4"/>
      <c r="H6" s="128" t="s">
        <v>56</v>
      </c>
    </row>
    <row r="7" spans="1:54" ht="15.95" customHeight="1" x14ac:dyDescent="0.2">
      <c r="B7" s="757" t="s">
        <v>464</v>
      </c>
      <c r="C7" s="757" t="s">
        <v>465</v>
      </c>
      <c r="D7" s="318"/>
      <c r="E7" s="284"/>
      <c r="F7" s="317"/>
      <c r="G7" s="745" t="s">
        <v>467</v>
      </c>
      <c r="H7" s="128" t="s">
        <v>55</v>
      </c>
    </row>
    <row r="8" spans="1:54" ht="15.95" customHeight="1" x14ac:dyDescent="0.2">
      <c r="A8" s="24"/>
      <c r="B8" s="758"/>
      <c r="C8" s="760"/>
      <c r="D8" s="320" t="s">
        <v>1</v>
      </c>
      <c r="E8" s="321"/>
      <c r="F8" s="746" t="s">
        <v>466</v>
      </c>
      <c r="G8" s="725"/>
      <c r="H8" s="128" t="s">
        <v>99</v>
      </c>
    </row>
    <row r="9" spans="1:54" ht="15.95" customHeight="1" x14ac:dyDescent="0.2">
      <c r="A9" s="198" t="s">
        <v>37</v>
      </c>
      <c r="B9" s="759"/>
      <c r="C9" s="761"/>
      <c r="D9" s="319" t="s">
        <v>60</v>
      </c>
      <c r="E9" s="285" t="s">
        <v>25</v>
      </c>
      <c r="F9" s="609"/>
      <c r="G9" s="609"/>
      <c r="H9" s="128" t="s">
        <v>100</v>
      </c>
    </row>
    <row r="10" spans="1:54" ht="5.0999999999999996" customHeight="1" x14ac:dyDescent="0.2">
      <c r="A10" s="14"/>
      <c r="B10" s="182"/>
      <c r="C10" s="3"/>
      <c r="D10" s="182"/>
      <c r="E10" s="182"/>
      <c r="F10" s="3"/>
      <c r="G10" s="3"/>
    </row>
    <row r="11" spans="1:54" ht="14.1" customHeight="1" x14ac:dyDescent="0.2">
      <c r="A11" s="271" t="s">
        <v>108</v>
      </c>
      <c r="B11" s="272">
        <v>332168020</v>
      </c>
      <c r="C11" s="272">
        <v>343820680</v>
      </c>
      <c r="D11" s="272">
        <v>168418270</v>
      </c>
      <c r="E11" s="272">
        <v>844406970</v>
      </c>
      <c r="F11" s="272">
        <f>'- 50 -'!C11</f>
        <v>9504462</v>
      </c>
      <c r="G11" s="273">
        <f t="shared" ref="G11:G46" si="0">F11/E11*1000</f>
        <v>11.255783452379603</v>
      </c>
      <c r="I11" s="192" t="str">
        <f>A11</f>
        <v xml:space="preserve"> BEAUTIFUL PLAINS</v>
      </c>
      <c r="J11" s="199">
        <f>G11</f>
        <v>11.255783452379603</v>
      </c>
    </row>
    <row r="12" spans="1:54" ht="14.1" customHeight="1" x14ac:dyDescent="0.2">
      <c r="A12" s="15" t="s">
        <v>109</v>
      </c>
      <c r="B12" s="16">
        <v>382514810</v>
      </c>
      <c r="C12" s="16">
        <v>494522700</v>
      </c>
      <c r="D12" s="16">
        <v>229760770</v>
      </c>
      <c r="E12" s="16">
        <v>1106798280</v>
      </c>
      <c r="F12" s="16">
        <f>'- 50 -'!C12</f>
        <v>15231413</v>
      </c>
      <c r="G12" s="267">
        <f t="shared" si="0"/>
        <v>13.761688353906729</v>
      </c>
      <c r="I12" s="192" t="str">
        <f>A12</f>
        <v xml:space="preserve"> BORDER LAND</v>
      </c>
      <c r="J12" s="199">
        <f>G12</f>
        <v>13.761688353906729</v>
      </c>
      <c r="K12" s="79"/>
    </row>
    <row r="13" spans="1:54" ht="14.1" customHeight="1" x14ac:dyDescent="0.2">
      <c r="A13" s="271" t="s">
        <v>110</v>
      </c>
      <c r="B13" s="272">
        <v>2200835010</v>
      </c>
      <c r="C13" s="272">
        <v>109782130</v>
      </c>
      <c r="D13" s="272">
        <v>1023607480</v>
      </c>
      <c r="E13" s="272">
        <v>3334224620</v>
      </c>
      <c r="F13" s="272">
        <f>'- 50 -'!C13</f>
        <v>49039369</v>
      </c>
      <c r="G13" s="273">
        <f t="shared" si="0"/>
        <v>14.707878019327923</v>
      </c>
      <c r="I13" s="192" t="str">
        <f>A13</f>
        <v xml:space="preserve"> BRANDON</v>
      </c>
      <c r="J13" s="199">
        <f>G13</f>
        <v>14.707878019327923</v>
      </c>
    </row>
    <row r="14" spans="1:54" ht="14.1" customHeight="1" x14ac:dyDescent="0.2">
      <c r="A14" s="15" t="s">
        <v>319</v>
      </c>
      <c r="B14" s="16"/>
      <c r="C14" s="16"/>
      <c r="D14" s="16"/>
      <c r="E14" s="16"/>
      <c r="F14" s="16">
        <f>'- 50 -'!C14</f>
        <v>0</v>
      </c>
      <c r="G14" s="267"/>
      <c r="I14" s="192" t="str">
        <f t="shared" ref="I14:I45" si="1">A15</f>
        <v xml:space="preserve"> EVERGREEN</v>
      </c>
      <c r="J14" s="199">
        <f t="shared" ref="J14:J45" si="2">G15</f>
        <v>11.13737127947193</v>
      </c>
      <c r="L14" s="442"/>
    </row>
    <row r="15" spans="1:54" ht="14.1" customHeight="1" x14ac:dyDescent="0.2">
      <c r="A15" s="271" t="s">
        <v>111</v>
      </c>
      <c r="B15" s="272">
        <v>773076260</v>
      </c>
      <c r="C15" s="272">
        <v>127561340</v>
      </c>
      <c r="D15" s="272">
        <v>134728530</v>
      </c>
      <c r="E15" s="272">
        <v>1035366130</v>
      </c>
      <c r="F15" s="272">
        <f>'- 50 -'!C15</f>
        <v>11531257</v>
      </c>
      <c r="G15" s="273">
        <f t="shared" si="0"/>
        <v>11.13737127947193</v>
      </c>
      <c r="H15" s="515"/>
      <c r="I15" s="192" t="str">
        <f t="shared" si="1"/>
        <v xml:space="preserve"> FLIN FLON</v>
      </c>
      <c r="J15" s="199">
        <f t="shared" si="2"/>
        <v>24.120413517994539</v>
      </c>
    </row>
    <row r="16" spans="1:54" ht="14.1" customHeight="1" x14ac:dyDescent="0.25">
      <c r="A16" s="15" t="s">
        <v>112</v>
      </c>
      <c r="B16" s="16">
        <v>89050960</v>
      </c>
      <c r="C16" s="16">
        <v>0</v>
      </c>
      <c r="D16" s="16">
        <v>35027800</v>
      </c>
      <c r="E16" s="16">
        <v>124078760</v>
      </c>
      <c r="F16" s="16">
        <f>'- 50 -'!C16</f>
        <v>4569772</v>
      </c>
      <c r="G16" s="267">
        <f>(F16-H16)/E16*1000</f>
        <v>24.120413517994539</v>
      </c>
      <c r="H16" s="446">
        <v>1576941</v>
      </c>
      <c r="I16" s="192" t="str">
        <f t="shared" si="1"/>
        <v xml:space="preserve"> FORT LA BOSSE</v>
      </c>
      <c r="J16" s="199">
        <f t="shared" si="2"/>
        <v>7.3450078962027661</v>
      </c>
      <c r="K16" s="79"/>
      <c r="L16" s="517"/>
    </row>
    <row r="17" spans="1:13" ht="14.1" customHeight="1" x14ac:dyDescent="0.25">
      <c r="A17" s="271" t="s">
        <v>113</v>
      </c>
      <c r="B17" s="272">
        <v>336755650</v>
      </c>
      <c r="C17" s="272">
        <v>295116860</v>
      </c>
      <c r="D17" s="272">
        <v>691111500</v>
      </c>
      <c r="E17" s="272">
        <v>1322984010</v>
      </c>
      <c r="F17" s="272">
        <f>'- 50 -'!C17</f>
        <v>9717328</v>
      </c>
      <c r="G17" s="273">
        <f t="shared" si="0"/>
        <v>7.3450078962027661</v>
      </c>
      <c r="I17" s="192" t="str">
        <f t="shared" si="1"/>
        <v xml:space="preserve"> FRONTIER</v>
      </c>
      <c r="J17" s="199">
        <f t="shared" si="2"/>
        <v>13.202000287487861</v>
      </c>
      <c r="M17" s="527"/>
    </row>
    <row r="18" spans="1:13" ht="14.1" customHeight="1" x14ac:dyDescent="0.2">
      <c r="A18" s="15" t="s">
        <v>114</v>
      </c>
      <c r="B18" s="16">
        <v>153951240</v>
      </c>
      <c r="C18" s="16">
        <v>28461320</v>
      </c>
      <c r="D18" s="16">
        <v>76172270</v>
      </c>
      <c r="E18" s="16">
        <v>258584830</v>
      </c>
      <c r="F18" s="16">
        <f>'- 50 -'!C18</f>
        <v>3413837</v>
      </c>
      <c r="G18" s="267">
        <f t="shared" si="0"/>
        <v>13.202000287487861</v>
      </c>
      <c r="I18" s="192" t="str">
        <f t="shared" si="1"/>
        <v xml:space="preserve"> GARDEN VALLEY</v>
      </c>
      <c r="J18" s="199">
        <f t="shared" si="2"/>
        <v>13.73640347076039</v>
      </c>
    </row>
    <row r="19" spans="1:13" ht="14.1" customHeight="1" x14ac:dyDescent="0.2">
      <c r="A19" s="271" t="s">
        <v>115</v>
      </c>
      <c r="B19" s="272">
        <v>762464060</v>
      </c>
      <c r="C19" s="272">
        <v>313791270</v>
      </c>
      <c r="D19" s="272">
        <v>395019960</v>
      </c>
      <c r="E19" s="272">
        <v>1471275290</v>
      </c>
      <c r="F19" s="272">
        <f>'- 50 -'!C19</f>
        <v>20210031</v>
      </c>
      <c r="G19" s="273">
        <f t="shared" si="0"/>
        <v>13.73640347076039</v>
      </c>
      <c r="I19" s="192" t="str">
        <f t="shared" si="1"/>
        <v xml:space="preserve"> HANOVER</v>
      </c>
      <c r="J19" s="199">
        <f t="shared" si="2"/>
        <v>14.641306136638054</v>
      </c>
    </row>
    <row r="20" spans="1:13" ht="14.1" customHeight="1" x14ac:dyDescent="0.2">
      <c r="A20" s="15" t="s">
        <v>116</v>
      </c>
      <c r="B20" s="16">
        <v>1646345080</v>
      </c>
      <c r="C20" s="16">
        <v>271258350</v>
      </c>
      <c r="D20" s="16">
        <v>491148540</v>
      </c>
      <c r="E20" s="16">
        <v>2408751970</v>
      </c>
      <c r="F20" s="16">
        <f>'- 50 -'!C20</f>
        <v>35267275</v>
      </c>
      <c r="G20" s="267">
        <f t="shared" si="0"/>
        <v>14.641306136638054</v>
      </c>
      <c r="I20" s="192" t="str">
        <f t="shared" si="1"/>
        <v xml:space="preserve"> INTERLAKE</v>
      </c>
      <c r="J20" s="199">
        <f t="shared" si="2"/>
        <v>13.015901258296841</v>
      </c>
    </row>
    <row r="21" spans="1:13" ht="14.1" customHeight="1" x14ac:dyDescent="0.2">
      <c r="A21" s="271" t="s">
        <v>117</v>
      </c>
      <c r="B21" s="272">
        <v>852589080</v>
      </c>
      <c r="C21" s="272">
        <v>319282300</v>
      </c>
      <c r="D21" s="272">
        <v>373816360</v>
      </c>
      <c r="E21" s="272">
        <v>1545687740</v>
      </c>
      <c r="F21" s="272">
        <f>'- 50 -'!C21</f>
        <v>20118519</v>
      </c>
      <c r="G21" s="273">
        <f>F21/E21*1000</f>
        <v>13.015901258296841</v>
      </c>
      <c r="I21" s="192" t="str">
        <f t="shared" si="1"/>
        <v xml:space="preserve"> KELSEY</v>
      </c>
      <c r="J21" s="199">
        <f t="shared" si="2"/>
        <v>14.994760939301043</v>
      </c>
    </row>
    <row r="22" spans="1:13" ht="14.1" customHeight="1" x14ac:dyDescent="0.2">
      <c r="A22" s="15" t="s">
        <v>118</v>
      </c>
      <c r="B22" s="16">
        <v>173592030</v>
      </c>
      <c r="C22" s="16">
        <v>25256360</v>
      </c>
      <c r="D22" s="16">
        <v>68184210</v>
      </c>
      <c r="E22" s="16">
        <v>267032600</v>
      </c>
      <c r="F22" s="16">
        <f>'- 50 -'!C22</f>
        <v>4004090</v>
      </c>
      <c r="G22" s="267">
        <f t="shared" si="0"/>
        <v>14.994760939301043</v>
      </c>
      <c r="I22" s="192" t="str">
        <f t="shared" si="1"/>
        <v xml:space="preserve"> LAKESHORE</v>
      </c>
      <c r="J22" s="199">
        <f t="shared" si="2"/>
        <v>14.828530429311051</v>
      </c>
    </row>
    <row r="23" spans="1:13" ht="14.1" customHeight="1" x14ac:dyDescent="0.2">
      <c r="A23" s="271" t="s">
        <v>119</v>
      </c>
      <c r="B23" s="272">
        <v>172175830</v>
      </c>
      <c r="C23" s="272">
        <v>130520880</v>
      </c>
      <c r="D23" s="272">
        <v>37386080</v>
      </c>
      <c r="E23" s="272">
        <v>340082790</v>
      </c>
      <c r="F23" s="272">
        <f>'- 50 -'!C23</f>
        <v>5042928</v>
      </c>
      <c r="G23" s="273">
        <f t="shared" si="0"/>
        <v>14.828530429311051</v>
      </c>
      <c r="H23" s="201"/>
      <c r="I23" s="192" t="str">
        <f t="shared" si="1"/>
        <v xml:space="preserve"> LORD SELKIRK</v>
      </c>
      <c r="J23" s="199">
        <f t="shared" si="2"/>
        <v>14.883900859645417</v>
      </c>
    </row>
    <row r="24" spans="1:13" ht="14.1" customHeight="1" x14ac:dyDescent="0.2">
      <c r="A24" s="15" t="s">
        <v>120</v>
      </c>
      <c r="B24" s="16">
        <v>1740679490</v>
      </c>
      <c r="C24" s="16">
        <v>97437240</v>
      </c>
      <c r="D24" s="16">
        <v>277441570</v>
      </c>
      <c r="E24" s="16">
        <v>2115558300</v>
      </c>
      <c r="F24" s="16">
        <f>'- 50 -'!C24</f>
        <v>31487760</v>
      </c>
      <c r="G24" s="267">
        <f t="shared" si="0"/>
        <v>14.883900859645417</v>
      </c>
      <c r="I24" s="192" t="str">
        <f t="shared" si="1"/>
        <v xml:space="preserve"> LOUIS RIEL</v>
      </c>
      <c r="J24" s="199">
        <f t="shared" si="2"/>
        <v>13.12821633005643</v>
      </c>
    </row>
    <row r="25" spans="1:13" ht="14.1" customHeight="1" x14ac:dyDescent="0.2">
      <c r="A25" s="271" t="s">
        <v>121</v>
      </c>
      <c r="B25" s="272">
        <v>7002144480</v>
      </c>
      <c r="C25" s="272">
        <v>29247580</v>
      </c>
      <c r="D25" s="272">
        <v>1652795200</v>
      </c>
      <c r="E25" s="272">
        <v>8684187260</v>
      </c>
      <c r="F25" s="272">
        <f>'- 50 -'!C25</f>
        <v>114007889</v>
      </c>
      <c r="G25" s="273">
        <f t="shared" si="0"/>
        <v>13.12821633005643</v>
      </c>
      <c r="I25" s="192" t="str">
        <f t="shared" si="1"/>
        <v xml:space="preserve"> MOUNTAIN VIEW</v>
      </c>
      <c r="J25" s="199">
        <f t="shared" si="2"/>
        <v>14.726180088208952</v>
      </c>
    </row>
    <row r="26" spans="1:13" ht="14.1" customHeight="1" x14ac:dyDescent="0.2">
      <c r="A26" s="15" t="s">
        <v>122</v>
      </c>
      <c r="B26" s="16">
        <v>555301750</v>
      </c>
      <c r="C26" s="16">
        <v>462343400</v>
      </c>
      <c r="D26" s="16">
        <v>167733400</v>
      </c>
      <c r="E26" s="16">
        <v>1185378550</v>
      </c>
      <c r="F26" s="16">
        <f>'- 50 -'!C26</f>
        <v>17456098</v>
      </c>
      <c r="G26" s="267">
        <f t="shared" si="0"/>
        <v>14.726180088208952</v>
      </c>
      <c r="I26" s="192" t="str">
        <f t="shared" si="1"/>
        <v xml:space="preserve"> MYSTERY LAKE</v>
      </c>
      <c r="J26" s="199">
        <f t="shared" si="2"/>
        <v>20.751656682078114</v>
      </c>
    </row>
    <row r="27" spans="1:13" ht="14.1" customHeight="1" x14ac:dyDescent="0.2">
      <c r="A27" s="271" t="s">
        <v>123</v>
      </c>
      <c r="B27" s="272">
        <v>297822870</v>
      </c>
      <c r="C27" s="272">
        <v>0</v>
      </c>
      <c r="D27" s="272">
        <v>135024210</v>
      </c>
      <c r="E27" s="272">
        <v>432847080</v>
      </c>
      <c r="F27" s="272">
        <f>'- 50 -'!C27</f>
        <v>8982294</v>
      </c>
      <c r="G27" s="273">
        <f t="shared" si="0"/>
        <v>20.751656682078114</v>
      </c>
      <c r="I27" s="192" t="str">
        <f t="shared" si="1"/>
        <v xml:space="preserve"> PARK WEST</v>
      </c>
      <c r="J27" s="199">
        <f t="shared" si="2"/>
        <v>9.9027262121777735</v>
      </c>
    </row>
    <row r="28" spans="1:13" ht="14.1" customHeight="1" x14ac:dyDescent="0.2">
      <c r="A28" s="15" t="s">
        <v>124</v>
      </c>
      <c r="B28" s="16">
        <v>300449640</v>
      </c>
      <c r="C28" s="16">
        <v>530877300</v>
      </c>
      <c r="D28" s="16">
        <v>214185960</v>
      </c>
      <c r="E28" s="16">
        <v>1045512900</v>
      </c>
      <c r="F28" s="16">
        <f>'- 50 -'!C28</f>
        <v>10353428</v>
      </c>
      <c r="G28" s="267">
        <f t="shared" si="0"/>
        <v>9.9027262121777735</v>
      </c>
      <c r="I28" s="192" t="str">
        <f t="shared" si="1"/>
        <v xml:space="preserve"> PEMBINA TRAILS</v>
      </c>
      <c r="J28" s="199">
        <f t="shared" si="2"/>
        <v>11.568937547510531</v>
      </c>
    </row>
    <row r="29" spans="1:13" ht="14.1" customHeight="1" x14ac:dyDescent="0.2">
      <c r="A29" s="271" t="s">
        <v>125</v>
      </c>
      <c r="B29" s="272">
        <v>7602669190</v>
      </c>
      <c r="C29" s="272">
        <v>45844640</v>
      </c>
      <c r="D29" s="272">
        <v>1921548550</v>
      </c>
      <c r="E29" s="272">
        <v>9570062380</v>
      </c>
      <c r="F29" s="272">
        <f>'- 50 -'!C29</f>
        <v>110715454</v>
      </c>
      <c r="G29" s="273">
        <f t="shared" si="0"/>
        <v>11.568937547510531</v>
      </c>
      <c r="I29" s="192" t="str">
        <f t="shared" si="1"/>
        <v xml:space="preserve"> PINE CREEK</v>
      </c>
      <c r="J29" s="199">
        <f t="shared" si="2"/>
        <v>12.840473226678425</v>
      </c>
    </row>
    <row r="30" spans="1:13" ht="14.1" customHeight="1" x14ac:dyDescent="0.2">
      <c r="A30" s="15" t="s">
        <v>126</v>
      </c>
      <c r="B30" s="16">
        <v>163932360</v>
      </c>
      <c r="C30" s="16">
        <v>324149980</v>
      </c>
      <c r="D30" s="16">
        <v>117133750</v>
      </c>
      <c r="E30" s="16">
        <v>605216090</v>
      </c>
      <c r="F30" s="16">
        <f>'- 50 -'!C30</f>
        <v>7771261</v>
      </c>
      <c r="G30" s="267">
        <f>F30/E30*1000</f>
        <v>12.840473226678425</v>
      </c>
      <c r="I30" s="192" t="str">
        <f t="shared" si="1"/>
        <v xml:space="preserve"> PORTAGE LA PRAIRIE</v>
      </c>
      <c r="J30" s="199">
        <f t="shared" si="2"/>
        <v>12.963874855947497</v>
      </c>
    </row>
    <row r="31" spans="1:13" ht="14.1" customHeight="1" x14ac:dyDescent="0.2">
      <c r="A31" s="271" t="s">
        <v>127</v>
      </c>
      <c r="B31" s="272">
        <v>653543470</v>
      </c>
      <c r="C31" s="272">
        <v>425074240</v>
      </c>
      <c r="D31" s="272">
        <v>390629580</v>
      </c>
      <c r="E31" s="272">
        <v>1469247290</v>
      </c>
      <c r="F31" s="272">
        <f>'- 50 -'!C31</f>
        <v>19047138</v>
      </c>
      <c r="G31" s="273">
        <f>F31/E31*1000</f>
        <v>12.963874855947497</v>
      </c>
      <c r="I31" s="192" t="str">
        <f t="shared" si="1"/>
        <v xml:space="preserve"> PRAIRIE ROSE</v>
      </c>
      <c r="J31" s="199">
        <f t="shared" si="2"/>
        <v>10.616392417213284</v>
      </c>
    </row>
    <row r="32" spans="1:13" ht="14.1" customHeight="1" x14ac:dyDescent="0.2">
      <c r="A32" s="15" t="s">
        <v>128</v>
      </c>
      <c r="B32" s="16">
        <v>590417640</v>
      </c>
      <c r="C32" s="16">
        <v>895538110</v>
      </c>
      <c r="D32" s="16">
        <v>171022940</v>
      </c>
      <c r="E32" s="16">
        <v>1656978690</v>
      </c>
      <c r="F32" s="16">
        <f>'- 50 -'!C32</f>
        <v>17591136</v>
      </c>
      <c r="G32" s="267">
        <f t="shared" si="0"/>
        <v>10.616392417213284</v>
      </c>
      <c r="I32" s="192" t="str">
        <f t="shared" si="1"/>
        <v xml:space="preserve"> PRAIRIE SPIRIT</v>
      </c>
      <c r="J32" s="199">
        <f t="shared" si="2"/>
        <v>9.2390868094204155</v>
      </c>
    </row>
    <row r="33" spans="1:10" ht="14.1" customHeight="1" x14ac:dyDescent="0.2">
      <c r="A33" s="271" t="s">
        <v>129</v>
      </c>
      <c r="B33" s="272">
        <v>371233700</v>
      </c>
      <c r="C33" s="272">
        <v>1072909290</v>
      </c>
      <c r="D33" s="272">
        <v>200168760</v>
      </c>
      <c r="E33" s="272">
        <v>1644311750</v>
      </c>
      <c r="F33" s="272">
        <f>'- 50 -'!C33</f>
        <v>15191939</v>
      </c>
      <c r="G33" s="273">
        <f t="shared" si="0"/>
        <v>9.2390868094204155</v>
      </c>
      <c r="I33" s="192" t="str">
        <f t="shared" si="1"/>
        <v xml:space="preserve"> RED RIVER VALLEY</v>
      </c>
      <c r="J33" s="199">
        <f t="shared" si="2"/>
        <v>12.564632819672381</v>
      </c>
    </row>
    <row r="34" spans="1:10" ht="14.1" customHeight="1" x14ac:dyDescent="0.2">
      <c r="A34" s="15" t="s">
        <v>130</v>
      </c>
      <c r="B34" s="16">
        <v>638878440</v>
      </c>
      <c r="C34" s="16">
        <v>729142770</v>
      </c>
      <c r="D34" s="16">
        <v>367629510</v>
      </c>
      <c r="E34" s="16">
        <v>1735650720</v>
      </c>
      <c r="F34" s="16">
        <f>'- 50 -'!C34</f>
        <v>21807814</v>
      </c>
      <c r="G34" s="267">
        <f t="shared" si="0"/>
        <v>12.564632819672381</v>
      </c>
      <c r="I34" s="192" t="str">
        <f t="shared" si="1"/>
        <v xml:space="preserve"> RIVER EAST TRANSCONA</v>
      </c>
      <c r="J34" s="199">
        <f t="shared" si="2"/>
        <v>12.776249910391943</v>
      </c>
    </row>
    <row r="35" spans="1:10" ht="14.1" customHeight="1" x14ac:dyDescent="0.2">
      <c r="A35" s="271" t="s">
        <v>131</v>
      </c>
      <c r="B35" s="272">
        <v>6063148010</v>
      </c>
      <c r="C35" s="272">
        <v>17234540</v>
      </c>
      <c r="D35" s="272">
        <v>1347799950</v>
      </c>
      <c r="E35" s="272">
        <v>7428182500</v>
      </c>
      <c r="F35" s="272">
        <f>'- 50 -'!C35</f>
        <v>94904316</v>
      </c>
      <c r="G35" s="273">
        <f t="shared" si="0"/>
        <v>12.776249910391943</v>
      </c>
      <c r="I35" s="192" t="str">
        <f t="shared" si="1"/>
        <v xml:space="preserve"> ROLLING RIVER</v>
      </c>
      <c r="J35" s="199">
        <f t="shared" si="2"/>
        <v>11.360566571001469</v>
      </c>
    </row>
    <row r="36" spans="1:10" ht="14.1" customHeight="1" x14ac:dyDescent="0.2">
      <c r="A36" s="15" t="s">
        <v>132</v>
      </c>
      <c r="B36" s="16">
        <v>545562070</v>
      </c>
      <c r="C36" s="16">
        <v>352474800</v>
      </c>
      <c r="D36" s="16">
        <v>197084480</v>
      </c>
      <c r="E36" s="16">
        <v>1095121350</v>
      </c>
      <c r="F36" s="16">
        <f>'- 50 -'!C36</f>
        <v>12441199</v>
      </c>
      <c r="G36" s="267">
        <f t="shared" si="0"/>
        <v>11.360566571001469</v>
      </c>
      <c r="I36" s="192" t="str">
        <f t="shared" si="1"/>
        <v xml:space="preserve"> SEINE RIVER</v>
      </c>
      <c r="J36" s="199">
        <f t="shared" si="2"/>
        <v>14.231077405409946</v>
      </c>
    </row>
    <row r="37" spans="1:10" ht="14.1" customHeight="1" x14ac:dyDescent="0.2">
      <c r="A37" s="271" t="s">
        <v>133</v>
      </c>
      <c r="B37" s="272">
        <v>1617735420</v>
      </c>
      <c r="C37" s="272">
        <v>199036370</v>
      </c>
      <c r="D37" s="272">
        <v>222980730</v>
      </c>
      <c r="E37" s="272">
        <v>2039752520</v>
      </c>
      <c r="F37" s="272">
        <f>'- 50 -'!C37</f>
        <v>29027876</v>
      </c>
      <c r="G37" s="273">
        <f t="shared" si="0"/>
        <v>14.231077405409946</v>
      </c>
      <c r="I37" s="192" t="str">
        <f t="shared" si="1"/>
        <v xml:space="preserve"> SEVEN OAKS</v>
      </c>
      <c r="J37" s="199">
        <f t="shared" si="2"/>
        <v>16.175757714538655</v>
      </c>
    </row>
    <row r="38" spans="1:10" ht="14.1" customHeight="1" x14ac:dyDescent="0.2">
      <c r="A38" s="15" t="s">
        <v>134</v>
      </c>
      <c r="B38" s="16">
        <v>3222600970</v>
      </c>
      <c r="C38" s="16">
        <v>24897830</v>
      </c>
      <c r="D38" s="16">
        <v>538276190</v>
      </c>
      <c r="E38" s="16">
        <v>3785774990</v>
      </c>
      <c r="F38" s="16">
        <f>'- 50 -'!C38</f>
        <v>61237779</v>
      </c>
      <c r="G38" s="267">
        <f t="shared" si="0"/>
        <v>16.175757714538655</v>
      </c>
      <c r="I38" s="192" t="str">
        <f t="shared" si="1"/>
        <v xml:space="preserve"> SOUTHWEST HORIZON</v>
      </c>
      <c r="J38" s="199">
        <f t="shared" si="2"/>
        <v>10.141484746226274</v>
      </c>
    </row>
    <row r="39" spans="1:10" ht="14.1" customHeight="1" x14ac:dyDescent="0.2">
      <c r="A39" s="271" t="s">
        <v>135</v>
      </c>
      <c r="B39" s="272">
        <v>316453560</v>
      </c>
      <c r="C39" s="272">
        <v>617831710</v>
      </c>
      <c r="D39" s="272">
        <v>412250700</v>
      </c>
      <c r="E39" s="272">
        <v>1346535970</v>
      </c>
      <c r="F39" s="272">
        <f>'- 50 -'!C39</f>
        <v>13655874</v>
      </c>
      <c r="G39" s="273">
        <f t="shared" si="0"/>
        <v>10.141484746226274</v>
      </c>
      <c r="I39" s="192" t="str">
        <f t="shared" si="1"/>
        <v xml:space="preserve"> ST. JAMES-ASSINIBOIA</v>
      </c>
      <c r="J39" s="199">
        <f t="shared" si="2"/>
        <v>12.916988654021994</v>
      </c>
    </row>
    <row r="40" spans="1:10" ht="14.1" customHeight="1" x14ac:dyDescent="0.2">
      <c r="A40" s="15" t="s">
        <v>136</v>
      </c>
      <c r="B40" s="16">
        <v>3189232620</v>
      </c>
      <c r="C40" s="16">
        <v>30947950</v>
      </c>
      <c r="D40" s="16">
        <v>1922697370</v>
      </c>
      <c r="E40" s="16">
        <v>5142877940</v>
      </c>
      <c r="F40" s="16">
        <f>'- 50 -'!C40</f>
        <v>66430496</v>
      </c>
      <c r="G40" s="267">
        <f t="shared" si="0"/>
        <v>12.916988654021994</v>
      </c>
      <c r="I40" s="192" t="str">
        <f t="shared" si="1"/>
        <v xml:space="preserve"> SUNRISE</v>
      </c>
      <c r="J40" s="199">
        <f t="shared" si="2"/>
        <v>13.728055774902936</v>
      </c>
    </row>
    <row r="41" spans="1:10" ht="14.1" customHeight="1" x14ac:dyDescent="0.2">
      <c r="A41" s="271" t="s">
        <v>137</v>
      </c>
      <c r="B41" s="272">
        <v>1964835410</v>
      </c>
      <c r="C41" s="272">
        <v>335984650</v>
      </c>
      <c r="D41" s="272">
        <v>510600700</v>
      </c>
      <c r="E41" s="272">
        <v>2811420760</v>
      </c>
      <c r="F41" s="272">
        <f>'- 50 -'!C41</f>
        <v>38595341</v>
      </c>
      <c r="G41" s="273">
        <f t="shared" si="0"/>
        <v>13.728055774902936</v>
      </c>
      <c r="I41" s="192" t="str">
        <f t="shared" si="1"/>
        <v xml:space="preserve"> SWAN VALLEY</v>
      </c>
      <c r="J41" s="199">
        <f t="shared" si="2"/>
        <v>12.856989783751198</v>
      </c>
    </row>
    <row r="42" spans="1:10" ht="14.1" customHeight="1" x14ac:dyDescent="0.2">
      <c r="A42" s="15" t="s">
        <v>138</v>
      </c>
      <c r="B42" s="16">
        <v>262955760</v>
      </c>
      <c r="C42" s="16">
        <v>271770350</v>
      </c>
      <c r="D42" s="16">
        <v>90744170</v>
      </c>
      <c r="E42" s="16">
        <v>625470280</v>
      </c>
      <c r="F42" s="16">
        <f>'- 50 -'!C42</f>
        <v>8041665</v>
      </c>
      <c r="G42" s="267">
        <f t="shared" si="0"/>
        <v>12.856989783751198</v>
      </c>
      <c r="I42" s="192" t="str">
        <f t="shared" si="1"/>
        <v xml:space="preserve"> TURTLE MOUNTAIN</v>
      </c>
      <c r="J42" s="199">
        <f t="shared" si="2"/>
        <v>11.456882748240709</v>
      </c>
    </row>
    <row r="43" spans="1:10" ht="14.1" customHeight="1" x14ac:dyDescent="0.2">
      <c r="A43" s="271" t="s">
        <v>139</v>
      </c>
      <c r="B43" s="272">
        <v>248473090</v>
      </c>
      <c r="C43" s="272">
        <v>333375670</v>
      </c>
      <c r="D43" s="272">
        <v>75544020</v>
      </c>
      <c r="E43" s="272">
        <v>657392780</v>
      </c>
      <c r="F43" s="272">
        <f>'- 50 -'!C43</f>
        <v>7531672</v>
      </c>
      <c r="G43" s="273">
        <f t="shared" si="0"/>
        <v>11.456882748240709</v>
      </c>
      <c r="I43" s="192" t="str">
        <f t="shared" si="1"/>
        <v xml:space="preserve"> TURTLE RIVER</v>
      </c>
      <c r="J43" s="199">
        <f t="shared" si="2"/>
        <v>14.530659047744154</v>
      </c>
    </row>
    <row r="44" spans="1:10" ht="14.1" customHeight="1" x14ac:dyDescent="0.2">
      <c r="A44" s="15" t="s">
        <v>140</v>
      </c>
      <c r="B44" s="16">
        <v>102516200</v>
      </c>
      <c r="C44" s="16">
        <v>137874900</v>
      </c>
      <c r="D44" s="16">
        <v>15393100</v>
      </c>
      <c r="E44" s="16">
        <v>255784200</v>
      </c>
      <c r="F44" s="16">
        <f>'- 50 -'!C44</f>
        <v>3716713</v>
      </c>
      <c r="G44" s="267">
        <f t="shared" si="0"/>
        <v>14.530659047744154</v>
      </c>
      <c r="I44" s="192" t="str">
        <f t="shared" si="1"/>
        <v xml:space="preserve"> WESTERN</v>
      </c>
      <c r="J44" s="199">
        <f t="shared" si="2"/>
        <v>14.043721407979364</v>
      </c>
    </row>
    <row r="45" spans="1:10" ht="14.1" customHeight="1" x14ac:dyDescent="0.2">
      <c r="A45" s="271" t="s">
        <v>141</v>
      </c>
      <c r="B45" s="272">
        <v>423673740</v>
      </c>
      <c r="C45" s="272">
        <v>128063120</v>
      </c>
      <c r="D45" s="272">
        <v>126485580</v>
      </c>
      <c r="E45" s="272">
        <v>678222440</v>
      </c>
      <c r="F45" s="272">
        <f>'- 50 -'!C45</f>
        <v>9524767</v>
      </c>
      <c r="G45" s="273">
        <f t="shared" si="0"/>
        <v>14.043721407979364</v>
      </c>
      <c r="I45" s="192" t="str">
        <f t="shared" si="1"/>
        <v xml:space="preserve"> WINNIPEG</v>
      </c>
      <c r="J45" s="199">
        <f t="shared" si="2"/>
        <v>14.57900394866598</v>
      </c>
    </row>
    <row r="46" spans="1:10" ht="14.1" customHeight="1" x14ac:dyDescent="0.2">
      <c r="A46" s="15" t="s">
        <v>142</v>
      </c>
      <c r="B46" s="16">
        <v>7974933220</v>
      </c>
      <c r="C46" s="16">
        <v>9294090</v>
      </c>
      <c r="D46" s="16">
        <v>5539360220</v>
      </c>
      <c r="E46" s="16">
        <v>13523587530</v>
      </c>
      <c r="F46" s="16">
        <f>'- 50 -'!C46</f>
        <v>197160436</v>
      </c>
      <c r="G46" s="267">
        <f t="shared" si="0"/>
        <v>14.57900394866598</v>
      </c>
    </row>
    <row r="47" spans="1:10" ht="5.0999999999999996" customHeight="1" x14ac:dyDescent="0.2">
      <c r="A47"/>
      <c r="B47"/>
      <c r="C47"/>
      <c r="D47"/>
      <c r="E47"/>
      <c r="F47"/>
      <c r="G47"/>
    </row>
    <row r="48" spans="1:10" ht="14.1" customHeight="1" x14ac:dyDescent="0.2">
      <c r="A48" s="274" t="s">
        <v>147</v>
      </c>
      <c r="B48" s="275">
        <f>SUM(B11:B46)</f>
        <v>53724711130</v>
      </c>
      <c r="C48" s="275">
        <f>SUM(C11:C46)</f>
        <v>9530724720</v>
      </c>
      <c r="D48" s="275">
        <f>SUM(D11:D46)</f>
        <v>20338912410</v>
      </c>
      <c r="E48" s="275">
        <f>SUM(E11:E46)</f>
        <v>83594348260</v>
      </c>
      <c r="F48" s="275">
        <f>SUM(F11:F46)</f>
        <v>1104330626</v>
      </c>
      <c r="G48" s="276">
        <f>F48/E48*1000</f>
        <v>13.210589579157274</v>
      </c>
    </row>
    <row r="49" spans="1:10" ht="5.0999999999999996" customHeight="1" x14ac:dyDescent="0.2">
      <c r="A49" s="127"/>
      <c r="B49" s="140"/>
      <c r="C49" s="140"/>
      <c r="D49" s="140"/>
      <c r="E49" s="140"/>
      <c r="F49" s="140"/>
      <c r="G49"/>
    </row>
    <row r="50" spans="1:10" ht="14.1" customHeight="1" x14ac:dyDescent="0.2">
      <c r="A50" s="15" t="s">
        <v>145</v>
      </c>
      <c r="B50" s="16">
        <v>63667120</v>
      </c>
      <c r="C50" s="16">
        <v>383760</v>
      </c>
      <c r="D50" s="16">
        <v>3953440</v>
      </c>
      <c r="E50" s="16">
        <v>68004320</v>
      </c>
      <c r="F50"/>
      <c r="G50"/>
    </row>
    <row r="51" spans="1:10" ht="14.1" customHeight="1" x14ac:dyDescent="0.2">
      <c r="A51" s="271" t="s">
        <v>146</v>
      </c>
      <c r="B51" s="272">
        <v>18299710</v>
      </c>
      <c r="C51" s="272">
        <v>18523000</v>
      </c>
      <c r="D51" s="272">
        <v>56629530</v>
      </c>
      <c r="E51" s="272">
        <v>93452240</v>
      </c>
      <c r="F51"/>
      <c r="G51"/>
    </row>
    <row r="52" spans="1:10" ht="5.0999999999999996" customHeight="1" x14ac:dyDescent="0.2">
      <c r="A52" s="127"/>
      <c r="B52" s="140"/>
      <c r="C52" s="140"/>
      <c r="D52" s="140"/>
      <c r="E52" s="140"/>
      <c r="F52"/>
      <c r="G52"/>
    </row>
    <row r="53" spans="1:10" ht="14.1" customHeight="1" x14ac:dyDescent="0.2">
      <c r="A53" s="274" t="s">
        <v>143</v>
      </c>
      <c r="B53" s="275">
        <f>SUM(B48,B50:B51)</f>
        <v>53806677960</v>
      </c>
      <c r="C53" s="275">
        <f>SUM(C48,C50:C51)</f>
        <v>9549631480</v>
      </c>
      <c r="D53" s="275">
        <f>SUM(D48,D50:D51)</f>
        <v>20399495380</v>
      </c>
      <c r="E53" s="275">
        <f>SUM(E48,E50:E51)</f>
        <v>83755804820</v>
      </c>
      <c r="F53" s="428"/>
      <c r="G53" s="428"/>
    </row>
    <row r="54" spans="1:10" ht="30" customHeight="1" x14ac:dyDescent="0.2">
      <c r="A54" s="19"/>
      <c r="B54" s="19"/>
      <c r="C54" s="19"/>
      <c r="D54" s="19"/>
      <c r="E54" s="19"/>
      <c r="F54" s="19"/>
      <c r="G54" s="19"/>
    </row>
    <row r="55" spans="1:10" ht="15" customHeight="1" x14ac:dyDescent="0.2">
      <c r="A55" s="753" t="s">
        <v>600</v>
      </c>
      <c r="B55" s="754"/>
      <c r="C55" s="754"/>
      <c r="D55" s="754"/>
      <c r="E55" s="754"/>
      <c r="F55" s="754"/>
      <c r="G55" s="754"/>
      <c r="H55" s="31"/>
      <c r="I55" s="31"/>
      <c r="J55" s="31"/>
    </row>
    <row r="56" spans="1:10" ht="12" customHeight="1" x14ac:dyDescent="0.2">
      <c r="A56" s="755"/>
      <c r="B56" s="755"/>
      <c r="C56" s="755"/>
      <c r="D56" s="755"/>
      <c r="E56" s="755"/>
      <c r="F56" s="755"/>
      <c r="G56" s="755"/>
      <c r="H56" s="31"/>
      <c r="I56" s="31"/>
      <c r="J56" s="31"/>
    </row>
    <row r="57" spans="1:10" ht="12" customHeight="1" x14ac:dyDescent="0.2">
      <c r="A57" s="1" t="s">
        <v>579</v>
      </c>
      <c r="B57" s="31"/>
      <c r="C57" s="31"/>
      <c r="D57" s="31"/>
      <c r="E57" s="31"/>
      <c r="F57" s="31"/>
      <c r="G57" s="31"/>
      <c r="H57" s="31"/>
      <c r="I57" s="31"/>
      <c r="J57" s="31"/>
    </row>
  </sheetData>
  <mergeCells count="6">
    <mergeCell ref="A55:G56"/>
    <mergeCell ref="B6:E6"/>
    <mergeCell ref="B7:B9"/>
    <mergeCell ref="C7:C9"/>
    <mergeCell ref="F8:F9"/>
    <mergeCell ref="G7:G9"/>
  </mergeCells>
  <phoneticPr fontId="0" type="noConversion"/>
  <printOptions horizontalCentered="1"/>
  <pageMargins left="0.5" right="0.5" top="0.6" bottom="0" header="0.3" footer="0"/>
  <pageSetup scale="89" orientation="portrait" r:id="rId1"/>
  <headerFooter alignWithMargins="0">
    <oddHeader>&amp;C&amp;"Arial,Bold"&amp;10&amp;A</oddHead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BB56"/>
  <sheetViews>
    <sheetView showGridLines="0" showZeros="0" workbookViewId="0"/>
  </sheetViews>
  <sheetFormatPr defaultColWidth="13.6640625" defaultRowHeight="12" x14ac:dyDescent="0.2"/>
  <cols>
    <col min="1" max="1" width="37.5" style="1" customWidth="1"/>
    <col min="2" max="2" width="23.1640625" style="1" customWidth="1"/>
    <col min="3" max="3" width="19.83203125" style="1" customWidth="1"/>
    <col min="4" max="4" width="19.6640625" style="1" customWidth="1"/>
    <col min="5" max="5" width="13.6640625" style="1"/>
    <col min="6" max="6" width="15.6640625" style="1" customWidth="1"/>
    <col min="7" max="16384" width="13.6640625" style="1"/>
  </cols>
  <sheetData>
    <row r="1" spans="1:54" ht="6.95" customHeight="1" x14ac:dyDescent="0.2">
      <c r="A1" s="3"/>
    </row>
    <row r="2" spans="1:54" ht="15.95" customHeight="1" x14ac:dyDescent="0.2">
      <c r="A2" s="764" t="str">
        <f>IF(Lang=1,BA2,BB2)</f>
        <v>NET SPECIAL LEVY</v>
      </c>
      <c r="B2" s="764"/>
      <c r="C2" s="764"/>
      <c r="D2" s="764"/>
      <c r="E2" s="764"/>
      <c r="F2" s="764"/>
      <c r="BA2" s="460" t="s">
        <v>300</v>
      </c>
      <c r="BB2" s="456" t="s">
        <v>472</v>
      </c>
    </row>
    <row r="3" spans="1:54" ht="15.95" customHeight="1" x14ac:dyDescent="0.2">
      <c r="A3" s="765" t="str">
        <f>TAXYEAR</f>
        <v>FOR THE 2020 TAXATION YEAR  (2020 IS A REASSESSMENT YEAR)</v>
      </c>
      <c r="B3" s="765"/>
      <c r="C3" s="765"/>
      <c r="D3" s="765"/>
      <c r="E3" s="765"/>
      <c r="F3" s="765"/>
    </row>
    <row r="4" spans="1:54" ht="15.95" customHeight="1" x14ac:dyDescent="0.2">
      <c r="B4" s="4"/>
      <c r="C4" s="4"/>
      <c r="D4" s="4"/>
    </row>
    <row r="5" spans="1:54" ht="15.95" customHeight="1" x14ac:dyDescent="0.2">
      <c r="B5" s="4"/>
      <c r="C5" s="4"/>
      <c r="D5" s="4"/>
    </row>
    <row r="6" spans="1:54" ht="15.95" customHeight="1" x14ac:dyDescent="0.2">
      <c r="B6" s="373"/>
      <c r="C6" s="373"/>
      <c r="D6" s="373"/>
    </row>
    <row r="7" spans="1:54" ht="15.95" customHeight="1" x14ac:dyDescent="0.2">
      <c r="B7" s="322"/>
      <c r="C7" s="371"/>
      <c r="D7" s="316"/>
    </row>
    <row r="8" spans="1:54" ht="15.95" customHeight="1" x14ac:dyDescent="0.2">
      <c r="A8" s="12"/>
      <c r="B8" s="766" t="s">
        <v>469</v>
      </c>
      <c r="C8" s="746" t="s">
        <v>470</v>
      </c>
      <c r="D8" s="746" t="s">
        <v>471</v>
      </c>
    </row>
    <row r="9" spans="1:54" ht="15.95" customHeight="1" x14ac:dyDescent="0.2">
      <c r="A9" s="13" t="s">
        <v>37</v>
      </c>
      <c r="B9" s="767"/>
      <c r="C9" s="609"/>
      <c r="D9" s="607"/>
    </row>
    <row r="10" spans="1:54" ht="5.0999999999999996" customHeight="1" x14ac:dyDescent="0.2">
      <c r="A10" s="14"/>
      <c r="B10" s="182"/>
      <c r="C10" s="182"/>
      <c r="D10" s="182"/>
    </row>
    <row r="11" spans="1:54" ht="14.1" customHeight="1" x14ac:dyDescent="0.2">
      <c r="A11" s="271" t="s">
        <v>108</v>
      </c>
      <c r="B11" s="272">
        <f>+C11+D11</f>
        <v>9756628</v>
      </c>
      <c r="C11" s="272">
        <v>252166</v>
      </c>
      <c r="D11" s="272">
        <v>9504462</v>
      </c>
    </row>
    <row r="12" spans="1:54" ht="14.1" customHeight="1" x14ac:dyDescent="0.2">
      <c r="A12" s="15" t="s">
        <v>109</v>
      </c>
      <c r="B12" s="16">
        <f t="shared" ref="B12:B46" si="0">+C12+D12</f>
        <v>17807412</v>
      </c>
      <c r="C12" s="16">
        <v>2575999</v>
      </c>
      <c r="D12" s="16">
        <v>15231413</v>
      </c>
    </row>
    <row r="13" spans="1:54" ht="14.1" customHeight="1" x14ac:dyDescent="0.2">
      <c r="A13" s="271" t="s">
        <v>110</v>
      </c>
      <c r="B13" s="272">
        <f t="shared" si="0"/>
        <v>49963376</v>
      </c>
      <c r="C13" s="272">
        <v>924007</v>
      </c>
      <c r="D13" s="272">
        <v>49039369</v>
      </c>
    </row>
    <row r="14" spans="1:54" ht="14.1" customHeight="1" x14ac:dyDescent="0.2">
      <c r="A14" s="15" t="s">
        <v>319</v>
      </c>
      <c r="B14" s="16">
        <f t="shared" si="0"/>
        <v>0</v>
      </c>
      <c r="C14" s="16">
        <v>0</v>
      </c>
      <c r="D14" s="16">
        <v>0</v>
      </c>
    </row>
    <row r="15" spans="1:54" ht="14.1" customHeight="1" x14ac:dyDescent="0.2">
      <c r="A15" s="271" t="s">
        <v>111</v>
      </c>
      <c r="B15" s="272">
        <f t="shared" si="0"/>
        <v>13032756</v>
      </c>
      <c r="C15" s="272">
        <v>1501499</v>
      </c>
      <c r="D15" s="272">
        <v>11531257</v>
      </c>
    </row>
    <row r="16" spans="1:54" ht="14.1" customHeight="1" x14ac:dyDescent="0.2">
      <c r="A16" s="15" t="s">
        <v>112</v>
      </c>
      <c r="B16" s="16">
        <f t="shared" si="0"/>
        <v>4946129</v>
      </c>
      <c r="C16" s="16">
        <v>376357</v>
      </c>
      <c r="D16" s="16">
        <v>4569772</v>
      </c>
    </row>
    <row r="17" spans="1:4" ht="14.1" customHeight="1" x14ac:dyDescent="0.2">
      <c r="A17" s="271" t="s">
        <v>113</v>
      </c>
      <c r="B17" s="272">
        <f t="shared" si="0"/>
        <v>10176428</v>
      </c>
      <c r="C17" s="272">
        <v>459100</v>
      </c>
      <c r="D17" s="272">
        <v>9717328</v>
      </c>
    </row>
    <row r="18" spans="1:4" ht="14.1" customHeight="1" x14ac:dyDescent="0.2">
      <c r="A18" s="15" t="s">
        <v>114</v>
      </c>
      <c r="B18" s="16">
        <f t="shared" si="0"/>
        <v>3573074</v>
      </c>
      <c r="C18" s="16">
        <v>159237</v>
      </c>
      <c r="D18" s="16">
        <v>3413837</v>
      </c>
    </row>
    <row r="19" spans="1:4" ht="14.1" customHeight="1" x14ac:dyDescent="0.2">
      <c r="A19" s="271" t="s">
        <v>115</v>
      </c>
      <c r="B19" s="272">
        <f t="shared" si="0"/>
        <v>20533118</v>
      </c>
      <c r="C19" s="272">
        <v>323087</v>
      </c>
      <c r="D19" s="272">
        <v>20210031</v>
      </c>
    </row>
    <row r="20" spans="1:4" ht="14.1" customHeight="1" x14ac:dyDescent="0.2">
      <c r="A20" s="15" t="s">
        <v>116</v>
      </c>
      <c r="B20" s="16">
        <f t="shared" si="0"/>
        <v>36021338</v>
      </c>
      <c r="C20" s="16">
        <v>754063</v>
      </c>
      <c r="D20" s="16">
        <v>35267275</v>
      </c>
    </row>
    <row r="21" spans="1:4" ht="14.1" customHeight="1" x14ac:dyDescent="0.2">
      <c r="A21" s="271" t="s">
        <v>117</v>
      </c>
      <c r="B21" s="272">
        <f t="shared" si="0"/>
        <v>20926989</v>
      </c>
      <c r="C21" s="272">
        <v>808470</v>
      </c>
      <c r="D21" s="272">
        <v>20118519</v>
      </c>
    </row>
    <row r="22" spans="1:4" ht="14.1" customHeight="1" x14ac:dyDescent="0.2">
      <c r="A22" s="15" t="s">
        <v>118</v>
      </c>
      <c r="B22" s="16">
        <f t="shared" si="0"/>
        <v>4158794</v>
      </c>
      <c r="C22" s="16">
        <v>154704</v>
      </c>
      <c r="D22" s="16">
        <v>4004090</v>
      </c>
    </row>
    <row r="23" spans="1:4" ht="14.1" customHeight="1" x14ac:dyDescent="0.2">
      <c r="A23" s="271" t="s">
        <v>119</v>
      </c>
      <c r="B23" s="272">
        <f t="shared" si="0"/>
        <v>5457122</v>
      </c>
      <c r="C23" s="272">
        <v>414194</v>
      </c>
      <c r="D23" s="272">
        <v>5042928</v>
      </c>
    </row>
    <row r="24" spans="1:4" ht="14.1" customHeight="1" x14ac:dyDescent="0.2">
      <c r="A24" s="15" t="s">
        <v>120</v>
      </c>
      <c r="B24" s="16">
        <f t="shared" si="0"/>
        <v>34022299</v>
      </c>
      <c r="C24" s="16">
        <v>2534539</v>
      </c>
      <c r="D24" s="16">
        <v>31487760</v>
      </c>
    </row>
    <row r="25" spans="1:4" ht="14.1" customHeight="1" x14ac:dyDescent="0.2">
      <c r="A25" s="271" t="s">
        <v>121</v>
      </c>
      <c r="B25" s="272">
        <f t="shared" si="0"/>
        <v>117278391</v>
      </c>
      <c r="C25" s="272">
        <v>3270502</v>
      </c>
      <c r="D25" s="272">
        <v>114007889</v>
      </c>
    </row>
    <row r="26" spans="1:4" ht="14.1" customHeight="1" x14ac:dyDescent="0.2">
      <c r="A26" s="15" t="s">
        <v>122</v>
      </c>
      <c r="B26" s="16">
        <f t="shared" si="0"/>
        <v>17801278</v>
      </c>
      <c r="C26" s="16">
        <v>345180</v>
      </c>
      <c r="D26" s="16">
        <v>17456098</v>
      </c>
    </row>
    <row r="27" spans="1:4" ht="14.1" customHeight="1" x14ac:dyDescent="0.2">
      <c r="A27" s="271" t="s">
        <v>123</v>
      </c>
      <c r="B27" s="272">
        <f t="shared" si="0"/>
        <v>9525319</v>
      </c>
      <c r="C27" s="272">
        <v>543025</v>
      </c>
      <c r="D27" s="272">
        <v>8982294</v>
      </c>
    </row>
    <row r="28" spans="1:4" ht="14.1" customHeight="1" x14ac:dyDescent="0.2">
      <c r="A28" s="15" t="s">
        <v>124</v>
      </c>
      <c r="B28" s="16">
        <f t="shared" si="0"/>
        <v>11122714</v>
      </c>
      <c r="C28" s="16">
        <v>769286</v>
      </c>
      <c r="D28" s="16">
        <v>10353428</v>
      </c>
    </row>
    <row r="29" spans="1:4" ht="14.1" customHeight="1" x14ac:dyDescent="0.2">
      <c r="A29" s="271" t="s">
        <v>125</v>
      </c>
      <c r="B29" s="272">
        <f t="shared" si="0"/>
        <v>113145299</v>
      </c>
      <c r="C29" s="272">
        <v>2429845</v>
      </c>
      <c r="D29" s="272">
        <v>110715454</v>
      </c>
    </row>
    <row r="30" spans="1:4" ht="14.1" customHeight="1" x14ac:dyDescent="0.2">
      <c r="A30" s="15" t="s">
        <v>126</v>
      </c>
      <c r="B30" s="16">
        <f t="shared" si="0"/>
        <v>8083939</v>
      </c>
      <c r="C30" s="16">
        <v>312678</v>
      </c>
      <c r="D30" s="16">
        <v>7771261</v>
      </c>
    </row>
    <row r="31" spans="1:4" ht="14.1" customHeight="1" x14ac:dyDescent="0.2">
      <c r="A31" s="271" t="s">
        <v>127</v>
      </c>
      <c r="B31" s="272">
        <f t="shared" si="0"/>
        <v>19318066</v>
      </c>
      <c r="C31" s="272">
        <v>270928</v>
      </c>
      <c r="D31" s="272">
        <v>19047138</v>
      </c>
    </row>
    <row r="32" spans="1:4" ht="14.1" customHeight="1" x14ac:dyDescent="0.2">
      <c r="A32" s="15" t="s">
        <v>128</v>
      </c>
      <c r="B32" s="16">
        <f t="shared" si="0"/>
        <v>18676433</v>
      </c>
      <c r="C32" s="16">
        <v>1085297</v>
      </c>
      <c r="D32" s="16">
        <v>17591136</v>
      </c>
    </row>
    <row r="33" spans="1:4" ht="14.1" customHeight="1" x14ac:dyDescent="0.2">
      <c r="A33" s="271" t="s">
        <v>129</v>
      </c>
      <c r="B33" s="272">
        <f t="shared" si="0"/>
        <v>16033350</v>
      </c>
      <c r="C33" s="272">
        <v>841411</v>
      </c>
      <c r="D33" s="272">
        <v>15191939</v>
      </c>
    </row>
    <row r="34" spans="1:4" ht="14.1" customHeight="1" x14ac:dyDescent="0.2">
      <c r="A34" s="15" t="s">
        <v>130</v>
      </c>
      <c r="B34" s="16">
        <f t="shared" si="0"/>
        <v>22626535</v>
      </c>
      <c r="C34" s="16">
        <v>818721</v>
      </c>
      <c r="D34" s="16">
        <v>21807814</v>
      </c>
    </row>
    <row r="35" spans="1:4" ht="14.1" customHeight="1" x14ac:dyDescent="0.2">
      <c r="A35" s="271" t="s">
        <v>131</v>
      </c>
      <c r="B35" s="272">
        <f t="shared" si="0"/>
        <v>95649578</v>
      </c>
      <c r="C35" s="272">
        <v>745262</v>
      </c>
      <c r="D35" s="272">
        <v>94904316</v>
      </c>
    </row>
    <row r="36" spans="1:4" ht="14.1" customHeight="1" x14ac:dyDescent="0.2">
      <c r="A36" s="15" t="s">
        <v>132</v>
      </c>
      <c r="B36" s="16">
        <f t="shared" si="0"/>
        <v>13160166</v>
      </c>
      <c r="C36" s="16">
        <v>718967</v>
      </c>
      <c r="D36" s="16">
        <v>12441199</v>
      </c>
    </row>
    <row r="37" spans="1:4" ht="14.1" customHeight="1" x14ac:dyDescent="0.2">
      <c r="A37" s="271" t="s">
        <v>133</v>
      </c>
      <c r="B37" s="272">
        <f t="shared" si="0"/>
        <v>30317423</v>
      </c>
      <c r="C37" s="272">
        <v>1289547</v>
      </c>
      <c r="D37" s="272">
        <v>29027876</v>
      </c>
    </row>
    <row r="38" spans="1:4" ht="14.1" customHeight="1" x14ac:dyDescent="0.2">
      <c r="A38" s="15" t="s">
        <v>134</v>
      </c>
      <c r="B38" s="16">
        <f t="shared" si="0"/>
        <v>63919696</v>
      </c>
      <c r="C38" s="16">
        <v>2681917</v>
      </c>
      <c r="D38" s="16">
        <v>61237779</v>
      </c>
    </row>
    <row r="39" spans="1:4" ht="14.1" customHeight="1" x14ac:dyDescent="0.2">
      <c r="A39" s="271" t="s">
        <v>135</v>
      </c>
      <c r="B39" s="272">
        <f t="shared" si="0"/>
        <v>14369727</v>
      </c>
      <c r="C39" s="272">
        <v>713853</v>
      </c>
      <c r="D39" s="272">
        <v>13655874</v>
      </c>
    </row>
    <row r="40" spans="1:4" ht="14.1" customHeight="1" x14ac:dyDescent="0.2">
      <c r="A40" s="15" t="s">
        <v>136</v>
      </c>
      <c r="B40" s="16">
        <f t="shared" si="0"/>
        <v>68201663</v>
      </c>
      <c r="C40" s="16">
        <v>1771167</v>
      </c>
      <c r="D40" s="16">
        <v>66430496</v>
      </c>
    </row>
    <row r="41" spans="1:4" ht="14.1" customHeight="1" x14ac:dyDescent="0.2">
      <c r="A41" s="271" t="s">
        <v>137</v>
      </c>
      <c r="B41" s="272">
        <f t="shared" si="0"/>
        <v>40085190</v>
      </c>
      <c r="C41" s="272">
        <v>1489849</v>
      </c>
      <c r="D41" s="272">
        <v>38595341</v>
      </c>
    </row>
    <row r="42" spans="1:4" ht="14.1" customHeight="1" x14ac:dyDescent="0.2">
      <c r="A42" s="15" t="s">
        <v>138</v>
      </c>
      <c r="B42" s="16">
        <f t="shared" si="0"/>
        <v>9036031</v>
      </c>
      <c r="C42" s="16">
        <v>994366</v>
      </c>
      <c r="D42" s="16">
        <v>8041665</v>
      </c>
    </row>
    <row r="43" spans="1:4" ht="14.1" customHeight="1" x14ac:dyDescent="0.2">
      <c r="A43" s="271" t="s">
        <v>139</v>
      </c>
      <c r="B43" s="272">
        <f t="shared" si="0"/>
        <v>7531672</v>
      </c>
      <c r="C43" s="272">
        <v>0</v>
      </c>
      <c r="D43" s="272">
        <v>7531672</v>
      </c>
    </row>
    <row r="44" spans="1:4" ht="14.1" customHeight="1" x14ac:dyDescent="0.2">
      <c r="A44" s="15" t="s">
        <v>140</v>
      </c>
      <c r="B44" s="16">
        <f t="shared" si="0"/>
        <v>3988684</v>
      </c>
      <c r="C44" s="16">
        <v>271971</v>
      </c>
      <c r="D44" s="16">
        <v>3716713</v>
      </c>
    </row>
    <row r="45" spans="1:4" ht="14.1" customHeight="1" x14ac:dyDescent="0.2">
      <c r="A45" s="271" t="s">
        <v>141</v>
      </c>
      <c r="B45" s="272">
        <f t="shared" si="0"/>
        <v>9524767</v>
      </c>
      <c r="C45" s="272">
        <v>0</v>
      </c>
      <c r="D45" s="272">
        <v>9524767</v>
      </c>
    </row>
    <row r="46" spans="1:4" ht="14.1" customHeight="1" x14ac:dyDescent="0.2">
      <c r="A46" s="15" t="s">
        <v>142</v>
      </c>
      <c r="B46" s="16">
        <f t="shared" si="0"/>
        <v>201950634</v>
      </c>
      <c r="C46" s="16">
        <v>4790198</v>
      </c>
      <c r="D46" s="16">
        <v>197160436</v>
      </c>
    </row>
    <row r="47" spans="1:4" ht="5.0999999999999996" customHeight="1" x14ac:dyDescent="0.2">
      <c r="A47"/>
      <c r="B47"/>
      <c r="C47"/>
      <c r="D47"/>
    </row>
    <row r="48" spans="1:4" ht="14.1" customHeight="1" x14ac:dyDescent="0.2">
      <c r="A48" s="274" t="s">
        <v>143</v>
      </c>
      <c r="B48" s="275">
        <f>SUM(B11:B47)</f>
        <v>1141722018</v>
      </c>
      <c r="C48" s="275">
        <f>SUM(C11:C47)</f>
        <v>37391392</v>
      </c>
      <c r="D48" s="275">
        <f>SUM(D11:D47)</f>
        <v>1104330626</v>
      </c>
    </row>
    <row r="49" spans="1:6" s="164" customFormat="1" ht="49.5" customHeight="1" x14ac:dyDescent="0.2">
      <c r="A49" s="372"/>
      <c r="B49" s="372"/>
      <c r="C49" s="372"/>
      <c r="D49" s="372"/>
      <c r="E49" s="19"/>
      <c r="F49" s="19"/>
    </row>
    <row r="50" spans="1:6" s="223" customFormat="1" ht="18" customHeight="1" x14ac:dyDescent="0.2">
      <c r="A50" s="762" t="s">
        <v>607</v>
      </c>
      <c r="B50" s="762"/>
      <c r="C50" s="762"/>
      <c r="D50" s="762"/>
      <c r="E50" s="762"/>
      <c r="F50" s="762"/>
    </row>
    <row r="51" spans="1:6" s="478" customFormat="1" ht="21.75" customHeight="1" x14ac:dyDescent="0.2">
      <c r="A51" s="763"/>
      <c r="B51" s="763"/>
      <c r="C51" s="763"/>
      <c r="D51" s="763"/>
      <c r="E51" s="763"/>
      <c r="F51" s="763"/>
    </row>
    <row r="52" spans="1:6" s="478" customFormat="1" ht="21" customHeight="1" x14ac:dyDescent="0.2">
      <c r="A52" s="763"/>
      <c r="B52" s="763"/>
      <c r="C52" s="763"/>
      <c r="D52" s="763"/>
      <c r="E52" s="763"/>
      <c r="F52" s="763"/>
    </row>
    <row r="53" spans="1:6" ht="14.45" customHeight="1" x14ac:dyDescent="0.2"/>
    <row r="54" spans="1:6" ht="14.45" customHeight="1" x14ac:dyDescent="0.2"/>
    <row r="55" spans="1:6" ht="14.45" customHeight="1" x14ac:dyDescent="0.2"/>
    <row r="56" spans="1:6" ht="14.45" customHeight="1" x14ac:dyDescent="0.2"/>
  </sheetData>
  <mergeCells count="6">
    <mergeCell ref="A50:F52"/>
    <mergeCell ref="A2:F2"/>
    <mergeCell ref="A3:F3"/>
    <mergeCell ref="B8:B9"/>
    <mergeCell ref="C8:C9"/>
    <mergeCell ref="D8:D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&amp;C&amp;"Arial,Regular"&amp;10 &amp;A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B58"/>
  <sheetViews>
    <sheetView showGridLines="0" showZeros="0" workbookViewId="0"/>
  </sheetViews>
  <sheetFormatPr defaultColWidth="15.83203125" defaultRowHeight="12" x14ac:dyDescent="0.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7" width="15.83203125" style="1"/>
    <col min="8" max="8" width="15.83203125" style="1" customWidth="1"/>
    <col min="9" max="16384" width="15.83203125" style="1"/>
  </cols>
  <sheetData>
    <row r="1" spans="1:54" ht="6.95" customHeight="1" x14ac:dyDescent="0.2">
      <c r="A1" s="3"/>
    </row>
    <row r="2" spans="1:54" ht="15.95" customHeight="1" x14ac:dyDescent="0.2">
      <c r="A2" s="33"/>
      <c r="B2" s="193" t="str">
        <f>IF(Lang=1,BA2,BB2)</f>
        <v>LOCAL TAXATION AND ASSESSMENT PER RESIDENT PUPIL</v>
      </c>
      <c r="C2" s="212"/>
      <c r="D2" s="212"/>
      <c r="E2" s="213"/>
      <c r="F2" s="213"/>
      <c r="BA2" s="456" t="s">
        <v>191</v>
      </c>
      <c r="BB2" s="456" t="s">
        <v>473</v>
      </c>
    </row>
    <row r="3" spans="1:54" ht="15.95" customHeight="1" x14ac:dyDescent="0.2">
      <c r="A3" s="37"/>
      <c r="B3" s="195" t="str">
        <f>TAXYEAR</f>
        <v>FOR THE 2020 TAXATION YEAR  (2020 IS A REASSESSMENT YEAR)</v>
      </c>
      <c r="C3" s="214"/>
      <c r="D3" s="214"/>
      <c r="E3" s="215"/>
      <c r="F3" s="215"/>
    </row>
    <row r="4" spans="1:54" ht="15.95" customHeight="1" x14ac:dyDescent="0.2">
      <c r="B4" s="4"/>
      <c r="C4" s="4"/>
      <c r="D4" s="4"/>
      <c r="E4" s="4"/>
      <c r="F4" s="4"/>
    </row>
    <row r="5" spans="1:54" ht="15.95" customHeight="1" x14ac:dyDescent="0.2">
      <c r="B5" s="4"/>
      <c r="C5" s="4"/>
      <c r="D5" s="4"/>
      <c r="E5" s="4"/>
      <c r="F5" s="4"/>
    </row>
    <row r="6" spans="1:54" ht="15.95" customHeight="1" x14ac:dyDescent="0.2">
      <c r="B6" s="4"/>
      <c r="C6" s="4"/>
      <c r="D6" s="4"/>
      <c r="E6" s="4"/>
      <c r="F6" s="373"/>
    </row>
    <row r="7" spans="1:54" ht="15.95" customHeight="1" x14ac:dyDescent="0.2">
      <c r="B7" s="768" t="s">
        <v>475</v>
      </c>
      <c r="C7" s="481"/>
      <c r="D7" s="323"/>
      <c r="E7" s="4"/>
      <c r="F7" s="745" t="s">
        <v>474</v>
      </c>
    </row>
    <row r="8" spans="1:54" ht="15.95" customHeight="1" x14ac:dyDescent="0.2">
      <c r="A8" s="479"/>
      <c r="B8" s="769"/>
      <c r="C8" s="477"/>
      <c r="D8" s="324"/>
      <c r="E8" s="4"/>
      <c r="F8" s="746"/>
    </row>
    <row r="9" spans="1:54" ht="15.95" customHeight="1" x14ac:dyDescent="0.2">
      <c r="A9" s="480" t="s">
        <v>37</v>
      </c>
      <c r="B9" s="770"/>
      <c r="C9" s="325" t="s">
        <v>61</v>
      </c>
      <c r="D9" s="326" t="s">
        <v>25</v>
      </c>
      <c r="E9" s="4"/>
      <c r="F9" s="747"/>
    </row>
    <row r="10" spans="1:54" ht="5.0999999999999996" customHeight="1" x14ac:dyDescent="0.2">
      <c r="A10" s="14"/>
      <c r="B10" s="182"/>
      <c r="C10" s="182"/>
      <c r="D10" s="182"/>
      <c r="E10" s="182"/>
      <c r="F10" s="182"/>
    </row>
    <row r="11" spans="1:54" ht="14.1" customHeight="1" x14ac:dyDescent="0.2">
      <c r="A11" s="271" t="s">
        <v>108</v>
      </c>
      <c r="B11" s="272">
        <f>'- 45 -'!C11</f>
        <v>1486796.4875599998</v>
      </c>
      <c r="C11" s="272">
        <v>9504462</v>
      </c>
      <c r="D11" s="272">
        <f t="shared" ref="D11:D46" si="0">SUM(B11,C11)</f>
        <v>10991258.48756</v>
      </c>
      <c r="F11" s="272">
        <f>+Data!S11</f>
        <v>432342</v>
      </c>
    </row>
    <row r="12" spans="1:54" ht="14.1" customHeight="1" x14ac:dyDescent="0.2">
      <c r="A12" s="15" t="s">
        <v>109</v>
      </c>
      <c r="B12" s="16">
        <f>'- 45 -'!C12</f>
        <v>2028328.0775599999</v>
      </c>
      <c r="C12" s="16">
        <v>15231413</v>
      </c>
      <c r="D12" s="16">
        <f t="shared" si="0"/>
        <v>17259741.07756</v>
      </c>
      <c r="F12" s="16">
        <f>+Data!S12</f>
        <v>513595</v>
      </c>
    </row>
    <row r="13" spans="1:54" ht="14.1" customHeight="1" x14ac:dyDescent="0.2">
      <c r="A13" s="271" t="s">
        <v>110</v>
      </c>
      <c r="B13" s="272">
        <f>'- 45 -'!C13</f>
        <v>9036406.8334399983</v>
      </c>
      <c r="C13" s="272">
        <v>49039369</v>
      </c>
      <c r="D13" s="272">
        <f t="shared" si="0"/>
        <v>58075775.833439998</v>
      </c>
      <c r="F13" s="272">
        <f>+Data!S13</f>
        <v>383977</v>
      </c>
    </row>
    <row r="14" spans="1:54" ht="14.1" customHeight="1" x14ac:dyDescent="0.2">
      <c r="A14" s="15" t="s">
        <v>319</v>
      </c>
      <c r="B14" s="16">
        <f>'- 45 -'!C14</f>
        <v>0</v>
      </c>
      <c r="C14" s="16">
        <v>0</v>
      </c>
      <c r="D14" s="16">
        <f t="shared" si="0"/>
        <v>0</v>
      </c>
      <c r="F14" s="16">
        <f>+Data!S14</f>
        <v>500927</v>
      </c>
    </row>
    <row r="15" spans="1:54" ht="14.1" customHeight="1" x14ac:dyDescent="0.2">
      <c r="A15" s="271" t="s">
        <v>111</v>
      </c>
      <c r="B15" s="272">
        <f>'- 45 -'!C15</f>
        <v>1189383.4628399999</v>
      </c>
      <c r="C15" s="272">
        <v>11531257</v>
      </c>
      <c r="D15" s="272">
        <f t="shared" si="0"/>
        <v>12720640.46284</v>
      </c>
      <c r="F15" s="272">
        <f>+Data!S15</f>
        <v>729902</v>
      </c>
    </row>
    <row r="16" spans="1:54" ht="14.1" customHeight="1" x14ac:dyDescent="0.2">
      <c r="A16" s="15" t="s">
        <v>112</v>
      </c>
      <c r="B16" s="16">
        <f>'- 45 -'!C16</f>
        <v>309225.41839999997</v>
      </c>
      <c r="C16" s="16">
        <v>4569772</v>
      </c>
      <c r="D16" s="16">
        <f t="shared" si="0"/>
        <v>4878997.4183999998</v>
      </c>
      <c r="F16" s="16">
        <f>+Data!S16</f>
        <v>196578</v>
      </c>
    </row>
    <row r="17" spans="1:6" ht="14.1" customHeight="1" x14ac:dyDescent="0.2">
      <c r="A17" s="271" t="s">
        <v>113</v>
      </c>
      <c r="B17" s="272">
        <f>'- 45 -'!C17</f>
        <v>6101132.3219999997</v>
      </c>
      <c r="C17" s="272">
        <v>9717328</v>
      </c>
      <c r="D17" s="272">
        <f t="shared" si="0"/>
        <v>15818460.322000001</v>
      </c>
      <c r="F17" s="272">
        <f>+Data!S17</f>
        <v>985463</v>
      </c>
    </row>
    <row r="18" spans="1:6" ht="14.1" customHeight="1" x14ac:dyDescent="0.2">
      <c r="A18" s="15" t="s">
        <v>114</v>
      </c>
      <c r="B18" s="16">
        <f>'- 45 -'!C18</f>
        <v>672448.79955999996</v>
      </c>
      <c r="C18" s="16">
        <v>3413837</v>
      </c>
      <c r="D18" s="16">
        <f t="shared" si="0"/>
        <v>4086285.7995600002</v>
      </c>
      <c r="F18" s="16">
        <f>+Data!S18</f>
        <v>120018</v>
      </c>
    </row>
    <row r="19" spans="1:6" ht="14.1" customHeight="1" x14ac:dyDescent="0.2">
      <c r="A19" s="271" t="s">
        <v>115</v>
      </c>
      <c r="B19" s="272">
        <f>'- 45 -'!C19</f>
        <v>3487236.2068799995</v>
      </c>
      <c r="C19" s="272">
        <v>20210031</v>
      </c>
      <c r="D19" s="272">
        <f t="shared" si="0"/>
        <v>23697267.206879999</v>
      </c>
      <c r="F19" s="272">
        <f>+Data!S19</f>
        <v>336507</v>
      </c>
    </row>
    <row r="20" spans="1:6" ht="14.1" customHeight="1" x14ac:dyDescent="0.2">
      <c r="A20" s="15" t="s">
        <v>116</v>
      </c>
      <c r="B20" s="16">
        <f>'- 45 -'!C20</f>
        <v>4335859.3111199997</v>
      </c>
      <c r="C20" s="16">
        <v>35267275</v>
      </c>
      <c r="D20" s="16">
        <f t="shared" si="0"/>
        <v>39603134.311120003</v>
      </c>
      <c r="F20" s="16">
        <f>+Data!S20</f>
        <v>286211</v>
      </c>
    </row>
    <row r="21" spans="1:6" ht="14.1" customHeight="1" x14ac:dyDescent="0.2">
      <c r="A21" s="271" t="s">
        <v>117</v>
      </c>
      <c r="B21" s="272">
        <f>'- 45 -'!C21</f>
        <v>3300050.8260799996</v>
      </c>
      <c r="C21" s="272">
        <v>20118519</v>
      </c>
      <c r="D21" s="272">
        <f t="shared" si="0"/>
        <v>23418569.826079998</v>
      </c>
      <c r="F21" s="272">
        <f>+Data!S21</f>
        <v>534798</v>
      </c>
    </row>
    <row r="22" spans="1:6" ht="14.1" customHeight="1" x14ac:dyDescent="0.2">
      <c r="A22" s="15" t="s">
        <v>118</v>
      </c>
      <c r="B22" s="16">
        <f>'- 45 -'!C22</f>
        <v>601930.20587999991</v>
      </c>
      <c r="C22" s="16">
        <v>4004090</v>
      </c>
      <c r="D22" s="16">
        <f t="shared" si="0"/>
        <v>4606020.2058800003</v>
      </c>
      <c r="F22" s="16">
        <f>+Data!S22</f>
        <v>180733</v>
      </c>
    </row>
    <row r="23" spans="1:6" ht="14.1" customHeight="1" x14ac:dyDescent="0.2">
      <c r="A23" s="271" t="s">
        <v>119</v>
      </c>
      <c r="B23" s="272">
        <f>'- 45 -'!C23</f>
        <v>330044.31423999998</v>
      </c>
      <c r="C23" s="272">
        <v>5042928</v>
      </c>
      <c r="D23" s="272">
        <f t="shared" si="0"/>
        <v>5372972.3142400002</v>
      </c>
      <c r="F23" s="272">
        <f>+Data!S23</f>
        <v>355624</v>
      </c>
    </row>
    <row r="24" spans="1:6" ht="14.1" customHeight="1" x14ac:dyDescent="0.2">
      <c r="A24" s="15" t="s">
        <v>120</v>
      </c>
      <c r="B24" s="16">
        <f>'- 45 -'!C24</f>
        <v>2449254.1799599999</v>
      </c>
      <c r="C24" s="16">
        <v>31487760</v>
      </c>
      <c r="D24" s="16">
        <f t="shared" si="0"/>
        <v>33937014.179959998</v>
      </c>
      <c r="F24" s="16">
        <f>+Data!S24</f>
        <v>562305</v>
      </c>
    </row>
    <row r="25" spans="1:6" ht="14.1" customHeight="1" x14ac:dyDescent="0.2">
      <c r="A25" s="271" t="s">
        <v>121</v>
      </c>
      <c r="B25" s="272">
        <f>'- 45 -'!C25</f>
        <v>14590876.025599997</v>
      </c>
      <c r="C25" s="272">
        <v>114007889</v>
      </c>
      <c r="D25" s="272">
        <f t="shared" si="0"/>
        <v>128598765.0256</v>
      </c>
      <c r="F25" s="272">
        <f>+Data!S25</f>
        <v>519809</v>
      </c>
    </row>
    <row r="26" spans="1:6" ht="14.1" customHeight="1" x14ac:dyDescent="0.2">
      <c r="A26" s="15" t="s">
        <v>122</v>
      </c>
      <c r="B26" s="16">
        <f>'- 45 -'!C26</f>
        <v>1480750.4551999997</v>
      </c>
      <c r="C26" s="16">
        <v>17456098</v>
      </c>
      <c r="D26" s="16">
        <f t="shared" si="0"/>
        <v>18936848.455200002</v>
      </c>
      <c r="F26" s="16">
        <f>+Data!S26</f>
        <v>405813</v>
      </c>
    </row>
    <row r="27" spans="1:6" ht="14.1" customHeight="1" x14ac:dyDescent="0.2">
      <c r="A27" s="271" t="s">
        <v>123</v>
      </c>
      <c r="B27" s="272">
        <f>'- 45 -'!C27</f>
        <v>1191993.7258799998</v>
      </c>
      <c r="C27" s="272">
        <v>8982294</v>
      </c>
      <c r="D27" s="272">
        <f t="shared" si="0"/>
        <v>10174287.725880001</v>
      </c>
      <c r="F27" s="272">
        <f>+Data!S27</f>
        <v>143631</v>
      </c>
    </row>
    <row r="28" spans="1:6" ht="14.1" customHeight="1" x14ac:dyDescent="0.2">
      <c r="A28" s="15" t="s">
        <v>124</v>
      </c>
      <c r="B28" s="16">
        <f>'- 45 -'!C28</f>
        <v>1890833.6548799998</v>
      </c>
      <c r="C28" s="16">
        <v>10353428</v>
      </c>
      <c r="D28" s="16">
        <f t="shared" si="0"/>
        <v>12244261.65488</v>
      </c>
      <c r="F28" s="16">
        <f>+Data!S28</f>
        <v>673872</v>
      </c>
    </row>
    <row r="29" spans="1:6" ht="14.1" customHeight="1" x14ac:dyDescent="0.2">
      <c r="A29" s="271" t="s">
        <v>125</v>
      </c>
      <c r="B29" s="272">
        <f>'- 45 -'!C29</f>
        <v>16963430.599399999</v>
      </c>
      <c r="C29" s="272">
        <v>110715454</v>
      </c>
      <c r="D29" s="272">
        <f t="shared" si="0"/>
        <v>127678884.5994</v>
      </c>
      <c r="F29" s="272">
        <f>+Data!S29</f>
        <v>661533</v>
      </c>
    </row>
    <row r="30" spans="1:6" ht="14.1" customHeight="1" x14ac:dyDescent="0.2">
      <c r="A30" s="15" t="s">
        <v>126</v>
      </c>
      <c r="B30" s="16">
        <f>'- 45 -'!C30</f>
        <v>1034056.7449999999</v>
      </c>
      <c r="C30" s="16">
        <v>7771261</v>
      </c>
      <c r="D30" s="16">
        <f t="shared" si="0"/>
        <v>8805317.7449999992</v>
      </c>
      <c r="F30" s="16">
        <f>+Data!S30</f>
        <v>591320</v>
      </c>
    </row>
    <row r="31" spans="1:6" ht="14.1" customHeight="1" x14ac:dyDescent="0.2">
      <c r="A31" s="271" t="s">
        <v>127</v>
      </c>
      <c r="B31" s="272">
        <f>'- 45 -'!C31</f>
        <v>3448477.9322399995</v>
      </c>
      <c r="C31" s="272">
        <v>19047138</v>
      </c>
      <c r="D31" s="272">
        <f t="shared" si="0"/>
        <v>22495615.932239998</v>
      </c>
      <c r="F31" s="272">
        <f>+Data!S31</f>
        <v>475791</v>
      </c>
    </row>
    <row r="32" spans="1:6" ht="14.1" customHeight="1" x14ac:dyDescent="0.2">
      <c r="A32" s="15" t="s">
        <v>128</v>
      </c>
      <c r="B32" s="16">
        <f>'- 45 -'!C32</f>
        <v>1509790.5143199998</v>
      </c>
      <c r="C32" s="16">
        <v>17591136</v>
      </c>
      <c r="D32" s="16">
        <f t="shared" si="0"/>
        <v>19100926.514320001</v>
      </c>
      <c r="F32" s="16">
        <f>+Data!S32</f>
        <v>684928</v>
      </c>
    </row>
    <row r="33" spans="1:6" ht="14.1" customHeight="1" x14ac:dyDescent="0.2">
      <c r="A33" s="271" t="s">
        <v>129</v>
      </c>
      <c r="B33" s="272">
        <f>'- 45 -'!C33</f>
        <v>1767089.8132799999</v>
      </c>
      <c r="C33" s="272">
        <v>15191939</v>
      </c>
      <c r="D33" s="272">
        <f t="shared" si="0"/>
        <v>16959028.813280001</v>
      </c>
      <c r="F33" s="272">
        <f>+Data!S33</f>
        <v>735363</v>
      </c>
    </row>
    <row r="34" spans="1:6" ht="14.1" customHeight="1" x14ac:dyDescent="0.2">
      <c r="A34" s="15" t="s">
        <v>130</v>
      </c>
      <c r="B34" s="16">
        <f>'- 45 -'!C34</f>
        <v>3245433.3142799996</v>
      </c>
      <c r="C34" s="16">
        <v>21807814</v>
      </c>
      <c r="D34" s="16">
        <f t="shared" si="0"/>
        <v>25053247.31428</v>
      </c>
      <c r="F34" s="16">
        <f>+Data!S34</f>
        <v>721684</v>
      </c>
    </row>
    <row r="35" spans="1:6" ht="14.1" customHeight="1" x14ac:dyDescent="0.2">
      <c r="A35" s="271" t="s">
        <v>131</v>
      </c>
      <c r="B35" s="272">
        <f>'- 45 -'!C35</f>
        <v>11898377.9586</v>
      </c>
      <c r="C35" s="272">
        <v>94904316</v>
      </c>
      <c r="D35" s="272">
        <f t="shared" si="0"/>
        <v>106802693.9586</v>
      </c>
      <c r="F35" s="272">
        <f>+Data!S35</f>
        <v>451960</v>
      </c>
    </row>
    <row r="36" spans="1:6" ht="14.1" customHeight="1" x14ac:dyDescent="0.2">
      <c r="A36" s="15" t="s">
        <v>132</v>
      </c>
      <c r="B36" s="16">
        <f>'- 45 -'!C36</f>
        <v>1739861.7894399997</v>
      </c>
      <c r="C36" s="16">
        <v>12441199</v>
      </c>
      <c r="D36" s="16">
        <f t="shared" si="0"/>
        <v>14181060.78944</v>
      </c>
      <c r="F36" s="16">
        <f>+Data!S36</f>
        <v>651470</v>
      </c>
    </row>
    <row r="37" spans="1:6" ht="14.1" customHeight="1" x14ac:dyDescent="0.2">
      <c r="A37" s="271" t="s">
        <v>133</v>
      </c>
      <c r="B37" s="272">
        <f>'- 45 -'!C37</f>
        <v>1968473.8844399997</v>
      </c>
      <c r="C37" s="272">
        <v>29027876</v>
      </c>
      <c r="D37" s="272">
        <f t="shared" si="0"/>
        <v>30996349.884440001</v>
      </c>
      <c r="F37" s="272">
        <f>+Data!S37</f>
        <v>364268</v>
      </c>
    </row>
    <row r="38" spans="1:6" ht="14.1" customHeight="1" x14ac:dyDescent="0.2">
      <c r="A38" s="15" t="s">
        <v>134</v>
      </c>
      <c r="B38" s="16">
        <f>'- 45 -'!C38</f>
        <v>4751902.2053199997</v>
      </c>
      <c r="C38" s="16">
        <v>61237779</v>
      </c>
      <c r="D38" s="16">
        <f t="shared" si="0"/>
        <v>65989681.205320001</v>
      </c>
      <c r="F38" s="16">
        <f>+Data!S38</f>
        <v>354739</v>
      </c>
    </row>
    <row r="39" spans="1:6" ht="14.1" customHeight="1" x14ac:dyDescent="0.2">
      <c r="A39" s="271" t="s">
        <v>135</v>
      </c>
      <c r="B39" s="272">
        <f>'- 45 -'!C39</f>
        <v>3639349.1795999995</v>
      </c>
      <c r="C39" s="272">
        <v>13655874</v>
      </c>
      <c r="D39" s="272">
        <f t="shared" si="0"/>
        <v>17295223.1796</v>
      </c>
      <c r="F39" s="272">
        <f>+Data!S39</f>
        <v>882151</v>
      </c>
    </row>
    <row r="40" spans="1:6" ht="14.1" customHeight="1" x14ac:dyDescent="0.2">
      <c r="A40" s="15" t="s">
        <v>136</v>
      </c>
      <c r="B40" s="16">
        <f>'- 45 -'!C40</f>
        <v>16973572.382359996</v>
      </c>
      <c r="C40" s="16">
        <v>66430496</v>
      </c>
      <c r="D40" s="16">
        <f t="shared" si="0"/>
        <v>83404068.382359996</v>
      </c>
      <c r="F40" s="16">
        <f>+Data!S40</f>
        <v>633570</v>
      </c>
    </row>
    <row r="41" spans="1:6" ht="14.1" customHeight="1" x14ac:dyDescent="0.2">
      <c r="A41" s="271" t="s">
        <v>137</v>
      </c>
      <c r="B41" s="272">
        <f>'- 45 -'!C41</f>
        <v>4507582.9795999993</v>
      </c>
      <c r="C41" s="272">
        <v>38595341</v>
      </c>
      <c r="D41" s="272">
        <f t="shared" si="0"/>
        <v>43102923.979599997</v>
      </c>
      <c r="F41" s="272">
        <f>+Data!S41</f>
        <v>586446</v>
      </c>
    </row>
    <row r="42" spans="1:6" ht="14.1" customHeight="1" x14ac:dyDescent="0.2">
      <c r="A42" s="15" t="s">
        <v>138</v>
      </c>
      <c r="B42" s="16">
        <f>'- 45 -'!C42</f>
        <v>801089.53275999986</v>
      </c>
      <c r="C42" s="16">
        <v>8041665</v>
      </c>
      <c r="D42" s="16">
        <f t="shared" si="0"/>
        <v>8842754.5327599999</v>
      </c>
      <c r="F42" s="16">
        <f>+Data!S42</f>
        <v>466595</v>
      </c>
    </row>
    <row r="43" spans="1:6" ht="14.1" customHeight="1" x14ac:dyDescent="0.2">
      <c r="A43" s="271" t="s">
        <v>139</v>
      </c>
      <c r="B43" s="272">
        <f>'- 45 -'!C43</f>
        <v>666902.60855999996</v>
      </c>
      <c r="C43" s="272">
        <v>7531672</v>
      </c>
      <c r="D43" s="272">
        <f t="shared" si="0"/>
        <v>8198574.6085599996</v>
      </c>
      <c r="F43" s="272">
        <f>+Data!S43</f>
        <v>655427</v>
      </c>
    </row>
    <row r="44" spans="1:6" ht="14.1" customHeight="1" x14ac:dyDescent="0.2">
      <c r="A44" s="15" t="s">
        <v>140</v>
      </c>
      <c r="B44" s="16">
        <f>'- 45 -'!C44</f>
        <v>135890.28679999997</v>
      </c>
      <c r="C44" s="16">
        <v>3716713</v>
      </c>
      <c r="D44" s="16">
        <f t="shared" si="0"/>
        <v>3852603.2867999999</v>
      </c>
      <c r="F44" s="16">
        <f>+Data!S44</f>
        <v>353502</v>
      </c>
    </row>
    <row r="45" spans="1:6" ht="14.1" customHeight="1" x14ac:dyDescent="0.2">
      <c r="A45" s="271" t="s">
        <v>141</v>
      </c>
      <c r="B45" s="272">
        <f>'- 45 -'!C45</f>
        <v>1116614.7002399999</v>
      </c>
      <c r="C45" s="272">
        <v>9524767</v>
      </c>
      <c r="D45" s="272">
        <f t="shared" si="0"/>
        <v>10641381.700239999</v>
      </c>
      <c r="F45" s="272">
        <f>+Data!S45</f>
        <v>360488</v>
      </c>
    </row>
    <row r="46" spans="1:6" ht="14.1" customHeight="1" x14ac:dyDescent="0.2">
      <c r="A46" s="15" t="s">
        <v>142</v>
      </c>
      <c r="B46" s="16">
        <f>'- 45 -'!C46</f>
        <v>48901472.022159994</v>
      </c>
      <c r="C46" s="16">
        <v>197160436</v>
      </c>
      <c r="D46" s="16">
        <f t="shared" si="0"/>
        <v>246061908.02215999</v>
      </c>
      <c r="F46" s="16">
        <f>+Data!S46</f>
        <v>468197</v>
      </c>
    </row>
    <row r="47" spans="1:6" ht="5.0999999999999996" customHeight="1" x14ac:dyDescent="0.2">
      <c r="A47"/>
      <c r="B47"/>
      <c r="C47"/>
      <c r="D47"/>
      <c r="F47"/>
    </row>
    <row r="48" spans="1:6" ht="14.1" customHeight="1" x14ac:dyDescent="0.2">
      <c r="A48" s="274" t="s">
        <v>143</v>
      </c>
      <c r="B48" s="275">
        <f>SUM(B11:B46)</f>
        <v>179551918.75547999</v>
      </c>
      <c r="C48" s="275">
        <f>SUM(C11:C46)</f>
        <v>1104330626</v>
      </c>
      <c r="D48" s="275">
        <f>SUM(D11:D46)</f>
        <v>1283882544.7554801</v>
      </c>
      <c r="F48" s="275">
        <f>+Data!S48</f>
        <v>483255.31839606294</v>
      </c>
    </row>
    <row r="49" spans="1:6" ht="50.1" customHeight="1" x14ac:dyDescent="0.2">
      <c r="A49" s="216" t="s">
        <v>1</v>
      </c>
      <c r="B49" s="19"/>
      <c r="C49" s="19"/>
      <c r="D49" s="19"/>
      <c r="E49" s="19"/>
      <c r="F49" s="19"/>
    </row>
    <row r="50" spans="1:6" ht="15" customHeight="1" x14ac:dyDescent="0.2">
      <c r="A50" s="762" t="s">
        <v>476</v>
      </c>
      <c r="B50" s="762"/>
      <c r="C50" s="762"/>
      <c r="D50" s="762"/>
      <c r="E50" s="762"/>
      <c r="F50" s="762"/>
    </row>
    <row r="51" spans="1:6" ht="12" customHeight="1" x14ac:dyDescent="0.2">
      <c r="A51" s="763"/>
      <c r="B51" s="763"/>
      <c r="C51" s="763"/>
      <c r="D51" s="763"/>
      <c r="E51" s="763"/>
      <c r="F51" s="763"/>
    </row>
    <row r="52" spans="1:6" ht="12" customHeight="1" x14ac:dyDescent="0.2">
      <c r="A52" s="763"/>
      <c r="B52" s="763"/>
      <c r="C52" s="763"/>
      <c r="D52" s="763"/>
      <c r="E52" s="763"/>
      <c r="F52" s="763"/>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3">
    <mergeCell ref="F7:F9"/>
    <mergeCell ref="B7:B9"/>
    <mergeCell ref="A50:F52"/>
  </mergeCells>
  <phoneticPr fontId="0" type="noConversion"/>
  <printOptions horizontalCentered="1"/>
  <pageMargins left="0.51181102362204722" right="0.51181102362204722" top="0.59055118110236227" bottom="0" header="0.31496062992125984" footer="0"/>
  <pageSetup scale="86" orientation="portrait"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63"/>
  <sheetViews>
    <sheetView showGridLines="0" showZeros="0" zoomScale="90" zoomScaleNormal="90" workbookViewId="0"/>
  </sheetViews>
  <sheetFormatPr defaultColWidth="19.83203125" defaultRowHeight="12" x14ac:dyDescent="0.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2020/2021 BUDGET</v>
      </c>
      <c r="C2" s="235"/>
      <c r="D2" s="236"/>
      <c r="E2" s="232"/>
      <c r="F2" s="232"/>
      <c r="G2" s="185" t="s">
        <v>92</v>
      </c>
    </row>
    <row r="3" spans="1:7" ht="15.95" customHeight="1" x14ac:dyDescent="0.2">
      <c r="A3" s="180"/>
      <c r="B3" s="3"/>
      <c r="C3" s="3"/>
      <c r="D3" s="3"/>
      <c r="E3" s="3"/>
      <c r="F3" s="3"/>
      <c r="G3" s="3"/>
    </row>
    <row r="4" spans="1:7" ht="15.95" customHeight="1" x14ac:dyDescent="0.2">
      <c r="B4" s="771" t="s">
        <v>34</v>
      </c>
      <c r="C4" s="772"/>
      <c r="D4" s="772"/>
      <c r="E4" s="772"/>
      <c r="F4" s="772"/>
      <c r="G4" s="773"/>
    </row>
    <row r="5" spans="1:7" ht="15.95" customHeight="1" x14ac:dyDescent="0.2">
      <c r="B5" s="774" t="s">
        <v>106</v>
      </c>
      <c r="C5" s="775"/>
      <c r="D5" s="775"/>
      <c r="E5" s="775"/>
      <c r="F5" s="775"/>
      <c r="G5" s="776"/>
    </row>
    <row r="6" spans="1:7" ht="15.95" customHeight="1" x14ac:dyDescent="0.2">
      <c r="B6" s="618" t="s">
        <v>46</v>
      </c>
      <c r="C6" s="619"/>
      <c r="D6" s="619"/>
      <c r="E6" s="619"/>
      <c r="F6" s="619"/>
      <c r="G6" s="620"/>
    </row>
    <row r="7" spans="1:7" ht="15.95" customHeight="1" x14ac:dyDescent="0.2">
      <c r="B7" s="186"/>
      <c r="C7" s="704" t="s">
        <v>478</v>
      </c>
      <c r="D7" s="24"/>
      <c r="E7" s="24"/>
      <c r="F7" s="24"/>
      <c r="G7" s="24"/>
    </row>
    <row r="8" spans="1:7" ht="15.95" customHeight="1" x14ac:dyDescent="0.2">
      <c r="A8" s="82"/>
      <c r="B8" s="777" t="s">
        <v>477</v>
      </c>
      <c r="C8" s="779"/>
      <c r="D8" s="779" t="s">
        <v>479</v>
      </c>
      <c r="E8" s="779" t="s">
        <v>480</v>
      </c>
      <c r="F8" s="779" t="s">
        <v>481</v>
      </c>
      <c r="G8" s="779" t="s">
        <v>482</v>
      </c>
    </row>
    <row r="9" spans="1:7" ht="15.95" customHeight="1" x14ac:dyDescent="0.2">
      <c r="A9" s="27" t="s">
        <v>37</v>
      </c>
      <c r="B9" s="778"/>
      <c r="C9" s="780"/>
      <c r="D9" s="780"/>
      <c r="E9" s="780"/>
      <c r="F9" s="780"/>
      <c r="G9" s="780"/>
    </row>
    <row r="10" spans="1:7" ht="5.0999999999999996" customHeight="1" x14ac:dyDescent="0.2">
      <c r="A10" s="29"/>
      <c r="E10" s="3"/>
      <c r="F10" s="3"/>
      <c r="G10" s="3"/>
    </row>
    <row r="11" spans="1:7" ht="14.1" customHeight="1" x14ac:dyDescent="0.2">
      <c r="A11" s="271" t="s">
        <v>108</v>
      </c>
      <c r="B11" s="272">
        <v>3771717</v>
      </c>
      <c r="C11" s="272">
        <v>68827</v>
      </c>
      <c r="D11" s="272">
        <v>204422</v>
      </c>
      <c r="E11" s="272">
        <v>117438</v>
      </c>
      <c r="F11" s="272">
        <v>121353</v>
      </c>
      <c r="G11" s="272">
        <v>180072</v>
      </c>
    </row>
    <row r="12" spans="1:7" ht="14.1" customHeight="1" x14ac:dyDescent="0.2">
      <c r="A12" s="15" t="s">
        <v>109</v>
      </c>
      <c r="B12" s="16">
        <v>4034560</v>
      </c>
      <c r="C12" s="16">
        <v>0</v>
      </c>
      <c r="D12" s="16">
        <v>393979</v>
      </c>
      <c r="E12" s="16">
        <v>125622</v>
      </c>
      <c r="F12" s="16">
        <v>129809</v>
      </c>
      <c r="G12" s="16">
        <v>192620</v>
      </c>
    </row>
    <row r="13" spans="1:7" ht="14.1" customHeight="1" x14ac:dyDescent="0.2">
      <c r="A13" s="271" t="s">
        <v>110</v>
      </c>
      <c r="B13" s="272">
        <v>16614200</v>
      </c>
      <c r="C13" s="272">
        <v>0</v>
      </c>
      <c r="D13" s="272">
        <v>130100</v>
      </c>
      <c r="E13" s="272">
        <v>517300</v>
      </c>
      <c r="F13" s="272">
        <v>534600</v>
      </c>
      <c r="G13" s="272">
        <v>793200</v>
      </c>
    </row>
    <row r="14" spans="1:7" ht="14.1" customHeight="1" x14ac:dyDescent="0.2">
      <c r="A14" s="15" t="s">
        <v>319</v>
      </c>
      <c r="B14" s="16">
        <v>10622009</v>
      </c>
      <c r="C14" s="16">
        <v>51666</v>
      </c>
      <c r="D14" s="16">
        <v>770419</v>
      </c>
      <c r="E14" s="16">
        <v>330732</v>
      </c>
      <c r="F14" s="16">
        <v>341756</v>
      </c>
      <c r="G14" s="16">
        <v>507122</v>
      </c>
    </row>
    <row r="15" spans="1:7" ht="14.1" customHeight="1" x14ac:dyDescent="0.2">
      <c r="A15" s="271" t="s">
        <v>111</v>
      </c>
      <c r="B15" s="272">
        <v>2701076</v>
      </c>
      <c r="C15" s="272">
        <v>0</v>
      </c>
      <c r="D15" s="272">
        <v>243024</v>
      </c>
      <c r="E15" s="272">
        <v>84102</v>
      </c>
      <c r="F15" s="272">
        <v>86905</v>
      </c>
      <c r="G15" s="272">
        <v>128956</v>
      </c>
    </row>
    <row r="16" spans="1:7" ht="14.1" customHeight="1" x14ac:dyDescent="0.2">
      <c r="A16" s="15" t="s">
        <v>112</v>
      </c>
      <c r="B16" s="16">
        <v>1753763</v>
      </c>
      <c r="C16" s="16">
        <v>0</v>
      </c>
      <c r="D16" s="16">
        <v>0</v>
      </c>
      <c r="E16" s="16">
        <v>54606</v>
      </c>
      <c r="F16" s="16">
        <v>56426</v>
      </c>
      <c r="G16" s="16">
        <v>83729</v>
      </c>
    </row>
    <row r="17" spans="1:7" ht="14.1" customHeight="1" x14ac:dyDescent="0.2">
      <c r="A17" s="271" t="s">
        <v>113</v>
      </c>
      <c r="B17" s="272">
        <v>2598945</v>
      </c>
      <c r="C17" s="272">
        <v>63927</v>
      </c>
      <c r="D17" s="272">
        <v>281692</v>
      </c>
      <c r="E17" s="272">
        <v>80922</v>
      </c>
      <c r="F17" s="272">
        <v>83619</v>
      </c>
      <c r="G17" s="272">
        <v>124080</v>
      </c>
    </row>
    <row r="18" spans="1:7" ht="14.1" customHeight="1" x14ac:dyDescent="0.2">
      <c r="A18" s="15" t="s">
        <v>114</v>
      </c>
      <c r="B18" s="16">
        <v>4086204</v>
      </c>
      <c r="C18" s="16">
        <v>0</v>
      </c>
      <c r="D18" s="16">
        <v>946707</v>
      </c>
      <c r="E18" s="16">
        <v>127230</v>
      </c>
      <c r="F18" s="16">
        <v>131471</v>
      </c>
      <c r="G18" s="16">
        <v>195086</v>
      </c>
    </row>
    <row r="19" spans="1:7" ht="14.1" customHeight="1" x14ac:dyDescent="0.2">
      <c r="A19" s="271" t="s">
        <v>115</v>
      </c>
      <c r="B19" s="272">
        <v>8407308</v>
      </c>
      <c r="C19" s="272">
        <v>0</v>
      </c>
      <c r="D19" s="272">
        <v>201150</v>
      </c>
      <c r="E19" s="272">
        <v>261774</v>
      </c>
      <c r="F19" s="272">
        <v>270500</v>
      </c>
      <c r="G19" s="272">
        <v>401387</v>
      </c>
    </row>
    <row r="20" spans="1:7" ht="14.1" customHeight="1" x14ac:dyDescent="0.2">
      <c r="A20" s="15" t="s">
        <v>116</v>
      </c>
      <c r="B20" s="16">
        <v>15451650</v>
      </c>
      <c r="C20" s="16">
        <v>0</v>
      </c>
      <c r="D20" s="16">
        <v>235883</v>
      </c>
      <c r="E20" s="16">
        <v>481110</v>
      </c>
      <c r="F20" s="16">
        <v>497147</v>
      </c>
      <c r="G20" s="16">
        <v>737702</v>
      </c>
    </row>
    <row r="21" spans="1:7" ht="14.1" customHeight="1" x14ac:dyDescent="0.2">
      <c r="A21" s="271" t="s">
        <v>117</v>
      </c>
      <c r="B21" s="272">
        <v>5443775</v>
      </c>
      <c r="C21" s="272">
        <v>19345</v>
      </c>
      <c r="D21" s="272">
        <v>495948</v>
      </c>
      <c r="E21" s="272">
        <v>169500</v>
      </c>
      <c r="F21" s="272">
        <v>175150</v>
      </c>
      <c r="G21" s="272">
        <v>259900</v>
      </c>
    </row>
    <row r="22" spans="1:7" ht="14.1" customHeight="1" x14ac:dyDescent="0.2">
      <c r="A22" s="15" t="s">
        <v>118</v>
      </c>
      <c r="B22" s="16">
        <v>2822092</v>
      </c>
      <c r="C22" s="16">
        <v>0</v>
      </c>
      <c r="D22" s="16">
        <v>33264</v>
      </c>
      <c r="E22" s="16">
        <v>87870</v>
      </c>
      <c r="F22" s="16">
        <v>90799</v>
      </c>
      <c r="G22" s="16">
        <v>134734</v>
      </c>
    </row>
    <row r="23" spans="1:7" ht="14.1" customHeight="1" x14ac:dyDescent="0.2">
      <c r="A23" s="271" t="s">
        <v>119</v>
      </c>
      <c r="B23" s="272">
        <v>1762820</v>
      </c>
      <c r="C23" s="272">
        <v>21550</v>
      </c>
      <c r="D23" s="272">
        <v>349344</v>
      </c>
      <c r="E23" s="272">
        <v>54888</v>
      </c>
      <c r="F23" s="272">
        <v>56718</v>
      </c>
      <c r="G23" s="272">
        <v>84162</v>
      </c>
    </row>
    <row r="24" spans="1:7" ht="14.1" customHeight="1" x14ac:dyDescent="0.2">
      <c r="A24" s="15" t="s">
        <v>120</v>
      </c>
      <c r="B24" s="16">
        <v>7085194</v>
      </c>
      <c r="C24" s="16">
        <v>0</v>
      </c>
      <c r="D24" s="16">
        <v>349189</v>
      </c>
      <c r="E24" s="16">
        <v>220608</v>
      </c>
      <c r="F24" s="16">
        <v>227962</v>
      </c>
      <c r="G24" s="16">
        <v>338266</v>
      </c>
    </row>
    <row r="25" spans="1:7" ht="14.1" customHeight="1" x14ac:dyDescent="0.2">
      <c r="A25" s="271" t="s">
        <v>121</v>
      </c>
      <c r="B25" s="272">
        <v>28355034</v>
      </c>
      <c r="C25" s="272">
        <v>5141</v>
      </c>
      <c r="D25" s="272">
        <v>0</v>
      </c>
      <c r="E25" s="272">
        <v>882876</v>
      </c>
      <c r="F25" s="272">
        <v>912305</v>
      </c>
      <c r="G25" s="272">
        <v>1353743</v>
      </c>
    </row>
    <row r="26" spans="1:7" ht="14.1" customHeight="1" x14ac:dyDescent="0.2">
      <c r="A26" s="15" t="s">
        <v>122</v>
      </c>
      <c r="B26" s="16">
        <v>5707774</v>
      </c>
      <c r="C26" s="16">
        <v>5383</v>
      </c>
      <c r="D26" s="16">
        <v>538944</v>
      </c>
      <c r="E26" s="16">
        <v>177720</v>
      </c>
      <c r="F26" s="16">
        <v>183644</v>
      </c>
      <c r="G26" s="16">
        <v>272504</v>
      </c>
    </row>
    <row r="27" spans="1:7" ht="14.1" customHeight="1" x14ac:dyDescent="0.2">
      <c r="A27" s="271" t="s">
        <v>123</v>
      </c>
      <c r="B27" s="272">
        <v>5712013</v>
      </c>
      <c r="C27" s="272">
        <v>0</v>
      </c>
      <c r="D27" s="272">
        <v>0</v>
      </c>
      <c r="E27" s="272">
        <v>177852</v>
      </c>
      <c r="F27" s="272">
        <v>183780</v>
      </c>
      <c r="G27" s="272">
        <v>272706</v>
      </c>
    </row>
    <row r="28" spans="1:7" ht="14.1" customHeight="1" x14ac:dyDescent="0.2">
      <c r="A28" s="15" t="s">
        <v>124</v>
      </c>
      <c r="B28" s="16">
        <v>2865834</v>
      </c>
      <c r="C28" s="16">
        <v>71240</v>
      </c>
      <c r="D28" s="16">
        <v>506412</v>
      </c>
      <c r="E28" s="16">
        <v>89232</v>
      </c>
      <c r="F28" s="16">
        <v>92206</v>
      </c>
      <c r="G28" s="16">
        <v>136822</v>
      </c>
    </row>
    <row r="29" spans="1:7" ht="14.1" customHeight="1" x14ac:dyDescent="0.2">
      <c r="A29" s="271" t="s">
        <v>125</v>
      </c>
      <c r="B29" s="272">
        <v>27253754</v>
      </c>
      <c r="C29" s="272">
        <v>41561</v>
      </c>
      <c r="D29" s="272">
        <v>0</v>
      </c>
      <c r="E29" s="272">
        <v>848586</v>
      </c>
      <c r="F29" s="272">
        <v>876872</v>
      </c>
      <c r="G29" s="272">
        <v>1301165</v>
      </c>
    </row>
    <row r="30" spans="1:7" ht="14.1" customHeight="1" x14ac:dyDescent="0.2">
      <c r="A30" s="15" t="s">
        <v>126</v>
      </c>
      <c r="B30" s="16">
        <v>1976139</v>
      </c>
      <c r="C30" s="16">
        <v>24918</v>
      </c>
      <c r="D30" s="16">
        <v>329200</v>
      </c>
      <c r="E30" s="16">
        <v>61530</v>
      </c>
      <c r="F30" s="16">
        <v>63581</v>
      </c>
      <c r="G30" s="16">
        <v>94346</v>
      </c>
    </row>
    <row r="31" spans="1:7" ht="14.1" customHeight="1" x14ac:dyDescent="0.2">
      <c r="A31" s="271" t="s">
        <v>127</v>
      </c>
      <c r="B31" s="272">
        <v>5813952</v>
      </c>
      <c r="C31" s="272">
        <v>0</v>
      </c>
      <c r="D31" s="272">
        <v>204293</v>
      </c>
      <c r="E31" s="272">
        <v>181026</v>
      </c>
      <c r="F31" s="272">
        <v>187060</v>
      </c>
      <c r="G31" s="272">
        <v>277573</v>
      </c>
    </row>
    <row r="32" spans="1:7" ht="14.1" customHeight="1" x14ac:dyDescent="0.2">
      <c r="A32" s="15" t="s">
        <v>128</v>
      </c>
      <c r="B32" s="16">
        <v>4384696</v>
      </c>
      <c r="C32" s="16">
        <v>0</v>
      </c>
      <c r="D32" s="16">
        <v>648457</v>
      </c>
      <c r="E32" s="16">
        <v>136524</v>
      </c>
      <c r="F32" s="16">
        <v>141075</v>
      </c>
      <c r="G32" s="16">
        <v>209337</v>
      </c>
    </row>
    <row r="33" spans="1:7" ht="14.1" customHeight="1" x14ac:dyDescent="0.2">
      <c r="A33" s="271" t="s">
        <v>129</v>
      </c>
      <c r="B33" s="272">
        <v>3873655</v>
      </c>
      <c r="C33" s="272">
        <v>27856</v>
      </c>
      <c r="D33" s="272">
        <v>804818</v>
      </c>
      <c r="E33" s="272">
        <v>120612</v>
      </c>
      <c r="F33" s="272">
        <v>124632</v>
      </c>
      <c r="G33" s="272">
        <v>184938</v>
      </c>
    </row>
    <row r="34" spans="1:7" ht="14.1" customHeight="1" x14ac:dyDescent="0.2">
      <c r="A34" s="15" t="s">
        <v>130</v>
      </c>
      <c r="B34" s="16">
        <v>4282758</v>
      </c>
      <c r="C34" s="16">
        <v>0</v>
      </c>
      <c r="D34" s="16">
        <v>598869</v>
      </c>
      <c r="E34" s="16">
        <v>133350</v>
      </c>
      <c r="F34" s="16">
        <v>137795</v>
      </c>
      <c r="G34" s="16">
        <v>204470</v>
      </c>
    </row>
    <row r="35" spans="1:7" ht="14.1" customHeight="1" x14ac:dyDescent="0.2">
      <c r="A35" s="271" t="s">
        <v>131</v>
      </c>
      <c r="B35" s="272">
        <v>30941454</v>
      </c>
      <c r="C35" s="272">
        <v>0</v>
      </c>
      <c r="D35" s="272">
        <v>0</v>
      </c>
      <c r="E35" s="272">
        <v>963408</v>
      </c>
      <c r="F35" s="272">
        <v>995522</v>
      </c>
      <c r="G35" s="272">
        <v>1477226</v>
      </c>
    </row>
    <row r="36" spans="1:7" ht="14.1" customHeight="1" x14ac:dyDescent="0.2">
      <c r="A36" s="15" t="s">
        <v>132</v>
      </c>
      <c r="B36" s="16">
        <v>3122704</v>
      </c>
      <c r="C36" s="16">
        <v>77406</v>
      </c>
      <c r="D36" s="16">
        <v>474213</v>
      </c>
      <c r="E36" s="16">
        <v>97230</v>
      </c>
      <c r="F36" s="16">
        <v>100471</v>
      </c>
      <c r="G36" s="16">
        <v>149086</v>
      </c>
    </row>
    <row r="37" spans="1:7" ht="14.1" customHeight="1" x14ac:dyDescent="0.2">
      <c r="A37" s="271" t="s">
        <v>133</v>
      </c>
      <c r="B37" s="272">
        <v>8242550</v>
      </c>
      <c r="C37" s="272">
        <v>0</v>
      </c>
      <c r="D37" s="272">
        <v>471423</v>
      </c>
      <c r="E37" s="272">
        <v>256644</v>
      </c>
      <c r="F37" s="272">
        <v>265199</v>
      </c>
      <c r="G37" s="272">
        <v>393521</v>
      </c>
    </row>
    <row r="38" spans="1:7" ht="14.1" customHeight="1" x14ac:dyDescent="0.2">
      <c r="A38" s="15" t="s">
        <v>134</v>
      </c>
      <c r="B38" s="16">
        <v>21709004</v>
      </c>
      <c r="C38" s="16">
        <v>0</v>
      </c>
      <c r="D38" s="16">
        <v>0</v>
      </c>
      <c r="E38" s="16">
        <v>675942</v>
      </c>
      <c r="F38" s="16">
        <v>698473</v>
      </c>
      <c r="G38" s="16">
        <v>1036444</v>
      </c>
    </row>
    <row r="39" spans="1:7" ht="14.1" customHeight="1" x14ac:dyDescent="0.2">
      <c r="A39" s="271" t="s">
        <v>135</v>
      </c>
      <c r="B39" s="272">
        <v>2862944</v>
      </c>
      <c r="C39" s="272">
        <v>0</v>
      </c>
      <c r="D39" s="272">
        <v>536192</v>
      </c>
      <c r="E39" s="272">
        <v>89142</v>
      </c>
      <c r="F39" s="272">
        <v>92113</v>
      </c>
      <c r="G39" s="272">
        <v>136684</v>
      </c>
    </row>
    <row r="40" spans="1:7" ht="14.1" customHeight="1" x14ac:dyDescent="0.2">
      <c r="A40" s="15" t="s">
        <v>136</v>
      </c>
      <c r="B40" s="16">
        <v>15452228</v>
      </c>
      <c r="C40" s="16">
        <v>0</v>
      </c>
      <c r="D40" s="16">
        <v>0</v>
      </c>
      <c r="E40" s="16">
        <v>481128</v>
      </c>
      <c r="F40" s="16">
        <v>497166</v>
      </c>
      <c r="G40" s="16">
        <v>737730</v>
      </c>
    </row>
    <row r="41" spans="1:7" ht="14.1" customHeight="1" x14ac:dyDescent="0.2">
      <c r="A41" s="271" t="s">
        <v>137</v>
      </c>
      <c r="B41" s="272">
        <v>8621454</v>
      </c>
      <c r="C41" s="272">
        <v>0</v>
      </c>
      <c r="D41" s="272">
        <v>477468</v>
      </c>
      <c r="E41" s="272">
        <v>268644</v>
      </c>
      <c r="F41" s="272">
        <v>277599</v>
      </c>
      <c r="G41" s="272">
        <v>411921</v>
      </c>
    </row>
    <row r="42" spans="1:7" ht="14.1" customHeight="1" x14ac:dyDescent="0.2">
      <c r="A42" s="15" t="s">
        <v>138</v>
      </c>
      <c r="B42" s="16">
        <v>2569269</v>
      </c>
      <c r="C42" s="16">
        <v>0</v>
      </c>
      <c r="D42" s="16">
        <v>257783</v>
      </c>
      <c r="E42" s="16">
        <v>79998</v>
      </c>
      <c r="F42" s="16">
        <v>82665</v>
      </c>
      <c r="G42" s="16">
        <v>122664</v>
      </c>
    </row>
    <row r="43" spans="1:7" ht="14.1" customHeight="1" x14ac:dyDescent="0.2">
      <c r="A43" s="271" t="s">
        <v>139</v>
      </c>
      <c r="B43" s="272">
        <v>1931818</v>
      </c>
      <c r="C43" s="272">
        <v>54188</v>
      </c>
      <c r="D43" s="272">
        <v>233927</v>
      </c>
      <c r="E43" s="272">
        <v>60150</v>
      </c>
      <c r="F43" s="272">
        <v>62155</v>
      </c>
      <c r="G43" s="272">
        <v>92230</v>
      </c>
    </row>
    <row r="44" spans="1:7" ht="14.1" customHeight="1" x14ac:dyDescent="0.2">
      <c r="A44" s="15" t="s">
        <v>140</v>
      </c>
      <c r="B44" s="16">
        <v>1326161</v>
      </c>
      <c r="C44" s="16">
        <v>16010</v>
      </c>
      <c r="D44" s="16">
        <v>296277</v>
      </c>
      <c r="E44" s="16">
        <v>41292</v>
      </c>
      <c r="F44" s="16">
        <v>42668</v>
      </c>
      <c r="G44" s="16">
        <v>63314</v>
      </c>
    </row>
    <row r="45" spans="1:7" ht="14.1" customHeight="1" x14ac:dyDescent="0.2">
      <c r="A45" s="271" t="s">
        <v>141</v>
      </c>
      <c r="B45" s="272">
        <v>3696757</v>
      </c>
      <c r="C45" s="272">
        <v>0</v>
      </c>
      <c r="D45" s="272">
        <v>0</v>
      </c>
      <c r="E45" s="272">
        <v>115104</v>
      </c>
      <c r="F45" s="272">
        <v>118941</v>
      </c>
      <c r="G45" s="272">
        <v>176493</v>
      </c>
    </row>
    <row r="46" spans="1:7" ht="14.1" customHeight="1" x14ac:dyDescent="0.2">
      <c r="A46" s="15" t="s">
        <v>142</v>
      </c>
      <c r="B46" s="16">
        <v>56409649</v>
      </c>
      <c r="C46" s="16">
        <v>0</v>
      </c>
      <c r="D46" s="16">
        <v>0</v>
      </c>
      <c r="E46" s="16">
        <v>1756398</v>
      </c>
      <c r="F46" s="16">
        <v>1814945</v>
      </c>
      <c r="G46" s="16">
        <v>2693144</v>
      </c>
    </row>
    <row r="47" spans="1:7" ht="5.0999999999999996" customHeight="1" x14ac:dyDescent="0.2">
      <c r="A47"/>
      <c r="B47"/>
      <c r="C47"/>
      <c r="D47"/>
      <c r="E47"/>
      <c r="F47"/>
      <c r="G47"/>
    </row>
    <row r="48" spans="1:7" ht="14.1" customHeight="1" x14ac:dyDescent="0.2">
      <c r="A48" s="274" t="s">
        <v>143</v>
      </c>
      <c r="B48" s="275">
        <f t="shared" ref="B48:G48" si="0">SUM(B11:B46)</f>
        <v>334266914</v>
      </c>
      <c r="C48" s="275">
        <f t="shared" si="0"/>
        <v>549018</v>
      </c>
      <c r="D48" s="275">
        <f t="shared" si="0"/>
        <v>11013397</v>
      </c>
      <c r="E48" s="275">
        <f t="shared" si="0"/>
        <v>10408090</v>
      </c>
      <c r="F48" s="275">
        <f t="shared" si="0"/>
        <v>10755082</v>
      </c>
      <c r="G48" s="275">
        <f t="shared" si="0"/>
        <v>15959077</v>
      </c>
    </row>
    <row r="49" spans="1:7" ht="5.0999999999999996" customHeight="1" x14ac:dyDescent="0.2">
      <c r="A49" s="17" t="s">
        <v>1</v>
      </c>
      <c r="B49" s="18"/>
      <c r="C49" s="18"/>
      <c r="D49" s="18"/>
      <c r="E49" s="18"/>
      <c r="F49" s="18"/>
      <c r="G49" s="18"/>
    </row>
    <row r="50" spans="1:7" ht="14.45" customHeight="1" x14ac:dyDescent="0.2">
      <c r="A50" s="15" t="s">
        <v>144</v>
      </c>
      <c r="B50" s="16">
        <v>230332</v>
      </c>
      <c r="C50" s="16">
        <v>19668</v>
      </c>
      <c r="D50" s="16">
        <v>0</v>
      </c>
      <c r="E50" s="16">
        <v>11040</v>
      </c>
      <c r="F50" s="16">
        <v>11408</v>
      </c>
      <c r="G50" s="16">
        <v>16928</v>
      </c>
    </row>
    <row r="51" spans="1:7" ht="14.1" customHeight="1" x14ac:dyDescent="0.2">
      <c r="A51" s="360" t="s">
        <v>513</v>
      </c>
      <c r="B51" s="272">
        <v>0</v>
      </c>
      <c r="C51" s="272">
        <v>0</v>
      </c>
      <c r="D51" s="272">
        <v>0</v>
      </c>
      <c r="E51" s="272">
        <v>0</v>
      </c>
      <c r="F51" s="272">
        <v>0</v>
      </c>
      <c r="G51" s="272">
        <v>0</v>
      </c>
    </row>
    <row r="52" spans="1:7" ht="50.1" customHeight="1" x14ac:dyDescent="0.2">
      <c r="A52" s="19"/>
      <c r="B52" s="19"/>
      <c r="C52" s="19"/>
      <c r="D52" s="19"/>
      <c r="E52" s="19"/>
      <c r="F52" s="19"/>
      <c r="G52" s="19"/>
    </row>
    <row r="53" spans="1:7" ht="15" customHeight="1" x14ac:dyDescent="0.2">
      <c r="A53" s="131" t="s">
        <v>598</v>
      </c>
      <c r="D53" s="31"/>
      <c r="E53" s="31"/>
      <c r="F53" s="31"/>
      <c r="G53" s="31"/>
    </row>
    <row r="54" spans="1:7" ht="12" customHeight="1" x14ac:dyDescent="0.2">
      <c r="A54" s="31" t="s">
        <v>321</v>
      </c>
      <c r="D54" s="31"/>
      <c r="E54" s="31"/>
      <c r="F54" s="31"/>
      <c r="G54" s="31"/>
    </row>
    <row r="55" spans="1:7" ht="14.45" customHeight="1" x14ac:dyDescent="0.2">
      <c r="A55" s="31"/>
      <c r="D55" s="31"/>
      <c r="E55" s="31"/>
      <c r="F55" s="31"/>
      <c r="G55" s="31"/>
    </row>
    <row r="56" spans="1:7" ht="14.45" customHeight="1" x14ac:dyDescent="0.2">
      <c r="D56" s="90"/>
      <c r="E56" s="90"/>
      <c r="F56" s="90"/>
      <c r="G56" s="90"/>
    </row>
    <row r="57" spans="1:7" ht="14.45" customHeight="1" x14ac:dyDescent="0.2"/>
    <row r="58" spans="1:7" ht="14.45" customHeight="1" x14ac:dyDescent="0.2"/>
    <row r="59" spans="1:7" ht="14.45" customHeight="1" x14ac:dyDescent="0.2"/>
    <row r="63" spans="1:7" ht="15" customHeight="1" x14ac:dyDescent="0.2"/>
  </sheetData>
  <mergeCells count="9">
    <mergeCell ref="B4:G4"/>
    <mergeCell ref="B5:G5"/>
    <mergeCell ref="B6:G6"/>
    <mergeCell ref="B8:B9"/>
    <mergeCell ref="C7:C9"/>
    <mergeCell ref="D8:D9"/>
    <mergeCell ref="E8:E9"/>
    <mergeCell ref="F8:F9"/>
    <mergeCell ref="G8: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K59"/>
  <sheetViews>
    <sheetView showGridLines="0" showZeros="0" zoomScale="90" zoomScaleNormal="90" workbookViewId="0"/>
  </sheetViews>
  <sheetFormatPr defaultColWidth="19.83203125" defaultRowHeight="12" x14ac:dyDescent="0.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2020/2021 BUDGET</v>
      </c>
      <c r="C2" s="236"/>
      <c r="D2" s="232"/>
      <c r="E2" s="232"/>
      <c r="F2" s="237"/>
      <c r="G2" s="185" t="s">
        <v>93</v>
      </c>
    </row>
    <row r="3" spans="1:7" ht="15.95" customHeight="1" x14ac:dyDescent="0.2">
      <c r="A3" s="180"/>
      <c r="B3" s="180"/>
      <c r="C3" s="3"/>
      <c r="D3" s="3"/>
      <c r="E3" s="3"/>
      <c r="F3" s="3"/>
      <c r="G3" s="3"/>
    </row>
    <row r="4" spans="1:7" ht="15.95" customHeight="1" x14ac:dyDescent="0.2">
      <c r="B4" s="771" t="s">
        <v>34</v>
      </c>
      <c r="C4" s="772"/>
      <c r="D4" s="772"/>
      <c r="E4" s="772"/>
      <c r="F4" s="772"/>
      <c r="G4" s="773"/>
    </row>
    <row r="5" spans="1:7" ht="15.95" customHeight="1" x14ac:dyDescent="0.2">
      <c r="B5" s="774" t="s">
        <v>105</v>
      </c>
      <c r="C5" s="775"/>
      <c r="D5" s="775"/>
      <c r="E5" s="775"/>
      <c r="F5" s="775"/>
      <c r="G5" s="776"/>
    </row>
    <row r="6" spans="1:7" ht="15.95" customHeight="1" x14ac:dyDescent="0.2">
      <c r="B6" s="781" t="s">
        <v>46</v>
      </c>
      <c r="C6" s="782"/>
      <c r="D6" s="782"/>
      <c r="E6" s="782"/>
      <c r="F6" s="782"/>
      <c r="G6" s="783"/>
    </row>
    <row r="7" spans="1:7" ht="15.95" customHeight="1" x14ac:dyDescent="0.2">
      <c r="B7" s="186"/>
      <c r="C7" s="24"/>
      <c r="D7" s="24"/>
      <c r="E7" s="24"/>
      <c r="F7" s="24"/>
      <c r="G7" s="704" t="s">
        <v>485</v>
      </c>
    </row>
    <row r="8" spans="1:7" ht="15.95" customHeight="1" x14ac:dyDescent="0.2">
      <c r="A8" s="82"/>
      <c r="B8" s="777" t="s">
        <v>569</v>
      </c>
      <c r="C8" s="779" t="s">
        <v>411</v>
      </c>
      <c r="D8" s="779" t="s">
        <v>483</v>
      </c>
      <c r="E8" s="779" t="s">
        <v>484</v>
      </c>
      <c r="F8" s="238"/>
      <c r="G8" s="779"/>
    </row>
    <row r="9" spans="1:7" ht="15.95" customHeight="1" x14ac:dyDescent="0.2">
      <c r="A9" s="27" t="s">
        <v>37</v>
      </c>
      <c r="B9" s="778"/>
      <c r="C9" s="780"/>
      <c r="D9" s="780"/>
      <c r="E9" s="780"/>
      <c r="F9" s="94" t="s">
        <v>57</v>
      </c>
      <c r="G9" s="780"/>
    </row>
    <row r="10" spans="1:7" ht="5.0999999999999996" customHeight="1" x14ac:dyDescent="0.2">
      <c r="A10" s="29"/>
      <c r="B10" s="3"/>
      <c r="F10" s="3"/>
      <c r="G10" s="3"/>
    </row>
    <row r="11" spans="1:7" ht="14.1" customHeight="1" x14ac:dyDescent="0.2">
      <c r="A11" s="271" t="s">
        <v>108</v>
      </c>
      <c r="B11" s="272">
        <v>612291</v>
      </c>
      <c r="C11" s="272">
        <v>162456</v>
      </c>
      <c r="D11" s="272">
        <v>90036</v>
      </c>
      <c r="E11" s="272">
        <v>39125</v>
      </c>
      <c r="F11" s="272">
        <v>891765</v>
      </c>
      <c r="G11" s="272">
        <f>SUM('- 51 -'!$B11:G11,B11:F11)</f>
        <v>6259502</v>
      </c>
    </row>
    <row r="12" spans="1:7" ht="14.1" customHeight="1" x14ac:dyDescent="0.2">
      <c r="A12" s="15" t="s">
        <v>109</v>
      </c>
      <c r="B12" s="16">
        <v>699932</v>
      </c>
      <c r="C12" s="16">
        <v>173777</v>
      </c>
      <c r="D12" s="16">
        <v>96310</v>
      </c>
      <c r="E12" s="16">
        <v>44000</v>
      </c>
      <c r="F12" s="16">
        <v>1253430</v>
      </c>
      <c r="G12" s="16">
        <f>SUM('- 51 -'!$B12:G12,B12:F12)</f>
        <v>7144039</v>
      </c>
    </row>
    <row r="13" spans="1:7" ht="14.1" customHeight="1" x14ac:dyDescent="0.2">
      <c r="A13" s="271" t="s">
        <v>110</v>
      </c>
      <c r="B13" s="272">
        <v>2932400</v>
      </c>
      <c r="C13" s="272">
        <v>715600</v>
      </c>
      <c r="D13" s="272">
        <v>396600</v>
      </c>
      <c r="E13" s="272">
        <v>191200</v>
      </c>
      <c r="F13" s="272">
        <v>2996800</v>
      </c>
      <c r="G13" s="272">
        <f>SUM('- 51 -'!$B13:G13,B13:F13)</f>
        <v>25822000</v>
      </c>
    </row>
    <row r="14" spans="1:7" ht="14.1" customHeight="1" x14ac:dyDescent="0.2">
      <c r="A14" s="15" t="s">
        <v>319</v>
      </c>
      <c r="B14" s="16">
        <v>1755690</v>
      </c>
      <c r="C14" s="16">
        <v>457513</v>
      </c>
      <c r="D14" s="16">
        <v>214976</v>
      </c>
      <c r="E14" s="16">
        <v>81375</v>
      </c>
      <c r="F14" s="16">
        <v>2808675</v>
      </c>
      <c r="G14" s="16">
        <f>SUM('- 51 -'!$B14:G14,B14:F14)</f>
        <v>17941933</v>
      </c>
    </row>
    <row r="15" spans="1:7" ht="14.1" customHeight="1" x14ac:dyDescent="0.2">
      <c r="A15" s="271" t="s">
        <v>111</v>
      </c>
      <c r="B15" s="272">
        <v>458348</v>
      </c>
      <c r="C15" s="272">
        <v>116341</v>
      </c>
      <c r="D15" s="272">
        <v>54666</v>
      </c>
      <c r="E15" s="272">
        <v>33500</v>
      </c>
      <c r="F15" s="272">
        <v>842175</v>
      </c>
      <c r="G15" s="272">
        <f>SUM('- 51 -'!$B15:G15,B15:F15)</f>
        <v>4749093</v>
      </c>
    </row>
    <row r="16" spans="1:7" ht="14.1" customHeight="1" x14ac:dyDescent="0.2">
      <c r="A16" s="15" t="s">
        <v>112</v>
      </c>
      <c r="B16" s="16">
        <v>332185</v>
      </c>
      <c r="C16" s="16">
        <v>75538</v>
      </c>
      <c r="D16" s="16">
        <v>46415</v>
      </c>
      <c r="E16" s="16">
        <v>25500</v>
      </c>
      <c r="F16" s="16">
        <v>587385</v>
      </c>
      <c r="G16" s="16">
        <f>SUM('- 51 -'!$B16:G16,B16:F16)</f>
        <v>3015547</v>
      </c>
    </row>
    <row r="17" spans="1:7" ht="14.1" customHeight="1" x14ac:dyDescent="0.2">
      <c r="A17" s="271" t="s">
        <v>113</v>
      </c>
      <c r="B17" s="272">
        <v>421889</v>
      </c>
      <c r="C17" s="272">
        <v>111942</v>
      </c>
      <c r="D17" s="272">
        <v>62040</v>
      </c>
      <c r="E17" s="272">
        <v>24250</v>
      </c>
      <c r="F17" s="272">
        <v>843885</v>
      </c>
      <c r="G17" s="272">
        <f>SUM('- 51 -'!$B17:G17,B17:F17)</f>
        <v>4697191</v>
      </c>
    </row>
    <row r="18" spans="1:7" ht="14.1" customHeight="1" x14ac:dyDescent="0.2">
      <c r="A18" s="15" t="s">
        <v>114</v>
      </c>
      <c r="B18" s="16">
        <v>1313018</v>
      </c>
      <c r="C18" s="16">
        <v>176002</v>
      </c>
      <c r="D18" s="16">
        <v>82700</v>
      </c>
      <c r="E18" s="16">
        <v>27250</v>
      </c>
      <c r="F18" s="16">
        <v>4175820</v>
      </c>
      <c r="G18" s="16">
        <f>SUM('- 51 -'!$B18:G18,B18:F18)</f>
        <v>11261488</v>
      </c>
    </row>
    <row r="19" spans="1:7" ht="14.1" customHeight="1" x14ac:dyDescent="0.2">
      <c r="A19" s="271" t="s">
        <v>115</v>
      </c>
      <c r="B19" s="272">
        <v>1398832</v>
      </c>
      <c r="C19" s="272">
        <v>362121</v>
      </c>
      <c r="D19" s="272">
        <v>200693</v>
      </c>
      <c r="E19" s="272">
        <v>91925</v>
      </c>
      <c r="F19" s="272">
        <v>1863900</v>
      </c>
      <c r="G19" s="272">
        <f>SUM('- 51 -'!$B19:G19,B19:F19)</f>
        <v>13459590</v>
      </c>
    </row>
    <row r="20" spans="1:7" ht="14.1" customHeight="1" x14ac:dyDescent="0.2">
      <c r="A20" s="15" t="s">
        <v>116</v>
      </c>
      <c r="B20" s="16">
        <v>2637885</v>
      </c>
      <c r="C20" s="16">
        <v>665536</v>
      </c>
      <c r="D20" s="16">
        <v>312722</v>
      </c>
      <c r="E20" s="16">
        <v>144875</v>
      </c>
      <c r="F20" s="16">
        <v>2941200</v>
      </c>
      <c r="G20" s="16">
        <f>SUM('- 51 -'!$B20:G20,B20:F20)</f>
        <v>24105710</v>
      </c>
    </row>
    <row r="21" spans="1:7" ht="14.1" customHeight="1" x14ac:dyDescent="0.2">
      <c r="A21" s="271" t="s">
        <v>117</v>
      </c>
      <c r="B21" s="272">
        <v>892974</v>
      </c>
      <c r="C21" s="272">
        <v>234475</v>
      </c>
      <c r="D21" s="272">
        <v>110175</v>
      </c>
      <c r="E21" s="272">
        <v>55000</v>
      </c>
      <c r="F21" s="272">
        <v>1524465</v>
      </c>
      <c r="G21" s="272">
        <f>SUM('- 51 -'!$B21:G21,B21:F21)</f>
        <v>9380707</v>
      </c>
    </row>
    <row r="22" spans="1:7" ht="14.1" customHeight="1" x14ac:dyDescent="0.2">
      <c r="A22" s="15" t="s">
        <v>118</v>
      </c>
      <c r="B22" s="16">
        <v>500469</v>
      </c>
      <c r="C22" s="16">
        <v>121554</v>
      </c>
      <c r="D22" s="16">
        <v>74690</v>
      </c>
      <c r="E22" s="16">
        <v>25500</v>
      </c>
      <c r="F22" s="16">
        <v>913140</v>
      </c>
      <c r="G22" s="16">
        <f>SUM('- 51 -'!$B22:G22,B22:F22)</f>
        <v>4804112</v>
      </c>
    </row>
    <row r="23" spans="1:7" ht="14.1" customHeight="1" x14ac:dyDescent="0.2">
      <c r="A23" s="271" t="s">
        <v>119</v>
      </c>
      <c r="B23" s="272">
        <v>328529</v>
      </c>
      <c r="C23" s="272">
        <v>75928</v>
      </c>
      <c r="D23" s="272">
        <v>42081</v>
      </c>
      <c r="E23" s="272">
        <v>16875</v>
      </c>
      <c r="F23" s="272">
        <v>793440</v>
      </c>
      <c r="G23" s="272">
        <f>SUM('- 51 -'!$B23:G23,B23:F23)</f>
        <v>3586335</v>
      </c>
    </row>
    <row r="24" spans="1:7" ht="14.1" customHeight="1" x14ac:dyDescent="0.2">
      <c r="A24" s="15" t="s">
        <v>120</v>
      </c>
      <c r="B24" s="16">
        <v>1244760</v>
      </c>
      <c r="C24" s="16">
        <v>305174</v>
      </c>
      <c r="D24" s="16">
        <v>143395</v>
      </c>
      <c r="E24" s="16">
        <v>81663</v>
      </c>
      <c r="F24" s="16">
        <v>1994715</v>
      </c>
      <c r="G24" s="16">
        <f>SUM('- 51 -'!$B24:G24,B24:F24)</f>
        <v>11990926</v>
      </c>
    </row>
    <row r="25" spans="1:7" ht="14.1" customHeight="1" x14ac:dyDescent="0.2">
      <c r="A25" s="271" t="s">
        <v>121</v>
      </c>
      <c r="B25" s="272">
        <v>5105926</v>
      </c>
      <c r="C25" s="272">
        <v>1221312</v>
      </c>
      <c r="D25" s="272">
        <v>573869</v>
      </c>
      <c r="E25" s="272">
        <v>306750</v>
      </c>
      <c r="F25" s="272">
        <v>6438150</v>
      </c>
      <c r="G25" s="272">
        <f>SUM('- 51 -'!$B25:G25,B25:F25)</f>
        <v>45155106</v>
      </c>
    </row>
    <row r="26" spans="1:7" ht="14.1" customHeight="1" x14ac:dyDescent="0.2">
      <c r="A26" s="15" t="s">
        <v>122</v>
      </c>
      <c r="B26" s="16">
        <v>1044999</v>
      </c>
      <c r="C26" s="16">
        <v>245846</v>
      </c>
      <c r="D26" s="16">
        <v>136252</v>
      </c>
      <c r="E26" s="16">
        <v>63250</v>
      </c>
      <c r="F26" s="16">
        <v>2243520</v>
      </c>
      <c r="G26" s="16">
        <f>SUM('- 51 -'!$B26:G26,B26:F26)</f>
        <v>10619836</v>
      </c>
    </row>
    <row r="27" spans="1:7" ht="14.1" customHeight="1" x14ac:dyDescent="0.2">
      <c r="A27" s="271" t="s">
        <v>123</v>
      </c>
      <c r="B27" s="272">
        <v>1103092</v>
      </c>
      <c r="C27" s="272">
        <v>246029</v>
      </c>
      <c r="D27" s="272">
        <v>151174</v>
      </c>
      <c r="E27" s="272">
        <v>61000</v>
      </c>
      <c r="F27" s="272">
        <v>1276515</v>
      </c>
      <c r="G27" s="272">
        <f>SUM('- 51 -'!$B27:G27,B27:F27)</f>
        <v>9184161</v>
      </c>
    </row>
    <row r="28" spans="1:7" ht="14.1" customHeight="1" x14ac:dyDescent="0.2">
      <c r="A28" s="15" t="s">
        <v>124</v>
      </c>
      <c r="B28" s="16">
        <v>486525</v>
      </c>
      <c r="C28" s="16">
        <v>123438</v>
      </c>
      <c r="D28" s="16">
        <v>68411</v>
      </c>
      <c r="E28" s="16">
        <v>28500</v>
      </c>
      <c r="F28" s="16">
        <v>1270530</v>
      </c>
      <c r="G28" s="16">
        <f>SUM('- 51 -'!$B28:G28,B28:F28)</f>
        <v>5739150</v>
      </c>
    </row>
    <row r="29" spans="1:7" ht="14.1" customHeight="1" x14ac:dyDescent="0.2">
      <c r="A29" s="271" t="s">
        <v>125</v>
      </c>
      <c r="B29" s="272">
        <v>4587083</v>
      </c>
      <c r="C29" s="272">
        <v>1173877</v>
      </c>
      <c r="D29" s="272">
        <v>551581</v>
      </c>
      <c r="E29" s="272">
        <v>303375</v>
      </c>
      <c r="F29" s="272">
        <v>5105205</v>
      </c>
      <c r="G29" s="272">
        <f>SUM('- 51 -'!$B29:G29,B29:F29)</f>
        <v>42043059</v>
      </c>
    </row>
    <row r="30" spans="1:7" ht="14.1" customHeight="1" x14ac:dyDescent="0.2">
      <c r="A30" s="15" t="s">
        <v>126</v>
      </c>
      <c r="B30" s="16">
        <v>338638</v>
      </c>
      <c r="C30" s="16">
        <v>85117</v>
      </c>
      <c r="D30" s="16">
        <v>47173</v>
      </c>
      <c r="E30" s="16">
        <v>18625</v>
      </c>
      <c r="F30" s="16">
        <v>789165</v>
      </c>
      <c r="G30" s="16">
        <f>SUM('- 51 -'!$B30:G30,B30:F30)</f>
        <v>3828432</v>
      </c>
    </row>
    <row r="31" spans="1:7" ht="14.1" customHeight="1" x14ac:dyDescent="0.2">
      <c r="A31" s="271" t="s">
        <v>127</v>
      </c>
      <c r="B31" s="272">
        <v>1049018</v>
      </c>
      <c r="C31" s="272">
        <v>250419</v>
      </c>
      <c r="D31" s="272">
        <v>117667</v>
      </c>
      <c r="E31" s="272">
        <v>65500</v>
      </c>
      <c r="F31" s="272">
        <v>1785240</v>
      </c>
      <c r="G31" s="272">
        <f>SUM('- 51 -'!$B31:G31,B31:F31)</f>
        <v>9931748</v>
      </c>
    </row>
    <row r="32" spans="1:7" ht="14.1" customHeight="1" x14ac:dyDescent="0.2">
      <c r="A32" s="15" t="s">
        <v>128</v>
      </c>
      <c r="B32" s="16">
        <v>735479</v>
      </c>
      <c r="C32" s="16">
        <v>188858</v>
      </c>
      <c r="D32" s="16">
        <v>88741</v>
      </c>
      <c r="E32" s="16">
        <v>36275</v>
      </c>
      <c r="F32" s="16">
        <v>1410750</v>
      </c>
      <c r="G32" s="16">
        <f>SUM('- 51 -'!$B32:G32,B32:F32)</f>
        <v>7980192</v>
      </c>
    </row>
    <row r="33" spans="1:7" ht="14.1" customHeight="1" x14ac:dyDescent="0.2">
      <c r="A33" s="271" t="s">
        <v>129</v>
      </c>
      <c r="B33" s="272">
        <v>624199</v>
      </c>
      <c r="C33" s="272">
        <v>166847</v>
      </c>
      <c r="D33" s="272">
        <v>92469</v>
      </c>
      <c r="E33" s="272">
        <v>34375</v>
      </c>
      <c r="F33" s="272">
        <v>1739925</v>
      </c>
      <c r="G33" s="272">
        <f>SUM('- 51 -'!$B33:G33,B33:F33)</f>
        <v>7794326</v>
      </c>
    </row>
    <row r="34" spans="1:7" ht="14.1" customHeight="1" x14ac:dyDescent="0.2">
      <c r="A34" s="15" t="s">
        <v>130</v>
      </c>
      <c r="B34" s="16">
        <v>709437</v>
      </c>
      <c r="C34" s="16">
        <v>184468</v>
      </c>
      <c r="D34" s="16">
        <v>86678</v>
      </c>
      <c r="E34" s="16">
        <v>47750</v>
      </c>
      <c r="F34" s="16">
        <v>1127745</v>
      </c>
      <c r="G34" s="16">
        <f>SUM('- 51 -'!$B34:G34,B34:F34)</f>
        <v>7513320</v>
      </c>
    </row>
    <row r="35" spans="1:7" ht="14.1" customHeight="1" x14ac:dyDescent="0.2">
      <c r="A35" s="271" t="s">
        <v>131</v>
      </c>
      <c r="B35" s="272">
        <v>5421268</v>
      </c>
      <c r="C35" s="272">
        <v>1332714</v>
      </c>
      <c r="D35" s="272">
        <v>626215</v>
      </c>
      <c r="E35" s="272">
        <v>337500</v>
      </c>
      <c r="F35" s="272">
        <v>6846840</v>
      </c>
      <c r="G35" s="272">
        <f>SUM('- 51 -'!$B35:G35,B35:F35)</f>
        <v>48942147</v>
      </c>
    </row>
    <row r="36" spans="1:7" ht="14.1" customHeight="1" x14ac:dyDescent="0.2">
      <c r="A36" s="15" t="s">
        <v>132</v>
      </c>
      <c r="B36" s="16">
        <v>518424</v>
      </c>
      <c r="C36" s="16">
        <v>134502</v>
      </c>
      <c r="D36" s="16">
        <v>74543</v>
      </c>
      <c r="E36" s="16">
        <v>29500</v>
      </c>
      <c r="F36" s="16">
        <v>1155960</v>
      </c>
      <c r="G36" s="16">
        <f>SUM('- 51 -'!$B36:G36,B36:F36)</f>
        <v>5934039</v>
      </c>
    </row>
    <row r="37" spans="1:7" ht="14.1" customHeight="1" x14ac:dyDescent="0.2">
      <c r="A37" s="271" t="s">
        <v>133</v>
      </c>
      <c r="B37" s="272">
        <v>1414079</v>
      </c>
      <c r="C37" s="272">
        <v>355024</v>
      </c>
      <c r="D37" s="272">
        <v>166819</v>
      </c>
      <c r="E37" s="272">
        <v>78375</v>
      </c>
      <c r="F37" s="272">
        <v>1706580</v>
      </c>
      <c r="G37" s="272">
        <f>SUM('- 51 -'!$B37:G37,B37:F37)</f>
        <v>13350214</v>
      </c>
    </row>
    <row r="38" spans="1:7" ht="14.1" customHeight="1" x14ac:dyDescent="0.2">
      <c r="A38" s="15" t="s">
        <v>134</v>
      </c>
      <c r="B38" s="16">
        <v>3850503</v>
      </c>
      <c r="C38" s="16">
        <v>935053</v>
      </c>
      <c r="D38" s="16">
        <v>439362</v>
      </c>
      <c r="E38" s="16">
        <v>261500</v>
      </c>
      <c r="F38" s="16">
        <v>3740625</v>
      </c>
      <c r="G38" s="16">
        <f>SUM('- 51 -'!$B38:G38,B38:F38)</f>
        <v>33346906</v>
      </c>
    </row>
    <row r="39" spans="1:7" ht="14.1" customHeight="1" x14ac:dyDescent="0.2">
      <c r="A39" s="271" t="s">
        <v>135</v>
      </c>
      <c r="B39" s="272">
        <v>460799</v>
      </c>
      <c r="C39" s="272">
        <v>123313</v>
      </c>
      <c r="D39" s="272">
        <v>68342</v>
      </c>
      <c r="E39" s="272">
        <v>28013</v>
      </c>
      <c r="F39" s="272">
        <v>1028565</v>
      </c>
      <c r="G39" s="272">
        <f>SUM('- 51 -'!$B39:G39,B39:F39)</f>
        <v>5426107</v>
      </c>
    </row>
    <row r="40" spans="1:7" ht="14.1" customHeight="1" x14ac:dyDescent="0.2">
      <c r="A40" s="15" t="s">
        <v>136</v>
      </c>
      <c r="B40" s="16">
        <v>2753512</v>
      </c>
      <c r="C40" s="16">
        <v>665560</v>
      </c>
      <c r="D40" s="16">
        <v>312733</v>
      </c>
      <c r="E40" s="16">
        <v>176500</v>
      </c>
      <c r="F40" s="16">
        <v>4163850</v>
      </c>
      <c r="G40" s="16">
        <f>SUM('- 51 -'!$B40:G40,B40:F40)</f>
        <v>25240407</v>
      </c>
    </row>
    <row r="41" spans="1:7" ht="14.1" customHeight="1" x14ac:dyDescent="0.2">
      <c r="A41" s="271" t="s">
        <v>137</v>
      </c>
      <c r="B41" s="272">
        <v>1449161</v>
      </c>
      <c r="C41" s="272">
        <v>371624</v>
      </c>
      <c r="D41" s="272">
        <v>174619</v>
      </c>
      <c r="E41" s="272">
        <v>79875</v>
      </c>
      <c r="F41" s="272">
        <v>2136645</v>
      </c>
      <c r="G41" s="272">
        <f>SUM('- 51 -'!$B41:G41,B41:F41)</f>
        <v>14269010</v>
      </c>
    </row>
    <row r="42" spans="1:7" ht="14.1" customHeight="1" x14ac:dyDescent="0.2">
      <c r="A42" s="15" t="s">
        <v>138</v>
      </c>
      <c r="B42" s="16">
        <v>457622</v>
      </c>
      <c r="C42" s="16">
        <v>110664</v>
      </c>
      <c r="D42" s="16">
        <v>67998</v>
      </c>
      <c r="E42" s="16">
        <v>27375</v>
      </c>
      <c r="F42" s="16">
        <v>879795</v>
      </c>
      <c r="G42" s="16">
        <f>SUM('- 51 -'!$B42:G42,B42:F42)</f>
        <v>4655833</v>
      </c>
    </row>
    <row r="43" spans="1:7" ht="14.1" customHeight="1" x14ac:dyDescent="0.2">
      <c r="A43" s="271" t="s">
        <v>139</v>
      </c>
      <c r="B43" s="272">
        <v>314541</v>
      </c>
      <c r="C43" s="272">
        <v>83208</v>
      </c>
      <c r="D43" s="272">
        <v>46115</v>
      </c>
      <c r="E43" s="272">
        <v>19125</v>
      </c>
      <c r="F43" s="272">
        <v>583110</v>
      </c>
      <c r="G43" s="272">
        <f>SUM('- 51 -'!$B43:G43,B43:F43)</f>
        <v>3480567</v>
      </c>
    </row>
    <row r="44" spans="1:7" ht="14.1" customHeight="1" x14ac:dyDescent="0.2">
      <c r="A44" s="15" t="s">
        <v>140</v>
      </c>
      <c r="B44" s="16">
        <v>285846</v>
      </c>
      <c r="C44" s="16">
        <v>57121</v>
      </c>
      <c r="D44" s="16">
        <v>31657</v>
      </c>
      <c r="E44" s="16">
        <v>11375</v>
      </c>
      <c r="F44" s="16">
        <v>598500</v>
      </c>
      <c r="G44" s="16">
        <f>SUM('- 51 -'!$B44:G44,B44:F44)</f>
        <v>2770221</v>
      </c>
    </row>
    <row r="45" spans="1:7" ht="14.1" customHeight="1" x14ac:dyDescent="0.2">
      <c r="A45" s="271" t="s">
        <v>141</v>
      </c>
      <c r="B45" s="272">
        <v>608396</v>
      </c>
      <c r="C45" s="272">
        <v>159227</v>
      </c>
      <c r="D45" s="272">
        <v>88246</v>
      </c>
      <c r="E45" s="272">
        <v>35900</v>
      </c>
      <c r="F45" s="272">
        <v>602775</v>
      </c>
      <c r="G45" s="272">
        <f>SUM('- 51 -'!$B45:G45,B45:F45)</f>
        <v>5601839</v>
      </c>
    </row>
    <row r="46" spans="1:7" ht="14.1" customHeight="1" x14ac:dyDescent="0.2">
      <c r="A46" s="15" t="s">
        <v>142</v>
      </c>
      <c r="B46" s="16">
        <v>16111977</v>
      </c>
      <c r="C46" s="16">
        <v>2429684</v>
      </c>
      <c r="D46" s="16">
        <v>1141659</v>
      </c>
      <c r="E46" s="16">
        <v>732000</v>
      </c>
      <c r="F46" s="16">
        <v>14206680</v>
      </c>
      <c r="G46" s="16">
        <f>SUM('- 51 -'!$B46:G46,B46:F46)</f>
        <v>97296136</v>
      </c>
    </row>
    <row r="47" spans="1:7" ht="5.0999999999999996" customHeight="1" x14ac:dyDescent="0.2">
      <c r="A47"/>
      <c r="B47"/>
      <c r="C47"/>
      <c r="D47"/>
      <c r="E47"/>
      <c r="F47"/>
      <c r="G47"/>
    </row>
    <row r="48" spans="1:7" ht="14.1" customHeight="1" x14ac:dyDescent="0.2">
      <c r="A48" s="274" t="s">
        <v>143</v>
      </c>
      <c r="B48" s="275">
        <f t="shared" ref="B48:G48" si="0">SUM(B11:B46)</f>
        <v>64959726</v>
      </c>
      <c r="C48" s="275">
        <f t="shared" si="0"/>
        <v>14397862</v>
      </c>
      <c r="D48" s="275">
        <f t="shared" si="0"/>
        <v>7079822</v>
      </c>
      <c r="E48" s="275">
        <f t="shared" si="0"/>
        <v>3664476</v>
      </c>
      <c r="F48" s="275">
        <f t="shared" si="0"/>
        <v>85267465</v>
      </c>
      <c r="G48" s="275">
        <f t="shared" si="0"/>
        <v>558320929</v>
      </c>
    </row>
    <row r="49" spans="1:11" ht="5.0999999999999996" customHeight="1" x14ac:dyDescent="0.2">
      <c r="A49" s="17" t="s">
        <v>1</v>
      </c>
      <c r="B49" s="18"/>
      <c r="C49" s="18"/>
      <c r="D49" s="18"/>
      <c r="E49" s="18"/>
      <c r="F49" s="18"/>
      <c r="G49" s="18"/>
    </row>
    <row r="50" spans="1:11" ht="14.45" customHeight="1" x14ac:dyDescent="0.2">
      <c r="A50" s="15" t="s">
        <v>144</v>
      </c>
      <c r="B50" s="16">
        <v>57040</v>
      </c>
      <c r="C50" s="16">
        <v>15272</v>
      </c>
      <c r="D50" s="16">
        <v>8464</v>
      </c>
      <c r="E50" s="16">
        <v>4500</v>
      </c>
      <c r="F50" s="16">
        <v>229995</v>
      </c>
      <c r="G50" s="16">
        <f>SUM('- 51 -'!$B50:G50,B50:F50)</f>
        <v>604647</v>
      </c>
    </row>
    <row r="51" spans="1:11" ht="14.1" customHeight="1" x14ac:dyDescent="0.2">
      <c r="A51" s="360" t="s">
        <v>513</v>
      </c>
      <c r="B51" s="272">
        <v>0</v>
      </c>
      <c r="C51" s="272">
        <v>0</v>
      </c>
      <c r="D51" s="272">
        <v>0</v>
      </c>
      <c r="E51" s="272">
        <v>0</v>
      </c>
      <c r="F51" s="272">
        <v>0</v>
      </c>
      <c r="G51" s="272">
        <f>SUM('- 51 -'!$B51:G51,B51:F51)</f>
        <v>0</v>
      </c>
      <c r="H51" s="1">
        <v>0</v>
      </c>
    </row>
    <row r="52" spans="1:11" ht="50.1" customHeight="1" x14ac:dyDescent="0.2">
      <c r="A52" s="164"/>
      <c r="B52" s="164"/>
      <c r="C52" s="164"/>
      <c r="D52" s="164"/>
      <c r="E52" s="164"/>
      <c r="F52" s="164"/>
      <c r="G52" s="521"/>
      <c r="H52"/>
      <c r="I52"/>
      <c r="J52"/>
      <c r="K52"/>
    </row>
    <row r="53" spans="1:11" ht="15" customHeight="1" x14ac:dyDescent="0.2">
      <c r="A53" s="141" t="s">
        <v>568</v>
      </c>
      <c r="B53" s="141"/>
      <c r="C53" s="523"/>
      <c r="D53" s="141"/>
      <c r="E53" s="141"/>
      <c r="F53" s="141"/>
      <c r="G53" s="524"/>
      <c r="H53" s="428"/>
      <c r="I53" s="428"/>
      <c r="J53" s="428"/>
      <c r="K53" s="428"/>
    </row>
    <row r="54" spans="1:11" ht="14.45" customHeight="1" x14ac:dyDescent="0.2">
      <c r="A54" s="522"/>
      <c r="B54" s="522"/>
      <c r="C54" s="522"/>
      <c r="D54" s="522"/>
      <c r="E54" s="522"/>
      <c r="F54" s="522"/>
      <c r="G54" s="522"/>
      <c r="H54" s="428"/>
      <c r="I54" s="428"/>
      <c r="J54" s="428"/>
      <c r="K54" s="428"/>
    </row>
    <row r="55" spans="1:11" ht="14.45" customHeight="1" x14ac:dyDescent="0.2">
      <c r="A55" s="31"/>
      <c r="B55" s="31"/>
      <c r="D55" s="31"/>
      <c r="E55" s="31"/>
      <c r="F55" s="31"/>
      <c r="G55" s="31"/>
    </row>
    <row r="56" spans="1:11" ht="14.45" customHeight="1" x14ac:dyDescent="0.2">
      <c r="D56" s="90"/>
      <c r="E56" s="90"/>
      <c r="F56" s="90"/>
      <c r="G56" s="90"/>
    </row>
    <row r="57" spans="1:11" ht="14.45" customHeight="1" x14ac:dyDescent="0.2"/>
    <row r="58" spans="1:11" ht="14.45" customHeight="1" x14ac:dyDescent="0.2"/>
    <row r="59" spans="1:11" ht="14.45" customHeight="1" x14ac:dyDescent="0.2"/>
  </sheetData>
  <mergeCells count="8">
    <mergeCell ref="B4:G4"/>
    <mergeCell ref="B5:G5"/>
    <mergeCell ref="B6:G6"/>
    <mergeCell ref="B8:B9"/>
    <mergeCell ref="C8:C9"/>
    <mergeCell ref="D8:D9"/>
    <mergeCell ref="E8:E9"/>
    <mergeCell ref="G7: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8"/>
  <sheetViews>
    <sheetView showGridLines="0" showZeros="0" workbookViewId="0"/>
  </sheetViews>
  <sheetFormatPr defaultColWidth="19.83203125" defaultRowHeight="12" x14ac:dyDescent="0.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2020/2021 BUDGET</v>
      </c>
      <c r="C2" s="230"/>
      <c r="D2" s="232"/>
      <c r="E2" s="232"/>
      <c r="F2" s="185" t="s">
        <v>94</v>
      </c>
    </row>
    <row r="3" spans="1:6" ht="15.95" customHeight="1" x14ac:dyDescent="0.2">
      <c r="A3" s="180"/>
      <c r="B3" s="180"/>
      <c r="C3" s="3"/>
      <c r="D3" s="3"/>
      <c r="E3" s="3"/>
      <c r="F3" s="3"/>
    </row>
    <row r="4" spans="1:6" ht="15.95" customHeight="1" x14ac:dyDescent="0.2">
      <c r="B4" s="771" t="s">
        <v>34</v>
      </c>
      <c r="C4" s="772"/>
      <c r="D4" s="772"/>
      <c r="E4" s="772"/>
      <c r="F4" s="773"/>
    </row>
    <row r="5" spans="1:6" ht="15.95" customHeight="1" x14ac:dyDescent="0.2">
      <c r="B5" s="774" t="s">
        <v>105</v>
      </c>
      <c r="C5" s="775"/>
      <c r="D5" s="775"/>
      <c r="E5" s="775"/>
      <c r="F5" s="776"/>
    </row>
    <row r="6" spans="1:6" ht="15.95" customHeight="1" x14ac:dyDescent="0.2">
      <c r="B6" s="781" t="s">
        <v>47</v>
      </c>
      <c r="C6" s="782"/>
      <c r="D6" s="782"/>
      <c r="E6" s="782"/>
      <c r="F6" s="783"/>
    </row>
    <row r="7" spans="1:6" ht="15.95" customHeight="1" x14ac:dyDescent="0.2">
      <c r="B7" s="186"/>
      <c r="C7" s="186"/>
      <c r="D7" s="704" t="s">
        <v>488</v>
      </c>
      <c r="E7" s="704" t="s">
        <v>415</v>
      </c>
      <c r="F7" s="704" t="s">
        <v>575</v>
      </c>
    </row>
    <row r="8" spans="1:6" ht="15.95" customHeight="1" x14ac:dyDescent="0.2">
      <c r="A8" s="82"/>
      <c r="B8" s="777" t="s">
        <v>486</v>
      </c>
      <c r="C8" s="779" t="s">
        <v>487</v>
      </c>
      <c r="D8" s="779"/>
      <c r="E8" s="779"/>
      <c r="F8" s="779"/>
    </row>
    <row r="9" spans="1:6" ht="15.95" customHeight="1" x14ac:dyDescent="0.2">
      <c r="A9" s="27" t="s">
        <v>37</v>
      </c>
      <c r="B9" s="778"/>
      <c r="C9" s="780"/>
      <c r="D9" s="780"/>
      <c r="E9" s="780"/>
      <c r="F9" s="780"/>
    </row>
    <row r="10" spans="1:6" ht="5.0999999999999996" customHeight="1" x14ac:dyDescent="0.2">
      <c r="A10" s="29"/>
      <c r="B10" s="3"/>
      <c r="C10" s="3"/>
      <c r="D10" s="3"/>
      <c r="E10" s="3"/>
    </row>
    <row r="11" spans="1:6" ht="14.1" customHeight="1" x14ac:dyDescent="0.2">
      <c r="A11" s="271" t="s">
        <v>108</v>
      </c>
      <c r="B11" s="272">
        <v>665595</v>
      </c>
      <c r="C11" s="272">
        <v>809137</v>
      </c>
      <c r="D11" s="272">
        <v>59840</v>
      </c>
      <c r="E11" s="272">
        <v>325000</v>
      </c>
      <c r="F11" s="272">
        <v>36000</v>
      </c>
    </row>
    <row r="12" spans="1:6" ht="14.1" customHeight="1" x14ac:dyDescent="0.2">
      <c r="A12" s="15" t="s">
        <v>109</v>
      </c>
      <c r="B12" s="16">
        <v>1260547</v>
      </c>
      <c r="C12" s="16">
        <v>1129601</v>
      </c>
      <c r="D12" s="16">
        <v>148280</v>
      </c>
      <c r="E12" s="16">
        <v>197075</v>
      </c>
      <c r="F12" s="16">
        <v>54000</v>
      </c>
    </row>
    <row r="13" spans="1:6" ht="14.1" customHeight="1" x14ac:dyDescent="0.2">
      <c r="A13" s="271" t="s">
        <v>110</v>
      </c>
      <c r="B13" s="272">
        <v>1143800</v>
      </c>
      <c r="C13" s="272">
        <v>3294100</v>
      </c>
      <c r="D13" s="272">
        <v>586500</v>
      </c>
      <c r="E13" s="272">
        <v>767800</v>
      </c>
      <c r="F13" s="272">
        <v>371000</v>
      </c>
    </row>
    <row r="14" spans="1:6" ht="14.1" customHeight="1" x14ac:dyDescent="0.2">
      <c r="A14" s="15" t="s">
        <v>319</v>
      </c>
      <c r="B14" s="16">
        <v>3510098</v>
      </c>
      <c r="C14" s="16">
        <v>1199171</v>
      </c>
      <c r="D14" s="16">
        <v>142450</v>
      </c>
      <c r="E14" s="16">
        <v>169425</v>
      </c>
      <c r="F14" s="16">
        <v>530000</v>
      </c>
    </row>
    <row r="15" spans="1:6" ht="14.1" customHeight="1" x14ac:dyDescent="0.2">
      <c r="A15" s="271" t="s">
        <v>111</v>
      </c>
      <c r="B15" s="272">
        <v>842628</v>
      </c>
      <c r="C15" s="272">
        <v>835196</v>
      </c>
      <c r="D15" s="272">
        <v>61958</v>
      </c>
      <c r="E15" s="272">
        <v>21350</v>
      </c>
      <c r="F15" s="272">
        <v>128000</v>
      </c>
    </row>
    <row r="16" spans="1:6" ht="14.1" customHeight="1" x14ac:dyDescent="0.2">
      <c r="A16" s="15" t="s">
        <v>112</v>
      </c>
      <c r="B16" s="16">
        <v>104005</v>
      </c>
      <c r="C16" s="16">
        <v>471451</v>
      </c>
      <c r="D16" s="16">
        <v>28986</v>
      </c>
      <c r="E16" s="16">
        <v>750</v>
      </c>
      <c r="F16" s="16">
        <v>81500</v>
      </c>
    </row>
    <row r="17" spans="1:6" ht="14.1" customHeight="1" x14ac:dyDescent="0.2">
      <c r="A17" s="271" t="s">
        <v>113</v>
      </c>
      <c r="B17" s="272">
        <v>886353</v>
      </c>
      <c r="C17" s="272">
        <v>591836</v>
      </c>
      <c r="D17" s="272">
        <v>61985</v>
      </c>
      <c r="E17" s="272">
        <v>21600</v>
      </c>
      <c r="F17" s="272">
        <v>18000</v>
      </c>
    </row>
    <row r="18" spans="1:6" ht="14.1" customHeight="1" x14ac:dyDescent="0.2">
      <c r="A18" s="15" t="s">
        <v>114</v>
      </c>
      <c r="B18" s="16">
        <v>1376590</v>
      </c>
      <c r="C18" s="16">
        <v>1823329</v>
      </c>
      <c r="D18" s="16">
        <v>99715</v>
      </c>
      <c r="E18" s="16">
        <v>3000</v>
      </c>
      <c r="F18" s="16">
        <v>851750</v>
      </c>
    </row>
    <row r="19" spans="1:6" ht="14.1" customHeight="1" x14ac:dyDescent="0.2">
      <c r="A19" s="271" t="s">
        <v>115</v>
      </c>
      <c r="B19" s="272">
        <v>1549875</v>
      </c>
      <c r="C19" s="272">
        <v>1941458</v>
      </c>
      <c r="D19" s="272">
        <v>268675</v>
      </c>
      <c r="E19" s="272">
        <v>536900</v>
      </c>
      <c r="F19" s="272">
        <v>27000</v>
      </c>
    </row>
    <row r="20" spans="1:6" ht="14.1" customHeight="1" x14ac:dyDescent="0.2">
      <c r="A20" s="15" t="s">
        <v>116</v>
      </c>
      <c r="B20" s="16">
        <v>2665974</v>
      </c>
      <c r="C20" s="16">
        <v>3461899</v>
      </c>
      <c r="D20" s="16">
        <v>598675</v>
      </c>
      <c r="E20" s="16">
        <v>515850</v>
      </c>
      <c r="F20" s="16">
        <v>171000</v>
      </c>
    </row>
    <row r="21" spans="1:6" ht="14.1" customHeight="1" x14ac:dyDescent="0.2">
      <c r="A21" s="271" t="s">
        <v>117</v>
      </c>
      <c r="B21" s="272">
        <v>1154483</v>
      </c>
      <c r="C21" s="272">
        <v>1333682</v>
      </c>
      <c r="D21" s="272">
        <v>81318</v>
      </c>
      <c r="E21" s="272">
        <v>49250</v>
      </c>
      <c r="F21" s="272">
        <v>135000</v>
      </c>
    </row>
    <row r="22" spans="1:6" ht="14.1" customHeight="1" x14ac:dyDescent="0.2">
      <c r="A22" s="15" t="s">
        <v>118</v>
      </c>
      <c r="B22" s="16">
        <v>278966</v>
      </c>
      <c r="C22" s="16">
        <v>944844</v>
      </c>
      <c r="D22" s="16">
        <v>13805</v>
      </c>
      <c r="E22" s="16">
        <v>13600</v>
      </c>
      <c r="F22" s="16">
        <v>171000</v>
      </c>
    </row>
    <row r="23" spans="1:6" ht="14.1" customHeight="1" x14ac:dyDescent="0.2">
      <c r="A23" s="271" t="s">
        <v>119</v>
      </c>
      <c r="B23" s="272">
        <v>906909</v>
      </c>
      <c r="C23" s="272">
        <v>646708</v>
      </c>
      <c r="D23" s="272">
        <v>40755</v>
      </c>
      <c r="E23" s="272">
        <v>12850</v>
      </c>
      <c r="F23" s="272">
        <v>99000</v>
      </c>
    </row>
    <row r="24" spans="1:6" ht="14.1" customHeight="1" x14ac:dyDescent="0.2">
      <c r="A24" s="15" t="s">
        <v>120</v>
      </c>
      <c r="B24" s="16">
        <v>1605632</v>
      </c>
      <c r="C24" s="16">
        <v>1993850</v>
      </c>
      <c r="D24" s="16">
        <v>279400</v>
      </c>
      <c r="E24" s="16">
        <v>78225</v>
      </c>
      <c r="F24" s="16">
        <v>356500</v>
      </c>
    </row>
    <row r="25" spans="1:6" ht="14.1" customHeight="1" x14ac:dyDescent="0.2">
      <c r="A25" s="271" t="s">
        <v>121</v>
      </c>
      <c r="B25" s="272">
        <v>1283106</v>
      </c>
      <c r="C25" s="272">
        <v>8621728</v>
      </c>
      <c r="D25" s="272">
        <v>697346</v>
      </c>
      <c r="E25" s="272">
        <v>1308575</v>
      </c>
      <c r="F25" s="272">
        <v>803000</v>
      </c>
    </row>
    <row r="26" spans="1:6" ht="14.1" customHeight="1" x14ac:dyDescent="0.2">
      <c r="A26" s="15" t="s">
        <v>122</v>
      </c>
      <c r="B26" s="16">
        <v>1543975</v>
      </c>
      <c r="C26" s="16">
        <v>1157087</v>
      </c>
      <c r="D26" s="16">
        <v>196735</v>
      </c>
      <c r="E26" s="16">
        <v>32875</v>
      </c>
      <c r="F26" s="16">
        <v>245000</v>
      </c>
    </row>
    <row r="27" spans="1:6" ht="14.1" customHeight="1" x14ac:dyDescent="0.2">
      <c r="A27" s="271" t="s">
        <v>123</v>
      </c>
      <c r="B27" s="272">
        <v>73351</v>
      </c>
      <c r="C27" s="272">
        <v>1971901</v>
      </c>
      <c r="D27" s="272">
        <v>174405</v>
      </c>
      <c r="E27" s="272">
        <v>83050</v>
      </c>
      <c r="F27" s="272">
        <v>280500</v>
      </c>
    </row>
    <row r="28" spans="1:6" ht="14.1" customHeight="1" x14ac:dyDescent="0.2">
      <c r="A28" s="15" t="s">
        <v>124</v>
      </c>
      <c r="B28" s="16">
        <v>1155370</v>
      </c>
      <c r="C28" s="16">
        <v>595556</v>
      </c>
      <c r="D28" s="16">
        <v>66660</v>
      </c>
      <c r="E28" s="16">
        <v>44400</v>
      </c>
      <c r="F28" s="16">
        <v>90500</v>
      </c>
    </row>
    <row r="29" spans="1:6" ht="14.1" customHeight="1" x14ac:dyDescent="0.2">
      <c r="A29" s="271" t="s">
        <v>125</v>
      </c>
      <c r="B29" s="272">
        <v>1235211</v>
      </c>
      <c r="C29" s="272">
        <v>7041611</v>
      </c>
      <c r="D29" s="272">
        <v>270710</v>
      </c>
      <c r="E29" s="272">
        <v>2311525</v>
      </c>
      <c r="F29" s="272">
        <v>333000</v>
      </c>
    </row>
    <row r="30" spans="1:6" ht="14.1" customHeight="1" x14ac:dyDescent="0.2">
      <c r="A30" s="15" t="s">
        <v>126</v>
      </c>
      <c r="B30" s="16">
        <v>671658</v>
      </c>
      <c r="C30" s="16">
        <v>574189</v>
      </c>
      <c r="D30" s="16">
        <v>42680</v>
      </c>
      <c r="E30" s="16">
        <v>65000</v>
      </c>
      <c r="F30" s="16">
        <v>47000</v>
      </c>
    </row>
    <row r="31" spans="1:6" ht="14.1" customHeight="1" x14ac:dyDescent="0.2">
      <c r="A31" s="271" t="s">
        <v>127</v>
      </c>
      <c r="B31" s="272">
        <v>798878</v>
      </c>
      <c r="C31" s="272">
        <v>1819697</v>
      </c>
      <c r="D31" s="272">
        <v>138490</v>
      </c>
      <c r="E31" s="272">
        <v>137775</v>
      </c>
      <c r="F31" s="272">
        <v>245000</v>
      </c>
    </row>
    <row r="32" spans="1:6" ht="14.1" customHeight="1" x14ac:dyDescent="0.2">
      <c r="A32" s="15" t="s">
        <v>128</v>
      </c>
      <c r="B32" s="16">
        <v>1351596</v>
      </c>
      <c r="C32" s="16">
        <v>920863</v>
      </c>
      <c r="D32" s="16">
        <v>53158</v>
      </c>
      <c r="E32" s="16">
        <v>158550</v>
      </c>
      <c r="F32" s="16">
        <v>99000</v>
      </c>
    </row>
    <row r="33" spans="1:6" ht="14.1" customHeight="1" x14ac:dyDescent="0.2">
      <c r="A33" s="271" t="s">
        <v>129</v>
      </c>
      <c r="B33" s="272">
        <v>1407392</v>
      </c>
      <c r="C33" s="272">
        <v>859182</v>
      </c>
      <c r="D33" s="272">
        <v>62508</v>
      </c>
      <c r="E33" s="272">
        <v>120625</v>
      </c>
      <c r="F33" s="272">
        <v>36000</v>
      </c>
    </row>
    <row r="34" spans="1:6" ht="14.1" customHeight="1" x14ac:dyDescent="0.2">
      <c r="A34" s="15" t="s">
        <v>130</v>
      </c>
      <c r="B34" s="16">
        <v>1474629</v>
      </c>
      <c r="C34" s="16">
        <v>1296014</v>
      </c>
      <c r="D34" s="16">
        <v>85745</v>
      </c>
      <c r="E34" s="16">
        <v>83675</v>
      </c>
      <c r="F34" s="16">
        <v>108000</v>
      </c>
    </row>
    <row r="35" spans="1:6" ht="14.1" customHeight="1" x14ac:dyDescent="0.2">
      <c r="A35" s="271" t="s">
        <v>131</v>
      </c>
      <c r="B35" s="272">
        <v>1925975</v>
      </c>
      <c r="C35" s="272">
        <v>9443861</v>
      </c>
      <c r="D35" s="272">
        <v>817218</v>
      </c>
      <c r="E35" s="272">
        <v>1064325</v>
      </c>
      <c r="F35" s="272">
        <v>864000</v>
      </c>
    </row>
    <row r="36" spans="1:6" ht="14.1" customHeight="1" x14ac:dyDescent="0.2">
      <c r="A36" s="15" t="s">
        <v>132</v>
      </c>
      <c r="B36" s="16">
        <v>890657</v>
      </c>
      <c r="C36" s="16">
        <v>594674</v>
      </c>
      <c r="D36" s="16">
        <v>22055</v>
      </c>
      <c r="E36" s="16">
        <v>33500</v>
      </c>
      <c r="F36" s="16">
        <v>74000</v>
      </c>
    </row>
    <row r="37" spans="1:6" ht="14.1" customHeight="1" x14ac:dyDescent="0.2">
      <c r="A37" s="271" t="s">
        <v>133</v>
      </c>
      <c r="B37" s="272">
        <v>1734022</v>
      </c>
      <c r="C37" s="272">
        <v>2604293</v>
      </c>
      <c r="D37" s="272">
        <v>155843</v>
      </c>
      <c r="E37" s="272">
        <v>140250</v>
      </c>
      <c r="F37" s="272">
        <v>396000</v>
      </c>
    </row>
    <row r="38" spans="1:6" ht="14.1" customHeight="1" x14ac:dyDescent="0.2">
      <c r="A38" s="15" t="s">
        <v>134</v>
      </c>
      <c r="B38" s="16">
        <v>1111438</v>
      </c>
      <c r="C38" s="16">
        <v>6290743</v>
      </c>
      <c r="D38" s="16">
        <v>498301</v>
      </c>
      <c r="E38" s="16">
        <v>761525</v>
      </c>
      <c r="F38" s="16">
        <v>372600</v>
      </c>
    </row>
    <row r="39" spans="1:6" ht="14.1" customHeight="1" x14ac:dyDescent="0.2">
      <c r="A39" s="271" t="s">
        <v>135</v>
      </c>
      <c r="B39" s="272">
        <v>1034421</v>
      </c>
      <c r="C39" s="272">
        <v>589306</v>
      </c>
      <c r="D39" s="272">
        <v>34925</v>
      </c>
      <c r="E39" s="272">
        <v>55700</v>
      </c>
      <c r="F39" s="272">
        <v>36000</v>
      </c>
    </row>
    <row r="40" spans="1:6" ht="14.1" customHeight="1" x14ac:dyDescent="0.2">
      <c r="A40" s="15" t="s">
        <v>136</v>
      </c>
      <c r="B40" s="16">
        <v>724266</v>
      </c>
      <c r="C40" s="16">
        <v>4755995</v>
      </c>
      <c r="D40" s="16">
        <v>550935</v>
      </c>
      <c r="E40" s="16">
        <v>519450</v>
      </c>
      <c r="F40" s="16">
        <v>370000</v>
      </c>
    </row>
    <row r="41" spans="1:6" ht="14.1" customHeight="1" x14ac:dyDescent="0.2">
      <c r="A41" s="271" t="s">
        <v>137</v>
      </c>
      <c r="B41" s="272">
        <v>2854948</v>
      </c>
      <c r="C41" s="272">
        <v>2597745</v>
      </c>
      <c r="D41" s="272">
        <v>171325</v>
      </c>
      <c r="E41" s="272">
        <v>113275</v>
      </c>
      <c r="F41" s="272">
        <v>254500</v>
      </c>
    </row>
    <row r="42" spans="1:6" ht="14.1" customHeight="1" x14ac:dyDescent="0.2">
      <c r="A42" s="15" t="s">
        <v>138</v>
      </c>
      <c r="B42" s="16">
        <v>1004392</v>
      </c>
      <c r="C42" s="16">
        <v>720779</v>
      </c>
      <c r="D42" s="16">
        <v>181720</v>
      </c>
      <c r="E42" s="16">
        <v>2250</v>
      </c>
      <c r="F42" s="16">
        <v>146000</v>
      </c>
    </row>
    <row r="43" spans="1:6" ht="14.1" customHeight="1" x14ac:dyDescent="0.2">
      <c r="A43" s="271" t="s">
        <v>139</v>
      </c>
      <c r="B43" s="272">
        <v>559899</v>
      </c>
      <c r="C43" s="272">
        <v>382561</v>
      </c>
      <c r="D43" s="272">
        <v>20075</v>
      </c>
      <c r="E43" s="272">
        <v>67450</v>
      </c>
      <c r="F43" s="272">
        <v>27000</v>
      </c>
    </row>
    <row r="44" spans="1:6" ht="14.1" customHeight="1" x14ac:dyDescent="0.2">
      <c r="A44" s="15" t="s">
        <v>140</v>
      </c>
      <c r="B44" s="16">
        <v>749459</v>
      </c>
      <c r="C44" s="16">
        <v>421734</v>
      </c>
      <c r="D44" s="16">
        <v>20515</v>
      </c>
      <c r="E44" s="16">
        <v>12250</v>
      </c>
      <c r="F44" s="16">
        <v>99000</v>
      </c>
    </row>
    <row r="45" spans="1:6" ht="14.1" customHeight="1" x14ac:dyDescent="0.2">
      <c r="A45" s="271" t="s">
        <v>141</v>
      </c>
      <c r="B45" s="272">
        <v>525243</v>
      </c>
      <c r="C45" s="272">
        <v>633272</v>
      </c>
      <c r="D45" s="272">
        <v>76230</v>
      </c>
      <c r="E45" s="272">
        <v>266700</v>
      </c>
      <c r="F45" s="272">
        <v>27000</v>
      </c>
    </row>
    <row r="46" spans="1:6" ht="14.1" customHeight="1" x14ac:dyDescent="0.2">
      <c r="A46" s="15" t="s">
        <v>142</v>
      </c>
      <c r="B46" s="16">
        <v>1409316</v>
      </c>
      <c r="C46" s="16">
        <v>16530536</v>
      </c>
      <c r="D46" s="16">
        <v>1545913</v>
      </c>
      <c r="E46" s="16">
        <v>2183565</v>
      </c>
      <c r="F46" s="16">
        <v>2379400</v>
      </c>
    </row>
    <row r="47" spans="1:6" ht="5.0999999999999996" customHeight="1" x14ac:dyDescent="0.2">
      <c r="A47"/>
      <c r="B47"/>
      <c r="C47"/>
      <c r="D47"/>
      <c r="E47"/>
      <c r="F47"/>
    </row>
    <row r="48" spans="1:6" ht="14.1" customHeight="1" x14ac:dyDescent="0.2">
      <c r="A48" s="274" t="s">
        <v>143</v>
      </c>
      <c r="B48" s="275">
        <f>SUM(B11:B46)</f>
        <v>43470657</v>
      </c>
      <c r="C48" s="275">
        <f>SUM(C11:C46)</f>
        <v>90899589</v>
      </c>
      <c r="D48" s="275">
        <f>SUM(D11:D46)</f>
        <v>8355834</v>
      </c>
      <c r="E48" s="275">
        <f>SUM(E11:E46)</f>
        <v>12278965</v>
      </c>
      <c r="F48" s="275">
        <f>SUM(F11:F46)</f>
        <v>10362250</v>
      </c>
    </row>
    <row r="49" spans="1:6" ht="5.0999999999999996" customHeight="1" x14ac:dyDescent="0.2">
      <c r="A49" s="17" t="s">
        <v>1</v>
      </c>
      <c r="B49" s="18"/>
      <c r="C49" s="18"/>
      <c r="D49" s="18"/>
      <c r="E49" s="18"/>
      <c r="F49" s="18"/>
    </row>
    <row r="50" spans="1:6" ht="14.45" customHeight="1" x14ac:dyDescent="0.2">
      <c r="A50" s="15" t="s">
        <v>144</v>
      </c>
      <c r="B50" s="16">
        <v>1355</v>
      </c>
      <c r="C50" s="16">
        <v>88976</v>
      </c>
      <c r="D50" s="16">
        <v>3740</v>
      </c>
      <c r="E50" s="16">
        <v>0</v>
      </c>
      <c r="F50" s="16">
        <v>0</v>
      </c>
    </row>
    <row r="51" spans="1:6" ht="14.1" customHeight="1" x14ac:dyDescent="0.2">
      <c r="A51" s="360" t="s">
        <v>513</v>
      </c>
      <c r="B51" s="272">
        <v>0</v>
      </c>
      <c r="C51" s="272">
        <v>0</v>
      </c>
      <c r="D51" s="272">
        <v>0</v>
      </c>
      <c r="E51" s="272">
        <v>0</v>
      </c>
      <c r="F51" s="272">
        <v>0</v>
      </c>
    </row>
    <row r="52" spans="1:6" ht="50.1" customHeight="1" x14ac:dyDescent="0.2">
      <c r="A52" s="19"/>
      <c r="B52" s="19"/>
      <c r="C52" s="19"/>
      <c r="D52" s="19"/>
      <c r="E52" s="19"/>
      <c r="F52" s="19"/>
    </row>
    <row r="53" spans="1:6" ht="15" customHeight="1" x14ac:dyDescent="0.2">
      <c r="A53" s="31" t="s">
        <v>322</v>
      </c>
      <c r="B53" s="211"/>
      <c r="C53" s="31"/>
      <c r="D53" s="31"/>
      <c r="E53" s="31"/>
      <c r="F53" s="31"/>
    </row>
    <row r="54" spans="1:6" ht="12" customHeight="1" x14ac:dyDescent="0.2">
      <c r="A54" s="784" t="str">
        <f>"(2)  Includes support for coordinators, clinicians and Level 2 and 3 pupils. Note: total special needs support is"&amp;" $"&amp;TEXT(C48+'- 52 -'!B48,"000,000")&amp; " (Student Services, 
       page 52 and Special Needs)."</f>
        <v>(2)  Includes support for coordinators, clinicians and Level 2 and 3 pupils. Note: total special needs support is $155,859,315 (Student Services, 
       page 52 and Special Needs).</v>
      </c>
      <c r="B54" s="784"/>
      <c r="C54" s="784"/>
      <c r="D54" s="784"/>
      <c r="E54" s="784"/>
      <c r="F54" s="784"/>
    </row>
    <row r="55" spans="1:6" ht="12" customHeight="1" x14ac:dyDescent="0.2">
      <c r="A55" s="784"/>
      <c r="B55" s="784"/>
      <c r="C55" s="784"/>
      <c r="D55" s="784"/>
      <c r="E55" s="784"/>
      <c r="F55" s="784"/>
    </row>
    <row r="56" spans="1:6" ht="14.45" customHeight="1" x14ac:dyDescent="0.2">
      <c r="A56" s="233"/>
      <c r="B56" s="31"/>
      <c r="C56" s="234"/>
      <c r="D56" s="31"/>
      <c r="E56" s="31"/>
      <c r="F56" s="31"/>
    </row>
    <row r="57" spans="1:6" ht="14.45" customHeight="1" x14ac:dyDescent="0.2">
      <c r="A57" s="31"/>
    </row>
    <row r="58" spans="1:6" ht="14.45" customHeight="1" x14ac:dyDescent="0.2"/>
  </sheetData>
  <mergeCells count="9">
    <mergeCell ref="A54:F55"/>
    <mergeCell ref="B4:F4"/>
    <mergeCell ref="B5:F5"/>
    <mergeCell ref="B6:F6"/>
    <mergeCell ref="B8:B9"/>
    <mergeCell ref="C8:C9"/>
    <mergeCell ref="D7: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9"/>
  <sheetViews>
    <sheetView showGridLines="0" showZeros="0" workbookViewId="0"/>
  </sheetViews>
  <sheetFormatPr defaultColWidth="19.83203125" defaultRowHeight="12" x14ac:dyDescent="0.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2020/2021 BUDGET</v>
      </c>
      <c r="C2" s="230"/>
      <c r="D2" s="230"/>
      <c r="E2" s="230"/>
      <c r="F2" s="185" t="s">
        <v>95</v>
      </c>
    </row>
    <row r="3" spans="1:6" ht="15.95" customHeight="1" x14ac:dyDescent="0.2">
      <c r="A3" s="180"/>
      <c r="B3" s="3"/>
      <c r="C3" s="3"/>
      <c r="D3" s="3"/>
      <c r="E3" s="3"/>
      <c r="F3" s="3"/>
    </row>
    <row r="4" spans="1:6" ht="15.95" customHeight="1" x14ac:dyDescent="0.2">
      <c r="B4" s="771" t="s">
        <v>34</v>
      </c>
      <c r="C4" s="772"/>
      <c r="D4" s="772"/>
      <c r="E4" s="772"/>
      <c r="F4" s="773"/>
    </row>
    <row r="5" spans="1:6" ht="15.95" customHeight="1" x14ac:dyDescent="0.2">
      <c r="B5" s="774" t="s">
        <v>105</v>
      </c>
      <c r="C5" s="775"/>
      <c r="D5" s="775"/>
      <c r="E5" s="775"/>
      <c r="F5" s="776"/>
    </row>
    <row r="6" spans="1:6" ht="15.95" customHeight="1" x14ac:dyDescent="0.2">
      <c r="B6" s="785" t="s">
        <v>47</v>
      </c>
      <c r="C6" s="782"/>
      <c r="D6" s="782"/>
      <c r="E6" s="782"/>
      <c r="F6" s="783"/>
    </row>
    <row r="7" spans="1:6" ht="15.95" customHeight="1" x14ac:dyDescent="0.2">
      <c r="B7" s="738" t="s">
        <v>489</v>
      </c>
      <c r="C7" s="788" t="s">
        <v>515</v>
      </c>
      <c r="D7" s="704" t="s">
        <v>516</v>
      </c>
      <c r="E7" s="24"/>
      <c r="F7" s="704" t="s">
        <v>491</v>
      </c>
    </row>
    <row r="8" spans="1:6" ht="15.95" customHeight="1" x14ac:dyDescent="0.2">
      <c r="A8" s="249"/>
      <c r="B8" s="786"/>
      <c r="C8" s="789"/>
      <c r="D8" s="779"/>
      <c r="E8" s="779" t="s">
        <v>490</v>
      </c>
      <c r="F8" s="779"/>
    </row>
    <row r="9" spans="1:6" ht="15.95" customHeight="1" x14ac:dyDescent="0.2">
      <c r="A9" s="250" t="s">
        <v>37</v>
      </c>
      <c r="B9" s="787"/>
      <c r="C9" s="790"/>
      <c r="D9" s="780"/>
      <c r="E9" s="780"/>
      <c r="F9" s="780"/>
    </row>
    <row r="10" spans="1:6" ht="5.0999999999999996" customHeight="1" x14ac:dyDescent="0.2">
      <c r="A10" s="29"/>
      <c r="B10" s="3"/>
      <c r="C10" s="3"/>
      <c r="D10" s="3"/>
      <c r="E10" s="3"/>
      <c r="F10" s="3"/>
    </row>
    <row r="11" spans="1:6" ht="14.1" customHeight="1" x14ac:dyDescent="0.2">
      <c r="A11" s="271" t="s">
        <v>108</v>
      </c>
      <c r="B11" s="272">
        <v>4237</v>
      </c>
      <c r="C11" s="272">
        <v>24310</v>
      </c>
      <c r="D11" s="272">
        <v>156584</v>
      </c>
      <c r="E11" s="272">
        <f>Data!R11-SUM('- 53 -'!$B11:F11,B11:D11)</f>
        <v>348281</v>
      </c>
      <c r="F11" s="272">
        <f>SUM('- 53 -'!$B11:F11,B11:E11)</f>
        <v>2428984</v>
      </c>
    </row>
    <row r="12" spans="1:6" ht="14.1" customHeight="1" x14ac:dyDescent="0.2">
      <c r="A12" s="15" t="s">
        <v>109</v>
      </c>
      <c r="B12" s="16">
        <v>36666</v>
      </c>
      <c r="C12" s="16">
        <v>24024</v>
      </c>
      <c r="D12" s="16">
        <v>167496</v>
      </c>
      <c r="E12" s="16">
        <f>Data!R12-SUM('- 53 -'!$B12:F12,B12:D12)</f>
        <v>273323</v>
      </c>
      <c r="F12" s="16">
        <f>SUM('- 53 -'!$B12:F12,B12:E12)</f>
        <v>3291012</v>
      </c>
    </row>
    <row r="13" spans="1:6" ht="14.1" customHeight="1" x14ac:dyDescent="0.2">
      <c r="A13" s="271" t="s">
        <v>110</v>
      </c>
      <c r="B13" s="272">
        <v>208500</v>
      </c>
      <c r="C13" s="272">
        <v>151600</v>
      </c>
      <c r="D13" s="272">
        <v>749700</v>
      </c>
      <c r="E13" s="272">
        <f>Data!R13-SUM('- 53 -'!$B13:F13,B13:D13)</f>
        <v>248300</v>
      </c>
      <c r="F13" s="272">
        <f>SUM('- 53 -'!$B13:F13,B13:E13)</f>
        <v>7521300</v>
      </c>
    </row>
    <row r="14" spans="1:6" ht="14.1" customHeight="1" x14ac:dyDescent="0.2">
      <c r="A14" s="15" t="s">
        <v>319</v>
      </c>
      <c r="B14" s="16">
        <v>1662475</v>
      </c>
      <c r="C14" s="16">
        <v>93836</v>
      </c>
      <c r="D14" s="16">
        <v>440976</v>
      </c>
      <c r="E14" s="16">
        <f>Data!R14-SUM('- 53 -'!$B14:F14,B14:D14)</f>
        <v>487841</v>
      </c>
      <c r="F14" s="16">
        <f>SUM('- 53 -'!$B14:F14,B14:E14)</f>
        <v>8236272</v>
      </c>
    </row>
    <row r="15" spans="1:6" ht="14.1" customHeight="1" x14ac:dyDescent="0.2">
      <c r="A15" s="271" t="s">
        <v>111</v>
      </c>
      <c r="B15" s="272">
        <v>4313</v>
      </c>
      <c r="C15" s="272">
        <v>17510</v>
      </c>
      <c r="D15" s="272">
        <v>112136</v>
      </c>
      <c r="E15" s="272">
        <f>Data!R15-SUM('- 53 -'!$B15:F15,B15:D15)</f>
        <v>73080</v>
      </c>
      <c r="F15" s="272">
        <f>SUM('- 53 -'!$B15:F15,B15:E15)</f>
        <v>2096171</v>
      </c>
    </row>
    <row r="16" spans="1:6" ht="14.1" customHeight="1" x14ac:dyDescent="0.2">
      <c r="A16" s="15" t="s">
        <v>112</v>
      </c>
      <c r="B16" s="16">
        <v>33298</v>
      </c>
      <c r="C16" s="16">
        <v>13090</v>
      </c>
      <c r="D16" s="16">
        <v>72808</v>
      </c>
      <c r="E16" s="16">
        <f>Data!R16-SUM('- 53 -'!$B16:F16,B16:D16)</f>
        <v>645173</v>
      </c>
      <c r="F16" s="16">
        <f>SUM('- 53 -'!$B16:F16,B16:E16)</f>
        <v>1451061</v>
      </c>
    </row>
    <row r="17" spans="1:6" ht="14.1" customHeight="1" x14ac:dyDescent="0.2">
      <c r="A17" s="271" t="s">
        <v>113</v>
      </c>
      <c r="B17" s="272">
        <v>1997</v>
      </c>
      <c r="C17" s="272">
        <v>15810</v>
      </c>
      <c r="D17" s="272">
        <v>107896</v>
      </c>
      <c r="E17" s="272">
        <f>Data!R17-SUM('- 53 -'!$B17:F17,B17:D17)</f>
        <v>92959</v>
      </c>
      <c r="F17" s="272">
        <f>SUM('- 53 -'!$B17:F17,B17:E17)</f>
        <v>1798436</v>
      </c>
    </row>
    <row r="18" spans="1:6" ht="14.1" customHeight="1" x14ac:dyDescent="0.2">
      <c r="A18" s="15" t="s">
        <v>114</v>
      </c>
      <c r="B18" s="16">
        <v>0</v>
      </c>
      <c r="C18" s="16">
        <v>38282</v>
      </c>
      <c r="D18" s="16">
        <v>175640</v>
      </c>
      <c r="E18" s="16">
        <f>Data!R18-SUM('- 53 -'!$B18:F18,B18:D18)</f>
        <v>2109843</v>
      </c>
      <c r="F18" s="16">
        <f>SUM('- 53 -'!$B18:F18,B18:E18)</f>
        <v>6478149</v>
      </c>
    </row>
    <row r="19" spans="1:6" ht="14.1" customHeight="1" x14ac:dyDescent="0.2">
      <c r="A19" s="271" t="s">
        <v>115</v>
      </c>
      <c r="B19" s="272">
        <v>4291</v>
      </c>
      <c r="C19" s="272">
        <v>61850</v>
      </c>
      <c r="D19" s="272">
        <v>349032</v>
      </c>
      <c r="E19" s="272">
        <f>Data!R19-SUM('- 53 -'!$B19:F19,B19:D19)</f>
        <v>175428</v>
      </c>
      <c r="F19" s="272">
        <f>SUM('- 53 -'!$B19:F19,B19:E19)</f>
        <v>4914509</v>
      </c>
    </row>
    <row r="20" spans="1:6" ht="14.1" customHeight="1" x14ac:dyDescent="0.2">
      <c r="A20" s="15" t="s">
        <v>116</v>
      </c>
      <c r="B20" s="16">
        <v>23996</v>
      </c>
      <c r="C20" s="16">
        <v>114765</v>
      </c>
      <c r="D20" s="16">
        <v>641480</v>
      </c>
      <c r="E20" s="16">
        <f>Data!R20-SUM('- 53 -'!$B20:F20,B20:D20)</f>
        <v>384281</v>
      </c>
      <c r="F20" s="16">
        <f>SUM('- 53 -'!$B20:F20,B20:E20)</f>
        <v>8577920</v>
      </c>
    </row>
    <row r="21" spans="1:6" ht="14.1" customHeight="1" x14ac:dyDescent="0.2">
      <c r="A21" s="271" t="s">
        <v>117</v>
      </c>
      <c r="B21" s="272">
        <v>75063</v>
      </c>
      <c r="C21" s="272">
        <v>36960</v>
      </c>
      <c r="D21" s="272">
        <v>226000</v>
      </c>
      <c r="E21" s="272">
        <f>Data!R21-SUM('- 53 -'!$B21:F21,B21:D21)</f>
        <v>193238</v>
      </c>
      <c r="F21" s="272">
        <f>SUM('- 53 -'!$B21:F21,B21:E21)</f>
        <v>3284994</v>
      </c>
    </row>
    <row r="22" spans="1:6" ht="14.1" customHeight="1" x14ac:dyDescent="0.2">
      <c r="A22" s="15" t="s">
        <v>118</v>
      </c>
      <c r="B22" s="16">
        <v>44209</v>
      </c>
      <c r="C22" s="16">
        <v>23209</v>
      </c>
      <c r="D22" s="16">
        <v>117160</v>
      </c>
      <c r="E22" s="16">
        <f>Data!R22-SUM('- 53 -'!$B22:F22,B22:D22)</f>
        <v>1013804</v>
      </c>
      <c r="F22" s="16">
        <f>SUM('- 53 -'!$B22:F22,B22:E22)</f>
        <v>2620597</v>
      </c>
    </row>
    <row r="23" spans="1:6" ht="14.1" customHeight="1" x14ac:dyDescent="0.2">
      <c r="A23" s="271" t="s">
        <v>119</v>
      </c>
      <c r="B23" s="272">
        <v>2777</v>
      </c>
      <c r="C23" s="272">
        <v>14684</v>
      </c>
      <c r="D23" s="272">
        <v>73184</v>
      </c>
      <c r="E23" s="272">
        <f>Data!R23-SUM('- 53 -'!$B23:F23,B23:D23)</f>
        <v>188967</v>
      </c>
      <c r="F23" s="272">
        <f>SUM('- 53 -'!$B23:F23,B23:E23)</f>
        <v>1985834</v>
      </c>
    </row>
    <row r="24" spans="1:6" ht="14.1" customHeight="1" x14ac:dyDescent="0.2">
      <c r="A24" s="15" t="s">
        <v>120</v>
      </c>
      <c r="B24" s="16">
        <v>98407</v>
      </c>
      <c r="C24" s="16">
        <v>54974</v>
      </c>
      <c r="D24" s="16">
        <v>353644</v>
      </c>
      <c r="E24" s="16">
        <f>Data!R24-SUM('- 53 -'!$B24:F24,B24:D24)</f>
        <v>298337</v>
      </c>
      <c r="F24" s="16">
        <f>SUM('- 53 -'!$B24:F24,B24:E24)</f>
        <v>5118969</v>
      </c>
    </row>
    <row r="25" spans="1:6" ht="14.1" customHeight="1" x14ac:dyDescent="0.2">
      <c r="A25" s="271" t="s">
        <v>121</v>
      </c>
      <c r="B25" s="272">
        <v>1239717</v>
      </c>
      <c r="C25" s="272">
        <v>205834</v>
      </c>
      <c r="D25" s="272">
        <v>1177168</v>
      </c>
      <c r="E25" s="272">
        <f>Data!R25-SUM('- 53 -'!$B25:F25,B25:D25)</f>
        <v>385454</v>
      </c>
      <c r="F25" s="272">
        <f>SUM('- 53 -'!$B25:F25,B25:E25)</f>
        <v>15721928</v>
      </c>
    </row>
    <row r="26" spans="1:6" ht="14.1" customHeight="1" x14ac:dyDescent="0.2">
      <c r="A26" s="15" t="s">
        <v>122</v>
      </c>
      <c r="B26" s="16">
        <v>86491</v>
      </c>
      <c r="C26" s="16">
        <v>44359</v>
      </c>
      <c r="D26" s="16">
        <v>297960</v>
      </c>
      <c r="E26" s="16">
        <f>Data!R26-SUM('- 53 -'!$B26:F26,B26:D26)</f>
        <v>311570</v>
      </c>
      <c r="F26" s="16">
        <f>SUM('- 53 -'!$B26:F26,B26:E26)</f>
        <v>3916052</v>
      </c>
    </row>
    <row r="27" spans="1:6" ht="14.1" customHeight="1" x14ac:dyDescent="0.2">
      <c r="A27" s="271" t="s">
        <v>123</v>
      </c>
      <c r="B27" s="272">
        <v>71817</v>
      </c>
      <c r="C27" s="272">
        <v>57234</v>
      </c>
      <c r="D27" s="272">
        <v>237136</v>
      </c>
      <c r="E27" s="272">
        <f>Data!R27-SUM('- 53 -'!$B27:F27,B27:D27)</f>
        <v>2141675</v>
      </c>
      <c r="F27" s="272">
        <f>SUM('- 53 -'!$B27:F27,B27:E27)</f>
        <v>5091069</v>
      </c>
    </row>
    <row r="28" spans="1:6" ht="14.1" customHeight="1" x14ac:dyDescent="0.2">
      <c r="A28" s="15" t="s">
        <v>124</v>
      </c>
      <c r="B28" s="16">
        <v>3673</v>
      </c>
      <c r="C28" s="16">
        <v>22363</v>
      </c>
      <c r="D28" s="16">
        <v>118976</v>
      </c>
      <c r="E28" s="16">
        <f>Data!R28-SUM('- 53 -'!$B28:F28,B28:D28)</f>
        <v>170813</v>
      </c>
      <c r="F28" s="16">
        <f>SUM('- 53 -'!$B28:F28,B28:E28)</f>
        <v>2268311</v>
      </c>
    </row>
    <row r="29" spans="1:6" ht="14.1" customHeight="1" x14ac:dyDescent="0.2">
      <c r="A29" s="271" t="s">
        <v>125</v>
      </c>
      <c r="B29" s="272">
        <v>843455</v>
      </c>
      <c r="C29" s="272">
        <v>202449</v>
      </c>
      <c r="D29" s="272">
        <v>1134448</v>
      </c>
      <c r="E29" s="272">
        <f>Data!R29-SUM('- 53 -'!$B29:F29,B29:D29)</f>
        <v>810489</v>
      </c>
      <c r="F29" s="272">
        <f>SUM('- 53 -'!$B29:F29,B29:E29)</f>
        <v>14182898</v>
      </c>
    </row>
    <row r="30" spans="1:6" ht="14.1" customHeight="1" x14ac:dyDescent="0.2">
      <c r="A30" s="15" t="s">
        <v>126</v>
      </c>
      <c r="B30" s="16">
        <v>2149</v>
      </c>
      <c r="C30" s="16">
        <v>14450</v>
      </c>
      <c r="D30" s="16">
        <v>82040</v>
      </c>
      <c r="E30" s="16">
        <f>Data!R30-SUM('- 53 -'!$B30:F30,B30:D30)</f>
        <v>122412</v>
      </c>
      <c r="F30" s="16">
        <f>SUM('- 53 -'!$B30:F30,B30:E30)</f>
        <v>1621578</v>
      </c>
    </row>
    <row r="31" spans="1:6" ht="14.1" customHeight="1" x14ac:dyDescent="0.2">
      <c r="A31" s="271" t="s">
        <v>127</v>
      </c>
      <c r="B31" s="272">
        <v>84207</v>
      </c>
      <c r="C31" s="272">
        <v>45298</v>
      </c>
      <c r="D31" s="272">
        <v>241368</v>
      </c>
      <c r="E31" s="272">
        <f>Data!R31-SUM('- 53 -'!$B31:F31,B31:D31)</f>
        <v>176486</v>
      </c>
      <c r="F31" s="272">
        <f>SUM('- 53 -'!$B31:F31,B31:E31)</f>
        <v>3687199</v>
      </c>
    </row>
    <row r="32" spans="1:6" ht="14.1" customHeight="1" x14ac:dyDescent="0.2">
      <c r="A32" s="15" t="s">
        <v>128</v>
      </c>
      <c r="B32" s="16">
        <v>50260</v>
      </c>
      <c r="C32" s="16">
        <v>34000</v>
      </c>
      <c r="D32" s="16">
        <v>182032</v>
      </c>
      <c r="E32" s="16">
        <f>Data!R32-SUM('- 53 -'!$B32:F32,B32:D32)</f>
        <v>358598</v>
      </c>
      <c r="F32" s="16">
        <f>SUM('- 53 -'!$B32:F32,B32:E32)</f>
        <v>3208057</v>
      </c>
    </row>
    <row r="33" spans="1:6" ht="14.1" customHeight="1" x14ac:dyDescent="0.2">
      <c r="A33" s="271" t="s">
        <v>129</v>
      </c>
      <c r="B33" s="272">
        <v>34617</v>
      </c>
      <c r="C33" s="272">
        <v>30896</v>
      </c>
      <c r="D33" s="272">
        <v>160816</v>
      </c>
      <c r="E33" s="272">
        <f>Data!R33-SUM('- 53 -'!$B33:F33,B33:D33)</f>
        <v>315484</v>
      </c>
      <c r="F33" s="272">
        <f>SUM('- 53 -'!$B33:F33,B33:E33)</f>
        <v>3027520</v>
      </c>
    </row>
    <row r="34" spans="1:6" ht="14.1" customHeight="1" x14ac:dyDescent="0.2">
      <c r="A34" s="15" t="s">
        <v>130</v>
      </c>
      <c r="B34" s="16">
        <v>114119</v>
      </c>
      <c r="C34" s="16">
        <v>31690</v>
      </c>
      <c r="D34" s="16">
        <v>177800</v>
      </c>
      <c r="E34" s="16">
        <f>Data!R34-SUM('- 53 -'!$B34:F34,B34:D34)</f>
        <v>240663</v>
      </c>
      <c r="F34" s="16">
        <f>SUM('- 53 -'!$B34:F34,B34:E34)</f>
        <v>3612335</v>
      </c>
    </row>
    <row r="35" spans="1:6" ht="14.1" customHeight="1" x14ac:dyDescent="0.2">
      <c r="A35" s="271" t="s">
        <v>131</v>
      </c>
      <c r="B35" s="272">
        <v>823930</v>
      </c>
      <c r="C35" s="272">
        <v>231773</v>
      </c>
      <c r="D35" s="272">
        <v>1411044</v>
      </c>
      <c r="E35" s="272">
        <f>Data!R35-SUM('- 53 -'!$B35:F35,B35:D35)</f>
        <v>462071</v>
      </c>
      <c r="F35" s="272">
        <f>SUM('- 53 -'!$B35:F35,B35:E35)</f>
        <v>17044197</v>
      </c>
    </row>
    <row r="36" spans="1:6" ht="14.1" customHeight="1" x14ac:dyDescent="0.2">
      <c r="A36" s="15" t="s">
        <v>132</v>
      </c>
      <c r="B36" s="16">
        <v>4647</v>
      </c>
      <c r="C36" s="16">
        <v>27016</v>
      </c>
      <c r="D36" s="16">
        <v>129640</v>
      </c>
      <c r="E36" s="16">
        <f>Data!R36-SUM('- 53 -'!$B36:F36,B36:D36)</f>
        <v>233343</v>
      </c>
      <c r="F36" s="16">
        <f>SUM('- 53 -'!$B36:F36,B36:E36)</f>
        <v>2009532</v>
      </c>
    </row>
    <row r="37" spans="1:6" ht="14.1" customHeight="1" x14ac:dyDescent="0.2">
      <c r="A37" s="271" t="s">
        <v>133</v>
      </c>
      <c r="B37" s="272">
        <v>375963</v>
      </c>
      <c r="C37" s="272">
        <v>71124</v>
      </c>
      <c r="D37" s="272">
        <v>342192</v>
      </c>
      <c r="E37" s="272">
        <f>Data!R37-SUM('- 53 -'!$B37:F37,B37:D37)</f>
        <v>253792</v>
      </c>
      <c r="F37" s="272">
        <f>SUM('- 53 -'!$B37:F37,B37:E37)</f>
        <v>6073479</v>
      </c>
    </row>
    <row r="38" spans="1:6" ht="14.1" customHeight="1" x14ac:dyDescent="0.2">
      <c r="A38" s="15" t="s">
        <v>134</v>
      </c>
      <c r="B38" s="16">
        <v>544922</v>
      </c>
      <c r="C38" s="16">
        <v>152728</v>
      </c>
      <c r="D38" s="16">
        <v>901256</v>
      </c>
      <c r="E38" s="16">
        <f>Data!R38-SUM('- 53 -'!$B38:F38,B38:D38)</f>
        <v>379194</v>
      </c>
      <c r="F38" s="16">
        <f>SUM('- 53 -'!$B38:F38,B38:E38)</f>
        <v>11012707</v>
      </c>
    </row>
    <row r="39" spans="1:6" ht="14.1" customHeight="1" x14ac:dyDescent="0.2">
      <c r="A39" s="271" t="s">
        <v>135</v>
      </c>
      <c r="B39" s="272">
        <v>399</v>
      </c>
      <c r="C39" s="272">
        <v>22950</v>
      </c>
      <c r="D39" s="272">
        <v>118856</v>
      </c>
      <c r="E39" s="272">
        <f>Data!R39-SUM('- 53 -'!$B39:F39,B39:D39)</f>
        <v>178465</v>
      </c>
      <c r="F39" s="272">
        <f>SUM('- 53 -'!$B39:F39,B39:E39)</f>
        <v>2071022</v>
      </c>
    </row>
    <row r="40" spans="1:6" ht="14.1" customHeight="1" x14ac:dyDescent="0.2">
      <c r="A40" s="15" t="s">
        <v>136</v>
      </c>
      <c r="B40" s="16">
        <v>411300</v>
      </c>
      <c r="C40" s="16">
        <v>107912</v>
      </c>
      <c r="D40" s="16">
        <v>759504</v>
      </c>
      <c r="E40" s="16">
        <f>Data!R40-SUM('- 53 -'!$B40:F40,B40:D40)</f>
        <v>130957</v>
      </c>
      <c r="F40" s="16">
        <f>SUM('- 53 -'!$B40:F40,B40:E40)</f>
        <v>8330319</v>
      </c>
    </row>
    <row r="41" spans="1:6" ht="14.1" customHeight="1" x14ac:dyDescent="0.2">
      <c r="A41" s="271" t="s">
        <v>137</v>
      </c>
      <c r="B41" s="272">
        <v>190295</v>
      </c>
      <c r="C41" s="272">
        <v>68295</v>
      </c>
      <c r="D41" s="272">
        <v>358192</v>
      </c>
      <c r="E41" s="272">
        <f>Data!R41-SUM('- 53 -'!$B41:F41,B41:D41)</f>
        <v>279728</v>
      </c>
      <c r="F41" s="272">
        <f>SUM('- 53 -'!$B41:F41,B41:E41)</f>
        <v>6888303</v>
      </c>
    </row>
    <row r="42" spans="1:6" ht="14.1" customHeight="1" x14ac:dyDescent="0.2">
      <c r="A42" s="15" t="s">
        <v>138</v>
      </c>
      <c r="B42" s="16">
        <v>18699</v>
      </c>
      <c r="C42" s="16">
        <v>16200</v>
      </c>
      <c r="D42" s="16">
        <v>106664</v>
      </c>
      <c r="E42" s="16">
        <f>Data!R42-SUM('- 53 -'!$B42:F42,B42:D42)</f>
        <v>89803</v>
      </c>
      <c r="F42" s="16">
        <f>SUM('- 53 -'!$B42:F42,B42:E42)</f>
        <v>2286507</v>
      </c>
    </row>
    <row r="43" spans="1:6" ht="14.1" customHeight="1" x14ac:dyDescent="0.2">
      <c r="A43" s="271" t="s">
        <v>139</v>
      </c>
      <c r="B43" s="272">
        <v>564</v>
      </c>
      <c r="C43" s="272">
        <v>13770</v>
      </c>
      <c r="D43" s="272">
        <v>80200</v>
      </c>
      <c r="E43" s="272">
        <f>Data!R43-SUM('- 53 -'!$B43:F43,B43:D43)</f>
        <v>122079</v>
      </c>
      <c r="F43" s="272">
        <f>SUM('- 53 -'!$B43:F43,B43:E43)</f>
        <v>1273598</v>
      </c>
    </row>
    <row r="44" spans="1:6" ht="14.1" customHeight="1" x14ac:dyDescent="0.2">
      <c r="A44" s="15" t="s">
        <v>140</v>
      </c>
      <c r="B44" s="16">
        <v>13332</v>
      </c>
      <c r="C44" s="16">
        <v>10880</v>
      </c>
      <c r="D44" s="16">
        <v>55056</v>
      </c>
      <c r="E44" s="16">
        <f>Data!R44-SUM('- 53 -'!$B44:F44,B44:D44)</f>
        <v>159065</v>
      </c>
      <c r="F44" s="16">
        <f>SUM('- 53 -'!$B44:F44,B44:E44)</f>
        <v>1541291</v>
      </c>
    </row>
    <row r="45" spans="1:6" ht="14.1" customHeight="1" x14ac:dyDescent="0.2">
      <c r="A45" s="271" t="s">
        <v>141</v>
      </c>
      <c r="B45" s="272">
        <v>88395</v>
      </c>
      <c r="C45" s="272">
        <v>27030</v>
      </c>
      <c r="D45" s="272">
        <v>153472</v>
      </c>
      <c r="E45" s="272">
        <f>Data!R45-SUM('- 53 -'!$B45:F45,B45:D45)</f>
        <v>234213</v>
      </c>
      <c r="F45" s="272">
        <f>SUM('- 53 -'!$B45:F45,B45:E45)</f>
        <v>2031555</v>
      </c>
    </row>
    <row r="46" spans="1:6" ht="14.1" customHeight="1" x14ac:dyDescent="0.2">
      <c r="A46" s="15" t="s">
        <v>142</v>
      </c>
      <c r="B46" s="16">
        <v>1095924</v>
      </c>
      <c r="C46" s="16">
        <v>471535</v>
      </c>
      <c r="D46" s="16">
        <v>2457864</v>
      </c>
      <c r="E46" s="16">
        <f>Data!R46-SUM('- 53 -'!$B46:F46,B46:D46)</f>
        <v>766754</v>
      </c>
      <c r="F46" s="16">
        <f>SUM('- 53 -'!$B46:F46,B46:E46)</f>
        <v>28840807</v>
      </c>
    </row>
    <row r="47" spans="1:6" ht="5.0999999999999996" customHeight="1" x14ac:dyDescent="0.2">
      <c r="A47"/>
      <c r="B47"/>
      <c r="C47"/>
      <c r="D47"/>
      <c r="E47"/>
      <c r="F47"/>
    </row>
    <row r="48" spans="1:6" ht="14.1" customHeight="1" x14ac:dyDescent="0.2">
      <c r="A48" s="274" t="s">
        <v>143</v>
      </c>
      <c r="B48" s="275">
        <f>SUM(B11:B46)</f>
        <v>8299104</v>
      </c>
      <c r="C48" s="275">
        <f>SUM(C11:C46)</f>
        <v>2594690</v>
      </c>
      <c r="D48" s="275">
        <f>SUM(D11:D46)</f>
        <v>14427420</v>
      </c>
      <c r="E48" s="275">
        <f>SUM(E11:E46)</f>
        <v>14855963</v>
      </c>
      <c r="F48" s="275">
        <f>SUM(F11:F46)</f>
        <v>205544472</v>
      </c>
    </row>
    <row r="49" spans="1:6" ht="5.0999999999999996" customHeight="1" x14ac:dyDescent="0.2">
      <c r="A49" s="17" t="s">
        <v>1</v>
      </c>
      <c r="B49" s="18"/>
      <c r="C49" s="18"/>
      <c r="D49" s="18"/>
      <c r="E49" s="18"/>
      <c r="F49" s="18"/>
    </row>
    <row r="50" spans="1:6" ht="14.45" customHeight="1" x14ac:dyDescent="0.2">
      <c r="A50" s="15" t="s">
        <v>144</v>
      </c>
      <c r="B50" s="16">
        <v>776</v>
      </c>
      <c r="C50" s="16">
        <v>5590</v>
      </c>
      <c r="D50" s="16">
        <v>14720</v>
      </c>
      <c r="E50" s="16">
        <f>Data!R50-SUM('- 53 -'!$B50:F50,B50:D50)</f>
        <v>39016</v>
      </c>
      <c r="F50" s="16">
        <f>SUM('- 53 -'!$B50:F50,B50:E50)</f>
        <v>154173</v>
      </c>
    </row>
    <row r="51" spans="1:6" ht="14.1" customHeight="1" x14ac:dyDescent="0.2">
      <c r="A51" s="360" t="s">
        <v>513</v>
      </c>
      <c r="B51" s="272">
        <v>0</v>
      </c>
      <c r="C51" s="272">
        <v>0</v>
      </c>
      <c r="D51" s="272">
        <v>0</v>
      </c>
      <c r="E51" s="272">
        <f>Data!R51-SUM('- 53 -'!$B51:F51,B51:D51)</f>
        <v>0</v>
      </c>
      <c r="F51" s="272">
        <f>SUM('- 53 -'!$B51:F51,B51:E51)</f>
        <v>0</v>
      </c>
    </row>
    <row r="52" spans="1:6" ht="50.1" customHeight="1" x14ac:dyDescent="0.2">
      <c r="A52" s="19"/>
      <c r="B52" s="19"/>
      <c r="C52" s="19"/>
      <c r="D52" s="19"/>
      <c r="E52" s="19"/>
      <c r="F52" s="19"/>
    </row>
    <row r="53" spans="1:6" ht="15" customHeight="1" x14ac:dyDescent="0.2">
      <c r="A53" s="31" t="s">
        <v>577</v>
      </c>
      <c r="E53" s="31"/>
      <c r="F53" s="31"/>
    </row>
    <row r="54" spans="1:6" ht="14.45" customHeight="1" x14ac:dyDescent="0.2">
      <c r="A54" s="31"/>
      <c r="E54" s="31"/>
      <c r="F54" s="31"/>
    </row>
    <row r="55" spans="1:6" ht="14.45" customHeight="1" x14ac:dyDescent="0.2">
      <c r="A55" s="1" t="s">
        <v>576</v>
      </c>
      <c r="B55" s="31"/>
      <c r="C55" s="31"/>
      <c r="D55" s="31"/>
      <c r="E55" s="31"/>
      <c r="F55" s="31"/>
    </row>
    <row r="56" spans="1:6" ht="14.45" customHeight="1" x14ac:dyDescent="0.2">
      <c r="E56" s="90"/>
      <c r="F56" s="90"/>
    </row>
    <row r="57" spans="1:6" ht="14.45" customHeight="1" x14ac:dyDescent="0.2">
      <c r="B57" s="90"/>
      <c r="C57" s="90"/>
      <c r="D57" s="90"/>
      <c r="E57" s="90"/>
      <c r="F57" s="90"/>
    </row>
    <row r="58" spans="1:6" ht="14.45" customHeight="1" x14ac:dyDescent="0.2"/>
    <row r="59" spans="1:6" ht="14.45" customHeight="1" x14ac:dyDescent="0.2"/>
  </sheetData>
  <mergeCells count="8">
    <mergeCell ref="B4:F4"/>
    <mergeCell ref="B5:F5"/>
    <mergeCell ref="B6:F6"/>
    <mergeCell ref="B7:B9"/>
    <mergeCell ref="C7:C9"/>
    <mergeCell ref="D7:D9"/>
    <mergeCell ref="E8: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x14ac:dyDescent="0.2">
      <c r="A1" s="3"/>
      <c r="B1" s="3"/>
      <c r="C1" s="3"/>
      <c r="D1" s="3"/>
      <c r="E1" s="3"/>
      <c r="F1" s="3"/>
    </row>
    <row r="2" spans="1:6" ht="15.95" customHeight="1" x14ac:dyDescent="0.2">
      <c r="A2" s="229"/>
      <c r="B2" s="53" t="str">
        <f>REVYEAR</f>
        <v>ANALYSIS OF OPERATING FUND REVENUE: 2020/2021 BUDGET</v>
      </c>
      <c r="C2" s="53"/>
      <c r="D2" s="230"/>
      <c r="E2" s="230"/>
      <c r="F2" s="185" t="s">
        <v>96</v>
      </c>
    </row>
    <row r="3" spans="1:6" ht="15.95" customHeight="1" x14ac:dyDescent="0.2">
      <c r="A3" s="180"/>
      <c r="B3" s="231"/>
      <c r="C3" s="231"/>
      <c r="D3" s="231"/>
      <c r="E3" s="231"/>
      <c r="F3" s="231"/>
    </row>
    <row r="4" spans="1:6" ht="15.95" customHeight="1" x14ac:dyDescent="0.2"/>
    <row r="5" spans="1:6" ht="15.95" customHeight="1" x14ac:dyDescent="0.2">
      <c r="B5" s="771" t="s">
        <v>34</v>
      </c>
      <c r="C5" s="772"/>
      <c r="D5" s="772"/>
      <c r="E5" s="772"/>
      <c r="F5" s="773"/>
    </row>
    <row r="6" spans="1:6" ht="15.95" customHeight="1" x14ac:dyDescent="0.2">
      <c r="B6" s="774" t="s">
        <v>105</v>
      </c>
      <c r="C6" s="775"/>
      <c r="D6" s="775"/>
      <c r="E6" s="775"/>
      <c r="F6" s="776"/>
    </row>
    <row r="7" spans="1:6" ht="15.95" customHeight="1" x14ac:dyDescent="0.2">
      <c r="B7" s="186"/>
      <c r="C7" s="704" t="s">
        <v>493</v>
      </c>
      <c r="D7" s="186"/>
      <c r="E7" s="704" t="s">
        <v>495</v>
      </c>
      <c r="F7" s="704" t="s">
        <v>496</v>
      </c>
    </row>
    <row r="8" spans="1:6" ht="15.95" customHeight="1" x14ac:dyDescent="0.2">
      <c r="A8" s="24"/>
      <c r="B8" s="779" t="s">
        <v>492</v>
      </c>
      <c r="C8" s="779"/>
      <c r="D8" s="779" t="s">
        <v>494</v>
      </c>
      <c r="E8" s="779"/>
      <c r="F8" s="794"/>
    </row>
    <row r="9" spans="1:6" ht="15.95" customHeight="1" x14ac:dyDescent="0.2">
      <c r="A9" s="93" t="s">
        <v>37</v>
      </c>
      <c r="B9" s="780"/>
      <c r="C9" s="780"/>
      <c r="D9" s="780"/>
      <c r="E9" s="780"/>
      <c r="F9" s="703"/>
    </row>
    <row r="10" spans="1:6" ht="5.0999999999999996" customHeight="1" x14ac:dyDescent="0.2">
      <c r="A10" s="29"/>
      <c r="B10" s="3"/>
      <c r="C10" s="3"/>
      <c r="D10" s="3"/>
      <c r="E10" s="3"/>
      <c r="F10" s="3"/>
    </row>
    <row r="11" spans="1:6" ht="14.1" customHeight="1" x14ac:dyDescent="0.2">
      <c r="A11" s="271" t="s">
        <v>108</v>
      </c>
      <c r="B11" s="272">
        <v>3034649</v>
      </c>
      <c r="C11" s="272">
        <v>0</v>
      </c>
      <c r="D11" s="272">
        <v>0</v>
      </c>
      <c r="E11" s="272">
        <v>96620</v>
      </c>
      <c r="F11" s="272">
        <f>SUM('- 52 -'!$G11,'- 54 -'!$F11,B11:E11)</f>
        <v>11819755</v>
      </c>
    </row>
    <row r="12" spans="1:6" ht="14.1" customHeight="1" x14ac:dyDescent="0.2">
      <c r="A12" s="15" t="s">
        <v>109</v>
      </c>
      <c r="B12" s="16">
        <v>3586943</v>
      </c>
      <c r="C12" s="16">
        <v>1575</v>
      </c>
      <c r="D12" s="16">
        <v>33156</v>
      </c>
      <c r="E12" s="16">
        <v>209411</v>
      </c>
      <c r="F12" s="16">
        <f>SUM('- 52 -'!$G12,'- 54 -'!$F12,B12:E12)</f>
        <v>14266136</v>
      </c>
    </row>
    <row r="13" spans="1:6" ht="14.1" customHeight="1" x14ac:dyDescent="0.2">
      <c r="A13" s="271" t="s">
        <v>110</v>
      </c>
      <c r="B13" s="272">
        <v>20026600</v>
      </c>
      <c r="C13" s="272">
        <v>0</v>
      </c>
      <c r="D13" s="272">
        <v>0</v>
      </c>
      <c r="E13" s="272">
        <v>300300</v>
      </c>
      <c r="F13" s="272">
        <f>SUM('- 52 -'!$G13,'- 54 -'!$F13,B13:E13)</f>
        <v>53670200</v>
      </c>
    </row>
    <row r="14" spans="1:6" ht="14.1" customHeight="1" x14ac:dyDescent="0.2">
      <c r="A14" s="15" t="s">
        <v>319</v>
      </c>
      <c r="B14" s="16">
        <v>11436163</v>
      </c>
      <c r="C14" s="16">
        <v>0</v>
      </c>
      <c r="D14" s="16">
        <v>0</v>
      </c>
      <c r="E14" s="16">
        <v>245520</v>
      </c>
      <c r="F14" s="16">
        <f>SUM('- 52 -'!$G14,'- 54 -'!$F14,B14:E14)</f>
        <v>37859888</v>
      </c>
    </row>
    <row r="15" spans="1:6" ht="14.1" customHeight="1" x14ac:dyDescent="0.2">
      <c r="A15" s="271" t="s">
        <v>111</v>
      </c>
      <c r="B15" s="272">
        <v>0</v>
      </c>
      <c r="C15" s="272">
        <v>0</v>
      </c>
      <c r="D15" s="272">
        <v>734166</v>
      </c>
      <c r="E15" s="272">
        <v>83900</v>
      </c>
      <c r="F15" s="272">
        <f>SUM('- 52 -'!$G15,'- 54 -'!$F15,B15:E15)</f>
        <v>7663330</v>
      </c>
    </row>
    <row r="16" spans="1:6" ht="14.1" customHeight="1" x14ac:dyDescent="0.2">
      <c r="A16" s="15" t="s">
        <v>112</v>
      </c>
      <c r="B16" s="16">
        <v>4418014</v>
      </c>
      <c r="C16" s="16">
        <v>208582</v>
      </c>
      <c r="D16" s="16">
        <v>0</v>
      </c>
      <c r="E16" s="16">
        <v>60740</v>
      </c>
      <c r="F16" s="16">
        <f>SUM('- 52 -'!$G16,'- 54 -'!$F16,B16:E16)</f>
        <v>9153944</v>
      </c>
    </row>
    <row r="17" spans="1:6" ht="14.1" customHeight="1" x14ac:dyDescent="0.2">
      <c r="A17" s="271" t="s">
        <v>113</v>
      </c>
      <c r="B17" s="272">
        <v>0</v>
      </c>
      <c r="C17" s="272">
        <v>0</v>
      </c>
      <c r="D17" s="272">
        <v>283141</v>
      </c>
      <c r="E17" s="272">
        <v>102980</v>
      </c>
      <c r="F17" s="272">
        <f>SUM('- 52 -'!$G17,'- 54 -'!$F17,B17:E17)</f>
        <v>6881748</v>
      </c>
    </row>
    <row r="18" spans="1:6" ht="14.1" customHeight="1" x14ac:dyDescent="0.2">
      <c r="A18" s="15" t="s">
        <v>114</v>
      </c>
      <c r="B18" s="16">
        <v>14020229</v>
      </c>
      <c r="C18" s="16">
        <v>4758592</v>
      </c>
      <c r="D18" s="16">
        <v>0</v>
      </c>
      <c r="E18" s="16">
        <v>381860</v>
      </c>
      <c r="F18" s="16">
        <f>SUM('- 52 -'!$G18,'- 54 -'!$F18,B18:E18)</f>
        <v>36900318</v>
      </c>
    </row>
    <row r="19" spans="1:6" ht="14.1" customHeight="1" x14ac:dyDescent="0.2">
      <c r="A19" s="271" t="s">
        <v>115</v>
      </c>
      <c r="B19" s="272">
        <v>10699241</v>
      </c>
      <c r="C19" s="272">
        <v>0</v>
      </c>
      <c r="D19" s="272">
        <v>0</v>
      </c>
      <c r="E19" s="272">
        <v>133840</v>
      </c>
      <c r="F19" s="272">
        <f>SUM('- 52 -'!$G19,'- 54 -'!$F19,B19:E19)</f>
        <v>29207180</v>
      </c>
    </row>
    <row r="20" spans="1:6" ht="14.1" customHeight="1" x14ac:dyDescent="0.2">
      <c r="A20" s="15" t="s">
        <v>116</v>
      </c>
      <c r="B20" s="16">
        <v>22048820</v>
      </c>
      <c r="C20" s="16">
        <v>0</v>
      </c>
      <c r="D20" s="16">
        <v>0</v>
      </c>
      <c r="E20" s="16">
        <v>277740</v>
      </c>
      <c r="F20" s="16">
        <f>SUM('- 52 -'!$G20,'- 54 -'!$F20,B20:E20)</f>
        <v>55010190</v>
      </c>
    </row>
    <row r="21" spans="1:6" ht="14.1" customHeight="1" x14ac:dyDescent="0.2">
      <c r="A21" s="271" t="s">
        <v>117</v>
      </c>
      <c r="B21" s="272">
        <v>3608577</v>
      </c>
      <c r="C21" s="272">
        <v>0</v>
      </c>
      <c r="D21" s="272">
        <v>0</v>
      </c>
      <c r="E21" s="272">
        <v>157300</v>
      </c>
      <c r="F21" s="272">
        <f>SUM('- 52 -'!$G21,'- 54 -'!$F21,B21:E21)</f>
        <v>16431578</v>
      </c>
    </row>
    <row r="22" spans="1:6" ht="14.1" customHeight="1" x14ac:dyDescent="0.2">
      <c r="A22" s="15" t="s">
        <v>118</v>
      </c>
      <c r="B22" s="16">
        <v>5609569</v>
      </c>
      <c r="C22" s="16">
        <v>970692</v>
      </c>
      <c r="D22" s="16">
        <v>0</v>
      </c>
      <c r="E22" s="16">
        <v>77740</v>
      </c>
      <c r="F22" s="16">
        <f>SUM('- 52 -'!$G22,'- 54 -'!$F22,B22:E22)</f>
        <v>14082710</v>
      </c>
    </row>
    <row r="23" spans="1:6" ht="14.1" customHeight="1" x14ac:dyDescent="0.2">
      <c r="A23" s="271" t="s">
        <v>119</v>
      </c>
      <c r="B23" s="272">
        <v>2842753</v>
      </c>
      <c r="C23" s="272">
        <v>419953</v>
      </c>
      <c r="D23" s="272">
        <v>61278</v>
      </c>
      <c r="E23" s="272">
        <v>101160</v>
      </c>
      <c r="F23" s="272">
        <f>SUM('- 52 -'!$G23,'- 54 -'!$F23,B23:E23)</f>
        <v>8997313</v>
      </c>
    </row>
    <row r="24" spans="1:6" ht="14.1" customHeight="1" x14ac:dyDescent="0.2">
      <c r="A24" s="15" t="s">
        <v>120</v>
      </c>
      <c r="B24" s="16">
        <v>4617085</v>
      </c>
      <c r="C24" s="16">
        <v>0</v>
      </c>
      <c r="D24" s="16">
        <v>283141</v>
      </c>
      <c r="E24" s="16">
        <v>258480</v>
      </c>
      <c r="F24" s="16">
        <f>SUM('- 52 -'!$G24,'- 54 -'!$F24,B24:E24)</f>
        <v>22268601</v>
      </c>
    </row>
    <row r="25" spans="1:6" ht="14.1" customHeight="1" x14ac:dyDescent="0.2">
      <c r="A25" s="271" t="s">
        <v>121</v>
      </c>
      <c r="B25" s="272">
        <v>19802861</v>
      </c>
      <c r="C25" s="272">
        <v>0</v>
      </c>
      <c r="D25" s="272">
        <v>0</v>
      </c>
      <c r="E25" s="272">
        <v>572220</v>
      </c>
      <c r="F25" s="272">
        <f>SUM('- 52 -'!$G25,'- 54 -'!$F25,B25:E25)</f>
        <v>81252115</v>
      </c>
    </row>
    <row r="26" spans="1:6" ht="14.1" customHeight="1" x14ac:dyDescent="0.2">
      <c r="A26" s="15" t="s">
        <v>122</v>
      </c>
      <c r="B26" s="16">
        <v>6581394</v>
      </c>
      <c r="C26" s="16">
        <v>719357</v>
      </c>
      <c r="D26" s="16">
        <v>0</v>
      </c>
      <c r="E26" s="16">
        <v>293300</v>
      </c>
      <c r="F26" s="16">
        <f>SUM('- 52 -'!$G26,'- 54 -'!$F26,B26:E26)</f>
        <v>22129939</v>
      </c>
    </row>
    <row r="27" spans="1:6" ht="14.1" customHeight="1" x14ac:dyDescent="0.2">
      <c r="A27" s="271" t="s">
        <v>123</v>
      </c>
      <c r="B27" s="272">
        <v>13590131</v>
      </c>
      <c r="C27" s="272">
        <v>3841201</v>
      </c>
      <c r="D27" s="272">
        <v>0</v>
      </c>
      <c r="E27" s="272">
        <v>119860</v>
      </c>
      <c r="F27" s="272">
        <f>SUM('- 52 -'!$G27,'- 54 -'!$F27,B27:E27)</f>
        <v>31826422</v>
      </c>
    </row>
    <row r="28" spans="1:6" ht="14.1" customHeight="1" x14ac:dyDescent="0.2">
      <c r="A28" s="15" t="s">
        <v>124</v>
      </c>
      <c r="B28" s="16">
        <v>161343</v>
      </c>
      <c r="C28" s="16">
        <v>0</v>
      </c>
      <c r="D28" s="16">
        <v>1611080</v>
      </c>
      <c r="E28" s="16">
        <v>137800</v>
      </c>
      <c r="F28" s="16">
        <f>SUM('- 52 -'!$G28,'- 54 -'!$F28,B28:E28)</f>
        <v>9917684</v>
      </c>
    </row>
    <row r="29" spans="1:6" ht="14.1" customHeight="1" x14ac:dyDescent="0.2">
      <c r="A29" s="271" t="s">
        <v>125</v>
      </c>
      <c r="B29" s="272">
        <v>3003636</v>
      </c>
      <c r="C29" s="272">
        <v>0</v>
      </c>
      <c r="D29" s="272">
        <v>0</v>
      </c>
      <c r="E29" s="272">
        <v>422960</v>
      </c>
      <c r="F29" s="272">
        <f>SUM('- 52 -'!$G29,'- 54 -'!$F29,B29:E29)</f>
        <v>59652553</v>
      </c>
    </row>
    <row r="30" spans="1:6" ht="14.1" customHeight="1" x14ac:dyDescent="0.2">
      <c r="A30" s="15" t="s">
        <v>126</v>
      </c>
      <c r="B30" s="16">
        <v>860082</v>
      </c>
      <c r="C30" s="16">
        <v>0</v>
      </c>
      <c r="D30" s="16">
        <v>585726</v>
      </c>
      <c r="E30" s="16">
        <v>94720</v>
      </c>
      <c r="F30" s="16">
        <f>SUM('- 52 -'!$G30,'- 54 -'!$F30,B30:E30)</f>
        <v>6990538</v>
      </c>
    </row>
    <row r="31" spans="1:6" ht="14.1" customHeight="1" x14ac:dyDescent="0.2">
      <c r="A31" s="271" t="s">
        <v>127</v>
      </c>
      <c r="B31" s="272">
        <v>4802490</v>
      </c>
      <c r="C31" s="272">
        <v>0</v>
      </c>
      <c r="D31" s="272">
        <v>0</v>
      </c>
      <c r="E31" s="272">
        <v>175060</v>
      </c>
      <c r="F31" s="272">
        <f>SUM('- 52 -'!$G31,'- 54 -'!$F31,B31:E31)</f>
        <v>18596497</v>
      </c>
    </row>
    <row r="32" spans="1:6" ht="14.1" customHeight="1" x14ac:dyDescent="0.2">
      <c r="A32" s="15" t="s">
        <v>128</v>
      </c>
      <c r="B32" s="16">
        <v>74949</v>
      </c>
      <c r="C32" s="16">
        <v>0</v>
      </c>
      <c r="D32" s="16">
        <v>543069</v>
      </c>
      <c r="E32" s="16">
        <v>160960</v>
      </c>
      <c r="F32" s="16">
        <f>SUM('- 52 -'!$G32,'- 54 -'!$F32,B32:E32)</f>
        <v>11967227</v>
      </c>
    </row>
    <row r="33" spans="1:6" ht="14.1" customHeight="1" x14ac:dyDescent="0.2">
      <c r="A33" s="271" t="s">
        <v>129</v>
      </c>
      <c r="B33" s="272">
        <v>0</v>
      </c>
      <c r="C33" s="272">
        <v>0</v>
      </c>
      <c r="D33" s="272">
        <v>2039084</v>
      </c>
      <c r="E33" s="272">
        <v>196260</v>
      </c>
      <c r="F33" s="272">
        <f>SUM('- 52 -'!$G33,'- 54 -'!$F33,B33:E33)</f>
        <v>13057190</v>
      </c>
    </row>
    <row r="34" spans="1:6" ht="14.1" customHeight="1" x14ac:dyDescent="0.2">
      <c r="A34" s="15" t="s">
        <v>130</v>
      </c>
      <c r="B34" s="16">
        <v>0</v>
      </c>
      <c r="C34" s="16">
        <v>0</v>
      </c>
      <c r="D34" s="16">
        <v>380791</v>
      </c>
      <c r="E34" s="16">
        <v>113720</v>
      </c>
      <c r="F34" s="16">
        <f>SUM('- 52 -'!$G34,'- 54 -'!$F34,B34:E34)</f>
        <v>11620166</v>
      </c>
    </row>
    <row r="35" spans="1:6" ht="14.1" customHeight="1" x14ac:dyDescent="0.2">
      <c r="A35" s="271" t="s">
        <v>131</v>
      </c>
      <c r="B35" s="272">
        <v>28055426</v>
      </c>
      <c r="C35" s="272">
        <v>3036165</v>
      </c>
      <c r="D35" s="272">
        <v>0</v>
      </c>
      <c r="E35" s="272">
        <v>696240</v>
      </c>
      <c r="F35" s="272">
        <f>SUM('- 52 -'!$G35,'- 54 -'!$F35,B35:E35)</f>
        <v>97774175</v>
      </c>
    </row>
    <row r="36" spans="1:6" ht="14.1" customHeight="1" x14ac:dyDescent="0.2">
      <c r="A36" s="15" t="s">
        <v>132</v>
      </c>
      <c r="B36" s="16">
        <v>477734</v>
      </c>
      <c r="C36" s="16">
        <v>0</v>
      </c>
      <c r="D36" s="16">
        <v>858501</v>
      </c>
      <c r="E36" s="16">
        <v>133260</v>
      </c>
      <c r="F36" s="16">
        <f>SUM('- 52 -'!$G36,'- 54 -'!$F36,B36:E36)</f>
        <v>9413066</v>
      </c>
    </row>
    <row r="37" spans="1:6" ht="14.1" customHeight="1" x14ac:dyDescent="0.2">
      <c r="A37" s="271" t="s">
        <v>133</v>
      </c>
      <c r="B37" s="272">
        <v>10479442</v>
      </c>
      <c r="C37" s="272">
        <v>0</v>
      </c>
      <c r="D37" s="272">
        <v>0</v>
      </c>
      <c r="E37" s="272">
        <v>149020</v>
      </c>
      <c r="F37" s="272">
        <f>SUM('- 52 -'!$G37,'- 54 -'!$F37,B37:E37)</f>
        <v>30052155</v>
      </c>
    </row>
    <row r="38" spans="1:6" ht="14.1" customHeight="1" x14ac:dyDescent="0.2">
      <c r="A38" s="15" t="s">
        <v>134</v>
      </c>
      <c r="B38" s="16">
        <v>30080568</v>
      </c>
      <c r="C38" s="16">
        <v>4111702</v>
      </c>
      <c r="D38" s="16">
        <v>0</v>
      </c>
      <c r="E38" s="16">
        <v>340660</v>
      </c>
      <c r="F38" s="16">
        <f>SUM('- 52 -'!$G38,'- 54 -'!$F38,B38:E38)</f>
        <v>78892543</v>
      </c>
    </row>
    <row r="39" spans="1:6" ht="14.1" customHeight="1" x14ac:dyDescent="0.2">
      <c r="A39" s="271" t="s">
        <v>135</v>
      </c>
      <c r="B39" s="272">
        <v>0</v>
      </c>
      <c r="C39" s="272">
        <v>0</v>
      </c>
      <c r="D39" s="272">
        <v>858058</v>
      </c>
      <c r="E39" s="272">
        <v>110040</v>
      </c>
      <c r="F39" s="272">
        <f>SUM('- 52 -'!$G39,'- 54 -'!$F39,B39:E39)</f>
        <v>8465227</v>
      </c>
    </row>
    <row r="40" spans="1:6" ht="14.1" customHeight="1" x14ac:dyDescent="0.2">
      <c r="A40" s="15" t="s">
        <v>136</v>
      </c>
      <c r="B40" s="16">
        <v>3800705</v>
      </c>
      <c r="C40" s="16">
        <v>0</v>
      </c>
      <c r="D40" s="16">
        <v>0</v>
      </c>
      <c r="E40" s="16">
        <v>538880</v>
      </c>
      <c r="F40" s="16">
        <f>SUM('- 52 -'!$G40,'- 54 -'!$F40,B40:E40)</f>
        <v>37910311</v>
      </c>
    </row>
    <row r="41" spans="1:6" ht="14.1" customHeight="1" x14ac:dyDescent="0.2">
      <c r="A41" s="271" t="s">
        <v>137</v>
      </c>
      <c r="B41" s="272">
        <v>4165093</v>
      </c>
      <c r="C41" s="272">
        <v>0</v>
      </c>
      <c r="D41" s="272">
        <v>0</v>
      </c>
      <c r="E41" s="272">
        <v>216060</v>
      </c>
      <c r="F41" s="272">
        <f>SUM('- 52 -'!$G41,'- 54 -'!$F41,B41:E41)</f>
        <v>25538466</v>
      </c>
    </row>
    <row r="42" spans="1:6" ht="14.1" customHeight="1" x14ac:dyDescent="0.2">
      <c r="A42" s="15" t="s">
        <v>138</v>
      </c>
      <c r="B42" s="16">
        <v>2732961</v>
      </c>
      <c r="C42" s="16">
        <v>557431</v>
      </c>
      <c r="D42" s="16">
        <v>505823</v>
      </c>
      <c r="E42" s="16">
        <v>129480</v>
      </c>
      <c r="F42" s="16">
        <f>SUM('- 52 -'!$G42,'- 54 -'!$F42,B42:E42)</f>
        <v>10868035</v>
      </c>
    </row>
    <row r="43" spans="1:6" ht="14.1" customHeight="1" x14ac:dyDescent="0.2">
      <c r="A43" s="271" t="s">
        <v>139</v>
      </c>
      <c r="B43" s="272">
        <v>253533</v>
      </c>
      <c r="C43" s="272">
        <v>0</v>
      </c>
      <c r="D43" s="272">
        <v>526920</v>
      </c>
      <c r="E43" s="272">
        <v>61080</v>
      </c>
      <c r="F43" s="272">
        <f>SUM('- 52 -'!$G43,'- 54 -'!$F43,B43:E43)</f>
        <v>5595698</v>
      </c>
    </row>
    <row r="44" spans="1:6" ht="14.1" customHeight="1" x14ac:dyDescent="0.2">
      <c r="A44" s="15" t="s">
        <v>140</v>
      </c>
      <c r="B44" s="16">
        <v>2183991</v>
      </c>
      <c r="C44" s="16">
        <v>434059</v>
      </c>
      <c r="D44" s="16">
        <v>0</v>
      </c>
      <c r="E44" s="16">
        <v>67720</v>
      </c>
      <c r="F44" s="16">
        <f>SUM('- 52 -'!$G44,'- 54 -'!$F44,B44:E44)</f>
        <v>6997282</v>
      </c>
    </row>
    <row r="45" spans="1:6" ht="14.1" customHeight="1" x14ac:dyDescent="0.2">
      <c r="A45" s="271" t="s">
        <v>141</v>
      </c>
      <c r="B45" s="272">
        <v>4198960</v>
      </c>
      <c r="C45" s="272">
        <v>0</v>
      </c>
      <c r="D45" s="272">
        <v>0</v>
      </c>
      <c r="E45" s="272">
        <v>46520</v>
      </c>
      <c r="F45" s="272">
        <f>SUM('- 52 -'!$G45,'- 54 -'!$F45,B45:E45)</f>
        <v>11878874</v>
      </c>
    </row>
    <row r="46" spans="1:6" ht="14.1" customHeight="1" x14ac:dyDescent="0.2">
      <c r="A46" s="15" t="s">
        <v>142</v>
      </c>
      <c r="B46" s="16">
        <v>52817961</v>
      </c>
      <c r="C46" s="16">
        <v>4863665</v>
      </c>
      <c r="D46" s="16">
        <v>0</v>
      </c>
      <c r="E46" s="16">
        <v>1349220</v>
      </c>
      <c r="F46" s="16">
        <f>SUM('- 52 -'!$G46,'- 54 -'!$F46,B46:E46)</f>
        <v>185167789</v>
      </c>
    </row>
    <row r="47" spans="1:6" ht="5.0999999999999996" customHeight="1" x14ac:dyDescent="0.2">
      <c r="A47"/>
      <c r="B47"/>
      <c r="C47"/>
      <c r="D47"/>
      <c r="E47" s="507"/>
      <c r="F47"/>
    </row>
    <row r="48" spans="1:6" ht="14.1" customHeight="1" x14ac:dyDescent="0.2">
      <c r="A48" s="274" t="s">
        <v>143</v>
      </c>
      <c r="B48" s="275">
        <f>SUM(B11:B46)</f>
        <v>294071903</v>
      </c>
      <c r="C48" s="275">
        <f>SUM(C11:C46)</f>
        <v>23922974</v>
      </c>
      <c r="D48" s="275">
        <f>SUM(D11:D46)</f>
        <v>9303934</v>
      </c>
      <c r="E48" s="275">
        <f>SUM(E11:E46)</f>
        <v>8612631</v>
      </c>
      <c r="F48" s="275">
        <f>SUM(F11:F46)</f>
        <v>1099776843</v>
      </c>
    </row>
    <row r="49" spans="1:6" ht="5.0999999999999996" customHeight="1" x14ac:dyDescent="0.2">
      <c r="A49" s="17" t="s">
        <v>1</v>
      </c>
      <c r="B49" s="18"/>
      <c r="C49" s="18"/>
      <c r="D49" s="18"/>
      <c r="E49" s="18"/>
      <c r="F49" s="18"/>
    </row>
    <row r="50" spans="1:6" ht="14.45" customHeight="1" x14ac:dyDescent="0.2">
      <c r="A50" s="15" t="s">
        <v>144</v>
      </c>
      <c r="B50" s="16">
        <v>0</v>
      </c>
      <c r="C50" s="16">
        <v>0</v>
      </c>
      <c r="D50" s="16">
        <v>119959</v>
      </c>
      <c r="E50" s="16">
        <v>0</v>
      </c>
      <c r="F50" s="16">
        <f>SUM('- 52 -'!$G50,'- 54 -'!$F50,B50:E50)</f>
        <v>878779</v>
      </c>
    </row>
    <row r="51" spans="1:6" ht="14.1" customHeight="1" x14ac:dyDescent="0.2">
      <c r="A51" s="360" t="s">
        <v>513</v>
      </c>
      <c r="B51" s="272">
        <v>0</v>
      </c>
      <c r="C51" s="272">
        <v>0</v>
      </c>
      <c r="D51" s="272">
        <v>0</v>
      </c>
      <c r="E51" s="272">
        <v>0</v>
      </c>
      <c r="F51" s="272">
        <f>SUM('- 52 -'!$G51,'- 54 -'!$F51,B51:E51)</f>
        <v>0</v>
      </c>
    </row>
    <row r="52" spans="1:6" ht="50.1" customHeight="1" x14ac:dyDescent="0.2">
      <c r="A52" s="19"/>
      <c r="B52" s="19"/>
      <c r="C52" s="19"/>
      <c r="D52" s="19"/>
      <c r="E52" s="19"/>
      <c r="F52" s="19"/>
    </row>
    <row r="53" spans="1:6" x14ac:dyDescent="0.2">
      <c r="A53" s="791" t="s">
        <v>497</v>
      </c>
      <c r="B53" s="791"/>
      <c r="C53" s="791"/>
      <c r="D53" s="791"/>
      <c r="E53" s="791"/>
      <c r="F53" s="791"/>
    </row>
    <row r="54" spans="1:6" ht="12" customHeight="1" x14ac:dyDescent="0.2">
      <c r="A54" s="792"/>
      <c r="B54" s="792"/>
      <c r="C54" s="792"/>
      <c r="D54" s="792"/>
      <c r="E54" s="792"/>
      <c r="F54" s="792"/>
    </row>
    <row r="55" spans="1:6" ht="12" customHeight="1" x14ac:dyDescent="0.2">
      <c r="A55" s="793" t="str">
        <f>"(2)  Additional Equalization is provided to specifically assist school divisions or districts that have both higher than average tax effort and lower
       than average assessment per pupil. Please see "&amp;'- 60 -'!C9&amp;" Funding of Schools Booklet for more information."</f>
        <v>(2)  Additional Equalization is provided to specifically assist school divisions or districts that have both higher than average tax effort and lower
       than average assessment per pupil. Please see 2020/21 Funding of Schools Booklet for more information.</v>
      </c>
      <c r="B55" s="793"/>
      <c r="C55" s="793"/>
      <c r="D55" s="793"/>
      <c r="E55" s="793"/>
      <c r="F55" s="793"/>
    </row>
    <row r="56" spans="1:6" ht="12" customHeight="1" x14ac:dyDescent="0.2">
      <c r="A56" s="793"/>
      <c r="B56" s="793"/>
      <c r="C56" s="793"/>
      <c r="D56" s="793"/>
      <c r="E56" s="793"/>
      <c r="F56" s="793"/>
    </row>
    <row r="57" spans="1:6" ht="12" customHeight="1" x14ac:dyDescent="0.2">
      <c r="A57" s="356" t="s">
        <v>608</v>
      </c>
    </row>
    <row r="58" spans="1:6" ht="12" customHeight="1" x14ac:dyDescent="0.2">
      <c r="A58" s="2" t="s">
        <v>578</v>
      </c>
    </row>
    <row r="59" spans="1:6" ht="14.45" customHeight="1" x14ac:dyDescent="0.2"/>
  </sheetData>
  <mergeCells count="9">
    <mergeCell ref="A53:F54"/>
    <mergeCell ref="A55:F56"/>
    <mergeCell ref="B5:F5"/>
    <mergeCell ref="B6:F6"/>
    <mergeCell ref="B8:B9"/>
    <mergeCell ref="C7:C9"/>
    <mergeCell ref="D8: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AY62"/>
  <sheetViews>
    <sheetView showGridLines="0" showZeros="0" workbookViewId="0"/>
  </sheetViews>
  <sheetFormatPr defaultColWidth="14.83203125" defaultRowHeight="12" x14ac:dyDescent="0.2"/>
  <cols>
    <col min="1" max="1" width="32.83203125" style="1" customWidth="1"/>
    <col min="2" max="4" width="22.6640625" style="1" customWidth="1"/>
    <col min="5" max="5" width="14.83203125" style="1" hidden="1" customWidth="1"/>
    <col min="6" max="6" width="32.83203125" style="1" customWidth="1"/>
    <col min="7" max="16384" width="14.83203125" style="1"/>
  </cols>
  <sheetData>
    <row r="1" spans="1:51" ht="6.95" customHeight="1" x14ac:dyDescent="0.2">
      <c r="A1" s="3"/>
      <c r="B1" s="4"/>
    </row>
    <row r="2" spans="1:51" ht="18" customHeight="1" x14ac:dyDescent="0.2">
      <c r="A2" s="219"/>
      <c r="B2" s="797" t="s">
        <v>597</v>
      </c>
      <c r="C2" s="798"/>
      <c r="D2" s="798"/>
      <c r="E2" s="364"/>
      <c r="F2" s="364" t="s">
        <v>226</v>
      </c>
      <c r="AX2" s="482" t="str">
        <f>"ADMINISTRATION EXPENSES (1) "&amp;YEAR&amp;"/"&amp;YEAR+1&amp;" BUDGET"</f>
        <v>ADMINISTRATION EXPENSES (1) 2020/2021 BUDGET</v>
      </c>
      <c r="AY2" s="456" t="str">
        <f>"DÉPENSES ADMINISTRATIVES (1) – BUDGET "&amp;YEAR&amp;" - "&amp;YEAR+1</f>
        <v>DÉPENSES ADMINISTRATIVES (1) – BUDGET 2020 - 2021</v>
      </c>
    </row>
    <row r="3" spans="1:51" ht="3.95" customHeight="1" x14ac:dyDescent="0.2">
      <c r="A3" s="220"/>
      <c r="B3" s="221"/>
      <c r="C3" s="221"/>
      <c r="D3" s="228"/>
    </row>
    <row r="4" spans="1:51" ht="15" customHeight="1" x14ac:dyDescent="0.2">
      <c r="A4" s="220"/>
      <c r="B4" s="164"/>
    </row>
    <row r="5" spans="1:51" ht="14.1" customHeight="1" x14ac:dyDescent="0.2">
      <c r="A5" s="224"/>
      <c r="B5" s="799" t="s">
        <v>546</v>
      </c>
      <c r="C5" s="800"/>
      <c r="D5" s="801"/>
    </row>
    <row r="6" spans="1:51" ht="14.1" customHeight="1" x14ac:dyDescent="0.2">
      <c r="A6" s="224"/>
      <c r="B6" s="226"/>
      <c r="C6" s="738" t="s">
        <v>545</v>
      </c>
      <c r="D6" s="226"/>
    </row>
    <row r="7" spans="1:51" ht="18.75" customHeight="1" x14ac:dyDescent="0.2">
      <c r="A7" s="224"/>
      <c r="B7" s="226"/>
      <c r="C7" s="786"/>
      <c r="D7" s="226"/>
    </row>
    <row r="8" spans="1:51" ht="14.1" customHeight="1" x14ac:dyDescent="0.2">
      <c r="A8" s="224"/>
      <c r="B8" s="786" t="s">
        <v>544</v>
      </c>
      <c r="C8" s="786"/>
      <c r="D8" s="786" t="s">
        <v>547</v>
      </c>
    </row>
    <row r="9" spans="1:51" ht="14.1" customHeight="1" x14ac:dyDescent="0.2">
      <c r="A9" s="12"/>
      <c r="B9" s="786"/>
      <c r="C9" s="786"/>
      <c r="D9" s="786"/>
    </row>
    <row r="10" spans="1:51" ht="14.1" customHeight="1" x14ac:dyDescent="0.2">
      <c r="A10" s="13" t="s">
        <v>37</v>
      </c>
      <c r="B10" s="787"/>
      <c r="C10" s="787"/>
      <c r="D10" s="787"/>
      <c r="F10" s="128"/>
    </row>
    <row r="11" spans="1:51" ht="5.0999999999999996" customHeight="1" x14ac:dyDescent="0.2">
      <c r="A11" s="14"/>
    </row>
    <row r="12" spans="1:51" ht="13.5" customHeight="1" x14ac:dyDescent="0.2">
      <c r="A12" s="271" t="s">
        <v>108</v>
      </c>
      <c r="B12" s="272">
        <v>663261</v>
      </c>
      <c r="C12" s="272">
        <f>-Data!M11-Data!N11-Data!O11-Data!P11</f>
        <v>-30000</v>
      </c>
      <c r="D12" s="272">
        <f>SUM(B12:C12)</f>
        <v>633261</v>
      </c>
      <c r="E12" s="329">
        <v>633261</v>
      </c>
      <c r="F12" s="1">
        <f>D12-E12</f>
        <v>0</v>
      </c>
    </row>
    <row r="13" spans="1:51" ht="13.5" customHeight="1" x14ac:dyDescent="0.2">
      <c r="A13" s="15" t="s">
        <v>109</v>
      </c>
      <c r="B13" s="16">
        <v>1134280</v>
      </c>
      <c r="C13" s="16">
        <f>-Data!M12-Data!N12-Data!O12-Data!P12</f>
        <v>-36000</v>
      </c>
      <c r="D13" s="16">
        <f t="shared" ref="D13:D47" si="0">SUM(B13:C13)</f>
        <v>1098280</v>
      </c>
      <c r="E13" s="330">
        <v>1098280</v>
      </c>
      <c r="F13" s="1">
        <f t="shared" ref="F13:F49" si="1">D13-E13</f>
        <v>0</v>
      </c>
    </row>
    <row r="14" spans="1:51" ht="13.5" customHeight="1" x14ac:dyDescent="0.2">
      <c r="A14" s="271" t="s">
        <v>110</v>
      </c>
      <c r="B14" s="272">
        <v>3031700</v>
      </c>
      <c r="C14" s="272">
        <f>-Data!M13-Data!N13-Data!O13-Data!P13</f>
        <v>-95700</v>
      </c>
      <c r="D14" s="272">
        <f t="shared" si="0"/>
        <v>2936000</v>
      </c>
      <c r="E14" s="329">
        <v>2936000</v>
      </c>
      <c r="F14" s="1">
        <f t="shared" si="1"/>
        <v>0</v>
      </c>
    </row>
    <row r="15" spans="1:51" ht="13.5" customHeight="1" x14ac:dyDescent="0.2">
      <c r="A15" s="15" t="s">
        <v>319</v>
      </c>
      <c r="B15" s="16"/>
      <c r="C15" s="16">
        <f>-Data!M14-Data!N14-Data!O14</f>
        <v>0</v>
      </c>
      <c r="D15" s="16"/>
      <c r="E15" s="330"/>
      <c r="F15" s="1">
        <f t="shared" si="1"/>
        <v>0</v>
      </c>
    </row>
    <row r="16" spans="1:51" ht="13.5" customHeight="1" x14ac:dyDescent="0.2">
      <c r="A16" s="271" t="s">
        <v>111</v>
      </c>
      <c r="B16" s="272">
        <v>767474</v>
      </c>
      <c r="C16" s="272">
        <f>-Data!M15-Data!N15-Data!O15-Data!P15</f>
        <v>-25000</v>
      </c>
      <c r="D16" s="272">
        <f t="shared" si="0"/>
        <v>742474</v>
      </c>
      <c r="E16" s="329">
        <v>742474</v>
      </c>
      <c r="F16" s="1">
        <f t="shared" si="1"/>
        <v>0</v>
      </c>
    </row>
    <row r="17" spans="1:6" ht="13.5" customHeight="1" x14ac:dyDescent="0.2">
      <c r="A17" s="15" t="s">
        <v>112</v>
      </c>
      <c r="B17" s="16">
        <v>612468</v>
      </c>
      <c r="C17" s="16">
        <f>-Data!M16-Data!N16-Data!O16-Data!P16</f>
        <v>-27000</v>
      </c>
      <c r="D17" s="16">
        <f t="shared" si="0"/>
        <v>585468</v>
      </c>
      <c r="E17" s="330">
        <v>585468</v>
      </c>
      <c r="F17" s="1">
        <f t="shared" si="1"/>
        <v>0</v>
      </c>
    </row>
    <row r="18" spans="1:6" ht="13.5" customHeight="1" x14ac:dyDescent="0.2">
      <c r="A18" s="271" t="s">
        <v>113</v>
      </c>
      <c r="B18" s="272">
        <v>699205</v>
      </c>
      <c r="C18" s="272">
        <f>-Data!M17-Data!N17-Data!O17-Data!P17</f>
        <v>-47500</v>
      </c>
      <c r="D18" s="272">
        <f t="shared" si="0"/>
        <v>651705</v>
      </c>
      <c r="E18" s="329">
        <v>651705</v>
      </c>
      <c r="F18" s="1">
        <f t="shared" si="1"/>
        <v>0</v>
      </c>
    </row>
    <row r="19" spans="1:6" ht="13.5" customHeight="1" x14ac:dyDescent="0.2">
      <c r="A19" s="15" t="s">
        <v>114</v>
      </c>
      <c r="B19" s="16"/>
      <c r="C19" s="16">
        <f>-Data!M18-Data!N18-Data!O18</f>
        <v>0</v>
      </c>
      <c r="D19" s="16"/>
      <c r="E19" s="330"/>
      <c r="F19" s="1">
        <f t="shared" si="1"/>
        <v>0</v>
      </c>
    </row>
    <row r="20" spans="1:6" ht="13.5" customHeight="1" x14ac:dyDescent="0.2">
      <c r="A20" s="271" t="s">
        <v>115</v>
      </c>
      <c r="B20" s="272">
        <v>1568400</v>
      </c>
      <c r="C20" s="272">
        <f>-Data!M19-Data!N19-Data!O19-Data!P19</f>
        <v>-39000</v>
      </c>
      <c r="D20" s="272">
        <f t="shared" si="0"/>
        <v>1529400</v>
      </c>
      <c r="E20" s="329">
        <v>1529400</v>
      </c>
      <c r="F20" s="1">
        <f t="shared" si="1"/>
        <v>0</v>
      </c>
    </row>
    <row r="21" spans="1:6" ht="13.5" customHeight="1" x14ac:dyDescent="0.2">
      <c r="A21" s="15" t="s">
        <v>116</v>
      </c>
      <c r="B21" s="16">
        <v>2308800</v>
      </c>
      <c r="C21" s="16">
        <f>-Data!M20-Data!N20-Data!O20-Data!P20</f>
        <v>-58500</v>
      </c>
      <c r="D21" s="16">
        <f t="shared" si="0"/>
        <v>2250300</v>
      </c>
      <c r="E21" s="330">
        <v>2250300</v>
      </c>
      <c r="F21" s="1">
        <f t="shared" si="1"/>
        <v>0</v>
      </c>
    </row>
    <row r="22" spans="1:6" ht="13.5" customHeight="1" x14ac:dyDescent="0.2">
      <c r="A22" s="271" t="s">
        <v>117</v>
      </c>
      <c r="B22" s="272">
        <v>1305000</v>
      </c>
      <c r="C22" s="272">
        <f>-Data!M21-Data!N21-Data!O21-Data!P21</f>
        <v>-42000</v>
      </c>
      <c r="D22" s="272">
        <f t="shared" si="0"/>
        <v>1263000</v>
      </c>
      <c r="E22" s="329">
        <v>1263000</v>
      </c>
      <c r="F22" s="1">
        <f t="shared" si="1"/>
        <v>0</v>
      </c>
    </row>
    <row r="23" spans="1:6" ht="13.5" customHeight="1" x14ac:dyDescent="0.2">
      <c r="A23" s="15" t="s">
        <v>118</v>
      </c>
      <c r="B23" s="16">
        <v>861685</v>
      </c>
      <c r="C23" s="16">
        <f>-Data!M22-Data!N22-Data!O22-Data!P22</f>
        <v>-33000</v>
      </c>
      <c r="D23" s="16">
        <f t="shared" si="0"/>
        <v>828685</v>
      </c>
      <c r="E23" s="330">
        <v>828685</v>
      </c>
      <c r="F23" s="1">
        <f t="shared" si="1"/>
        <v>0</v>
      </c>
    </row>
    <row r="24" spans="1:6" ht="13.5" customHeight="1" x14ac:dyDescent="0.2">
      <c r="A24" s="271" t="s">
        <v>119</v>
      </c>
      <c r="B24" s="272">
        <v>576450</v>
      </c>
      <c r="C24" s="272">
        <f>-Data!M23-Data!N23-Data!O23-Data!P23</f>
        <v>-28500</v>
      </c>
      <c r="D24" s="272">
        <f t="shared" si="0"/>
        <v>547950</v>
      </c>
      <c r="E24" s="329">
        <v>547950</v>
      </c>
      <c r="F24" s="1">
        <f t="shared" si="1"/>
        <v>0</v>
      </c>
    </row>
    <row r="25" spans="1:6" ht="13.5" customHeight="1" x14ac:dyDescent="0.2">
      <c r="A25" s="15" t="s">
        <v>120</v>
      </c>
      <c r="B25" s="16">
        <v>1864693</v>
      </c>
      <c r="C25" s="16">
        <f>-Data!M24-Data!N24-Data!O24-Data!P24</f>
        <v>-61500</v>
      </c>
      <c r="D25" s="16">
        <f t="shared" si="0"/>
        <v>1803193</v>
      </c>
      <c r="E25" s="330">
        <v>1803193</v>
      </c>
      <c r="F25" s="1">
        <f t="shared" si="1"/>
        <v>0</v>
      </c>
    </row>
    <row r="26" spans="1:6" ht="13.5" customHeight="1" x14ac:dyDescent="0.2">
      <c r="A26" s="271" t="s">
        <v>121</v>
      </c>
      <c r="B26" s="272">
        <v>6210416</v>
      </c>
      <c r="C26" s="272">
        <f>-Data!M25-Data!N25-Data!O25-Data!P25</f>
        <v>-1090632</v>
      </c>
      <c r="D26" s="272">
        <f t="shared" si="0"/>
        <v>5119784</v>
      </c>
      <c r="E26" s="329">
        <v>5119784</v>
      </c>
      <c r="F26" s="1">
        <f t="shared" si="1"/>
        <v>0</v>
      </c>
    </row>
    <row r="27" spans="1:6" ht="13.5" customHeight="1" x14ac:dyDescent="0.2">
      <c r="A27" s="15" t="s">
        <v>122</v>
      </c>
      <c r="B27" s="16">
        <v>1371046</v>
      </c>
      <c r="C27" s="16">
        <f>-Data!M26-Data!N26-Data!O26-Data!P26</f>
        <v>-44000</v>
      </c>
      <c r="D27" s="16">
        <f t="shared" si="0"/>
        <v>1327046</v>
      </c>
      <c r="E27" s="330">
        <v>1327046</v>
      </c>
      <c r="F27" s="1">
        <f t="shared" si="1"/>
        <v>0</v>
      </c>
    </row>
    <row r="28" spans="1:6" ht="13.5" customHeight="1" x14ac:dyDescent="0.2">
      <c r="A28" s="271" t="s">
        <v>123</v>
      </c>
      <c r="B28" s="272">
        <v>1798574</v>
      </c>
      <c r="C28" s="272">
        <f>-Data!M27-Data!N27-Data!O27-Data!P27</f>
        <v>-70000</v>
      </c>
      <c r="D28" s="272">
        <f t="shared" si="0"/>
        <v>1728574</v>
      </c>
      <c r="E28" s="329">
        <v>1728574</v>
      </c>
      <c r="F28" s="1">
        <f t="shared" si="1"/>
        <v>0</v>
      </c>
    </row>
    <row r="29" spans="1:6" ht="13.5" customHeight="1" x14ac:dyDescent="0.2">
      <c r="A29" s="15" t="s">
        <v>124</v>
      </c>
      <c r="B29" s="16">
        <v>1103136</v>
      </c>
      <c r="C29" s="16">
        <f>-Data!M28-Data!N28-Data!O28-Data!P28</f>
        <v>-282516</v>
      </c>
      <c r="D29" s="16">
        <f t="shared" si="0"/>
        <v>820620</v>
      </c>
      <c r="E29" s="330">
        <v>820620</v>
      </c>
      <c r="F29" s="1">
        <f t="shared" si="1"/>
        <v>0</v>
      </c>
    </row>
    <row r="30" spans="1:6" ht="13.5" customHeight="1" x14ac:dyDescent="0.2">
      <c r="A30" s="271" t="s">
        <v>125</v>
      </c>
      <c r="B30" s="272">
        <v>5396179</v>
      </c>
      <c r="C30" s="272">
        <f>-Data!M29-Data!N29-Data!O29-Data!P29</f>
        <v>-1017397</v>
      </c>
      <c r="D30" s="272">
        <f t="shared" si="0"/>
        <v>4378782</v>
      </c>
      <c r="E30" s="329">
        <v>4378782</v>
      </c>
      <c r="F30" s="1">
        <f t="shared" si="1"/>
        <v>0</v>
      </c>
    </row>
    <row r="31" spans="1:6" ht="13.5" customHeight="1" x14ac:dyDescent="0.2">
      <c r="A31" s="15" t="s">
        <v>126</v>
      </c>
      <c r="B31" s="16">
        <v>540432</v>
      </c>
      <c r="C31" s="16">
        <f>-Data!M30-Data!N30-Data!O30-Data!P30</f>
        <v>-22000</v>
      </c>
      <c r="D31" s="16">
        <f t="shared" si="0"/>
        <v>518432</v>
      </c>
      <c r="E31" s="330">
        <v>518432</v>
      </c>
      <c r="F31" s="1">
        <f t="shared" si="1"/>
        <v>0</v>
      </c>
    </row>
    <row r="32" spans="1:6" ht="13.5" customHeight="1" x14ac:dyDescent="0.2">
      <c r="A32" s="271" t="s">
        <v>127</v>
      </c>
      <c r="B32" s="272">
        <v>1070110</v>
      </c>
      <c r="C32" s="272">
        <f>-Data!M31-Data!N31-Data!O31-Data!P31</f>
        <v>-50000</v>
      </c>
      <c r="D32" s="272">
        <f t="shared" si="0"/>
        <v>1020110</v>
      </c>
      <c r="E32" s="329">
        <v>1020110</v>
      </c>
      <c r="F32" s="1">
        <f t="shared" si="1"/>
        <v>0</v>
      </c>
    </row>
    <row r="33" spans="1:6" ht="13.5" customHeight="1" x14ac:dyDescent="0.2">
      <c r="A33" s="15" t="s">
        <v>128</v>
      </c>
      <c r="B33" s="16">
        <v>1067850</v>
      </c>
      <c r="C33" s="16">
        <f>-Data!M32-Data!N32-Data!O32-Data!P32</f>
        <v>-34000</v>
      </c>
      <c r="D33" s="16">
        <f t="shared" si="0"/>
        <v>1033850</v>
      </c>
      <c r="E33" s="330">
        <v>1033850</v>
      </c>
      <c r="F33" s="1">
        <f t="shared" si="1"/>
        <v>0</v>
      </c>
    </row>
    <row r="34" spans="1:6" ht="13.5" customHeight="1" x14ac:dyDescent="0.2">
      <c r="A34" s="271" t="s">
        <v>129</v>
      </c>
      <c r="B34" s="272">
        <v>847620</v>
      </c>
      <c r="C34" s="272">
        <f>-Data!M33-Data!N33-Data!O33-Data!P33</f>
        <v>-39000</v>
      </c>
      <c r="D34" s="272">
        <f t="shared" si="0"/>
        <v>808620</v>
      </c>
      <c r="E34" s="329">
        <v>808620</v>
      </c>
      <c r="F34" s="1">
        <f t="shared" si="1"/>
        <v>0</v>
      </c>
    </row>
    <row r="35" spans="1:6" ht="13.5" customHeight="1" x14ac:dyDescent="0.2">
      <c r="A35" s="15" t="s">
        <v>130</v>
      </c>
      <c r="B35" s="16">
        <v>1148774</v>
      </c>
      <c r="C35" s="16">
        <f>-Data!M34-Data!N34-Data!O34-Data!P34</f>
        <v>-47000</v>
      </c>
      <c r="D35" s="16">
        <f t="shared" si="0"/>
        <v>1101774</v>
      </c>
      <c r="E35" s="330">
        <v>1101774</v>
      </c>
      <c r="F35" s="1">
        <f t="shared" si="1"/>
        <v>0</v>
      </c>
    </row>
    <row r="36" spans="1:6" ht="13.5" customHeight="1" x14ac:dyDescent="0.2">
      <c r="A36" s="271" t="s">
        <v>131</v>
      </c>
      <c r="B36" s="272">
        <v>5049291</v>
      </c>
      <c r="C36" s="272">
        <f>-Data!M35-Data!N35-Data!O35-Data!P35</f>
        <v>-110000</v>
      </c>
      <c r="D36" s="272">
        <f t="shared" si="0"/>
        <v>4939291</v>
      </c>
      <c r="E36" s="329">
        <v>4939291</v>
      </c>
      <c r="F36" s="1">
        <f t="shared" si="1"/>
        <v>0</v>
      </c>
    </row>
    <row r="37" spans="1:6" ht="13.5" customHeight="1" x14ac:dyDescent="0.2">
      <c r="A37" s="15" t="s">
        <v>132</v>
      </c>
      <c r="B37" s="16">
        <v>881385</v>
      </c>
      <c r="C37" s="16">
        <f>-Data!M36-Data!N36-Data!O36-Data!P36</f>
        <v>-51100</v>
      </c>
      <c r="D37" s="16">
        <f t="shared" si="0"/>
        <v>830285</v>
      </c>
      <c r="E37" s="330">
        <v>830285</v>
      </c>
      <c r="F37" s="1">
        <f t="shared" si="1"/>
        <v>0</v>
      </c>
    </row>
    <row r="38" spans="1:6" ht="13.5" customHeight="1" x14ac:dyDescent="0.2">
      <c r="A38" s="271" t="s">
        <v>133</v>
      </c>
      <c r="B38" s="272">
        <v>1640300</v>
      </c>
      <c r="C38" s="272">
        <f>-Data!M37-Data!N37-Data!O37-Data!P37</f>
        <v>-54000</v>
      </c>
      <c r="D38" s="272">
        <f t="shared" si="0"/>
        <v>1586300</v>
      </c>
      <c r="E38" s="329">
        <v>1586300</v>
      </c>
      <c r="F38" s="1">
        <f t="shared" si="1"/>
        <v>0</v>
      </c>
    </row>
    <row r="39" spans="1:6" ht="13.5" customHeight="1" x14ac:dyDescent="0.2">
      <c r="A39" s="15" t="s">
        <v>134</v>
      </c>
      <c r="B39" s="16">
        <v>4174270</v>
      </c>
      <c r="C39" s="16">
        <f>-Data!M38-Data!N38-Data!O38-Data!P38</f>
        <v>-86500</v>
      </c>
      <c r="D39" s="16">
        <f t="shared" si="0"/>
        <v>4087770</v>
      </c>
      <c r="E39" s="330">
        <v>4087770</v>
      </c>
      <c r="F39" s="1">
        <f t="shared" si="1"/>
        <v>0</v>
      </c>
    </row>
    <row r="40" spans="1:6" ht="13.5" customHeight="1" x14ac:dyDescent="0.2">
      <c r="A40" s="271" t="s">
        <v>135</v>
      </c>
      <c r="B40" s="272">
        <v>810000</v>
      </c>
      <c r="C40" s="272">
        <f>-Data!M39-Data!N39-Data!O39-Data!P39</f>
        <v>-49000</v>
      </c>
      <c r="D40" s="272">
        <f t="shared" si="0"/>
        <v>761000</v>
      </c>
      <c r="E40" s="329">
        <v>761000</v>
      </c>
      <c r="F40" s="1">
        <f t="shared" si="1"/>
        <v>0</v>
      </c>
    </row>
    <row r="41" spans="1:6" ht="13.5" customHeight="1" x14ac:dyDescent="0.2">
      <c r="A41" s="15" t="s">
        <v>136</v>
      </c>
      <c r="B41" s="16">
        <v>3024679</v>
      </c>
      <c r="C41" s="16">
        <f>-Data!M40-Data!N40-Data!O40-Data!P40</f>
        <v>-342546</v>
      </c>
      <c r="D41" s="16">
        <f t="shared" si="0"/>
        <v>2682133</v>
      </c>
      <c r="E41" s="330">
        <v>2682133</v>
      </c>
      <c r="F41" s="1">
        <f t="shared" si="1"/>
        <v>0</v>
      </c>
    </row>
    <row r="42" spans="1:6" ht="13.5" customHeight="1" x14ac:dyDescent="0.2">
      <c r="A42" s="271" t="s">
        <v>137</v>
      </c>
      <c r="B42" s="272">
        <v>2096801</v>
      </c>
      <c r="C42" s="272">
        <f>-Data!M41-Data!N41-Data!O41-Data!P41</f>
        <v>-60000</v>
      </c>
      <c r="D42" s="272">
        <f t="shared" si="0"/>
        <v>2036801</v>
      </c>
      <c r="E42" s="329">
        <v>2036801</v>
      </c>
      <c r="F42" s="1">
        <f t="shared" si="1"/>
        <v>0</v>
      </c>
    </row>
    <row r="43" spans="1:6" ht="13.5" customHeight="1" x14ac:dyDescent="0.2">
      <c r="A43" s="15" t="s">
        <v>138</v>
      </c>
      <c r="B43" s="16">
        <v>765668</v>
      </c>
      <c r="C43" s="16">
        <f>-Data!M42-Data!N42-Data!O42-Data!P42</f>
        <v>-37676</v>
      </c>
      <c r="D43" s="16">
        <f t="shared" si="0"/>
        <v>727992</v>
      </c>
      <c r="E43" s="330">
        <v>727992</v>
      </c>
      <c r="F43" s="1">
        <f t="shared" si="1"/>
        <v>0</v>
      </c>
    </row>
    <row r="44" spans="1:6" ht="13.5" customHeight="1" x14ac:dyDescent="0.2">
      <c r="A44" s="271" t="s">
        <v>139</v>
      </c>
      <c r="B44" s="272">
        <v>459037</v>
      </c>
      <c r="C44" s="272">
        <f>-Data!M43-Data!N43-Data!O43-Data!P43</f>
        <v>-24500</v>
      </c>
      <c r="D44" s="272">
        <f t="shared" si="0"/>
        <v>434537</v>
      </c>
      <c r="E44" s="329">
        <v>434537</v>
      </c>
      <c r="F44" s="1">
        <f t="shared" si="1"/>
        <v>0</v>
      </c>
    </row>
    <row r="45" spans="1:6" ht="13.5" customHeight="1" x14ac:dyDescent="0.2">
      <c r="A45" s="15" t="s">
        <v>140</v>
      </c>
      <c r="B45" s="16">
        <v>390979</v>
      </c>
      <c r="C45" s="16">
        <f>-Data!M44-Data!N44-Data!O44-Data!P44</f>
        <v>-20000</v>
      </c>
      <c r="D45" s="16">
        <f t="shared" si="0"/>
        <v>370979</v>
      </c>
      <c r="E45" s="330">
        <v>370979</v>
      </c>
      <c r="F45" s="1">
        <f t="shared" si="1"/>
        <v>0</v>
      </c>
    </row>
    <row r="46" spans="1:6" ht="13.5" customHeight="1" x14ac:dyDescent="0.2">
      <c r="A46" s="271" t="s">
        <v>141</v>
      </c>
      <c r="B46" s="272">
        <v>756397</v>
      </c>
      <c r="C46" s="272">
        <f>-Data!M45-Data!N45-Data!O45-Data!P45</f>
        <v>-25000</v>
      </c>
      <c r="D46" s="272">
        <f t="shared" si="0"/>
        <v>731397</v>
      </c>
      <c r="E46" s="329">
        <v>731397</v>
      </c>
      <c r="F46" s="1">
        <f t="shared" si="1"/>
        <v>0</v>
      </c>
    </row>
    <row r="47" spans="1:6" ht="13.5" customHeight="1" x14ac:dyDescent="0.2">
      <c r="A47" s="15" t="s">
        <v>142</v>
      </c>
      <c r="B47" s="16">
        <v>11400600</v>
      </c>
      <c r="C47" s="16">
        <f>-Data!M46-Data!N46-Data!O46-Data!P46</f>
        <v>-120000</v>
      </c>
      <c r="D47" s="16">
        <f t="shared" si="0"/>
        <v>11280600</v>
      </c>
      <c r="E47" s="330">
        <v>11280600</v>
      </c>
      <c r="F47" s="1">
        <f t="shared" si="1"/>
        <v>0</v>
      </c>
    </row>
    <row r="48" spans="1:6" ht="5.0999999999999996" customHeight="1" x14ac:dyDescent="0.2">
      <c r="A48"/>
      <c r="B48"/>
      <c r="C48"/>
      <c r="D48"/>
      <c r="E48" s="331"/>
    </row>
    <row r="49" spans="1:6" ht="13.5" customHeight="1" x14ac:dyDescent="0.2">
      <c r="A49" s="274" t="s">
        <v>143</v>
      </c>
      <c r="B49" s="275">
        <f>SUM(B12:B47)</f>
        <v>67396960</v>
      </c>
      <c r="C49" s="275">
        <f>SUM(C12:C47)</f>
        <v>-4200567</v>
      </c>
      <c r="D49" s="275">
        <f>SUM(D12:D47)</f>
        <v>63196393</v>
      </c>
      <c r="E49" s="332">
        <f>SUM(E12:E47)</f>
        <v>63196393</v>
      </c>
      <c r="F49" s="1">
        <f t="shared" si="1"/>
        <v>0</v>
      </c>
    </row>
    <row r="50" spans="1:6" ht="5.0999999999999996" customHeight="1" x14ac:dyDescent="0.2">
      <c r="A50" s="17" t="s">
        <v>1</v>
      </c>
      <c r="B50" s="18"/>
      <c r="C50" s="18"/>
      <c r="D50" s="18"/>
      <c r="E50" s="333"/>
    </row>
    <row r="51" spans="1:6" ht="13.5" customHeight="1" x14ac:dyDescent="0.2">
      <c r="A51" s="15" t="s">
        <v>144</v>
      </c>
      <c r="B51" s="16"/>
      <c r="C51" s="16">
        <f>-Data!M50-Data!N50-Data!O50-Data!P50</f>
        <v>0</v>
      </c>
      <c r="D51" s="16"/>
      <c r="E51" s="330">
        <v>121084</v>
      </c>
    </row>
    <row r="52" spans="1:6" ht="13.5" customHeight="1" x14ac:dyDescent="0.2">
      <c r="A52" s="360" t="s">
        <v>513</v>
      </c>
      <c r="B52" s="272"/>
      <c r="C52" s="272">
        <f>-Data!M51-Data!N51-Data!O51-Data!P51</f>
        <v>0</v>
      </c>
      <c r="D52" s="272"/>
      <c r="E52" s="329"/>
      <c r="F52" s="1">
        <f>D52-E52</f>
        <v>0</v>
      </c>
    </row>
    <row r="53" spans="1:6" ht="45.75" customHeight="1" x14ac:dyDescent="0.2">
      <c r="A53" s="19"/>
      <c r="B53" s="19"/>
      <c r="C53" s="19"/>
      <c r="D53" s="19"/>
      <c r="E53" s="19"/>
      <c r="F53" s="19"/>
    </row>
    <row r="54" spans="1:6" ht="18" customHeight="1" x14ac:dyDescent="0.2">
      <c r="A54" s="795" t="s">
        <v>584</v>
      </c>
      <c r="B54" s="795"/>
      <c r="C54" s="795"/>
      <c r="D54" s="795"/>
      <c r="E54" s="795"/>
      <c r="F54" s="795"/>
    </row>
    <row r="55" spans="1:6" ht="15" customHeight="1" x14ac:dyDescent="0.2">
      <c r="A55" s="796"/>
      <c r="B55" s="796"/>
      <c r="C55" s="796"/>
      <c r="D55" s="796"/>
      <c r="E55" s="796"/>
      <c r="F55" s="796"/>
    </row>
    <row r="56" spans="1:6" ht="12" customHeight="1" x14ac:dyDescent="0.2">
      <c r="A56" s="796"/>
      <c r="B56" s="796"/>
      <c r="C56" s="796"/>
      <c r="D56" s="796"/>
      <c r="E56" s="796"/>
      <c r="F56" s="796"/>
    </row>
    <row r="57" spans="1:6" ht="12" customHeight="1" x14ac:dyDescent="0.2">
      <c r="A57" s="796"/>
      <c r="B57" s="796"/>
      <c r="C57" s="796"/>
      <c r="D57" s="796"/>
      <c r="E57" s="796"/>
      <c r="F57" s="796"/>
    </row>
    <row r="58" spans="1:6" x14ac:dyDescent="0.2">
      <c r="A58" s="796"/>
      <c r="B58" s="796"/>
      <c r="C58" s="796"/>
      <c r="D58" s="796"/>
      <c r="E58" s="796"/>
      <c r="F58" s="796"/>
    </row>
    <row r="59" spans="1:6" ht="14.25" customHeight="1" x14ac:dyDescent="0.2">
      <c r="A59" s="796"/>
      <c r="B59" s="796"/>
      <c r="C59" s="796"/>
      <c r="D59" s="796"/>
      <c r="E59" s="796"/>
      <c r="F59" s="796"/>
    </row>
    <row r="60" spans="1:6" ht="3.6" customHeight="1" x14ac:dyDescent="0.2">
      <c r="A60" s="796"/>
      <c r="B60" s="796"/>
      <c r="C60" s="796"/>
      <c r="D60" s="796"/>
      <c r="E60" s="796"/>
      <c r="F60" s="796"/>
    </row>
    <row r="61" spans="1:6" ht="10.9" customHeight="1" x14ac:dyDescent="0.2">
      <c r="A61" s="227" t="s">
        <v>323</v>
      </c>
      <c r="B61" s="31"/>
    </row>
    <row r="62" spans="1:6" ht="12" customHeight="1" x14ac:dyDescent="0.2">
      <c r="A62" s="227"/>
    </row>
  </sheetData>
  <mergeCells count="6">
    <mergeCell ref="A54:F60"/>
    <mergeCell ref="B2:D2"/>
    <mergeCell ref="B5:D5"/>
    <mergeCell ref="D8:D10"/>
    <mergeCell ref="B8:B10"/>
    <mergeCell ref="C6:C10"/>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59"/>
  <sheetViews>
    <sheetView showGridLines="0" showZeros="0" workbookViewId="0"/>
  </sheetViews>
  <sheetFormatPr defaultColWidth="15.83203125" defaultRowHeight="12" x14ac:dyDescent="0.2"/>
  <cols>
    <col min="1" max="1" width="32.83203125" style="1" customWidth="1"/>
    <col min="2" max="3" width="19.83203125" style="1" customWidth="1"/>
    <col min="4" max="4" width="1.83203125" style="1" customWidth="1"/>
    <col min="5" max="6" width="18.83203125" style="1" customWidth="1"/>
    <col min="7" max="16384" width="15.83203125" style="1"/>
  </cols>
  <sheetData>
    <row r="1" spans="1:6" ht="6.95" customHeight="1" x14ac:dyDescent="0.2">
      <c r="A1" s="3"/>
      <c r="B1" s="3"/>
      <c r="C1" s="3"/>
      <c r="D1" s="4"/>
      <c r="E1" s="4"/>
    </row>
    <row r="2" spans="1:6" ht="15.95" customHeight="1" x14ac:dyDescent="0.2">
      <c r="A2" s="33"/>
      <c r="B2" s="5" t="str">
        <f>+'- 6 -'!B2</f>
        <v>FRAME STUDENT STATISTICS</v>
      </c>
      <c r="C2" s="6"/>
      <c r="D2" s="6"/>
      <c r="E2" s="85"/>
      <c r="F2" s="92" t="s">
        <v>5</v>
      </c>
    </row>
    <row r="3" spans="1:6" ht="15.95" customHeight="1" x14ac:dyDescent="0.2">
      <c r="A3" s="37"/>
      <c r="B3" s="7" t="str">
        <f>+STATDATE</f>
        <v>ESTIMATE SEPTEMBER 30, 2020</v>
      </c>
      <c r="C3" s="8"/>
      <c r="D3" s="8"/>
      <c r="E3" s="87"/>
      <c r="F3" s="87"/>
    </row>
    <row r="4" spans="1:6" ht="15.95" customHeight="1" x14ac:dyDescent="0.2">
      <c r="D4" s="4"/>
      <c r="E4" s="4"/>
    </row>
    <row r="5" spans="1:6" ht="15.95" customHeight="1" x14ac:dyDescent="0.2"/>
    <row r="6" spans="1:6" ht="15.95" customHeight="1" x14ac:dyDescent="0.2">
      <c r="B6" s="572" t="s">
        <v>344</v>
      </c>
      <c r="C6" s="573"/>
      <c r="E6" s="570" t="s">
        <v>25</v>
      </c>
    </row>
    <row r="7" spans="1:6" ht="15.95" customHeight="1" x14ac:dyDescent="0.2">
      <c r="B7" s="574"/>
      <c r="C7" s="575"/>
      <c r="E7" s="571"/>
    </row>
    <row r="8" spans="1:6" ht="15.95" customHeight="1" x14ac:dyDescent="0.2">
      <c r="A8" s="24"/>
      <c r="B8" s="576" t="s">
        <v>375</v>
      </c>
      <c r="C8" s="577" t="s">
        <v>25</v>
      </c>
      <c r="D8" s="11"/>
      <c r="E8" s="579" t="s">
        <v>376</v>
      </c>
    </row>
    <row r="9" spans="1:6" ht="15.95" customHeight="1" x14ac:dyDescent="0.2">
      <c r="A9" s="93" t="s">
        <v>37</v>
      </c>
      <c r="B9" s="542"/>
      <c r="C9" s="578"/>
      <c r="D9" s="95"/>
      <c r="E9" s="580"/>
    </row>
    <row r="10" spans="1:6" ht="5.0999999999999996" customHeight="1" x14ac:dyDescent="0.2">
      <c r="A10" s="29"/>
      <c r="B10" s="46"/>
      <c r="C10" s="29"/>
      <c r="D10" s="96"/>
    </row>
    <row r="11" spans="1:6" ht="14.1" customHeight="1" x14ac:dyDescent="0.2">
      <c r="A11" s="271" t="s">
        <v>108</v>
      </c>
      <c r="B11" s="292">
        <v>0</v>
      </c>
      <c r="C11" s="292">
        <f>SUM('- 6 -'!$B11:H11,B11)</f>
        <v>1994.5</v>
      </c>
      <c r="D11" s="97"/>
      <c r="E11" s="292">
        <f>C11</f>
        <v>1994.5</v>
      </c>
    </row>
    <row r="12" spans="1:6" ht="14.1" customHeight="1" x14ac:dyDescent="0.2">
      <c r="A12" s="15" t="s">
        <v>109</v>
      </c>
      <c r="B12" s="47">
        <v>146</v>
      </c>
      <c r="C12" s="47">
        <f>SUM('- 6 -'!$B12:H12,B12)</f>
        <v>2154</v>
      </c>
      <c r="D12" s="97"/>
      <c r="E12" s="47">
        <f t="shared" ref="E12:E46" si="0">C12</f>
        <v>2154</v>
      </c>
    </row>
    <row r="13" spans="1:6" ht="14.1" customHeight="1" x14ac:dyDescent="0.2">
      <c r="A13" s="271" t="s">
        <v>110</v>
      </c>
      <c r="B13" s="292">
        <v>420</v>
      </c>
      <c r="C13" s="292">
        <f>SUM('- 6 -'!$B13:H13,B13)</f>
        <v>8741.5</v>
      </c>
      <c r="D13" s="97"/>
      <c r="E13" s="292">
        <f t="shared" si="0"/>
        <v>8741.5</v>
      </c>
    </row>
    <row r="14" spans="1:6" ht="14.1" customHeight="1" x14ac:dyDescent="0.2">
      <c r="A14" s="15" t="s">
        <v>319</v>
      </c>
      <c r="B14" s="47">
        <v>34</v>
      </c>
      <c r="C14" s="47">
        <f>SUM('- 6 -'!$B14:H14,B14)</f>
        <v>5993</v>
      </c>
      <c r="D14" s="97"/>
      <c r="E14" s="47">
        <f t="shared" si="0"/>
        <v>5993</v>
      </c>
    </row>
    <row r="15" spans="1:6" ht="14.1" customHeight="1" x14ac:dyDescent="0.2">
      <c r="A15" s="271" t="s">
        <v>111</v>
      </c>
      <c r="B15" s="292">
        <v>20</v>
      </c>
      <c r="C15" s="292">
        <f>SUM('- 6 -'!$B15:H15,B15)</f>
        <v>1395</v>
      </c>
      <c r="D15" s="97"/>
      <c r="E15" s="292">
        <f t="shared" si="0"/>
        <v>1395</v>
      </c>
    </row>
    <row r="16" spans="1:6" ht="14.1" customHeight="1" x14ac:dyDescent="0.2">
      <c r="A16" s="15" t="s">
        <v>112</v>
      </c>
      <c r="B16" s="47">
        <v>0</v>
      </c>
      <c r="C16" s="47">
        <f>SUM('- 6 -'!$B16:H16,B16)</f>
        <v>948</v>
      </c>
      <c r="D16" s="97"/>
      <c r="E16" s="47">
        <f t="shared" si="0"/>
        <v>948</v>
      </c>
    </row>
    <row r="17" spans="1:5" ht="14.1" customHeight="1" x14ac:dyDescent="0.2">
      <c r="A17" s="271" t="s">
        <v>113</v>
      </c>
      <c r="B17" s="292">
        <v>25</v>
      </c>
      <c r="C17" s="292">
        <f>SUM('- 6 -'!$B17:H17,B17)</f>
        <v>1446</v>
      </c>
      <c r="D17" s="97"/>
      <c r="E17" s="292">
        <f t="shared" si="0"/>
        <v>1446</v>
      </c>
    </row>
    <row r="18" spans="1:5" ht="14.1" customHeight="1" x14ac:dyDescent="0.2">
      <c r="A18" s="15" t="s">
        <v>114</v>
      </c>
      <c r="B18" s="47">
        <v>59</v>
      </c>
      <c r="C18" s="47">
        <f>SUM('- 6 -'!$B18:H18,B18)</f>
        <v>5989</v>
      </c>
      <c r="D18" s="97"/>
      <c r="E18" s="47">
        <f t="shared" si="0"/>
        <v>5989</v>
      </c>
    </row>
    <row r="19" spans="1:5" ht="14.1" customHeight="1" x14ac:dyDescent="0.2">
      <c r="A19" s="271" t="s">
        <v>115</v>
      </c>
      <c r="B19" s="292">
        <v>126</v>
      </c>
      <c r="C19" s="292">
        <f>SUM('- 6 -'!$B19:H19,B19)</f>
        <v>4448.5</v>
      </c>
      <c r="D19" s="97"/>
      <c r="E19" s="292">
        <f t="shared" si="0"/>
        <v>4448.5</v>
      </c>
    </row>
    <row r="20" spans="1:5" ht="14.1" customHeight="1" x14ac:dyDescent="0.2">
      <c r="A20" s="15" t="s">
        <v>116</v>
      </c>
      <c r="B20" s="47">
        <v>525.9</v>
      </c>
      <c r="C20" s="47">
        <f>SUM('- 6 -'!$B20:H20,B20)</f>
        <v>8142</v>
      </c>
      <c r="D20" s="97"/>
      <c r="E20" s="47">
        <f t="shared" si="0"/>
        <v>8142</v>
      </c>
    </row>
    <row r="21" spans="1:5" ht="14.1" customHeight="1" x14ac:dyDescent="0.2">
      <c r="A21" s="271" t="s">
        <v>117</v>
      </c>
      <c r="B21" s="292">
        <v>0</v>
      </c>
      <c r="C21" s="292">
        <f>SUM('- 6 -'!$B21:H21,B21)</f>
        <v>2801</v>
      </c>
      <c r="D21" s="97"/>
      <c r="E21" s="292">
        <f t="shared" si="0"/>
        <v>2801</v>
      </c>
    </row>
    <row r="22" spans="1:5" ht="14.1" customHeight="1" x14ac:dyDescent="0.2">
      <c r="A22" s="15" t="s">
        <v>118</v>
      </c>
      <c r="B22" s="47">
        <v>0</v>
      </c>
      <c r="C22" s="47">
        <f>SUM('- 6 -'!$B22:H22,B22)</f>
        <v>1434.5</v>
      </c>
      <c r="D22" s="97"/>
      <c r="E22" s="47">
        <f t="shared" si="0"/>
        <v>1434.5</v>
      </c>
    </row>
    <row r="23" spans="1:5" ht="14.1" customHeight="1" x14ac:dyDescent="0.2">
      <c r="A23" s="271" t="s">
        <v>119</v>
      </c>
      <c r="B23" s="292">
        <v>14</v>
      </c>
      <c r="C23" s="292">
        <f>SUM('- 6 -'!$B23:H23,B23)</f>
        <v>932</v>
      </c>
      <c r="D23" s="97"/>
      <c r="E23" s="292">
        <f t="shared" si="0"/>
        <v>932</v>
      </c>
    </row>
    <row r="24" spans="1:5" ht="14.1" customHeight="1" x14ac:dyDescent="0.2">
      <c r="A24" s="15" t="s">
        <v>120</v>
      </c>
      <c r="B24" s="47">
        <v>204</v>
      </c>
      <c r="C24" s="47">
        <f>SUM('- 6 -'!$B24:H24,B24)</f>
        <v>3720</v>
      </c>
      <c r="D24" s="97"/>
      <c r="E24" s="47">
        <f t="shared" si="0"/>
        <v>3720</v>
      </c>
    </row>
    <row r="25" spans="1:5" ht="14.1" customHeight="1" x14ac:dyDescent="0.2">
      <c r="A25" s="271" t="s">
        <v>121</v>
      </c>
      <c r="B25" s="292">
        <v>235.2</v>
      </c>
      <c r="C25" s="292">
        <f>SUM('- 6 -'!$B25:H25,B25)</f>
        <v>15146</v>
      </c>
      <c r="D25" s="97"/>
      <c r="E25" s="292">
        <f t="shared" si="0"/>
        <v>15146</v>
      </c>
    </row>
    <row r="26" spans="1:5" ht="14.1" customHeight="1" x14ac:dyDescent="0.2">
      <c r="A26" s="15" t="s">
        <v>122</v>
      </c>
      <c r="B26" s="47">
        <v>147.6</v>
      </c>
      <c r="C26" s="47">
        <f>SUM('- 6 -'!$B26:H26,B26)</f>
        <v>3083</v>
      </c>
      <c r="D26" s="97"/>
      <c r="E26" s="47">
        <f t="shared" si="0"/>
        <v>3083</v>
      </c>
    </row>
    <row r="27" spans="1:5" ht="14.1" customHeight="1" x14ac:dyDescent="0.2">
      <c r="A27" s="271" t="s">
        <v>123</v>
      </c>
      <c r="B27" s="292">
        <v>160</v>
      </c>
      <c r="C27" s="292">
        <f>SUM('- 6 -'!$B27:H27,B27)</f>
        <v>3006</v>
      </c>
      <c r="D27" s="97"/>
      <c r="E27" s="292">
        <f t="shared" si="0"/>
        <v>3006</v>
      </c>
    </row>
    <row r="28" spans="1:5" ht="14.1" customHeight="1" x14ac:dyDescent="0.2">
      <c r="A28" s="15" t="s">
        <v>124</v>
      </c>
      <c r="B28" s="47">
        <v>0</v>
      </c>
      <c r="C28" s="47">
        <f>SUM('- 6 -'!$B28:H28,B28)</f>
        <v>2019</v>
      </c>
      <c r="D28" s="97"/>
      <c r="E28" s="47">
        <f t="shared" si="0"/>
        <v>2019</v>
      </c>
    </row>
    <row r="29" spans="1:5" ht="14.1" customHeight="1" x14ac:dyDescent="0.2">
      <c r="A29" s="271" t="s">
        <v>125</v>
      </c>
      <c r="B29" s="292">
        <v>0</v>
      </c>
      <c r="C29" s="292">
        <f>SUM('- 6 -'!$B29:H29,B29)</f>
        <v>14385</v>
      </c>
      <c r="D29" s="97"/>
      <c r="E29" s="292">
        <f t="shared" si="0"/>
        <v>14385</v>
      </c>
    </row>
    <row r="30" spans="1:5" ht="14.1" customHeight="1" x14ac:dyDescent="0.2">
      <c r="A30" s="15" t="s">
        <v>126</v>
      </c>
      <c r="B30" s="47">
        <v>12</v>
      </c>
      <c r="C30" s="47">
        <f>SUM('- 6 -'!$B30:H30,B30)</f>
        <v>1046.5</v>
      </c>
      <c r="D30" s="97"/>
      <c r="E30" s="47">
        <f t="shared" si="0"/>
        <v>1046.5</v>
      </c>
    </row>
    <row r="31" spans="1:5" ht="14.1" customHeight="1" x14ac:dyDescent="0.2">
      <c r="A31" s="271" t="s">
        <v>127</v>
      </c>
      <c r="B31" s="292">
        <v>105</v>
      </c>
      <c r="C31" s="292">
        <f>SUM('- 6 -'!$B31:H31,B31)</f>
        <v>3352</v>
      </c>
      <c r="D31" s="97"/>
      <c r="E31" s="292">
        <f t="shared" si="0"/>
        <v>3352</v>
      </c>
    </row>
    <row r="32" spans="1:5" ht="14.1" customHeight="1" x14ac:dyDescent="0.2">
      <c r="A32" s="15" t="s">
        <v>128</v>
      </c>
      <c r="B32" s="47">
        <v>0</v>
      </c>
      <c r="C32" s="47">
        <f>SUM('- 6 -'!$B32:H32,B32)</f>
        <v>2335.5</v>
      </c>
      <c r="D32" s="97"/>
      <c r="E32" s="490">
        <f t="shared" si="0"/>
        <v>2335.5</v>
      </c>
    </row>
    <row r="33" spans="1:6" ht="14.1" customHeight="1" x14ac:dyDescent="0.2">
      <c r="A33" s="271" t="s">
        <v>129</v>
      </c>
      <c r="B33" s="292">
        <v>0</v>
      </c>
      <c r="C33" s="292">
        <f>SUM('- 6 -'!$B33:H33,B33)</f>
        <v>2065.1999999999998</v>
      </c>
      <c r="D33" s="97"/>
      <c r="E33" s="292">
        <f t="shared" si="0"/>
        <v>2065.1999999999998</v>
      </c>
    </row>
    <row r="34" spans="1:6" ht="14.1" customHeight="1" x14ac:dyDescent="0.2">
      <c r="A34" s="15" t="s">
        <v>130</v>
      </c>
      <c r="B34" s="47">
        <v>26.7</v>
      </c>
      <c r="C34" s="47">
        <f>SUM('- 6 -'!$B34:H34,B34)</f>
        <v>2279.6999999999998</v>
      </c>
      <c r="D34" s="97"/>
      <c r="E34" s="47">
        <f t="shared" si="0"/>
        <v>2279.6999999999998</v>
      </c>
    </row>
    <row r="35" spans="1:6" ht="14.1" customHeight="1" x14ac:dyDescent="0.2">
      <c r="A35" s="271" t="s">
        <v>131</v>
      </c>
      <c r="B35" s="292">
        <v>677</v>
      </c>
      <c r="C35" s="292">
        <f>SUM('- 6 -'!$B35:H35,B35)</f>
        <v>16298.5</v>
      </c>
      <c r="D35" s="97"/>
      <c r="E35" s="292">
        <f t="shared" si="0"/>
        <v>16298.5</v>
      </c>
    </row>
    <row r="36" spans="1:6" ht="14.1" customHeight="1" x14ac:dyDescent="0.2">
      <c r="A36" s="15" t="s">
        <v>132</v>
      </c>
      <c r="B36" s="47">
        <v>7.9</v>
      </c>
      <c r="C36" s="47">
        <f>SUM('- 6 -'!$B36:H36,B36)</f>
        <v>1745.5</v>
      </c>
      <c r="D36" s="97"/>
      <c r="E36" s="47">
        <f t="shared" si="0"/>
        <v>1745.5</v>
      </c>
    </row>
    <row r="37" spans="1:6" ht="14.1" customHeight="1" x14ac:dyDescent="0.2">
      <c r="A37" s="271" t="s">
        <v>133</v>
      </c>
      <c r="B37" s="292">
        <v>0</v>
      </c>
      <c r="C37" s="292">
        <f>SUM('- 6 -'!$B37:H37,B37)</f>
        <v>4364</v>
      </c>
      <c r="D37" s="97"/>
      <c r="E37" s="292">
        <f t="shared" si="0"/>
        <v>4364</v>
      </c>
    </row>
    <row r="38" spans="1:6" ht="14.1" customHeight="1" x14ac:dyDescent="0.2">
      <c r="A38" s="15" t="s">
        <v>134</v>
      </c>
      <c r="B38" s="47">
        <v>199.6</v>
      </c>
      <c r="C38" s="47">
        <f>SUM('- 6 -'!$B38:H38,B38)</f>
        <v>11654.4</v>
      </c>
      <c r="D38" s="97"/>
      <c r="E38" s="47">
        <f t="shared" si="0"/>
        <v>11654.4</v>
      </c>
    </row>
    <row r="39" spans="1:6" ht="14.1" customHeight="1" x14ac:dyDescent="0.2">
      <c r="A39" s="271" t="s">
        <v>135</v>
      </c>
      <c r="B39" s="292">
        <v>0</v>
      </c>
      <c r="C39" s="292">
        <f>SUM('- 6 -'!$B39:H39,B39)</f>
        <v>1490.6</v>
      </c>
      <c r="D39" s="97"/>
      <c r="E39" s="292">
        <f t="shared" si="0"/>
        <v>1490.6</v>
      </c>
    </row>
    <row r="40" spans="1:6" ht="14.1" customHeight="1" x14ac:dyDescent="0.2">
      <c r="A40" s="15" t="s">
        <v>136</v>
      </c>
      <c r="B40" s="47">
        <v>229.6</v>
      </c>
      <c r="C40" s="47">
        <f>SUM('- 6 -'!$B40:H40,B40)</f>
        <v>8222.5</v>
      </c>
      <c r="D40" s="97"/>
      <c r="E40" s="47">
        <f t="shared" si="0"/>
        <v>8222.5</v>
      </c>
    </row>
    <row r="41" spans="1:6" ht="14.1" customHeight="1" x14ac:dyDescent="0.2">
      <c r="A41" s="271" t="s">
        <v>137</v>
      </c>
      <c r="B41" s="292">
        <v>0</v>
      </c>
      <c r="C41" s="292">
        <f>SUM('- 6 -'!$B41:H41,B41)</f>
        <v>4494</v>
      </c>
      <c r="D41" s="97"/>
      <c r="E41" s="292">
        <f t="shared" si="0"/>
        <v>4494</v>
      </c>
    </row>
    <row r="42" spans="1:6" ht="14.1" customHeight="1" x14ac:dyDescent="0.2">
      <c r="A42" s="15" t="s">
        <v>138</v>
      </c>
      <c r="B42" s="47">
        <v>140</v>
      </c>
      <c r="C42" s="47">
        <f>SUM('- 6 -'!$B42:H42,B42)</f>
        <v>1368.5</v>
      </c>
      <c r="D42" s="97"/>
      <c r="E42" s="47">
        <f t="shared" si="0"/>
        <v>1368.5</v>
      </c>
    </row>
    <row r="43" spans="1:6" ht="14.1" customHeight="1" x14ac:dyDescent="0.2">
      <c r="A43" s="271" t="s">
        <v>139</v>
      </c>
      <c r="B43" s="292">
        <v>27</v>
      </c>
      <c r="C43" s="292">
        <f>SUM('- 6 -'!$B43:H43,B43)</f>
        <v>1005</v>
      </c>
      <c r="D43" s="97"/>
      <c r="E43" s="292">
        <f t="shared" si="0"/>
        <v>1005</v>
      </c>
    </row>
    <row r="44" spans="1:6" ht="14.1" customHeight="1" x14ac:dyDescent="0.2">
      <c r="A44" s="15" t="s">
        <v>140</v>
      </c>
      <c r="B44" s="47">
        <v>0</v>
      </c>
      <c r="C44" s="47">
        <f>SUM('- 6 -'!$B44:H44,B44)</f>
        <v>693.5</v>
      </c>
      <c r="D44" s="97"/>
      <c r="E44" s="47">
        <f t="shared" si="0"/>
        <v>693.5</v>
      </c>
    </row>
    <row r="45" spans="1:6" ht="14.1" customHeight="1" x14ac:dyDescent="0.2">
      <c r="A45" s="271" t="s">
        <v>141</v>
      </c>
      <c r="B45" s="292">
        <v>25</v>
      </c>
      <c r="C45" s="292">
        <f>SUM('- 6 -'!$B45:H45,B45)</f>
        <v>2075</v>
      </c>
      <c r="D45" s="97"/>
      <c r="E45" s="292">
        <f t="shared" si="0"/>
        <v>2075</v>
      </c>
    </row>
    <row r="46" spans="1:6" ht="14.1" customHeight="1" x14ac:dyDescent="0.2">
      <c r="A46" s="15" t="s">
        <v>142</v>
      </c>
      <c r="B46" s="47">
        <v>670</v>
      </c>
      <c r="C46" s="47">
        <f>SUM('- 6 -'!$B46:H46,B46)</f>
        <v>29917</v>
      </c>
      <c r="D46" s="97"/>
      <c r="E46" s="47">
        <f t="shared" si="0"/>
        <v>29917</v>
      </c>
    </row>
    <row r="47" spans="1:6" ht="5.0999999999999996" customHeight="1" x14ac:dyDescent="0.2">
      <c r="A47"/>
      <c r="B47"/>
      <c r="C47"/>
      <c r="D47"/>
      <c r="E47"/>
      <c r="F47"/>
    </row>
    <row r="48" spans="1:6" ht="14.1" customHeight="1" x14ac:dyDescent="0.2">
      <c r="A48" s="274" t="s">
        <v>143</v>
      </c>
      <c r="B48" s="293">
        <f>SUM(B11:B46)</f>
        <v>4236.5</v>
      </c>
      <c r="C48" s="293">
        <f>SUM(C11:C46)</f>
        <v>182185.4</v>
      </c>
      <c r="D48" s="98"/>
      <c r="E48" s="293">
        <f>SUM(E11:E46)</f>
        <v>182185.4</v>
      </c>
    </row>
    <row r="49" spans="1:6" ht="5.0999999999999996" customHeight="1" x14ac:dyDescent="0.2">
      <c r="A49" s="17" t="s">
        <v>1</v>
      </c>
      <c r="B49" s="50"/>
      <c r="C49" s="50"/>
      <c r="D49" s="96"/>
      <c r="E49" s="50"/>
    </row>
    <row r="50" spans="1:6" ht="14.1" customHeight="1" x14ac:dyDescent="0.2">
      <c r="A50" s="15" t="s">
        <v>144</v>
      </c>
      <c r="B50" s="47">
        <v>0</v>
      </c>
      <c r="C50" s="47">
        <f>SUM('- 6 -'!$B50:H50,B50)</f>
        <v>172</v>
      </c>
      <c r="D50" s="97"/>
      <c r="E50" s="47">
        <f t="shared" ref="E50:E51" si="1">C50</f>
        <v>172</v>
      </c>
    </row>
    <row r="51" spans="1:6" ht="14.1" customHeight="1" x14ac:dyDescent="0.2">
      <c r="A51" s="360" t="s">
        <v>513</v>
      </c>
      <c r="B51" s="292">
        <v>1625.1</v>
      </c>
      <c r="C51" s="292">
        <f>SUM('- 6 -'!$B51:H51,B51)</f>
        <v>1774.1</v>
      </c>
      <c r="D51" s="97"/>
      <c r="E51" s="292">
        <f t="shared" si="1"/>
        <v>1774.1</v>
      </c>
    </row>
    <row r="52" spans="1:6" ht="50.1" customHeight="1" x14ac:dyDescent="0.2">
      <c r="A52" s="370"/>
      <c r="B52" s="370"/>
      <c r="C52" s="370"/>
      <c r="D52" s="370"/>
      <c r="E52" s="370"/>
      <c r="F52" s="370"/>
    </row>
    <row r="53" spans="1:6" ht="15" customHeight="1" x14ac:dyDescent="0.2">
      <c r="A53" s="568" t="s">
        <v>520</v>
      </c>
      <c r="B53" s="568"/>
      <c r="C53" s="568"/>
      <c r="D53" s="568"/>
      <c r="E53" s="568"/>
      <c r="F53" s="568"/>
    </row>
    <row r="54" spans="1:6" ht="12" customHeight="1" x14ac:dyDescent="0.2">
      <c r="A54" s="569"/>
      <c r="B54" s="569"/>
      <c r="C54" s="569"/>
      <c r="D54" s="569"/>
      <c r="E54" s="569"/>
      <c r="F54" s="569"/>
    </row>
    <row r="55" spans="1:6" x14ac:dyDescent="0.2">
      <c r="A55" s="20" t="s">
        <v>354</v>
      </c>
    </row>
    <row r="56" spans="1:6" ht="14.45" customHeight="1" x14ac:dyDescent="0.2"/>
    <row r="57" spans="1:6" ht="14.45" customHeight="1" x14ac:dyDescent="0.2"/>
    <row r="58" spans="1:6" ht="14.45" customHeight="1" x14ac:dyDescent="0.2"/>
    <row r="59" spans="1:6" ht="14.45" customHeight="1" x14ac:dyDescent="0.2"/>
  </sheetData>
  <mergeCells count="6">
    <mergeCell ref="A53:F54"/>
    <mergeCell ref="E6:E7"/>
    <mergeCell ref="B6:C7"/>
    <mergeCell ref="B8:B9"/>
    <mergeCell ref="C8:C9"/>
    <mergeCell ref="E8:E9"/>
  </mergeCells>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K60"/>
  <sheetViews>
    <sheetView showGridLines="0" showZeros="0" workbookViewId="0"/>
  </sheetViews>
  <sheetFormatPr defaultColWidth="14.83203125" defaultRowHeight="12" x14ac:dyDescent="0.2"/>
  <cols>
    <col min="1" max="1" width="26.83203125" style="1" customWidth="1"/>
    <col min="2" max="2" width="16.83203125" style="1" customWidth="1"/>
    <col min="3" max="3" width="16.33203125" style="1" customWidth="1"/>
    <col min="4" max="4" width="14.1640625" style="1" customWidth="1"/>
    <col min="5" max="5" width="15.5" style="1" customWidth="1"/>
    <col min="6" max="6" width="16.33203125" style="1" customWidth="1"/>
    <col min="7" max="7" width="17" style="1" customWidth="1"/>
    <col min="8" max="8" width="11.83203125" style="1" customWidth="1"/>
    <col min="9" max="10" width="14.83203125" style="1" hidden="1" customWidth="1"/>
    <col min="11" max="16384" width="14.83203125" style="1"/>
  </cols>
  <sheetData>
    <row r="1" spans="1:11" ht="6.95" customHeight="1" x14ac:dyDescent="0.2">
      <c r="A1" s="3"/>
      <c r="B1" s="4"/>
      <c r="C1" s="4"/>
      <c r="D1" s="4"/>
    </row>
    <row r="2" spans="1:11" ht="20.100000000000001" customHeight="1" x14ac:dyDescent="0.2">
      <c r="A2" s="219"/>
      <c r="B2" s="219" t="s">
        <v>596</v>
      </c>
      <c r="C2" s="363"/>
      <c r="D2" s="363"/>
      <c r="E2" s="363"/>
      <c r="F2" s="363"/>
      <c r="G2" s="363"/>
      <c r="H2" s="365" t="s">
        <v>227</v>
      </c>
    </row>
    <row r="3" spans="1:11" ht="20.100000000000001" customHeight="1" x14ac:dyDescent="0.2">
      <c r="A3" s="5"/>
      <c r="B3" s="220"/>
      <c r="C3" s="221"/>
      <c r="D3" s="221"/>
      <c r="E3" s="221"/>
      <c r="F3" s="221"/>
      <c r="G3" s="221"/>
      <c r="H3" s="222"/>
    </row>
    <row r="4" spans="1:11" ht="15.95" customHeight="1" x14ac:dyDescent="0.2">
      <c r="A4" s="223"/>
      <c r="B4" s="802" t="s">
        <v>228</v>
      </c>
      <c r="C4" s="803"/>
      <c r="D4" s="803"/>
      <c r="E4" s="803"/>
      <c r="F4" s="803"/>
      <c r="G4" s="803"/>
      <c r="H4" s="804"/>
    </row>
    <row r="5" spans="1:11" ht="13.5" customHeight="1" x14ac:dyDescent="0.2">
      <c r="A5" s="224"/>
      <c r="B5" s="225"/>
      <c r="C5" s="225"/>
      <c r="D5" s="225"/>
      <c r="E5" s="225"/>
      <c r="F5" s="225"/>
      <c r="G5" s="225"/>
      <c r="H5" s="225"/>
    </row>
    <row r="6" spans="1:11" ht="14.1" customHeight="1" x14ac:dyDescent="0.2">
      <c r="A6" s="224"/>
      <c r="B6" s="210"/>
      <c r="C6" s="210"/>
      <c r="D6" s="210"/>
      <c r="E6" s="210"/>
      <c r="F6" s="210"/>
      <c r="G6" s="786" t="s">
        <v>548</v>
      </c>
      <c r="H6" s="739" t="s">
        <v>549</v>
      </c>
    </row>
    <row r="7" spans="1:11" ht="14.1" customHeight="1" x14ac:dyDescent="0.2">
      <c r="A7" s="224"/>
      <c r="B7" s="226"/>
      <c r="C7" s="114"/>
      <c r="D7" s="786" t="s">
        <v>501</v>
      </c>
      <c r="E7" s="226"/>
      <c r="F7" s="226"/>
      <c r="G7" s="786"/>
      <c r="H7" s="786"/>
    </row>
    <row r="8" spans="1:11" ht="14.1" customHeight="1" x14ac:dyDescent="0.2">
      <c r="A8" s="224"/>
      <c r="B8" s="786" t="s">
        <v>499</v>
      </c>
      <c r="C8" s="786" t="s">
        <v>500</v>
      </c>
      <c r="D8" s="786"/>
      <c r="E8" s="226"/>
      <c r="F8" s="786" t="s">
        <v>551</v>
      </c>
      <c r="G8" s="786"/>
      <c r="H8" s="786"/>
    </row>
    <row r="9" spans="1:11" ht="14.1" customHeight="1" x14ac:dyDescent="0.2">
      <c r="A9" s="224"/>
      <c r="B9" s="786"/>
      <c r="C9" s="786"/>
      <c r="D9" s="786"/>
      <c r="E9" s="786" t="s">
        <v>502</v>
      </c>
      <c r="F9" s="786"/>
      <c r="G9" s="786"/>
      <c r="H9" s="786"/>
    </row>
    <row r="10" spans="1:11" ht="14.1" customHeight="1" x14ac:dyDescent="0.2">
      <c r="A10" s="12"/>
      <c r="B10" s="786"/>
      <c r="C10" s="786"/>
      <c r="D10" s="786"/>
      <c r="E10" s="786"/>
      <c r="F10" s="786"/>
      <c r="G10" s="786"/>
      <c r="H10" s="786"/>
    </row>
    <row r="11" spans="1:11" ht="14.1" customHeight="1" x14ac:dyDescent="0.2">
      <c r="A11" s="13" t="s">
        <v>37</v>
      </c>
      <c r="B11" s="787"/>
      <c r="C11" s="787"/>
      <c r="D11" s="787"/>
      <c r="E11" s="787"/>
      <c r="F11" s="787"/>
      <c r="G11" s="787"/>
      <c r="H11" s="787"/>
    </row>
    <row r="12" spans="1:11" ht="5.0999999999999996" customHeight="1" x14ac:dyDescent="0.2">
      <c r="A12" s="14"/>
      <c r="C12" s="204"/>
      <c r="D12" s="182"/>
      <c r="E12" s="3"/>
    </row>
    <row r="13" spans="1:11" ht="14.1" customHeight="1" x14ac:dyDescent="0.2">
      <c r="A13" s="271" t="s">
        <v>108</v>
      </c>
      <c r="B13" s="272">
        <f>'- 3 -'!B11</f>
        <v>22292241</v>
      </c>
      <c r="C13" s="272">
        <v>0</v>
      </c>
      <c r="D13" s="272">
        <v>0</v>
      </c>
      <c r="E13" s="272">
        <f>SUM(B13:D13)</f>
        <v>22292241</v>
      </c>
      <c r="F13" s="272">
        <f>'- 56 -'!D12</f>
        <v>633261</v>
      </c>
      <c r="G13" s="273">
        <f>F13/E13*100</f>
        <v>2.8407238195567683</v>
      </c>
      <c r="H13" s="273">
        <v>3.38</v>
      </c>
      <c r="I13" s="338">
        <v>2.8407238195567685E-2</v>
      </c>
      <c r="J13" s="329">
        <v>22292241</v>
      </c>
      <c r="K13" s="1">
        <f t="shared" ref="K13:K48" si="0">J13-E13</f>
        <v>0</v>
      </c>
    </row>
    <row r="14" spans="1:11" ht="14.1" customHeight="1" x14ac:dyDescent="0.2">
      <c r="A14" s="15" t="s">
        <v>109</v>
      </c>
      <c r="B14" s="16">
        <f>'- 3 -'!B12</f>
        <v>35216764</v>
      </c>
      <c r="C14" s="16">
        <v>378560</v>
      </c>
      <c r="D14" s="16">
        <v>-589773</v>
      </c>
      <c r="E14" s="16">
        <f t="shared" ref="E14:E48" si="1">SUM(B14:D14)</f>
        <v>35005551</v>
      </c>
      <c r="F14" s="16">
        <f>'- 56 -'!D13</f>
        <v>1098280</v>
      </c>
      <c r="G14" s="267">
        <f>F14/E14*100</f>
        <v>3.1374452583248869</v>
      </c>
      <c r="H14" s="267">
        <v>3.36</v>
      </c>
      <c r="I14" s="339">
        <v>3.137445258324887E-2</v>
      </c>
      <c r="J14" s="330">
        <v>35005551</v>
      </c>
      <c r="K14" s="1">
        <f t="shared" si="0"/>
        <v>0</v>
      </c>
    </row>
    <row r="15" spans="1:11" ht="14.1" customHeight="1" x14ac:dyDescent="0.2">
      <c r="A15" s="271" t="s">
        <v>110</v>
      </c>
      <c r="B15" s="272">
        <f>'- 3 -'!B13</f>
        <v>107646800</v>
      </c>
      <c r="C15" s="272">
        <v>45000</v>
      </c>
      <c r="D15" s="272">
        <v>0</v>
      </c>
      <c r="E15" s="272">
        <f t="shared" si="1"/>
        <v>107691800</v>
      </c>
      <c r="F15" s="272">
        <f>'- 56 -'!D14</f>
        <v>2936000</v>
      </c>
      <c r="G15" s="273">
        <f>F15/E15*100</f>
        <v>2.7262985668361011</v>
      </c>
      <c r="H15" s="273">
        <v>2.94</v>
      </c>
      <c r="I15" s="338">
        <v>2.7262985668361009E-2</v>
      </c>
      <c r="J15" s="329">
        <v>107691800</v>
      </c>
      <c r="K15" s="1">
        <f t="shared" si="0"/>
        <v>0</v>
      </c>
    </row>
    <row r="16" spans="1:11" ht="14.1" customHeight="1" x14ac:dyDescent="0.2">
      <c r="A16" s="15" t="s">
        <v>319</v>
      </c>
      <c r="B16" s="16"/>
      <c r="C16" s="16"/>
      <c r="D16" s="16"/>
      <c r="E16" s="16"/>
      <c r="F16" s="16"/>
      <c r="G16" s="334" t="s">
        <v>88</v>
      </c>
      <c r="H16" s="334" t="s">
        <v>88</v>
      </c>
      <c r="I16" s="340"/>
      <c r="J16" s="330"/>
      <c r="K16" s="1">
        <f t="shared" si="0"/>
        <v>0</v>
      </c>
    </row>
    <row r="17" spans="1:11" ht="14.1" customHeight="1" x14ac:dyDescent="0.2">
      <c r="A17" s="271" t="s">
        <v>111</v>
      </c>
      <c r="B17" s="272">
        <f>'- 3 -'!B15</f>
        <v>21226281</v>
      </c>
      <c r="C17" s="272">
        <v>320000</v>
      </c>
      <c r="D17" s="272">
        <v>0</v>
      </c>
      <c r="E17" s="272">
        <f t="shared" si="1"/>
        <v>21546281</v>
      </c>
      <c r="F17" s="272">
        <f>'- 56 -'!D16</f>
        <v>742474</v>
      </c>
      <c r="G17" s="273">
        <f>F17/E17*100</f>
        <v>3.4459496745633271</v>
      </c>
      <c r="H17" s="273">
        <v>3.47</v>
      </c>
      <c r="I17" s="338">
        <v>3.445949674563327E-2</v>
      </c>
      <c r="J17" s="329">
        <v>21546281</v>
      </c>
      <c r="K17" s="1">
        <f t="shared" si="0"/>
        <v>0</v>
      </c>
    </row>
    <row r="18" spans="1:11" ht="14.1" customHeight="1" x14ac:dyDescent="0.2">
      <c r="A18" s="15" t="s">
        <v>112</v>
      </c>
      <c r="B18" s="16">
        <f>'- 3 -'!B16</f>
        <v>14957074</v>
      </c>
      <c r="C18" s="16">
        <v>22500</v>
      </c>
      <c r="D18" s="16">
        <v>-94000</v>
      </c>
      <c r="E18" s="16">
        <f t="shared" si="1"/>
        <v>14885574</v>
      </c>
      <c r="F18" s="16">
        <f>'- 56 -'!D17</f>
        <v>585468</v>
      </c>
      <c r="G18" s="267">
        <f>F18/E18*100</f>
        <v>3.9331234388408536</v>
      </c>
      <c r="H18" s="267">
        <v>4.25</v>
      </c>
      <c r="I18" s="339">
        <v>3.9331234388408534E-2</v>
      </c>
      <c r="J18" s="330">
        <v>14885574</v>
      </c>
      <c r="K18" s="1">
        <f t="shared" si="0"/>
        <v>0</v>
      </c>
    </row>
    <row r="19" spans="1:11" ht="14.1" customHeight="1" x14ac:dyDescent="0.2">
      <c r="A19" s="271" t="s">
        <v>113</v>
      </c>
      <c r="B19" s="272">
        <f>'- 3 -'!B17</f>
        <v>18917295</v>
      </c>
      <c r="C19" s="272">
        <v>0</v>
      </c>
      <c r="D19" s="272">
        <v>0</v>
      </c>
      <c r="E19" s="272">
        <f t="shared" si="1"/>
        <v>18917295</v>
      </c>
      <c r="F19" s="272">
        <f>'- 56 -'!D18</f>
        <v>651705</v>
      </c>
      <c r="G19" s="273">
        <f>F19/E19*100</f>
        <v>3.4450221345070737</v>
      </c>
      <c r="H19" s="273">
        <v>3.46</v>
      </c>
      <c r="I19" s="338">
        <v>3.4450221345070739E-2</v>
      </c>
      <c r="J19" s="329">
        <v>18917295</v>
      </c>
      <c r="K19" s="1">
        <f t="shared" si="0"/>
        <v>0</v>
      </c>
    </row>
    <row r="20" spans="1:11" ht="14.1" customHeight="1" x14ac:dyDescent="0.2">
      <c r="A20" s="15" t="s">
        <v>114</v>
      </c>
      <c r="B20" s="16"/>
      <c r="C20" s="16"/>
      <c r="D20" s="16"/>
      <c r="E20" s="16"/>
      <c r="F20" s="16"/>
      <c r="G20" s="334" t="s">
        <v>88</v>
      </c>
      <c r="H20" s="334" t="s">
        <v>88</v>
      </c>
      <c r="I20" s="340"/>
      <c r="J20" s="330"/>
      <c r="K20" s="1">
        <f t="shared" si="0"/>
        <v>0</v>
      </c>
    </row>
    <row r="21" spans="1:11" ht="14.1" customHeight="1" x14ac:dyDescent="0.2">
      <c r="A21" s="271" t="s">
        <v>115</v>
      </c>
      <c r="B21" s="272">
        <f>'- 3 -'!B19</f>
        <v>52078200</v>
      </c>
      <c r="C21" s="272">
        <v>200000</v>
      </c>
      <c r="D21" s="272">
        <v>0</v>
      </c>
      <c r="E21" s="272">
        <f t="shared" si="1"/>
        <v>52278200</v>
      </c>
      <c r="F21" s="272">
        <f>'- 56 -'!D20</f>
        <v>1529400</v>
      </c>
      <c r="G21" s="273">
        <f t="shared" ref="G21:G48" si="2">F21/E21*100</f>
        <v>2.9255024082696037</v>
      </c>
      <c r="H21" s="273">
        <v>3.02</v>
      </c>
      <c r="I21" s="338">
        <v>2.9255024082696039E-2</v>
      </c>
      <c r="J21" s="329">
        <v>52278200</v>
      </c>
      <c r="K21" s="1">
        <f t="shared" si="0"/>
        <v>0</v>
      </c>
    </row>
    <row r="22" spans="1:11" ht="14.1" customHeight="1" x14ac:dyDescent="0.2">
      <c r="A22" s="15" t="s">
        <v>116</v>
      </c>
      <c r="B22" s="16">
        <f>'- 3 -'!B20</f>
        <v>94276500</v>
      </c>
      <c r="C22" s="16">
        <v>468100</v>
      </c>
      <c r="D22" s="16">
        <v>0</v>
      </c>
      <c r="E22" s="16">
        <f t="shared" si="1"/>
        <v>94744600</v>
      </c>
      <c r="F22" s="16">
        <f>'- 56 -'!D21</f>
        <v>2250300</v>
      </c>
      <c r="G22" s="267">
        <f t="shared" si="2"/>
        <v>2.3751221705511449</v>
      </c>
      <c r="H22" s="267">
        <v>2.94</v>
      </c>
      <c r="I22" s="339">
        <v>2.3751221705511447E-2</v>
      </c>
      <c r="J22" s="330">
        <v>94744600</v>
      </c>
      <c r="K22" s="1">
        <f t="shared" si="0"/>
        <v>0</v>
      </c>
    </row>
    <row r="23" spans="1:11" ht="14.1" customHeight="1" x14ac:dyDescent="0.2">
      <c r="A23" s="271" t="s">
        <v>117</v>
      </c>
      <c r="B23" s="272">
        <f>'- 3 -'!B21</f>
        <v>38578000</v>
      </c>
      <c r="C23" s="272">
        <v>247000</v>
      </c>
      <c r="D23" s="272">
        <v>0</v>
      </c>
      <c r="E23" s="272">
        <f t="shared" si="1"/>
        <v>38825000</v>
      </c>
      <c r="F23" s="272">
        <f>'- 56 -'!D22</f>
        <v>1263000</v>
      </c>
      <c r="G23" s="273">
        <f t="shared" si="2"/>
        <v>3.2530585962652929</v>
      </c>
      <c r="H23" s="273">
        <v>3.26</v>
      </c>
      <c r="I23" s="338">
        <v>3.253058596265293E-2</v>
      </c>
      <c r="J23" s="329">
        <v>38825000</v>
      </c>
      <c r="K23" s="1">
        <f t="shared" si="0"/>
        <v>0</v>
      </c>
    </row>
    <row r="24" spans="1:11" ht="14.1" customHeight="1" x14ac:dyDescent="0.2">
      <c r="A24" s="15" t="s">
        <v>118</v>
      </c>
      <c r="B24" s="16">
        <f>'- 3 -'!B22</f>
        <v>20473425</v>
      </c>
      <c r="C24" s="16">
        <v>0</v>
      </c>
      <c r="D24" s="16">
        <v>-621930</v>
      </c>
      <c r="E24" s="16">
        <f t="shared" si="1"/>
        <v>19851495</v>
      </c>
      <c r="F24" s="16">
        <f>'- 56 -'!D23</f>
        <v>828685</v>
      </c>
      <c r="G24" s="267">
        <f t="shared" si="2"/>
        <v>4.174421120424431</v>
      </c>
      <c r="H24" s="267">
        <v>4.25</v>
      </c>
      <c r="I24" s="339">
        <v>4.1744211204244312E-2</v>
      </c>
      <c r="J24" s="330">
        <v>19851495</v>
      </c>
      <c r="K24" s="1">
        <f t="shared" si="0"/>
        <v>0</v>
      </c>
    </row>
    <row r="25" spans="1:11" ht="14.1" customHeight="1" x14ac:dyDescent="0.2">
      <c r="A25" s="271" t="s">
        <v>119</v>
      </c>
      <c r="B25" s="272">
        <f>'- 3 -'!B23</f>
        <v>16048415</v>
      </c>
      <c r="C25" s="272">
        <v>200000</v>
      </c>
      <c r="D25" s="272">
        <v>-275650</v>
      </c>
      <c r="E25" s="272">
        <f t="shared" si="1"/>
        <v>15972765</v>
      </c>
      <c r="F25" s="272">
        <f>'- 56 -'!D24</f>
        <v>547950</v>
      </c>
      <c r="G25" s="273">
        <f t="shared" si="2"/>
        <v>3.4305269000076071</v>
      </c>
      <c r="H25" s="273">
        <v>3.53</v>
      </c>
      <c r="I25" s="338">
        <v>3.430526900007607E-2</v>
      </c>
      <c r="J25" s="329">
        <v>15972765</v>
      </c>
      <c r="K25" s="1">
        <f t="shared" si="0"/>
        <v>0</v>
      </c>
    </row>
    <row r="26" spans="1:11" ht="14.1" customHeight="1" x14ac:dyDescent="0.2">
      <c r="A26" s="15" t="s">
        <v>120</v>
      </c>
      <c r="B26" s="16">
        <f>'- 3 -'!B24</f>
        <v>59050940</v>
      </c>
      <c r="C26" s="16">
        <v>367438</v>
      </c>
      <c r="D26" s="16">
        <v>-332533</v>
      </c>
      <c r="E26" s="16">
        <f t="shared" si="1"/>
        <v>59085845</v>
      </c>
      <c r="F26" s="16">
        <f>'- 56 -'!D25</f>
        <v>1803193</v>
      </c>
      <c r="G26" s="267">
        <f t="shared" si="2"/>
        <v>3.0518189254973001</v>
      </c>
      <c r="H26" s="267">
        <v>3.1300000000000003</v>
      </c>
      <c r="I26" s="339">
        <v>3.0518189254972999E-2</v>
      </c>
      <c r="J26" s="330">
        <v>59085845</v>
      </c>
      <c r="K26" s="1">
        <f t="shared" si="0"/>
        <v>0</v>
      </c>
    </row>
    <row r="27" spans="1:11" ht="14.1" customHeight="1" x14ac:dyDescent="0.2">
      <c r="A27" s="271" t="s">
        <v>121</v>
      </c>
      <c r="B27" s="272">
        <f>'- 3 -'!B25</f>
        <v>195475221</v>
      </c>
      <c r="C27" s="272">
        <v>972983</v>
      </c>
      <c r="D27" s="272">
        <v>-386003</v>
      </c>
      <c r="E27" s="272">
        <f t="shared" si="1"/>
        <v>196062201</v>
      </c>
      <c r="F27" s="272">
        <f>'- 56 -'!D26</f>
        <v>5119784</v>
      </c>
      <c r="G27" s="273">
        <f t="shared" si="2"/>
        <v>2.6113059905922409</v>
      </c>
      <c r="H27" s="273">
        <v>2.7</v>
      </c>
      <c r="I27" s="338">
        <v>2.6113059905922407E-2</v>
      </c>
      <c r="J27" s="329">
        <v>196062201</v>
      </c>
      <c r="K27" s="1">
        <f t="shared" si="0"/>
        <v>0</v>
      </c>
    </row>
    <row r="28" spans="1:11" ht="14.1" customHeight="1" x14ac:dyDescent="0.2">
      <c r="A28" s="15" t="s">
        <v>122</v>
      </c>
      <c r="B28" s="16">
        <f>'- 3 -'!B26</f>
        <v>42077136</v>
      </c>
      <c r="C28" s="16">
        <v>996350</v>
      </c>
      <c r="D28" s="16">
        <v>0</v>
      </c>
      <c r="E28" s="16">
        <f t="shared" si="1"/>
        <v>43073486</v>
      </c>
      <c r="F28" s="16">
        <f>'- 56 -'!D27</f>
        <v>1327046</v>
      </c>
      <c r="G28" s="267">
        <f t="shared" si="2"/>
        <v>3.0808883218785681</v>
      </c>
      <c r="H28" s="267">
        <v>3.2199999999999998</v>
      </c>
      <c r="I28" s="339">
        <v>3.0808883218785683E-2</v>
      </c>
      <c r="J28" s="330">
        <v>43073486</v>
      </c>
      <c r="K28" s="1">
        <f t="shared" si="0"/>
        <v>0</v>
      </c>
    </row>
    <row r="29" spans="1:11" ht="14.1" customHeight="1" x14ac:dyDescent="0.2">
      <c r="A29" s="271" t="s">
        <v>123</v>
      </c>
      <c r="B29" s="272">
        <f>'- 3 -'!B27</f>
        <v>42782417</v>
      </c>
      <c r="C29" s="272">
        <v>30000</v>
      </c>
      <c r="D29" s="272">
        <v>0</v>
      </c>
      <c r="E29" s="272">
        <f t="shared" si="1"/>
        <v>42812417</v>
      </c>
      <c r="F29" s="272">
        <f>'- 56 -'!D28</f>
        <v>1728574</v>
      </c>
      <c r="G29" s="273">
        <f t="shared" si="2"/>
        <v>4.037552937036935</v>
      </c>
      <c r="H29" s="273">
        <v>4.25</v>
      </c>
      <c r="I29" s="338">
        <v>4.0375529370369347E-2</v>
      </c>
      <c r="J29" s="329">
        <v>42812417</v>
      </c>
      <c r="K29" s="1">
        <f t="shared" si="0"/>
        <v>0</v>
      </c>
    </row>
    <row r="30" spans="1:11" ht="14.1" customHeight="1" x14ac:dyDescent="0.2">
      <c r="A30" s="15" t="s">
        <v>124</v>
      </c>
      <c r="B30" s="16">
        <f>'- 3 -'!B28</f>
        <v>28940961</v>
      </c>
      <c r="C30" s="16">
        <v>120000</v>
      </c>
      <c r="D30" s="16">
        <v>-119132</v>
      </c>
      <c r="E30" s="16">
        <f t="shared" si="1"/>
        <v>28941829</v>
      </c>
      <c r="F30" s="16">
        <f>'- 56 -'!D29</f>
        <v>820620</v>
      </c>
      <c r="G30" s="267">
        <f t="shared" si="2"/>
        <v>2.8354116804435545</v>
      </c>
      <c r="H30" s="267">
        <v>3.38</v>
      </c>
      <c r="I30" s="339">
        <v>2.8354116804435545E-2</v>
      </c>
      <c r="J30" s="330">
        <v>28941829</v>
      </c>
      <c r="K30" s="1">
        <f t="shared" si="0"/>
        <v>0</v>
      </c>
    </row>
    <row r="31" spans="1:11" ht="14.1" customHeight="1" x14ac:dyDescent="0.2">
      <c r="A31" s="271" t="s">
        <v>125</v>
      </c>
      <c r="B31" s="272">
        <f>'- 3 -'!B29</f>
        <v>180065999</v>
      </c>
      <c r="C31" s="272">
        <v>580000</v>
      </c>
      <c r="D31" s="272">
        <v>0</v>
      </c>
      <c r="E31" s="272">
        <f t="shared" si="1"/>
        <v>180645999</v>
      </c>
      <c r="F31" s="272">
        <f>'- 56 -'!D30</f>
        <v>4378782</v>
      </c>
      <c r="G31" s="273">
        <f t="shared" si="2"/>
        <v>2.4239573664734193</v>
      </c>
      <c r="H31" s="273">
        <v>2.7</v>
      </c>
      <c r="I31" s="338">
        <v>2.4239573664734195E-2</v>
      </c>
      <c r="J31" s="329">
        <v>180645999</v>
      </c>
      <c r="K31" s="1">
        <f t="shared" si="0"/>
        <v>0</v>
      </c>
    </row>
    <row r="32" spans="1:11" ht="14.1" customHeight="1" x14ac:dyDescent="0.2">
      <c r="A32" s="15" t="s">
        <v>126</v>
      </c>
      <c r="B32" s="16">
        <f>'- 3 -'!B30</f>
        <v>15756684</v>
      </c>
      <c r="C32" s="16">
        <v>0</v>
      </c>
      <c r="D32" s="16">
        <v>0</v>
      </c>
      <c r="E32" s="16">
        <f t="shared" si="1"/>
        <v>15756684</v>
      </c>
      <c r="F32" s="16">
        <f>'- 56 -'!D31</f>
        <v>518432</v>
      </c>
      <c r="G32" s="267">
        <f t="shared" si="2"/>
        <v>3.2902354327852232</v>
      </c>
      <c r="H32" s="267">
        <v>3.52</v>
      </c>
      <c r="I32" s="339">
        <v>3.2902354327852233E-2</v>
      </c>
      <c r="J32" s="330">
        <v>15756684</v>
      </c>
      <c r="K32" s="1">
        <f t="shared" si="0"/>
        <v>0</v>
      </c>
    </row>
    <row r="33" spans="1:11" ht="14.1" customHeight="1" x14ac:dyDescent="0.2">
      <c r="A33" s="271" t="s">
        <v>127</v>
      </c>
      <c r="B33" s="272">
        <f>'- 3 -'!B31</f>
        <v>40899762</v>
      </c>
      <c r="C33" s="272">
        <v>865700</v>
      </c>
      <c r="D33" s="272">
        <v>0</v>
      </c>
      <c r="E33" s="272">
        <f t="shared" si="1"/>
        <v>41765462</v>
      </c>
      <c r="F33" s="272">
        <f>'- 56 -'!D32</f>
        <v>1020110</v>
      </c>
      <c r="G33" s="273">
        <f t="shared" si="2"/>
        <v>2.4424726823325931</v>
      </c>
      <c r="H33" s="273">
        <v>3.18</v>
      </c>
      <c r="I33" s="338">
        <v>2.4424726823325933E-2</v>
      </c>
      <c r="J33" s="329">
        <v>41765462</v>
      </c>
      <c r="K33" s="1">
        <f t="shared" si="0"/>
        <v>0</v>
      </c>
    </row>
    <row r="34" spans="1:11" ht="14.1" customHeight="1" x14ac:dyDescent="0.2">
      <c r="A34" s="15" t="s">
        <v>128</v>
      </c>
      <c r="B34" s="16">
        <f>'- 3 -'!B32</f>
        <v>31930390</v>
      </c>
      <c r="C34" s="16">
        <v>430400</v>
      </c>
      <c r="D34" s="16">
        <v>-293145</v>
      </c>
      <c r="E34" s="16">
        <f t="shared" si="1"/>
        <v>32067645</v>
      </c>
      <c r="F34" s="16">
        <f>'- 56 -'!D33</f>
        <v>1033850</v>
      </c>
      <c r="G34" s="267">
        <f t="shared" si="2"/>
        <v>3.2239660879369221</v>
      </c>
      <c r="H34" s="267">
        <v>3.3300000000000005</v>
      </c>
      <c r="I34" s="339">
        <v>3.223966087936922E-2</v>
      </c>
      <c r="J34" s="330">
        <v>32067645</v>
      </c>
      <c r="K34" s="1">
        <f t="shared" si="0"/>
        <v>0</v>
      </c>
    </row>
    <row r="35" spans="1:11" ht="14.1" customHeight="1" x14ac:dyDescent="0.2">
      <c r="A35" s="271" t="s">
        <v>129</v>
      </c>
      <c r="B35" s="272">
        <f>'- 3 -'!B33</f>
        <v>28821744</v>
      </c>
      <c r="C35" s="272">
        <v>150000</v>
      </c>
      <c r="D35" s="272">
        <v>0</v>
      </c>
      <c r="E35" s="272">
        <f t="shared" si="1"/>
        <v>28971744</v>
      </c>
      <c r="F35" s="272">
        <f>'- 56 -'!D34</f>
        <v>808620</v>
      </c>
      <c r="G35" s="273">
        <f t="shared" si="2"/>
        <v>2.7910642866373525</v>
      </c>
      <c r="H35" s="273">
        <v>3.37</v>
      </c>
      <c r="I35" s="338">
        <v>2.7910642866373524E-2</v>
      </c>
      <c r="J35" s="329">
        <v>28971744</v>
      </c>
      <c r="K35" s="1">
        <f t="shared" si="0"/>
        <v>0</v>
      </c>
    </row>
    <row r="36" spans="1:11" ht="14.1" customHeight="1" x14ac:dyDescent="0.2">
      <c r="A36" s="15" t="s">
        <v>130</v>
      </c>
      <c r="B36" s="16">
        <f>'- 3 -'!B34</f>
        <v>32436151</v>
      </c>
      <c r="C36" s="16">
        <v>544653</v>
      </c>
      <c r="D36" s="16">
        <v>0</v>
      </c>
      <c r="E36" s="16">
        <f t="shared" si="1"/>
        <v>32980804</v>
      </c>
      <c r="F36" s="16">
        <f>'- 56 -'!D35</f>
        <v>1101774</v>
      </c>
      <c r="G36" s="267">
        <f t="shared" si="2"/>
        <v>3.3406523382510627</v>
      </c>
      <c r="H36" s="267">
        <v>3.34</v>
      </c>
      <c r="I36" s="339">
        <v>3.3406523382510628E-2</v>
      </c>
      <c r="J36" s="330">
        <v>32980804</v>
      </c>
      <c r="K36" s="1">
        <f t="shared" si="0"/>
        <v>0</v>
      </c>
    </row>
    <row r="37" spans="1:11" ht="14.1" customHeight="1" x14ac:dyDescent="0.2">
      <c r="A37" s="271" t="s">
        <v>131</v>
      </c>
      <c r="B37" s="272">
        <f>'- 3 -'!B35</f>
        <v>196533048</v>
      </c>
      <c r="C37" s="272">
        <v>2719500</v>
      </c>
      <c r="D37" s="272">
        <v>0</v>
      </c>
      <c r="E37" s="272">
        <f t="shared" si="1"/>
        <v>199252548</v>
      </c>
      <c r="F37" s="272">
        <f>'- 56 -'!D36</f>
        <v>4939291</v>
      </c>
      <c r="G37" s="273">
        <f t="shared" si="2"/>
        <v>2.4789098305533339</v>
      </c>
      <c r="H37" s="273">
        <v>2.7</v>
      </c>
      <c r="I37" s="338">
        <v>2.4789098305533337E-2</v>
      </c>
      <c r="J37" s="329">
        <v>199252548</v>
      </c>
      <c r="K37" s="1">
        <f t="shared" si="0"/>
        <v>0</v>
      </c>
    </row>
    <row r="38" spans="1:11" ht="14.1" customHeight="1" x14ac:dyDescent="0.2">
      <c r="A38" s="15" t="s">
        <v>132</v>
      </c>
      <c r="B38" s="16">
        <f>'- 3 -'!B36</f>
        <v>24579195</v>
      </c>
      <c r="C38" s="16">
        <v>150000</v>
      </c>
      <c r="D38" s="16">
        <v>0</v>
      </c>
      <c r="E38" s="16">
        <f t="shared" si="1"/>
        <v>24729195</v>
      </c>
      <c r="F38" s="16">
        <f>'- 56 -'!D37</f>
        <v>830285</v>
      </c>
      <c r="G38" s="267">
        <f t="shared" si="2"/>
        <v>3.3575092112784102</v>
      </c>
      <c r="H38" s="267">
        <v>3.42</v>
      </c>
      <c r="I38" s="339">
        <v>3.3575092112784102E-2</v>
      </c>
      <c r="J38" s="330">
        <v>24729195</v>
      </c>
      <c r="K38" s="1">
        <f t="shared" si="0"/>
        <v>0</v>
      </c>
    </row>
    <row r="39" spans="1:11" ht="14.1" customHeight="1" x14ac:dyDescent="0.2">
      <c r="A39" s="271" t="s">
        <v>133</v>
      </c>
      <c r="B39" s="272">
        <f>'- 3 -'!B37</f>
        <v>55566000</v>
      </c>
      <c r="C39" s="272">
        <v>510000</v>
      </c>
      <c r="D39" s="272">
        <v>0</v>
      </c>
      <c r="E39" s="272">
        <f t="shared" si="1"/>
        <v>56076000</v>
      </c>
      <c r="F39" s="272">
        <f>'- 56 -'!D38</f>
        <v>1586300</v>
      </c>
      <c r="G39" s="273">
        <f t="shared" si="2"/>
        <v>2.8288394321991586</v>
      </c>
      <c r="H39" s="273">
        <v>3.0300000000000002</v>
      </c>
      <c r="I39" s="338">
        <v>2.8288394321991584E-2</v>
      </c>
      <c r="J39" s="329">
        <v>56076000</v>
      </c>
      <c r="K39" s="1">
        <f t="shared" si="0"/>
        <v>0</v>
      </c>
    </row>
    <row r="40" spans="1:11" ht="14.1" customHeight="1" x14ac:dyDescent="0.2">
      <c r="A40" s="15" t="s">
        <v>134</v>
      </c>
      <c r="B40" s="16">
        <f>'- 3 -'!B38</f>
        <v>152232860</v>
      </c>
      <c r="C40" s="16">
        <v>2673440</v>
      </c>
      <c r="D40" s="16">
        <v>-2123705</v>
      </c>
      <c r="E40" s="16">
        <f t="shared" si="1"/>
        <v>152782595</v>
      </c>
      <c r="F40" s="16">
        <f>'- 56 -'!D39</f>
        <v>4087770</v>
      </c>
      <c r="G40" s="267">
        <f t="shared" si="2"/>
        <v>2.6755469103008753</v>
      </c>
      <c r="H40" s="267">
        <v>2.7</v>
      </c>
      <c r="I40" s="339">
        <v>2.6755469103008755E-2</v>
      </c>
      <c r="J40" s="330">
        <v>152782595</v>
      </c>
      <c r="K40" s="1">
        <f t="shared" si="0"/>
        <v>0</v>
      </c>
    </row>
    <row r="41" spans="1:11" ht="14.1" customHeight="1" x14ac:dyDescent="0.2">
      <c r="A41" s="271" t="s">
        <v>135</v>
      </c>
      <c r="B41" s="272">
        <f>'- 3 -'!B39</f>
        <v>23759400</v>
      </c>
      <c r="C41" s="272">
        <v>0</v>
      </c>
      <c r="D41" s="272">
        <v>0</v>
      </c>
      <c r="E41" s="272">
        <f t="shared" si="1"/>
        <v>23759400</v>
      </c>
      <c r="F41" s="272">
        <f>'- 56 -'!D40</f>
        <v>761000</v>
      </c>
      <c r="G41" s="273">
        <f t="shared" si="2"/>
        <v>3.2029428352567826</v>
      </c>
      <c r="H41" s="273">
        <v>3.46</v>
      </c>
      <c r="I41" s="338">
        <v>3.2029428352567828E-2</v>
      </c>
      <c r="J41" s="329">
        <v>23759400</v>
      </c>
      <c r="K41" s="1">
        <f t="shared" si="0"/>
        <v>0</v>
      </c>
    </row>
    <row r="42" spans="1:11" ht="14.1" customHeight="1" x14ac:dyDescent="0.2">
      <c r="A42" s="15" t="s">
        <v>136</v>
      </c>
      <c r="B42" s="16">
        <f>'- 3 -'!B40</f>
        <v>110306765</v>
      </c>
      <c r="C42" s="16">
        <v>2491515</v>
      </c>
      <c r="D42" s="16">
        <v>0</v>
      </c>
      <c r="E42" s="16">
        <f t="shared" si="1"/>
        <v>112798280</v>
      </c>
      <c r="F42" s="16">
        <f>'- 56 -'!D41</f>
        <v>2682133</v>
      </c>
      <c r="G42" s="267">
        <f t="shared" si="2"/>
        <v>2.3778137397130523</v>
      </c>
      <c r="H42" s="267">
        <v>2.7</v>
      </c>
      <c r="I42" s="339">
        <v>2.3778137397130524E-2</v>
      </c>
      <c r="J42" s="330">
        <v>112798280</v>
      </c>
      <c r="K42" s="1">
        <f t="shared" si="0"/>
        <v>0</v>
      </c>
    </row>
    <row r="43" spans="1:11" ht="14.1" customHeight="1" x14ac:dyDescent="0.2">
      <c r="A43" s="271" t="s">
        <v>137</v>
      </c>
      <c r="B43" s="272">
        <f>'- 3 -'!B41</f>
        <v>67504544</v>
      </c>
      <c r="C43" s="272">
        <v>1178481</v>
      </c>
      <c r="D43" s="272">
        <v>-994120</v>
      </c>
      <c r="E43" s="272">
        <f t="shared" si="1"/>
        <v>67688905</v>
      </c>
      <c r="F43" s="272">
        <f>'- 56 -'!D42</f>
        <v>2036801</v>
      </c>
      <c r="G43" s="273">
        <f t="shared" si="2"/>
        <v>3.0090618248293421</v>
      </c>
      <c r="H43" s="273">
        <v>3.01</v>
      </c>
      <c r="I43" s="338">
        <v>3.0090618248293424E-2</v>
      </c>
      <c r="J43" s="329">
        <v>67688905</v>
      </c>
      <c r="K43" s="1">
        <f t="shared" si="0"/>
        <v>0</v>
      </c>
    </row>
    <row r="44" spans="1:11" ht="14.1" customHeight="1" x14ac:dyDescent="0.2">
      <c r="A44" s="15" t="s">
        <v>138</v>
      </c>
      <c r="B44" s="16">
        <f>'- 3 -'!B42</f>
        <v>21407180</v>
      </c>
      <c r="C44" s="16">
        <v>0</v>
      </c>
      <c r="D44" s="16">
        <v>0</v>
      </c>
      <c r="E44" s="16">
        <f t="shared" si="1"/>
        <v>21407180</v>
      </c>
      <c r="F44" s="16">
        <f>'- 56 -'!D43</f>
        <v>727992</v>
      </c>
      <c r="G44" s="267">
        <f t="shared" si="2"/>
        <v>3.4006907962655522</v>
      </c>
      <c r="H44" s="267">
        <v>3.4799999999999995</v>
      </c>
      <c r="I44" s="339">
        <v>3.4006907962655521E-2</v>
      </c>
      <c r="J44" s="330">
        <v>21407180</v>
      </c>
      <c r="K44" s="1">
        <f t="shared" si="0"/>
        <v>0</v>
      </c>
    </row>
    <row r="45" spans="1:11" ht="14.1" customHeight="1" x14ac:dyDescent="0.2">
      <c r="A45" s="271" t="s">
        <v>139</v>
      </c>
      <c r="B45" s="272">
        <f>'- 3 -'!B43</f>
        <v>13911274</v>
      </c>
      <c r="C45" s="272">
        <v>32000</v>
      </c>
      <c r="D45" s="272">
        <v>-203922</v>
      </c>
      <c r="E45" s="272">
        <f t="shared" si="1"/>
        <v>13739352</v>
      </c>
      <c r="F45" s="272">
        <f>'- 56 -'!D44</f>
        <v>434537</v>
      </c>
      <c r="G45" s="273">
        <f t="shared" si="2"/>
        <v>3.1627182999605803</v>
      </c>
      <c r="H45" s="273">
        <v>3.53</v>
      </c>
      <c r="I45" s="338">
        <v>3.1627182999605805E-2</v>
      </c>
      <c r="J45" s="329">
        <v>13739352</v>
      </c>
      <c r="K45" s="1">
        <f t="shared" si="0"/>
        <v>0</v>
      </c>
    </row>
    <row r="46" spans="1:11" ht="14.1" customHeight="1" x14ac:dyDescent="0.2">
      <c r="A46" s="15" t="s">
        <v>140</v>
      </c>
      <c r="B46" s="16">
        <f>'- 3 -'!B44</f>
        <v>11388597</v>
      </c>
      <c r="C46" s="16">
        <v>0</v>
      </c>
      <c r="D46" s="16">
        <v>0</v>
      </c>
      <c r="E46" s="16">
        <f t="shared" si="1"/>
        <v>11388597</v>
      </c>
      <c r="F46" s="16">
        <f>'- 56 -'!D45</f>
        <v>370979</v>
      </c>
      <c r="G46" s="267">
        <f t="shared" si="2"/>
        <v>3.2574600716839832</v>
      </c>
      <c r="H46" s="267">
        <v>3.53</v>
      </c>
      <c r="I46" s="339">
        <v>3.2574600716839833E-2</v>
      </c>
      <c r="J46" s="330">
        <v>11388597</v>
      </c>
      <c r="K46" s="1">
        <f t="shared" si="0"/>
        <v>0</v>
      </c>
    </row>
    <row r="47" spans="1:11" ht="14.1" customHeight="1" x14ac:dyDescent="0.2">
      <c r="A47" s="271" t="s">
        <v>141</v>
      </c>
      <c r="B47" s="272">
        <f>'- 3 -'!B45</f>
        <v>22515136</v>
      </c>
      <c r="C47" s="272">
        <v>175000</v>
      </c>
      <c r="D47" s="272">
        <v>-441456</v>
      </c>
      <c r="E47" s="272">
        <f>SUM(B47:D47)</f>
        <v>22248680</v>
      </c>
      <c r="F47" s="272">
        <f>'- 56 -'!D46</f>
        <v>731397</v>
      </c>
      <c r="G47" s="273">
        <f t="shared" si="2"/>
        <v>3.2873725542369252</v>
      </c>
      <c r="H47" s="273">
        <v>3.37</v>
      </c>
      <c r="I47" s="338">
        <v>3.2873725542369253E-2</v>
      </c>
      <c r="J47" s="329">
        <v>22248680</v>
      </c>
      <c r="K47" s="1">
        <f t="shared" si="0"/>
        <v>0</v>
      </c>
    </row>
    <row r="48" spans="1:11" ht="14.1" customHeight="1" x14ac:dyDescent="0.2">
      <c r="A48" s="15" t="s">
        <v>142</v>
      </c>
      <c r="B48" s="16">
        <f>'- 3 -'!B46</f>
        <v>419847700</v>
      </c>
      <c r="C48" s="16">
        <v>1374000</v>
      </c>
      <c r="D48" s="16">
        <v>-795800</v>
      </c>
      <c r="E48" s="16">
        <f t="shared" si="1"/>
        <v>420425900</v>
      </c>
      <c r="F48" s="16">
        <f>'- 56 -'!D47</f>
        <v>11280600</v>
      </c>
      <c r="G48" s="267">
        <f t="shared" si="2"/>
        <v>2.6831363148654734</v>
      </c>
      <c r="H48" s="267">
        <v>2.7</v>
      </c>
      <c r="I48" s="339">
        <v>2.6831363148654735E-2</v>
      </c>
      <c r="J48" s="330">
        <v>420425900</v>
      </c>
      <c r="K48" s="1">
        <f t="shared" si="0"/>
        <v>0</v>
      </c>
    </row>
    <row r="49" spans="1:11" ht="5.0999999999999996" customHeight="1" x14ac:dyDescent="0.2">
      <c r="A49"/>
      <c r="B49"/>
      <c r="C49"/>
      <c r="D49"/>
      <c r="E49"/>
      <c r="F49"/>
      <c r="G49" s="505"/>
      <c r="H49"/>
      <c r="I49" s="341"/>
      <c r="J49" s="331"/>
    </row>
    <row r="50" spans="1:11" ht="14.45" customHeight="1" x14ac:dyDescent="0.2">
      <c r="A50" s="274" t="s">
        <v>143</v>
      </c>
      <c r="B50" s="275">
        <f>SUM(B13:B48)</f>
        <v>2259500099</v>
      </c>
      <c r="C50" s="275">
        <f>SUM(C13:C48)</f>
        <v>18242620</v>
      </c>
      <c r="D50" s="275">
        <f>SUM(D13:D48)</f>
        <v>-7271169</v>
      </c>
      <c r="E50" s="275">
        <f>SUM(E13:E48)</f>
        <v>2270471550</v>
      </c>
      <c r="F50" s="275">
        <f>SUM(F13:F48)</f>
        <v>63196393</v>
      </c>
      <c r="G50" s="276">
        <f>F50/E50*100</f>
        <v>2.783403870442684</v>
      </c>
      <c r="H50" s="506" t="s">
        <v>88</v>
      </c>
      <c r="I50" s="342"/>
      <c r="J50" s="343">
        <f>SUM(J13:J48)</f>
        <v>2270471550</v>
      </c>
      <c r="K50" s="1">
        <f>J50-E50</f>
        <v>0</v>
      </c>
    </row>
    <row r="51" spans="1:11" ht="5.0999999999999996" customHeight="1" x14ac:dyDescent="0.2">
      <c r="A51" s="17" t="s">
        <v>1</v>
      </c>
      <c r="B51" s="18"/>
      <c r="C51" s="18"/>
      <c r="D51" s="18"/>
      <c r="E51" s="18"/>
      <c r="F51" s="18"/>
      <c r="G51" s="266"/>
      <c r="H51" s="266"/>
      <c r="I51" s="341"/>
      <c r="J51" s="333"/>
    </row>
    <row r="52" spans="1:11" ht="14.45" customHeight="1" x14ac:dyDescent="0.2">
      <c r="A52" s="15" t="s">
        <v>144</v>
      </c>
      <c r="B52" s="16"/>
      <c r="C52" s="16"/>
      <c r="D52" s="16"/>
      <c r="E52" s="16"/>
      <c r="F52" s="16"/>
      <c r="G52" s="334" t="s">
        <v>88</v>
      </c>
      <c r="H52" s="334" t="s">
        <v>88</v>
      </c>
      <c r="I52" s="339">
        <v>3.3350566277102985E-2</v>
      </c>
      <c r="J52" s="330">
        <v>3630643</v>
      </c>
    </row>
    <row r="53" spans="1:11" ht="14.45" customHeight="1" x14ac:dyDescent="0.2">
      <c r="A53" s="360" t="s">
        <v>513</v>
      </c>
      <c r="B53" s="272"/>
      <c r="C53" s="272"/>
      <c r="D53" s="272"/>
      <c r="E53" s="272"/>
      <c r="F53" s="272"/>
      <c r="G53" s="335" t="s">
        <v>88</v>
      </c>
      <c r="H53" s="335" t="s">
        <v>88</v>
      </c>
      <c r="I53" s="246"/>
      <c r="J53" s="240"/>
    </row>
    <row r="54" spans="1:11" ht="49.5" customHeight="1" x14ac:dyDescent="0.2">
      <c r="A54" s="19"/>
      <c r="B54" s="19"/>
      <c r="C54" s="19"/>
      <c r="D54" s="19"/>
      <c r="E54" s="19"/>
      <c r="F54" s="19"/>
      <c r="G54" s="19"/>
      <c r="H54" s="19"/>
    </row>
    <row r="55" spans="1:11" ht="14.45" customHeight="1" x14ac:dyDescent="0.2">
      <c r="A55" s="762" t="s">
        <v>498</v>
      </c>
      <c r="B55" s="762"/>
      <c r="C55" s="762"/>
      <c r="D55" s="762"/>
      <c r="E55" s="762"/>
      <c r="F55" s="762"/>
      <c r="G55" s="762"/>
      <c r="H55" s="762"/>
    </row>
    <row r="56" spans="1:11" ht="12" customHeight="1" x14ac:dyDescent="0.2">
      <c r="A56" s="805"/>
      <c r="B56" s="805"/>
      <c r="C56" s="805"/>
      <c r="D56" s="805"/>
      <c r="E56" s="805"/>
      <c r="F56" s="805"/>
      <c r="G56" s="805"/>
      <c r="H56" s="805"/>
    </row>
    <row r="57" spans="1:11" ht="14.45" customHeight="1" x14ac:dyDescent="0.2">
      <c r="A57" s="31"/>
      <c r="B57" s="31"/>
      <c r="C57" s="31"/>
      <c r="D57" s="31"/>
    </row>
    <row r="58" spans="1:11" ht="14.45" customHeight="1" x14ac:dyDescent="0.2">
      <c r="A58" s="31"/>
      <c r="B58" s="31"/>
      <c r="C58" s="31"/>
      <c r="D58" s="31"/>
    </row>
    <row r="59" spans="1:11" ht="14.45" customHeight="1" x14ac:dyDescent="0.2">
      <c r="A59" s="31"/>
      <c r="B59" s="31"/>
      <c r="C59" s="31"/>
      <c r="D59" s="31"/>
    </row>
    <row r="60" spans="1:11" x14ac:dyDescent="0.2">
      <c r="A60" s="31"/>
    </row>
  </sheetData>
  <mergeCells count="9">
    <mergeCell ref="B4:H4"/>
    <mergeCell ref="A55:H56"/>
    <mergeCell ref="B8:B11"/>
    <mergeCell ref="C8:C11"/>
    <mergeCell ref="E9:E11"/>
    <mergeCell ref="F8:F11"/>
    <mergeCell ref="H6:H11"/>
    <mergeCell ref="G6:G11"/>
    <mergeCell ref="D7:D11"/>
  </mergeCells>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39">
    <pageSetUpPr autoPageBreaks="0" fitToPage="1"/>
  </sheetPr>
  <dimension ref="A1:BB56"/>
  <sheetViews>
    <sheetView showGridLines="0" showZeros="0" defaultGridColor="0" colorId="22" workbookViewId="0"/>
  </sheetViews>
  <sheetFormatPr defaultColWidth="15.83203125" defaultRowHeight="12" x14ac:dyDescent="0.2"/>
  <cols>
    <col min="1" max="1" width="26.1640625" style="378" bestFit="1" customWidth="1"/>
    <col min="2" max="2" width="15.83203125" style="395" customWidth="1"/>
    <col min="3" max="3" width="13.33203125" style="378" customWidth="1"/>
    <col min="4" max="4" width="13.1640625" style="378" customWidth="1"/>
    <col min="5" max="5" width="16" style="378" customWidth="1"/>
    <col min="6" max="6" width="15.33203125" style="378" customWidth="1"/>
    <col min="7" max="7" width="14.83203125" style="378" customWidth="1"/>
    <col min="8" max="8" width="10.5" style="378" customWidth="1"/>
    <col min="9" max="9" width="13" style="378" customWidth="1"/>
    <col min="10" max="16384" width="15.83203125" style="378"/>
  </cols>
  <sheetData>
    <row r="1" spans="1:54" ht="20.25" x14ac:dyDescent="0.3">
      <c r="A1" s="376"/>
      <c r="B1" s="377"/>
    </row>
    <row r="2" spans="1:54" s="380" customFormat="1" ht="15.95" customHeight="1" x14ac:dyDescent="0.2">
      <c r="A2" s="813" t="s">
        <v>540</v>
      </c>
      <c r="B2" s="814"/>
      <c r="C2" s="814"/>
      <c r="D2" s="814"/>
      <c r="E2" s="814"/>
      <c r="F2" s="814"/>
      <c r="G2" s="814"/>
      <c r="H2" s="814"/>
      <c r="I2" s="379"/>
      <c r="BA2" s="483" t="s">
        <v>504</v>
      </c>
      <c r="BB2" s="483" t="s">
        <v>505</v>
      </c>
    </row>
    <row r="3" spans="1:54" s="380" customFormat="1" ht="15.95" customHeight="1" x14ac:dyDescent="0.2">
      <c r="A3" s="815" t="str">
        <f>IF(Lang=1,BA3,BB3)</f>
        <v>2020/2021 BUDGET</v>
      </c>
      <c r="B3" s="816"/>
      <c r="C3" s="816"/>
      <c r="D3" s="816"/>
      <c r="E3" s="816"/>
      <c r="F3" s="816"/>
      <c r="G3" s="816"/>
      <c r="H3" s="816"/>
      <c r="I3" s="381"/>
      <c r="BA3" s="483" t="str">
        <f>RIGHT(TEXT('- 57 -'!B2,"0"),16)</f>
        <v>2020/2021 BUDGET</v>
      </c>
      <c r="BB3" s="484" t="str">
        <f>"BUDGET "&amp;TEXT(YEAR,"0")&amp;" - "&amp;TEXT(YEAR+1,"0")</f>
        <v>BUDGET 2020 - 2021</v>
      </c>
    </row>
    <row r="4" spans="1:54" x14ac:dyDescent="0.2">
      <c r="B4" s="382"/>
    </row>
    <row r="5" spans="1:54" x14ac:dyDescent="0.2">
      <c r="B5" s="382"/>
    </row>
    <row r="6" spans="1:54" x14ac:dyDescent="0.2">
      <c r="B6" s="378"/>
    </row>
    <row r="7" spans="1:54" x14ac:dyDescent="0.2">
      <c r="B7" s="812"/>
      <c r="C7" s="812"/>
      <c r="D7" s="812"/>
      <c r="E7" s="812"/>
      <c r="F7" s="812"/>
      <c r="G7" s="812"/>
      <c r="H7" s="812"/>
    </row>
    <row r="8" spans="1:54" ht="36" customHeight="1" x14ac:dyDescent="0.2">
      <c r="A8" s="383"/>
      <c r="B8" s="817" t="s">
        <v>301</v>
      </c>
      <c r="C8" s="808" t="s">
        <v>104</v>
      </c>
      <c r="D8" s="809"/>
      <c r="E8" s="818" t="s">
        <v>302</v>
      </c>
      <c r="F8" s="810" t="s">
        <v>303</v>
      </c>
      <c r="G8" s="810" t="s">
        <v>342</v>
      </c>
      <c r="H8" s="810" t="s">
        <v>304</v>
      </c>
      <c r="I8" s="810" t="s">
        <v>13</v>
      </c>
    </row>
    <row r="9" spans="1:54" ht="18.75" customHeight="1" x14ac:dyDescent="0.2">
      <c r="A9" s="384" t="s">
        <v>265</v>
      </c>
      <c r="B9" s="811"/>
      <c r="C9" s="426" t="s">
        <v>343</v>
      </c>
      <c r="D9" s="426" t="s">
        <v>19</v>
      </c>
      <c r="E9" s="811"/>
      <c r="F9" s="811"/>
      <c r="G9" s="811"/>
      <c r="H9" s="811"/>
      <c r="I9" s="811"/>
    </row>
    <row r="10" spans="1:54" ht="3.95" customHeight="1" x14ac:dyDescent="0.2">
      <c r="A10" s="385"/>
      <c r="B10" s="382"/>
    </row>
    <row r="11" spans="1:54" x14ac:dyDescent="0.2">
      <c r="A11" s="386" t="s">
        <v>108</v>
      </c>
      <c r="B11" s="387">
        <v>12.8</v>
      </c>
      <c r="C11" s="387">
        <v>129.29</v>
      </c>
      <c r="D11" s="387">
        <v>65.36</v>
      </c>
      <c r="E11" s="387">
        <v>42.28</v>
      </c>
      <c r="F11" s="387">
        <v>9.49</v>
      </c>
      <c r="G11" s="387">
        <v>2.5</v>
      </c>
      <c r="H11" s="387">
        <v>2.25</v>
      </c>
      <c r="I11" s="387">
        <f t="shared" ref="I11:I46" si="0">SUM(B11:H11)</f>
        <v>263.96999999999997</v>
      </c>
    </row>
    <row r="12" spans="1:54" x14ac:dyDescent="0.2">
      <c r="A12" s="388" t="s">
        <v>109</v>
      </c>
      <c r="B12" s="389">
        <v>20.375</v>
      </c>
      <c r="C12" s="389">
        <v>175.13</v>
      </c>
      <c r="D12" s="389">
        <v>117.74000000000001</v>
      </c>
      <c r="E12" s="389">
        <v>71.899999999999991</v>
      </c>
      <c r="F12" s="389">
        <v>23.18</v>
      </c>
      <c r="G12" s="389">
        <v>6.4</v>
      </c>
      <c r="H12" s="389">
        <v>5</v>
      </c>
      <c r="I12" s="389">
        <f t="shared" si="0"/>
        <v>419.72499999999997</v>
      </c>
    </row>
    <row r="13" spans="1:54" x14ac:dyDescent="0.2">
      <c r="A13" s="386" t="s">
        <v>110</v>
      </c>
      <c r="B13" s="387">
        <v>48.75</v>
      </c>
      <c r="C13" s="387">
        <v>647.27</v>
      </c>
      <c r="D13" s="387">
        <v>313.52</v>
      </c>
      <c r="E13" s="387">
        <v>140.22999999999999</v>
      </c>
      <c r="F13" s="387">
        <v>52.1</v>
      </c>
      <c r="G13" s="387">
        <v>31.25</v>
      </c>
      <c r="H13" s="387">
        <v>8</v>
      </c>
      <c r="I13" s="387">
        <f t="shared" si="0"/>
        <v>1241.1199999999999</v>
      </c>
    </row>
    <row r="14" spans="1:54" x14ac:dyDescent="0.2">
      <c r="A14" s="388" t="s">
        <v>319</v>
      </c>
      <c r="B14" s="389">
        <v>60.1</v>
      </c>
      <c r="C14" s="389">
        <v>441.70000000000005</v>
      </c>
      <c r="D14" s="389">
        <v>251.66</v>
      </c>
      <c r="E14" s="389">
        <v>78.599999999999994</v>
      </c>
      <c r="F14" s="389">
        <v>59</v>
      </c>
      <c r="G14" s="389">
        <v>11.6</v>
      </c>
      <c r="H14" s="389">
        <v>8</v>
      </c>
      <c r="I14" s="389">
        <f t="shared" si="0"/>
        <v>910.66000000000008</v>
      </c>
    </row>
    <row r="15" spans="1:54" x14ac:dyDescent="0.2">
      <c r="A15" s="386" t="s">
        <v>111</v>
      </c>
      <c r="B15" s="387">
        <v>12.200000000000001</v>
      </c>
      <c r="C15" s="387">
        <v>93.95</v>
      </c>
      <c r="D15" s="387">
        <v>59.5</v>
      </c>
      <c r="E15" s="387">
        <v>47.2</v>
      </c>
      <c r="F15" s="387">
        <v>14.329999999999998</v>
      </c>
      <c r="G15" s="387">
        <v>2.35</v>
      </c>
      <c r="H15" s="387">
        <v>2</v>
      </c>
      <c r="I15" s="387">
        <f t="shared" si="0"/>
        <v>231.53</v>
      </c>
    </row>
    <row r="16" spans="1:54" x14ac:dyDescent="0.2">
      <c r="A16" s="388" t="s">
        <v>112</v>
      </c>
      <c r="B16" s="389">
        <v>11.17</v>
      </c>
      <c r="C16" s="389">
        <v>71</v>
      </c>
      <c r="D16" s="389">
        <v>33.5</v>
      </c>
      <c r="E16" s="389">
        <v>26.58</v>
      </c>
      <c r="F16" s="389">
        <v>7.8999999999999995</v>
      </c>
      <c r="G16" s="389">
        <v>3.2</v>
      </c>
      <c r="H16" s="389">
        <v>0</v>
      </c>
      <c r="I16" s="389">
        <f t="shared" si="0"/>
        <v>153.35</v>
      </c>
    </row>
    <row r="17" spans="1:9" x14ac:dyDescent="0.2">
      <c r="A17" s="386" t="s">
        <v>266</v>
      </c>
      <c r="B17" s="387">
        <v>10.96</v>
      </c>
      <c r="C17" s="387">
        <v>103.66</v>
      </c>
      <c r="D17" s="387">
        <v>42.6</v>
      </c>
      <c r="E17" s="387">
        <v>48.55</v>
      </c>
      <c r="F17" s="387">
        <v>12.42</v>
      </c>
      <c r="G17" s="387">
        <v>3.1</v>
      </c>
      <c r="H17" s="387">
        <v>2</v>
      </c>
      <c r="I17" s="387">
        <f t="shared" si="0"/>
        <v>223.28999999999996</v>
      </c>
    </row>
    <row r="18" spans="1:9" x14ac:dyDescent="0.2">
      <c r="A18" s="388" t="s">
        <v>267</v>
      </c>
      <c r="B18" s="389">
        <v>63.710000000000008</v>
      </c>
      <c r="C18" s="389">
        <v>477.85</v>
      </c>
      <c r="D18" s="389">
        <v>463.17</v>
      </c>
      <c r="E18" s="389">
        <v>305.26</v>
      </c>
      <c r="F18" s="389">
        <v>71.7</v>
      </c>
      <c r="G18" s="389">
        <v>20.509999999999998</v>
      </c>
      <c r="H18" s="389">
        <v>11</v>
      </c>
      <c r="I18" s="389">
        <f t="shared" si="0"/>
        <v>1413.2</v>
      </c>
    </row>
    <row r="19" spans="1:9" x14ac:dyDescent="0.2">
      <c r="A19" s="386" t="s">
        <v>268</v>
      </c>
      <c r="B19" s="387">
        <v>23.250000000000004</v>
      </c>
      <c r="C19" s="387">
        <v>285.15000000000003</v>
      </c>
      <c r="D19" s="387">
        <v>189.13000000000002</v>
      </c>
      <c r="E19" s="387">
        <v>124.23</v>
      </c>
      <c r="F19" s="387">
        <v>19.5</v>
      </c>
      <c r="G19" s="387">
        <v>11.8</v>
      </c>
      <c r="H19" s="387">
        <v>8</v>
      </c>
      <c r="I19" s="387">
        <f t="shared" si="0"/>
        <v>661.06000000000006</v>
      </c>
    </row>
    <row r="20" spans="1:9" x14ac:dyDescent="0.2">
      <c r="A20" s="388" t="s">
        <v>269</v>
      </c>
      <c r="B20" s="389">
        <v>41.5</v>
      </c>
      <c r="C20" s="389">
        <v>541.28499999999997</v>
      </c>
      <c r="D20" s="389">
        <v>192</v>
      </c>
      <c r="E20" s="389">
        <v>214.85</v>
      </c>
      <c r="F20" s="389">
        <v>71.917000000000002</v>
      </c>
      <c r="G20" s="389">
        <v>23.1</v>
      </c>
      <c r="H20" s="389">
        <v>11</v>
      </c>
      <c r="I20" s="389">
        <f t="shared" si="0"/>
        <v>1095.6519999999998</v>
      </c>
    </row>
    <row r="21" spans="1:9" x14ac:dyDescent="0.2">
      <c r="A21" s="386" t="s">
        <v>270</v>
      </c>
      <c r="B21" s="387">
        <v>22</v>
      </c>
      <c r="C21" s="387">
        <v>214.75</v>
      </c>
      <c r="D21" s="387">
        <v>123.9</v>
      </c>
      <c r="E21" s="387">
        <v>68.349999999999994</v>
      </c>
      <c r="F21" s="387">
        <v>23.05</v>
      </c>
      <c r="G21" s="387">
        <v>8.66</v>
      </c>
      <c r="H21" s="387">
        <v>4</v>
      </c>
      <c r="I21" s="387">
        <f t="shared" si="0"/>
        <v>464.71000000000004</v>
      </c>
    </row>
    <row r="22" spans="1:9" x14ac:dyDescent="0.2">
      <c r="A22" s="388" t="s">
        <v>271</v>
      </c>
      <c r="B22" s="389">
        <v>10.549999999999999</v>
      </c>
      <c r="C22" s="389">
        <v>109.45</v>
      </c>
      <c r="D22" s="389">
        <v>56</v>
      </c>
      <c r="E22" s="389">
        <v>34.5</v>
      </c>
      <c r="F22" s="389">
        <v>19</v>
      </c>
      <c r="G22" s="389">
        <v>4</v>
      </c>
      <c r="H22" s="389">
        <v>1.5</v>
      </c>
      <c r="I22" s="389">
        <f t="shared" si="0"/>
        <v>235</v>
      </c>
    </row>
    <row r="23" spans="1:9" x14ac:dyDescent="0.2">
      <c r="A23" s="386" t="s">
        <v>272</v>
      </c>
      <c r="B23" s="387">
        <v>9.8000000000000007</v>
      </c>
      <c r="C23" s="387">
        <v>73.5</v>
      </c>
      <c r="D23" s="387">
        <v>56.5</v>
      </c>
      <c r="E23" s="387">
        <v>34</v>
      </c>
      <c r="F23" s="387">
        <v>9.5</v>
      </c>
      <c r="G23" s="387">
        <v>3.75</v>
      </c>
      <c r="H23" s="387">
        <v>2</v>
      </c>
      <c r="I23" s="387">
        <f t="shared" si="0"/>
        <v>189.05</v>
      </c>
    </row>
    <row r="24" spans="1:9" x14ac:dyDescent="0.2">
      <c r="A24" s="388" t="s">
        <v>273</v>
      </c>
      <c r="B24" s="389">
        <v>31.5</v>
      </c>
      <c r="C24" s="389">
        <v>291.5</v>
      </c>
      <c r="D24" s="389">
        <v>178.27</v>
      </c>
      <c r="E24" s="389">
        <v>120.24</v>
      </c>
      <c r="F24" s="389">
        <v>33.357140999999999</v>
      </c>
      <c r="G24" s="389">
        <v>16</v>
      </c>
      <c r="H24" s="389">
        <v>9</v>
      </c>
      <c r="I24" s="389">
        <f t="shared" si="0"/>
        <v>679.86714099999995</v>
      </c>
    </row>
    <row r="25" spans="1:9" x14ac:dyDescent="0.2">
      <c r="A25" s="386" t="s">
        <v>274</v>
      </c>
      <c r="B25" s="387">
        <v>86.5</v>
      </c>
      <c r="C25" s="387">
        <v>1017.96</v>
      </c>
      <c r="D25" s="387">
        <v>604.91999999999996</v>
      </c>
      <c r="E25" s="387">
        <v>183.84</v>
      </c>
      <c r="F25" s="387">
        <v>118.47</v>
      </c>
      <c r="G25" s="387">
        <v>40.17</v>
      </c>
      <c r="H25" s="387">
        <v>18</v>
      </c>
      <c r="I25" s="387">
        <f t="shared" si="0"/>
        <v>2069.86</v>
      </c>
    </row>
    <row r="26" spans="1:9" x14ac:dyDescent="0.2">
      <c r="A26" s="388" t="s">
        <v>275</v>
      </c>
      <c r="B26" s="389">
        <v>27.65</v>
      </c>
      <c r="C26" s="389">
        <v>210.6</v>
      </c>
      <c r="D26" s="389">
        <v>133.6</v>
      </c>
      <c r="E26" s="389">
        <v>112.03</v>
      </c>
      <c r="F26" s="389">
        <v>25.04</v>
      </c>
      <c r="G26" s="389">
        <v>7.1</v>
      </c>
      <c r="H26" s="389">
        <v>7</v>
      </c>
      <c r="I26" s="389">
        <f t="shared" si="0"/>
        <v>523.02</v>
      </c>
    </row>
    <row r="27" spans="1:9" x14ac:dyDescent="0.2">
      <c r="A27" s="386" t="s">
        <v>276</v>
      </c>
      <c r="B27" s="387">
        <v>19.5</v>
      </c>
      <c r="C27" s="387">
        <v>224.75</v>
      </c>
      <c r="D27" s="387">
        <v>113</v>
      </c>
      <c r="E27" s="387">
        <v>42.25</v>
      </c>
      <c r="F27" s="387">
        <v>22</v>
      </c>
      <c r="G27" s="387">
        <v>11.629999999999999</v>
      </c>
      <c r="H27" s="387">
        <v>5</v>
      </c>
      <c r="I27" s="387">
        <f t="shared" si="0"/>
        <v>438.13</v>
      </c>
    </row>
    <row r="28" spans="1:9" x14ac:dyDescent="0.2">
      <c r="A28" s="388" t="s">
        <v>277</v>
      </c>
      <c r="B28" s="389">
        <v>16.200000000000003</v>
      </c>
      <c r="C28" s="389">
        <v>154.98999999999998</v>
      </c>
      <c r="D28" s="389">
        <v>85.820000000000007</v>
      </c>
      <c r="E28" s="389">
        <v>56.4</v>
      </c>
      <c r="F28" s="389">
        <v>19.179999999999996</v>
      </c>
      <c r="G28" s="389">
        <v>3.25</v>
      </c>
      <c r="H28" s="389">
        <v>4</v>
      </c>
      <c r="I28" s="389">
        <f t="shared" si="0"/>
        <v>339.84</v>
      </c>
    </row>
    <row r="29" spans="1:9" x14ac:dyDescent="0.2">
      <c r="A29" s="386" t="s">
        <v>278</v>
      </c>
      <c r="B29" s="387">
        <v>78.5</v>
      </c>
      <c r="C29" s="387">
        <v>960.53000000000009</v>
      </c>
      <c r="D29" s="387">
        <v>525.23</v>
      </c>
      <c r="E29" s="387">
        <v>190.34000000000003</v>
      </c>
      <c r="F29" s="387">
        <v>114.24</v>
      </c>
      <c r="G29" s="387">
        <v>32</v>
      </c>
      <c r="H29" s="387">
        <v>21.46</v>
      </c>
      <c r="I29" s="387">
        <f t="shared" si="0"/>
        <v>1922.3000000000004</v>
      </c>
    </row>
    <row r="30" spans="1:9" x14ac:dyDescent="0.2">
      <c r="A30" s="388" t="s">
        <v>279</v>
      </c>
      <c r="B30" s="389">
        <v>10.64</v>
      </c>
      <c r="C30" s="389">
        <v>82.115000000000009</v>
      </c>
      <c r="D30" s="389">
        <v>42.249000000000002</v>
      </c>
      <c r="E30" s="389">
        <v>39.409999999999997</v>
      </c>
      <c r="F30" s="389">
        <v>10</v>
      </c>
      <c r="G30" s="389">
        <v>3.75</v>
      </c>
      <c r="H30" s="389">
        <v>2</v>
      </c>
      <c r="I30" s="389">
        <f t="shared" si="0"/>
        <v>190.16400000000002</v>
      </c>
    </row>
    <row r="31" spans="1:9" x14ac:dyDescent="0.2">
      <c r="A31" s="386" t="s">
        <v>280</v>
      </c>
      <c r="B31" s="387">
        <v>22</v>
      </c>
      <c r="C31" s="387">
        <v>248.47</v>
      </c>
      <c r="D31" s="387">
        <v>134</v>
      </c>
      <c r="E31" s="387">
        <v>76.039999999999992</v>
      </c>
      <c r="F31" s="387">
        <v>20.81</v>
      </c>
      <c r="G31" s="387">
        <v>7.13</v>
      </c>
      <c r="H31" s="387">
        <v>5.24</v>
      </c>
      <c r="I31" s="387">
        <f t="shared" si="0"/>
        <v>513.68999999999994</v>
      </c>
    </row>
    <row r="32" spans="1:9" x14ac:dyDescent="0.2">
      <c r="A32" s="388" t="s">
        <v>281</v>
      </c>
      <c r="B32" s="389">
        <v>19.3</v>
      </c>
      <c r="C32" s="389">
        <v>180.38</v>
      </c>
      <c r="D32" s="389">
        <v>87.17</v>
      </c>
      <c r="E32" s="389">
        <v>69.95</v>
      </c>
      <c r="F32" s="389">
        <v>18.490000000000002</v>
      </c>
      <c r="G32" s="389">
        <v>4.3</v>
      </c>
      <c r="H32" s="389">
        <v>4</v>
      </c>
      <c r="I32" s="389">
        <f t="shared" si="0"/>
        <v>383.59000000000003</v>
      </c>
    </row>
    <row r="33" spans="1:9" x14ac:dyDescent="0.2">
      <c r="A33" s="386" t="s">
        <v>282</v>
      </c>
      <c r="B33" s="387">
        <v>18.41</v>
      </c>
      <c r="C33" s="387">
        <v>149.04489999999998</v>
      </c>
      <c r="D33" s="387">
        <v>84.15</v>
      </c>
      <c r="E33" s="387">
        <v>89.245000000000005</v>
      </c>
      <c r="F33" s="387">
        <v>19.839999999999996</v>
      </c>
      <c r="G33" s="387">
        <v>4.6450000000000005</v>
      </c>
      <c r="H33" s="387">
        <v>6</v>
      </c>
      <c r="I33" s="387">
        <f t="shared" si="0"/>
        <v>371.33489999999995</v>
      </c>
    </row>
    <row r="34" spans="1:9" x14ac:dyDescent="0.2">
      <c r="A34" s="388" t="s">
        <v>283</v>
      </c>
      <c r="B34" s="389">
        <v>17.149999999999999</v>
      </c>
      <c r="C34" s="389">
        <v>169.60999999999999</v>
      </c>
      <c r="D34" s="389">
        <v>85.45</v>
      </c>
      <c r="E34" s="389">
        <v>79.56</v>
      </c>
      <c r="F34" s="389">
        <v>17.25</v>
      </c>
      <c r="G34" s="389">
        <v>8.08</v>
      </c>
      <c r="H34" s="389">
        <v>3</v>
      </c>
      <c r="I34" s="389">
        <f t="shared" si="0"/>
        <v>380.09999999999997</v>
      </c>
    </row>
    <row r="35" spans="1:9" x14ac:dyDescent="0.2">
      <c r="A35" s="386" t="s">
        <v>284</v>
      </c>
      <c r="B35" s="387">
        <v>95.11</v>
      </c>
      <c r="C35" s="387">
        <v>1102.52</v>
      </c>
      <c r="D35" s="387">
        <v>482.29</v>
      </c>
      <c r="E35" s="387">
        <v>283.55</v>
      </c>
      <c r="F35" s="387">
        <v>123.57</v>
      </c>
      <c r="G35" s="387">
        <v>30.07</v>
      </c>
      <c r="H35" s="387">
        <v>17</v>
      </c>
      <c r="I35" s="387">
        <f t="shared" si="0"/>
        <v>2134.11</v>
      </c>
    </row>
    <row r="36" spans="1:9" x14ac:dyDescent="0.2">
      <c r="A36" s="388" t="s">
        <v>285</v>
      </c>
      <c r="B36" s="389">
        <v>14.65</v>
      </c>
      <c r="C36" s="389">
        <v>123.735</v>
      </c>
      <c r="D36" s="389">
        <v>70.5</v>
      </c>
      <c r="E36" s="389">
        <v>59.484999999999999</v>
      </c>
      <c r="F36" s="389">
        <v>15.454999999999998</v>
      </c>
      <c r="G36" s="389">
        <v>3</v>
      </c>
      <c r="H36" s="389">
        <v>3</v>
      </c>
      <c r="I36" s="389">
        <f t="shared" si="0"/>
        <v>289.82499999999999</v>
      </c>
    </row>
    <row r="37" spans="1:9" x14ac:dyDescent="0.2">
      <c r="A37" s="386" t="s">
        <v>286</v>
      </c>
      <c r="B37" s="387">
        <v>28.5</v>
      </c>
      <c r="C37" s="387">
        <v>289.39999999999998</v>
      </c>
      <c r="D37" s="387">
        <v>146.78</v>
      </c>
      <c r="E37" s="387">
        <v>129.80000000000001</v>
      </c>
      <c r="F37" s="387">
        <v>31.5</v>
      </c>
      <c r="G37" s="387">
        <v>15.4</v>
      </c>
      <c r="H37" s="387">
        <v>5</v>
      </c>
      <c r="I37" s="387">
        <f t="shared" si="0"/>
        <v>646.38</v>
      </c>
    </row>
    <row r="38" spans="1:9" x14ac:dyDescent="0.2">
      <c r="A38" s="388" t="s">
        <v>287</v>
      </c>
      <c r="B38" s="389">
        <v>70.55</v>
      </c>
      <c r="C38" s="389">
        <v>774.3</v>
      </c>
      <c r="D38" s="389">
        <v>351.88</v>
      </c>
      <c r="E38" s="389">
        <v>153.95000000000002</v>
      </c>
      <c r="F38" s="389">
        <v>78.100000000000009</v>
      </c>
      <c r="G38" s="389">
        <v>21.42</v>
      </c>
      <c r="H38" s="389">
        <v>10</v>
      </c>
      <c r="I38" s="389">
        <f t="shared" si="0"/>
        <v>1460.2</v>
      </c>
    </row>
    <row r="39" spans="1:9" x14ac:dyDescent="0.2">
      <c r="A39" s="386" t="s">
        <v>288</v>
      </c>
      <c r="B39" s="387">
        <v>13.73</v>
      </c>
      <c r="C39" s="387">
        <v>119.21999999999998</v>
      </c>
      <c r="D39" s="387">
        <v>64.16</v>
      </c>
      <c r="E39" s="387">
        <v>55.79</v>
      </c>
      <c r="F39" s="387">
        <v>12.299999999999999</v>
      </c>
      <c r="G39" s="387">
        <v>2.1800000000000002</v>
      </c>
      <c r="H39" s="387">
        <v>2.5</v>
      </c>
      <c r="I39" s="387">
        <f t="shared" si="0"/>
        <v>269.88</v>
      </c>
    </row>
    <row r="40" spans="1:9" x14ac:dyDescent="0.2">
      <c r="A40" s="388" t="s">
        <v>289</v>
      </c>
      <c r="B40" s="389">
        <v>57.150000000000006</v>
      </c>
      <c r="C40" s="389">
        <v>576.97</v>
      </c>
      <c r="D40" s="389">
        <v>352.01000000000005</v>
      </c>
      <c r="E40" s="389">
        <v>100.36999999999999</v>
      </c>
      <c r="F40" s="389">
        <v>71.450000000000017</v>
      </c>
      <c r="G40" s="389">
        <v>30.84</v>
      </c>
      <c r="H40" s="389">
        <v>11</v>
      </c>
      <c r="I40" s="389">
        <f t="shared" si="0"/>
        <v>1199.79</v>
      </c>
    </row>
    <row r="41" spans="1:9" x14ac:dyDescent="0.2">
      <c r="A41" s="386" t="s">
        <v>290</v>
      </c>
      <c r="B41" s="387">
        <v>32.450000000000003</v>
      </c>
      <c r="C41" s="387">
        <v>333.20999999999992</v>
      </c>
      <c r="D41" s="387">
        <v>148.63</v>
      </c>
      <c r="E41" s="387">
        <v>214.82249999999999</v>
      </c>
      <c r="F41" s="387">
        <v>40.799999999999997</v>
      </c>
      <c r="G41" s="387">
        <v>16.13</v>
      </c>
      <c r="H41" s="387">
        <v>6</v>
      </c>
      <c r="I41" s="387">
        <f t="shared" si="0"/>
        <v>792.0424999999999</v>
      </c>
    </row>
    <row r="42" spans="1:9" x14ac:dyDescent="0.2">
      <c r="A42" s="388" t="s">
        <v>291</v>
      </c>
      <c r="B42" s="389">
        <v>11.86</v>
      </c>
      <c r="C42" s="389">
        <v>103.42</v>
      </c>
      <c r="D42" s="389">
        <v>75.429999999999993</v>
      </c>
      <c r="E42" s="389">
        <v>52.24</v>
      </c>
      <c r="F42" s="389">
        <v>14.209999999999999</v>
      </c>
      <c r="G42" s="389">
        <v>3</v>
      </c>
      <c r="H42" s="389">
        <v>3</v>
      </c>
      <c r="I42" s="389">
        <f t="shared" si="0"/>
        <v>263.15999999999997</v>
      </c>
    </row>
    <row r="43" spans="1:9" x14ac:dyDescent="0.2">
      <c r="A43" s="386" t="s">
        <v>292</v>
      </c>
      <c r="B43" s="387">
        <v>7.01</v>
      </c>
      <c r="C43" s="387">
        <v>74.47</v>
      </c>
      <c r="D43" s="387">
        <v>40.630000000000003</v>
      </c>
      <c r="E43" s="387">
        <v>29.43</v>
      </c>
      <c r="F43" s="387">
        <v>6.2432999999999996</v>
      </c>
      <c r="G43" s="387">
        <v>3.4</v>
      </c>
      <c r="H43" s="387">
        <v>1.53</v>
      </c>
      <c r="I43" s="387">
        <f t="shared" si="0"/>
        <v>162.71330000000003</v>
      </c>
    </row>
    <row r="44" spans="1:9" x14ac:dyDescent="0.2">
      <c r="A44" s="388" t="s">
        <v>293</v>
      </c>
      <c r="B44" s="389">
        <v>5</v>
      </c>
      <c r="C44" s="389">
        <v>59.55</v>
      </c>
      <c r="D44" s="389">
        <v>39</v>
      </c>
      <c r="E44" s="389">
        <v>34.75</v>
      </c>
      <c r="F44" s="389">
        <v>7.089999999999999</v>
      </c>
      <c r="G44" s="389">
        <v>1.65</v>
      </c>
      <c r="H44" s="389">
        <v>2</v>
      </c>
      <c r="I44" s="389">
        <f t="shared" si="0"/>
        <v>149.04000000000002</v>
      </c>
    </row>
    <row r="45" spans="1:9" x14ac:dyDescent="0.2">
      <c r="A45" s="386" t="s">
        <v>294</v>
      </c>
      <c r="B45" s="387">
        <v>11.25</v>
      </c>
      <c r="C45" s="387">
        <v>132.1</v>
      </c>
      <c r="D45" s="387">
        <v>64.88000000000001</v>
      </c>
      <c r="E45" s="387">
        <v>35.680000000000007</v>
      </c>
      <c r="F45" s="387">
        <v>12.499999999999998</v>
      </c>
      <c r="G45" s="387">
        <v>3</v>
      </c>
      <c r="H45" s="387">
        <v>4</v>
      </c>
      <c r="I45" s="387">
        <f t="shared" si="0"/>
        <v>263.41000000000003</v>
      </c>
    </row>
    <row r="46" spans="1:9" x14ac:dyDescent="0.2">
      <c r="A46" s="388" t="s">
        <v>295</v>
      </c>
      <c r="B46" s="389">
        <v>138.92000000000002</v>
      </c>
      <c r="C46" s="389">
        <v>2147.9499999999998</v>
      </c>
      <c r="D46" s="389">
        <v>1151.77</v>
      </c>
      <c r="E46" s="389">
        <v>706.32999999999993</v>
      </c>
      <c r="F46" s="389">
        <v>283.89</v>
      </c>
      <c r="G46" s="389">
        <v>99.5</v>
      </c>
      <c r="H46" s="389">
        <v>18</v>
      </c>
      <c r="I46" s="389">
        <f t="shared" si="0"/>
        <v>4546.3599999999997</v>
      </c>
    </row>
    <row r="47" spans="1:9" ht="6" customHeight="1" x14ac:dyDescent="0.2">
      <c r="A47" s="388"/>
      <c r="B47" s="389"/>
      <c r="C47" s="389"/>
      <c r="D47" s="389"/>
      <c r="E47" s="389"/>
      <c r="F47" s="389"/>
      <c r="G47" s="389"/>
      <c r="H47" s="389"/>
      <c r="I47" s="389"/>
    </row>
    <row r="48" spans="1:9" x14ac:dyDescent="0.2">
      <c r="A48" s="390" t="s">
        <v>224</v>
      </c>
      <c r="B48" s="391">
        <f t="shared" ref="B48:I48" si="1">SUM(B11:B46)</f>
        <v>1180.6950000000002</v>
      </c>
      <c r="C48" s="391">
        <f t="shared" si="1"/>
        <v>12890.779899999994</v>
      </c>
      <c r="D48" s="391">
        <f t="shared" si="1"/>
        <v>7026.3990000000013</v>
      </c>
      <c r="E48" s="391">
        <f t="shared" si="1"/>
        <v>4152.0324999999993</v>
      </c>
      <c r="F48" s="391">
        <f t="shared" si="1"/>
        <v>1508.872441</v>
      </c>
      <c r="G48" s="391">
        <f t="shared" si="1"/>
        <v>499.86499999999984</v>
      </c>
      <c r="H48" s="391">
        <f t="shared" si="1"/>
        <v>232.48000000000002</v>
      </c>
      <c r="I48" s="391">
        <f t="shared" si="1"/>
        <v>27491.123841000008</v>
      </c>
    </row>
    <row r="49" spans="1:9" ht="6" customHeight="1" x14ac:dyDescent="0.2">
      <c r="B49" s="392"/>
      <c r="C49" s="392"/>
      <c r="D49" s="392"/>
      <c r="E49" s="392"/>
      <c r="F49" s="392"/>
      <c r="G49" s="392"/>
      <c r="H49" s="392"/>
      <c r="I49" s="392"/>
    </row>
    <row r="50" spans="1:9" x14ac:dyDescent="0.2">
      <c r="A50" s="388" t="s">
        <v>296</v>
      </c>
      <c r="B50" s="389">
        <v>1.5699999999999998</v>
      </c>
      <c r="C50" s="389">
        <v>18.8</v>
      </c>
      <c r="D50" s="389">
        <v>7</v>
      </c>
      <c r="E50" s="389">
        <v>2.5</v>
      </c>
      <c r="F50" s="389">
        <v>2.63</v>
      </c>
      <c r="G50" s="389">
        <v>0.16</v>
      </c>
      <c r="H50" s="389">
        <v>0</v>
      </c>
      <c r="I50" s="389">
        <f>SUM(B50:H50)</f>
        <v>32.659999999999997</v>
      </c>
    </row>
    <row r="51" spans="1:9" x14ac:dyDescent="0.2">
      <c r="A51" s="360" t="s">
        <v>513</v>
      </c>
      <c r="B51" s="387">
        <v>33.5</v>
      </c>
      <c r="C51" s="387">
        <v>44.5</v>
      </c>
      <c r="D51" s="387">
        <v>26.5</v>
      </c>
      <c r="E51" s="387">
        <v>67.5</v>
      </c>
      <c r="F51" s="387">
        <v>22</v>
      </c>
      <c r="G51" s="387">
        <v>0</v>
      </c>
      <c r="H51" s="387">
        <v>4</v>
      </c>
      <c r="I51" s="387">
        <f>SUM(B51:H51)</f>
        <v>198</v>
      </c>
    </row>
    <row r="52" spans="1:9" ht="49.5" customHeight="1" x14ac:dyDescent="0.2">
      <c r="A52" s="393"/>
      <c r="B52" s="393"/>
      <c r="C52" s="394">
        <v>0</v>
      </c>
      <c r="D52" s="393"/>
      <c r="E52" s="393"/>
      <c r="F52" s="393"/>
      <c r="G52" s="393"/>
      <c r="H52" s="393"/>
      <c r="I52" s="393"/>
    </row>
    <row r="53" spans="1:9" x14ac:dyDescent="0.2">
      <c r="A53" s="806" t="s">
        <v>503</v>
      </c>
      <c r="B53" s="806"/>
      <c r="C53" s="806"/>
      <c r="D53" s="806"/>
      <c r="E53" s="806"/>
      <c r="F53" s="806"/>
      <c r="G53" s="806"/>
      <c r="H53" s="806"/>
      <c r="I53" s="806"/>
    </row>
    <row r="54" spans="1:9" x14ac:dyDescent="0.2">
      <c r="A54" s="807"/>
      <c r="B54" s="807"/>
      <c r="C54" s="807"/>
      <c r="D54" s="807"/>
      <c r="E54" s="807"/>
      <c r="F54" s="807"/>
      <c r="G54" s="807"/>
      <c r="H54" s="807"/>
      <c r="I54" s="807"/>
    </row>
    <row r="55" spans="1:9" x14ac:dyDescent="0.2">
      <c r="A55" s="234" t="s">
        <v>353</v>
      </c>
      <c r="B55" s="378"/>
      <c r="C55" s="395"/>
    </row>
    <row r="56" spans="1:9" x14ac:dyDescent="0.2">
      <c r="A56" s="234" t="s">
        <v>324</v>
      </c>
      <c r="B56" s="378"/>
      <c r="C56" s="395"/>
    </row>
  </sheetData>
  <mergeCells count="11">
    <mergeCell ref="A53:I54"/>
    <mergeCell ref="C8:D8"/>
    <mergeCell ref="I8:I9"/>
    <mergeCell ref="B7:H7"/>
    <mergeCell ref="A2:H2"/>
    <mergeCell ref="A3:H3"/>
    <mergeCell ref="B8:B9"/>
    <mergeCell ref="E8:E9"/>
    <mergeCell ref="F8:F9"/>
    <mergeCell ref="G8:G9"/>
    <mergeCell ref="H8:H9"/>
  </mergeCells>
  <phoneticPr fontId="21" type="noConversion"/>
  <printOptions horizontalCentered="1"/>
  <pageMargins left="0.51180000000000003" right="0.51180000000000003" top="0.59055118110236204" bottom="0" header="0.31496062992126" footer="0"/>
  <pageSetup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B57"/>
  <sheetViews>
    <sheetView showGridLines="0" workbookViewId="0"/>
  </sheetViews>
  <sheetFormatPr defaultColWidth="19.83203125" defaultRowHeight="12" x14ac:dyDescent="0.2"/>
  <cols>
    <col min="1" max="1" width="30.83203125" style="399" customWidth="1"/>
    <col min="2" max="2" width="17" style="399" customWidth="1"/>
    <col min="3" max="3" width="12" style="399" customWidth="1"/>
    <col min="4" max="4" width="16.83203125" style="399" customWidth="1"/>
    <col min="5" max="5" width="11.5" style="399" customWidth="1"/>
    <col min="6" max="6" width="13.33203125" style="399" customWidth="1"/>
    <col min="7" max="7" width="12.5" style="399" customWidth="1"/>
    <col min="8" max="8" width="19.83203125" style="399"/>
    <col min="9" max="9" width="19.83203125" style="420"/>
    <col min="10" max="16384" width="19.83203125" style="399"/>
  </cols>
  <sheetData>
    <row r="1" spans="1:54" ht="6.95" customHeight="1" x14ac:dyDescent="0.2">
      <c r="A1" s="397"/>
      <c r="B1" s="398"/>
      <c r="C1" s="398"/>
    </row>
    <row r="2" spans="1:54" ht="15.95" customHeight="1" x14ac:dyDescent="0.2">
      <c r="A2" s="400" t="str">
        <f>IF(Lang=1,BA2,BB2)</f>
        <v>DIRECT SUPPORT TO PUPILS</v>
      </c>
      <c r="B2" s="401"/>
      <c r="C2" s="401"/>
      <c r="D2" s="401"/>
      <c r="E2" s="401"/>
      <c r="F2" s="401"/>
      <c r="G2" s="401"/>
      <c r="BA2" s="487" t="s">
        <v>307</v>
      </c>
      <c r="BB2" s="487" t="s">
        <v>507</v>
      </c>
    </row>
    <row r="3" spans="1:54" ht="15.95" customHeight="1" x14ac:dyDescent="0.2">
      <c r="A3" s="417" t="str">
        <f>+'- 60 -'!A3</f>
        <v>2019/20 AND 2020/21 BUDGET</v>
      </c>
      <c r="B3" s="402"/>
      <c r="C3" s="402"/>
      <c r="D3" s="402"/>
      <c r="E3" s="402"/>
      <c r="F3" s="402"/>
      <c r="G3" s="402"/>
    </row>
    <row r="4" spans="1:54" ht="15.95" customHeight="1" x14ac:dyDescent="0.2">
      <c r="B4" s="398"/>
      <c r="C4" s="398"/>
    </row>
    <row r="5" spans="1:54" ht="12" customHeight="1" x14ac:dyDescent="0.2">
      <c r="B5" s="398"/>
      <c r="C5" s="398"/>
    </row>
    <row r="6" spans="1:54" ht="15.75" customHeight="1" x14ac:dyDescent="0.2">
      <c r="B6"/>
      <c r="C6"/>
      <c r="D6"/>
      <c r="E6"/>
      <c r="F6"/>
      <c r="G6"/>
    </row>
    <row r="7" spans="1:54" x14ac:dyDescent="0.2">
      <c r="A7" s="519"/>
      <c r="B7" s="825" t="s">
        <v>566</v>
      </c>
      <c r="C7" s="826"/>
      <c r="D7" s="826"/>
      <c r="E7" s="827"/>
      <c r="F7" s="821" t="s">
        <v>565</v>
      </c>
      <c r="G7" s="822"/>
    </row>
    <row r="8" spans="1:54" ht="17.25" customHeight="1" x14ac:dyDescent="0.2">
      <c r="A8" s="520"/>
      <c r="B8" s="828"/>
      <c r="C8" s="828"/>
      <c r="D8" s="828"/>
      <c r="E8" s="829"/>
      <c r="F8" s="823"/>
      <c r="G8" s="824"/>
    </row>
    <row r="9" spans="1:54" ht="25.5" customHeight="1" x14ac:dyDescent="0.2">
      <c r="A9" s="403" t="s">
        <v>37</v>
      </c>
      <c r="B9" s="518" t="str">
        <f>+'- 60 -'!B9</f>
        <v>2019/20</v>
      </c>
      <c r="C9" s="486" t="s">
        <v>309</v>
      </c>
      <c r="D9" s="485" t="str">
        <f>+'- 60 -'!C9</f>
        <v>2020/21</v>
      </c>
      <c r="E9" s="486" t="s">
        <v>309</v>
      </c>
      <c r="F9" s="485" t="str">
        <f>+B9</f>
        <v>2019/20</v>
      </c>
      <c r="G9" s="485" t="str">
        <f>+D9</f>
        <v>2020/21</v>
      </c>
    </row>
    <row r="10" spans="1:54" ht="5.0999999999999996" customHeight="1" x14ac:dyDescent="0.2">
      <c r="A10" s="404"/>
      <c r="B10" s="405"/>
      <c r="C10" s="405"/>
      <c r="D10" s="397"/>
      <c r="E10" s="397"/>
      <c r="F10" s="397"/>
    </row>
    <row r="11" spans="1:54" ht="14.1" customHeight="1" x14ac:dyDescent="0.2">
      <c r="A11" s="406" t="s">
        <v>108</v>
      </c>
      <c r="B11" s="407">
        <v>16423972</v>
      </c>
      <c r="C11" s="408">
        <v>78.98463976012944</v>
      </c>
      <c r="D11" s="407">
        <v>17573966</v>
      </c>
      <c r="E11" s="408">
        <f>+D11/'- 3 -'!F11*100</f>
        <v>79.21185181792994</v>
      </c>
      <c r="F11" s="407">
        <v>9116.8315292811549</v>
      </c>
      <c r="G11" s="407">
        <f>+D11/'- 7 -'!E11</f>
        <v>8811.2138380546494</v>
      </c>
      <c r="I11" s="421" t="str">
        <f>IF(+D11-'- 15 -'!B11-'- 15 -'!E11-'- 16 -'!G11=0,"","Ckeck")</f>
        <v/>
      </c>
    </row>
    <row r="12" spans="1:54" ht="14.1" customHeight="1" x14ac:dyDescent="0.2">
      <c r="A12" s="409" t="s">
        <v>109</v>
      </c>
      <c r="B12" s="410">
        <v>26418223</v>
      </c>
      <c r="C12" s="411">
        <v>77.290819041127975</v>
      </c>
      <c r="D12" s="410">
        <v>26164891</v>
      </c>
      <c r="E12" s="411">
        <f>+D12/'- 3 -'!F12*100</f>
        <v>76.915113463860777</v>
      </c>
      <c r="F12" s="410">
        <v>12353.276503815652</v>
      </c>
      <c r="G12" s="410">
        <f>+D12/'- 7 -'!E12</f>
        <v>12147.117455896008</v>
      </c>
      <c r="I12" s="421" t="str">
        <f>IF(+D12-'- 15 -'!B12-'- 15 -'!E12-'- 16 -'!G12=0,"","Ckeck")</f>
        <v/>
      </c>
    </row>
    <row r="13" spans="1:54" ht="14.1" customHeight="1" x14ac:dyDescent="0.2">
      <c r="A13" s="406" t="s">
        <v>110</v>
      </c>
      <c r="B13" s="407">
        <v>88815300</v>
      </c>
      <c r="C13" s="408">
        <v>84.308984764345723</v>
      </c>
      <c r="D13" s="407">
        <v>90516100</v>
      </c>
      <c r="E13" s="408">
        <f>+D13/'- 3 -'!F13*100</f>
        <v>84.500745434737354</v>
      </c>
      <c r="F13" s="407">
        <v>10239.845506427624</v>
      </c>
      <c r="G13" s="407">
        <f>+D13/'- 7 -'!E13</f>
        <v>10354.756048733056</v>
      </c>
      <c r="I13" s="421" t="str">
        <f>IF(+D13-'- 15 -'!B13-'- 15 -'!E13-'- 16 -'!G13=0,"","Ckeck")</f>
        <v/>
      </c>
    </row>
    <row r="14" spans="1:54" ht="14.1" customHeight="1" x14ac:dyDescent="0.2">
      <c r="A14" s="409" t="s">
        <v>319</v>
      </c>
      <c r="B14" s="410">
        <v>67694426</v>
      </c>
      <c r="C14" s="411">
        <v>72.347879985012383</v>
      </c>
      <c r="D14" s="410">
        <v>68459187</v>
      </c>
      <c r="E14" s="411">
        <f>+D14/'- 3 -'!F14*100</f>
        <v>71.882502024620024</v>
      </c>
      <c r="F14" s="410">
        <v>11715.89235029422</v>
      </c>
      <c r="G14" s="410">
        <f>+D14/'- 7 -'!E14</f>
        <v>11423.191556816286</v>
      </c>
      <c r="I14" s="421" t="str">
        <f>IF(+D14-'- 15 -'!B14-'- 15 -'!E14-'- 16 -'!G14=0,"","Ckeck")</f>
        <v/>
      </c>
    </row>
    <row r="15" spans="1:54" ht="14.1" customHeight="1" x14ac:dyDescent="0.2">
      <c r="A15" s="406" t="s">
        <v>111</v>
      </c>
      <c r="B15" s="407">
        <v>15352995</v>
      </c>
      <c r="C15" s="408">
        <v>73.30982783191115</v>
      </c>
      <c r="D15" s="407">
        <v>15409897</v>
      </c>
      <c r="E15" s="408">
        <f>+D15/'- 3 -'!F15*100</f>
        <v>73.150626120853332</v>
      </c>
      <c r="F15" s="407">
        <v>10950.781027104136</v>
      </c>
      <c r="G15" s="407">
        <f>+D15/'- 7 -'!E15</f>
        <v>11046.521146953404</v>
      </c>
      <c r="I15" s="421" t="str">
        <f>IF(+D15-'- 15 -'!B15-'- 15 -'!E15-'- 16 -'!G15=0,"","Ckeck")</f>
        <v/>
      </c>
    </row>
    <row r="16" spans="1:54" ht="14.1" customHeight="1" x14ac:dyDescent="0.2">
      <c r="A16" s="409" t="s">
        <v>112</v>
      </c>
      <c r="B16" s="410">
        <v>11060966</v>
      </c>
      <c r="C16" s="411">
        <v>74.70919991138345</v>
      </c>
      <c r="D16" s="410">
        <v>11224779</v>
      </c>
      <c r="E16" s="411">
        <f>+D16/'- 3 -'!F16*100</f>
        <v>75.594436517067777</v>
      </c>
      <c r="F16" s="410">
        <v>11773.247472059606</v>
      </c>
      <c r="G16" s="410">
        <f>+D16/'- 7 -'!E16</f>
        <v>11840.48417721519</v>
      </c>
      <c r="I16" s="421" t="str">
        <f>IF(+D16-'- 15 -'!B16-'- 15 -'!E16-'- 16 -'!G16=0,"","Ckeck")</f>
        <v/>
      </c>
    </row>
    <row r="17" spans="1:9" ht="14.1" customHeight="1" x14ac:dyDescent="0.2">
      <c r="A17" s="406" t="s">
        <v>113</v>
      </c>
      <c r="B17" s="407">
        <v>13984135</v>
      </c>
      <c r="C17" s="408">
        <v>75.788258840636175</v>
      </c>
      <c r="D17" s="407">
        <v>14044030</v>
      </c>
      <c r="E17" s="408">
        <f>+D17/'- 3 -'!F17*100</f>
        <v>75.850309916769532</v>
      </c>
      <c r="F17" s="407">
        <v>9728.0939130434781</v>
      </c>
      <c r="G17" s="407">
        <f>+D17/'- 7 -'!E17</f>
        <v>9712.3305670816044</v>
      </c>
      <c r="I17" s="421" t="str">
        <f>IF(+D17-'- 15 -'!B17-'- 15 -'!E17-'- 16 -'!G17=0,"","Ckeck")</f>
        <v/>
      </c>
    </row>
    <row r="18" spans="1:9" ht="14.1" customHeight="1" x14ac:dyDescent="0.2">
      <c r="A18" s="409" t="s">
        <v>114</v>
      </c>
      <c r="B18" s="410">
        <v>87558468</v>
      </c>
      <c r="C18" s="411">
        <v>66.226939625365745</v>
      </c>
      <c r="D18" s="410">
        <v>89395674</v>
      </c>
      <c r="E18" s="411">
        <f>+D18/'- 3 -'!F18*100</f>
        <v>66.258096803272352</v>
      </c>
      <c r="F18" s="410">
        <v>14212.421965036441</v>
      </c>
      <c r="G18" s="410">
        <f>+D18/'- 7 -'!E18</f>
        <v>14926.644514944064</v>
      </c>
      <c r="I18" s="421" t="str">
        <f>IF(+D18-'- 15 -'!B18-'- 15 -'!E18-'- 16 -'!G18=0,"","Ckeck")</f>
        <v/>
      </c>
    </row>
    <row r="19" spans="1:9" ht="14.1" customHeight="1" x14ac:dyDescent="0.2">
      <c r="A19" s="406" t="s">
        <v>115</v>
      </c>
      <c r="B19" s="407">
        <v>40521200</v>
      </c>
      <c r="C19" s="408">
        <v>79.579724660735678</v>
      </c>
      <c r="D19" s="407">
        <v>40813500</v>
      </c>
      <c r="E19" s="408">
        <f>+D19/'- 3 -'!F19*100</f>
        <v>79.308341332794413</v>
      </c>
      <c r="F19" s="407">
        <v>9328.0847145488024</v>
      </c>
      <c r="G19" s="407">
        <f>+D19/'- 7 -'!E19</f>
        <v>9174.6656176239176</v>
      </c>
      <c r="I19" s="421" t="str">
        <f>IF(+D19-'- 15 -'!B19-'- 15 -'!E19-'- 16 -'!G19=0,"","Ckeck")</f>
        <v/>
      </c>
    </row>
    <row r="20" spans="1:9" ht="14.1" customHeight="1" x14ac:dyDescent="0.2">
      <c r="A20" s="409" t="s">
        <v>116</v>
      </c>
      <c r="B20" s="410">
        <v>71112000</v>
      </c>
      <c r="C20" s="411">
        <v>79.948014453420996</v>
      </c>
      <c r="D20" s="410">
        <v>74038400</v>
      </c>
      <c r="E20" s="411">
        <f>+D20/'- 3 -'!F20*100</f>
        <v>80.632791595015121</v>
      </c>
      <c r="F20" s="410">
        <v>8954.4796323112769</v>
      </c>
      <c r="G20" s="410">
        <f>+D20/'- 7 -'!E20</f>
        <v>9093.392286907394</v>
      </c>
      <c r="I20" s="421" t="str">
        <f>IF(+D20-'- 15 -'!B20-'- 15 -'!E20-'- 16 -'!G20=0,"","Ckeck")</f>
        <v/>
      </c>
    </row>
    <row r="21" spans="1:9" ht="14.1" customHeight="1" x14ac:dyDescent="0.2">
      <c r="A21" s="406" t="s">
        <v>117</v>
      </c>
      <c r="B21" s="407">
        <v>29545500</v>
      </c>
      <c r="C21" s="408">
        <v>78.845820268196675</v>
      </c>
      <c r="D21" s="407">
        <v>29933750</v>
      </c>
      <c r="E21" s="408">
        <f>+D21/'- 3 -'!F21*100</f>
        <v>79.043959888829477</v>
      </c>
      <c r="F21" s="407">
        <v>10499.466950959488</v>
      </c>
      <c r="G21" s="407">
        <f>+D21/'- 7 -'!E21</f>
        <v>10686.808282756159</v>
      </c>
      <c r="I21" s="421" t="str">
        <f>IF(+D21-'- 15 -'!B21-'- 15 -'!E21-'- 16 -'!G21=0,"","Ckeck")</f>
        <v/>
      </c>
    </row>
    <row r="22" spans="1:9" ht="14.1" customHeight="1" x14ac:dyDescent="0.2">
      <c r="A22" s="409" t="s">
        <v>118</v>
      </c>
      <c r="B22" s="410">
        <v>15332734</v>
      </c>
      <c r="C22" s="411">
        <v>77.083439431942551</v>
      </c>
      <c r="D22" s="410">
        <v>15405791</v>
      </c>
      <c r="E22" s="411">
        <f>+D22/'- 3 -'!F22*100</f>
        <v>77.987736229201815</v>
      </c>
      <c r="F22" s="410">
        <v>10743.227298206277</v>
      </c>
      <c r="G22" s="410">
        <f>+D22/'- 7 -'!E22</f>
        <v>10739.48483792262</v>
      </c>
      <c r="I22" s="421" t="str">
        <f>IF(+D22-'- 15 -'!B22-'- 15 -'!E22-'- 16 -'!G22=0,"","Ckeck")</f>
        <v/>
      </c>
    </row>
    <row r="23" spans="1:9" ht="14.1" customHeight="1" x14ac:dyDescent="0.2">
      <c r="A23" s="406" t="s">
        <v>119</v>
      </c>
      <c r="B23" s="407">
        <v>11574491</v>
      </c>
      <c r="C23" s="408">
        <v>73.11040301615941</v>
      </c>
      <c r="D23" s="407">
        <v>11182398</v>
      </c>
      <c r="E23" s="408">
        <f>+D23/'- 3 -'!F23*100</f>
        <v>72.598525033816315</v>
      </c>
      <c r="F23" s="407">
        <v>12228.727945060749</v>
      </c>
      <c r="G23" s="407">
        <f>+D23/'- 7 -'!E23</f>
        <v>11998.281115879829</v>
      </c>
      <c r="I23" s="421" t="str">
        <f>IF(+D23-'- 15 -'!B23-'- 15 -'!E23-'- 16 -'!G23=0,"","Ckeck")</f>
        <v/>
      </c>
    </row>
    <row r="24" spans="1:9" ht="14.1" customHeight="1" x14ac:dyDescent="0.2">
      <c r="A24" s="409" t="s">
        <v>120</v>
      </c>
      <c r="B24" s="410">
        <v>45629905</v>
      </c>
      <c r="C24" s="411">
        <v>78.964623325156509</v>
      </c>
      <c r="D24" s="410">
        <v>45882043</v>
      </c>
      <c r="E24" s="411">
        <f>+D24/'- 3 -'!F24*100</f>
        <v>78.952604734880424</v>
      </c>
      <c r="F24" s="410">
        <v>12023.690382081686</v>
      </c>
      <c r="G24" s="410">
        <f>+D24/'- 7 -'!E24</f>
        <v>12333.88252688172</v>
      </c>
      <c r="I24" s="421" t="str">
        <f>IF(+D24-'- 15 -'!B24-'- 15 -'!E24-'- 16 -'!G24=0,"","Ckeck")</f>
        <v/>
      </c>
    </row>
    <row r="25" spans="1:9" ht="14.1" customHeight="1" x14ac:dyDescent="0.2">
      <c r="A25" s="406" t="s">
        <v>121</v>
      </c>
      <c r="B25" s="407">
        <v>155028312</v>
      </c>
      <c r="C25" s="408">
        <v>81.700157095466068</v>
      </c>
      <c r="D25" s="407">
        <v>156976104</v>
      </c>
      <c r="E25" s="408">
        <f>+D25/'- 3 -'!F25*100</f>
        <v>81.662771877958207</v>
      </c>
      <c r="F25" s="407">
        <v>10387.156582914573</v>
      </c>
      <c r="G25" s="407">
        <f>+D25/'- 7 -'!E25</f>
        <v>10364.195431136934</v>
      </c>
      <c r="I25" s="421" t="str">
        <f>IF(+D25-'- 15 -'!B25-'- 15 -'!E25-'- 16 -'!G25=0,"","Ckeck")</f>
        <v/>
      </c>
    </row>
    <row r="26" spans="1:9" ht="14.1" customHeight="1" x14ac:dyDescent="0.2">
      <c r="A26" s="409" t="s">
        <v>122</v>
      </c>
      <c r="B26" s="410">
        <v>30934144</v>
      </c>
      <c r="C26" s="411">
        <v>74.950747625018025</v>
      </c>
      <c r="D26" s="410">
        <v>31395665</v>
      </c>
      <c r="E26" s="411">
        <f>+D26/'- 3 -'!F26*100</f>
        <v>74.801846612264072</v>
      </c>
      <c r="F26" s="410">
        <v>10287.377452610575</v>
      </c>
      <c r="G26" s="410">
        <f>+D26/'- 7 -'!E26</f>
        <v>10183.478754459942</v>
      </c>
      <c r="I26" s="421" t="str">
        <f>IF(+D26-'- 15 -'!B26-'- 15 -'!E26-'- 16 -'!G26=0,"","Ckeck")</f>
        <v/>
      </c>
    </row>
    <row r="27" spans="1:9" ht="14.1" customHeight="1" x14ac:dyDescent="0.2">
      <c r="A27" s="406" t="s">
        <v>123</v>
      </c>
      <c r="B27" s="407">
        <v>33846442</v>
      </c>
      <c r="C27" s="408">
        <v>80.780561156227151</v>
      </c>
      <c r="D27" s="407">
        <v>34233587</v>
      </c>
      <c r="E27" s="408">
        <f>+D27/'- 3 -'!F27*100</f>
        <v>80.140648370809259</v>
      </c>
      <c r="F27" s="407">
        <v>11327.457161981258</v>
      </c>
      <c r="G27" s="407">
        <f>+D27/'- 7 -'!E27</f>
        <v>11388.418829008649</v>
      </c>
      <c r="I27" s="421" t="str">
        <f>IF(+D27-'- 15 -'!B27-'- 15 -'!E27-'- 16 -'!G27=0,"","Ckeck")</f>
        <v/>
      </c>
    </row>
    <row r="28" spans="1:9" ht="14.1" customHeight="1" x14ac:dyDescent="0.2">
      <c r="A28" s="409" t="s">
        <v>124</v>
      </c>
      <c r="B28" s="410">
        <v>21510437</v>
      </c>
      <c r="C28" s="411">
        <v>75.527997038210984</v>
      </c>
      <c r="D28" s="410">
        <v>21615836</v>
      </c>
      <c r="E28" s="411">
        <f>+D28/'- 3 -'!F28*100</f>
        <v>75.579404833545212</v>
      </c>
      <c r="F28" s="410">
        <v>10720.377273859955</v>
      </c>
      <c r="G28" s="410">
        <f>+D28/'- 7 -'!E28</f>
        <v>10706.209014363547</v>
      </c>
      <c r="I28" s="421" t="str">
        <f>IF(+D28-'- 15 -'!B28-'- 15 -'!E28-'- 16 -'!G28=0,"","Ckeck")</f>
        <v/>
      </c>
    </row>
    <row r="29" spans="1:9" ht="14.1" customHeight="1" x14ac:dyDescent="0.2">
      <c r="A29" s="406" t="s">
        <v>125</v>
      </c>
      <c r="B29" s="407">
        <v>140288042</v>
      </c>
      <c r="C29" s="408">
        <v>80.342879491879089</v>
      </c>
      <c r="D29" s="407">
        <v>144252888</v>
      </c>
      <c r="E29" s="408">
        <f>+D29/'- 3 -'!F29*100</f>
        <v>81.240571460138568</v>
      </c>
      <c r="F29" s="407">
        <v>10118.142228633249</v>
      </c>
      <c r="G29" s="407">
        <f>+D29/'- 7 -'!E29</f>
        <v>10028.007507820646</v>
      </c>
      <c r="I29" s="421" t="str">
        <f>IF(+D29-'- 15 -'!B29-'- 15 -'!E29-'- 16 -'!G29=0,"","Ckeck")</f>
        <v/>
      </c>
    </row>
    <row r="30" spans="1:9" ht="14.1" customHeight="1" x14ac:dyDescent="0.2">
      <c r="A30" s="409" t="s">
        <v>126</v>
      </c>
      <c r="B30" s="410">
        <v>11752419</v>
      </c>
      <c r="C30" s="411">
        <v>76.335748402394316</v>
      </c>
      <c r="D30" s="410">
        <v>12093074</v>
      </c>
      <c r="E30" s="411">
        <f>+D30/'- 3 -'!F30*100</f>
        <v>76.992552911762473</v>
      </c>
      <c r="F30" s="410">
        <v>11166.193824228028</v>
      </c>
      <c r="G30" s="410">
        <f>+D30/'- 7 -'!E30</f>
        <v>11555.732441471571</v>
      </c>
      <c r="I30" s="421" t="str">
        <f>IF(+D30-'- 15 -'!B30-'- 15 -'!E30-'- 16 -'!G30=0,"","Ckeck")</f>
        <v/>
      </c>
    </row>
    <row r="31" spans="1:9" ht="14.1" customHeight="1" x14ac:dyDescent="0.2">
      <c r="A31" s="406" t="s">
        <v>127</v>
      </c>
      <c r="B31" s="407">
        <v>32916818</v>
      </c>
      <c r="C31" s="408">
        <v>82.58109534994388</v>
      </c>
      <c r="D31" s="407">
        <v>33800904</v>
      </c>
      <c r="E31" s="408">
        <f>+D31/'- 3 -'!F31*100</f>
        <v>82.872312848245954</v>
      </c>
      <c r="F31" s="407">
        <v>9865.6730106398918</v>
      </c>
      <c r="G31" s="407">
        <f>+D31/'- 7 -'!E31</f>
        <v>10083.801909307876</v>
      </c>
      <c r="I31" s="421" t="str">
        <f>IF(+D31-'- 15 -'!B31-'- 15 -'!E31-'- 16 -'!G31=0,"","Ckeck")</f>
        <v/>
      </c>
    </row>
    <row r="32" spans="1:9" ht="14.1" customHeight="1" x14ac:dyDescent="0.2">
      <c r="A32" s="409" t="s">
        <v>128</v>
      </c>
      <c r="B32" s="410">
        <v>23648950</v>
      </c>
      <c r="C32" s="411">
        <v>76.42857242119436</v>
      </c>
      <c r="D32" s="410">
        <v>24032284</v>
      </c>
      <c r="E32" s="411">
        <f>+D32/'- 3 -'!F32*100</f>
        <v>76.609019846799711</v>
      </c>
      <c r="F32" s="410">
        <v>10597.781761147211</v>
      </c>
      <c r="G32" s="410">
        <f>+D32/'- 7 -'!E32</f>
        <v>10289.995290087776</v>
      </c>
      <c r="I32" s="421" t="str">
        <f>IF(+D32-'- 15 -'!B32-'- 15 -'!E32-'- 16 -'!G32=0,"","Ckeck")</f>
        <v/>
      </c>
    </row>
    <row r="33" spans="1:9" ht="14.1" customHeight="1" x14ac:dyDescent="0.2">
      <c r="A33" s="406" t="s">
        <v>129</v>
      </c>
      <c r="B33" s="407">
        <v>21345529</v>
      </c>
      <c r="C33" s="408">
        <v>74.76390934138324</v>
      </c>
      <c r="D33" s="407">
        <v>21488184</v>
      </c>
      <c r="E33" s="408">
        <f>+D33/'- 3 -'!F33*100</f>
        <v>74.874757986700217</v>
      </c>
      <c r="F33" s="407">
        <v>10532.160161839443</v>
      </c>
      <c r="G33" s="407">
        <f>+D33/'- 7 -'!E33</f>
        <v>10404.892504357933</v>
      </c>
      <c r="I33" s="421" t="str">
        <f>IF(+D33-'- 15 -'!B33-'- 15 -'!E33-'- 16 -'!G33=0,"","Ckeck")</f>
        <v/>
      </c>
    </row>
    <row r="34" spans="1:9" ht="14.1" customHeight="1" x14ac:dyDescent="0.2">
      <c r="A34" s="409" t="s">
        <v>130</v>
      </c>
      <c r="B34" s="410">
        <v>24146840</v>
      </c>
      <c r="C34" s="411">
        <v>76.400508884485376</v>
      </c>
      <c r="D34" s="410">
        <v>24347205</v>
      </c>
      <c r="E34" s="411">
        <f>+D34/'- 3 -'!F34*100</f>
        <v>76.298843132879895</v>
      </c>
      <c r="F34" s="410">
        <v>10813.631885356022</v>
      </c>
      <c r="G34" s="410">
        <f>+D34/'- 7 -'!E34</f>
        <v>10680.003947887881</v>
      </c>
      <c r="I34" s="421" t="str">
        <f>IF(+D34-'- 15 -'!B34-'- 15 -'!E34-'- 16 -'!G34=0,"","Ckeck")</f>
        <v/>
      </c>
    </row>
    <row r="35" spans="1:9" ht="14.1" customHeight="1" x14ac:dyDescent="0.2">
      <c r="A35" s="406" t="s">
        <v>131</v>
      </c>
      <c r="B35" s="407">
        <v>157780140</v>
      </c>
      <c r="C35" s="408">
        <v>81.54487133320707</v>
      </c>
      <c r="D35" s="407">
        <v>159950126</v>
      </c>
      <c r="E35" s="408">
        <f>+D35/'- 3 -'!F35*100</f>
        <v>81.652424255758774</v>
      </c>
      <c r="F35" s="407">
        <v>9688.6791525944118</v>
      </c>
      <c r="G35" s="407">
        <f>+D35/'- 7 -'!E35</f>
        <v>9813.7942755468302</v>
      </c>
      <c r="I35" s="421" t="str">
        <f>IF(+D35-'- 15 -'!B35-'- 15 -'!E35-'- 16 -'!G35=0,"","Ckeck")</f>
        <v/>
      </c>
    </row>
    <row r="36" spans="1:9" ht="14.1" customHeight="1" x14ac:dyDescent="0.2">
      <c r="A36" s="409" t="s">
        <v>132</v>
      </c>
      <c r="B36" s="410">
        <v>18034150</v>
      </c>
      <c r="C36" s="411">
        <v>74.713761548087419</v>
      </c>
      <c r="D36" s="410">
        <v>18046065</v>
      </c>
      <c r="E36" s="411">
        <f>+D36/'- 3 -'!F36*100</f>
        <v>74.729950717170553</v>
      </c>
      <c r="F36" s="410">
        <v>10494.122781495491</v>
      </c>
      <c r="G36" s="410">
        <f>+D36/'- 7 -'!E36</f>
        <v>10338.622171297622</v>
      </c>
      <c r="I36" s="421" t="str">
        <f>IF(+D36-'- 15 -'!B36-'- 15 -'!E36-'- 16 -'!G36=0,"","Ckeck")</f>
        <v/>
      </c>
    </row>
    <row r="37" spans="1:9" ht="14.1" customHeight="1" x14ac:dyDescent="0.2">
      <c r="A37" s="406" t="s">
        <v>133</v>
      </c>
      <c r="B37" s="407">
        <v>42460900</v>
      </c>
      <c r="C37" s="408">
        <v>79.094038900291295</v>
      </c>
      <c r="D37" s="407">
        <v>42994674</v>
      </c>
      <c r="E37" s="408">
        <f>+D37/'- 3 -'!F37*100</f>
        <v>79.024346024236536</v>
      </c>
      <c r="F37" s="407">
        <v>9790.3850587964025</v>
      </c>
      <c r="G37" s="407">
        <f>+D37/'- 7 -'!E37</f>
        <v>9852.125114573786</v>
      </c>
      <c r="I37" s="421" t="str">
        <f>IF(+D37-'- 15 -'!B37-'- 15 -'!E37-'- 16 -'!G37=0,"","Ckeck")</f>
        <v/>
      </c>
    </row>
    <row r="38" spans="1:9" ht="14.1" customHeight="1" x14ac:dyDescent="0.2">
      <c r="A38" s="409" t="s">
        <v>134</v>
      </c>
      <c r="B38" s="410">
        <v>118792016</v>
      </c>
      <c r="C38" s="411">
        <v>82.380158234764707</v>
      </c>
      <c r="D38" s="410">
        <v>120888600</v>
      </c>
      <c r="E38" s="411">
        <f>+D38/'- 3 -'!F38*100</f>
        <v>82.55308248919853</v>
      </c>
      <c r="F38" s="410">
        <v>10357.119341563786</v>
      </c>
      <c r="G38" s="410">
        <f>+D38/'- 7 -'!E38</f>
        <v>10372.786243822076</v>
      </c>
      <c r="I38" s="421" t="str">
        <f>IF(+D38-'- 15 -'!B38-'- 15 -'!E38-'- 16 -'!G38=0,"","Ckeck")</f>
        <v/>
      </c>
    </row>
    <row r="39" spans="1:9" ht="14.1" customHeight="1" x14ac:dyDescent="0.2">
      <c r="A39" s="406" t="s">
        <v>135</v>
      </c>
      <c r="B39" s="407">
        <v>17117400</v>
      </c>
      <c r="C39" s="408">
        <v>73.707870974409317</v>
      </c>
      <c r="D39" s="407">
        <v>17356750</v>
      </c>
      <c r="E39" s="408">
        <f>+D39/'- 3 -'!F39*100</f>
        <v>74.429878728623137</v>
      </c>
      <c r="F39" s="407">
        <v>11388.822355289421</v>
      </c>
      <c r="G39" s="407">
        <f>+D39/'- 7 -'!E39</f>
        <v>11644.136589292902</v>
      </c>
      <c r="I39" s="421" t="str">
        <f>IF(+D39-'- 15 -'!B39-'- 15 -'!E39-'- 16 -'!G39=0,"","Ckeck")</f>
        <v/>
      </c>
    </row>
    <row r="40" spans="1:9" ht="14.1" customHeight="1" x14ac:dyDescent="0.2">
      <c r="A40" s="409" t="s">
        <v>136</v>
      </c>
      <c r="B40" s="410">
        <v>88948970</v>
      </c>
      <c r="C40" s="411">
        <v>82.32432574462706</v>
      </c>
      <c r="D40" s="410">
        <v>90119979</v>
      </c>
      <c r="E40" s="411">
        <f>+D40/'- 3 -'!F40*100</f>
        <v>82.876453479937751</v>
      </c>
      <c r="F40" s="410">
        <v>10642.374970088538</v>
      </c>
      <c r="G40" s="410">
        <f>+D40/'- 7 -'!E40</f>
        <v>10960.167710550319</v>
      </c>
      <c r="I40" s="421" t="str">
        <f>IF(+D40-'- 15 -'!B40-'- 15 -'!E40-'- 16 -'!G40=0,"","Ckeck")</f>
        <v/>
      </c>
    </row>
    <row r="41" spans="1:9" ht="14.1" customHeight="1" x14ac:dyDescent="0.2">
      <c r="A41" s="406" t="s">
        <v>137</v>
      </c>
      <c r="B41" s="407">
        <v>48697030</v>
      </c>
      <c r="C41" s="408">
        <v>76.313606118198308</v>
      </c>
      <c r="D41" s="407">
        <v>49944420</v>
      </c>
      <c r="E41" s="408">
        <f>+D41/'- 3 -'!F41*100</f>
        <v>76.436021411823148</v>
      </c>
      <c r="F41" s="407">
        <v>10955.462317210349</v>
      </c>
      <c r="G41" s="407">
        <f>+D41/'- 7 -'!E41</f>
        <v>11113.578104138851</v>
      </c>
      <c r="I41" s="421" t="str">
        <f>IF(+D41-'- 15 -'!B41-'- 15 -'!E41-'- 16 -'!G41=0,"","Ckeck")</f>
        <v/>
      </c>
    </row>
    <row r="42" spans="1:9" ht="14.1" customHeight="1" x14ac:dyDescent="0.2">
      <c r="A42" s="409" t="s">
        <v>138</v>
      </c>
      <c r="B42" s="410">
        <v>15745431</v>
      </c>
      <c r="C42" s="411">
        <v>74.224493129413659</v>
      </c>
      <c r="D42" s="410">
        <v>15830845</v>
      </c>
      <c r="E42" s="411">
        <f>+D42/'- 3 -'!F42*100</f>
        <v>74.391733193511271</v>
      </c>
      <c r="F42" s="410">
        <v>11438.743915728297</v>
      </c>
      <c r="G42" s="410">
        <f>+D42/'- 7 -'!E42</f>
        <v>11568.027036901718</v>
      </c>
      <c r="I42" s="421" t="str">
        <f>IF(+D42-'- 15 -'!B42-'- 15 -'!E42-'- 16 -'!G42=0,"","Ckeck")</f>
        <v/>
      </c>
    </row>
    <row r="43" spans="1:9" ht="14.1" customHeight="1" x14ac:dyDescent="0.2">
      <c r="A43" s="406" t="s">
        <v>139</v>
      </c>
      <c r="B43" s="407">
        <v>10563773</v>
      </c>
      <c r="C43" s="408">
        <v>77.372706564809462</v>
      </c>
      <c r="D43" s="407">
        <v>10714766</v>
      </c>
      <c r="E43" s="408">
        <f>+D43/'- 3 -'!F43*100</f>
        <v>78.435647910169564</v>
      </c>
      <c r="F43" s="407">
        <v>10622.195072900955</v>
      </c>
      <c r="G43" s="407">
        <f>+D43/'- 7 -'!E43</f>
        <v>10661.458706467662</v>
      </c>
      <c r="I43" s="421" t="str">
        <f>IF(+D43-'- 15 -'!B43-'- 15 -'!E43-'- 16 -'!G43=0,"","Ckeck")</f>
        <v/>
      </c>
    </row>
    <row r="44" spans="1:9" ht="14.1" customHeight="1" x14ac:dyDescent="0.2">
      <c r="A44" s="409" t="s">
        <v>140</v>
      </c>
      <c r="B44" s="410">
        <v>8250134</v>
      </c>
      <c r="C44" s="411">
        <v>72.687476679813344</v>
      </c>
      <c r="D44" s="410">
        <v>8246894</v>
      </c>
      <c r="E44" s="411">
        <f>+D44/'- 3 -'!F44*100</f>
        <v>73.572626313342241</v>
      </c>
      <c r="F44" s="410">
        <v>11794.330235882773</v>
      </c>
      <c r="G44" s="410">
        <f>+D44/'- 7 -'!E44</f>
        <v>11891.700072098054</v>
      </c>
      <c r="I44" s="421" t="str">
        <f>IF(+D44-'- 15 -'!B44-'- 15 -'!E44-'- 16 -'!G44=0,"","Ckeck")</f>
        <v/>
      </c>
    </row>
    <row r="45" spans="1:9" ht="14.1" customHeight="1" x14ac:dyDescent="0.2">
      <c r="A45" s="406" t="s">
        <v>141</v>
      </c>
      <c r="B45" s="407">
        <v>16801520</v>
      </c>
      <c r="C45" s="408">
        <v>80.702866056697857</v>
      </c>
      <c r="D45" s="407">
        <v>17697771</v>
      </c>
      <c r="E45" s="408">
        <f>+D45/'- 3 -'!F45*100</f>
        <v>80.883334403534818</v>
      </c>
      <c r="F45" s="407">
        <v>9008.8579088471852</v>
      </c>
      <c r="G45" s="407">
        <f>+D45/'- 7 -'!E45</f>
        <v>8529.0462650602403</v>
      </c>
      <c r="I45" s="421" t="str">
        <f>IF(+D45-'- 15 -'!B45-'- 15 -'!E45-'- 16 -'!G45=0,"","Ckeck")</f>
        <v/>
      </c>
    </row>
    <row r="46" spans="1:9" ht="14.1" customHeight="1" x14ac:dyDescent="0.2">
      <c r="A46" s="409" t="s">
        <v>142</v>
      </c>
      <c r="B46" s="410">
        <v>322385516</v>
      </c>
      <c r="C46" s="411">
        <v>80.031307946331438</v>
      </c>
      <c r="D46" s="410">
        <v>326804050</v>
      </c>
      <c r="E46" s="411">
        <f>+D46/'- 3 -'!F46*100</f>
        <v>80.169091395924553</v>
      </c>
      <c r="F46" s="410">
        <v>10686.51747741775</v>
      </c>
      <c r="G46" s="410">
        <f>+D46/'- 7 -'!E46</f>
        <v>10923.690543837951</v>
      </c>
      <c r="I46" s="421" t="str">
        <f>IF(+D46-'- 15 -'!B46-'- 15 -'!E46-'- 16 -'!G46=0,"","Ckeck")</f>
        <v/>
      </c>
    </row>
    <row r="47" spans="1:9" ht="5.0999999999999996" customHeight="1" x14ac:dyDescent="0.2">
      <c r="B47" s="412"/>
      <c r="C47" s="412"/>
      <c r="D47" s="412"/>
      <c r="E47" s="412"/>
      <c r="F47" s="412"/>
      <c r="G47" s="412"/>
      <c r="I47" s="421"/>
    </row>
    <row r="48" spans="1:9" ht="14.1" customHeight="1" x14ac:dyDescent="0.2">
      <c r="A48" s="413" t="s">
        <v>143</v>
      </c>
      <c r="B48" s="414">
        <v>1902019228</v>
      </c>
      <c r="C48" s="415">
        <v>78.792282120461891</v>
      </c>
      <c r="D48" s="414">
        <f>SUM(D11:D46)</f>
        <v>1932875077</v>
      </c>
      <c r="E48" s="415">
        <f>+D48/'- 3 -'!F48*100</f>
        <v>78.962375828505458</v>
      </c>
      <c r="F48" s="414">
        <v>10538.071295370732</v>
      </c>
      <c r="G48" s="414">
        <f>+D48/'- 7 -'!E48</f>
        <v>10609.385148315947</v>
      </c>
      <c r="I48" s="421"/>
    </row>
    <row r="49" spans="1:7" ht="5.0999999999999996" customHeight="1" x14ac:dyDescent="0.2">
      <c r="B49" s="412"/>
      <c r="C49" s="412"/>
      <c r="D49" s="412"/>
      <c r="E49" s="412"/>
      <c r="F49" s="412"/>
      <c r="G49" s="412"/>
    </row>
    <row r="50" spans="1:7" ht="49.5" customHeight="1" x14ac:dyDescent="0.2">
      <c r="A50" s="418"/>
      <c r="B50" s="419"/>
      <c r="C50" s="419"/>
      <c r="D50" s="419"/>
      <c r="E50" s="419"/>
      <c r="F50" s="419"/>
      <c r="G50" s="419"/>
    </row>
    <row r="51" spans="1:7" ht="13.5" customHeight="1" x14ac:dyDescent="0.2">
      <c r="A51" s="819" t="s">
        <v>506</v>
      </c>
      <c r="B51" s="819"/>
      <c r="C51" s="819"/>
      <c r="D51" s="819"/>
      <c r="E51" s="819"/>
      <c r="F51" s="819"/>
      <c r="G51" s="819"/>
    </row>
    <row r="52" spans="1:7" ht="13.5" customHeight="1" x14ac:dyDescent="0.2">
      <c r="A52" s="820"/>
      <c r="B52" s="820"/>
      <c r="C52" s="820"/>
      <c r="D52" s="820"/>
      <c r="E52" s="820"/>
      <c r="F52" s="820"/>
      <c r="G52" s="820"/>
    </row>
    <row r="53" spans="1:7" ht="15" customHeight="1" x14ac:dyDescent="0.2">
      <c r="B53" s="416"/>
      <c r="C53" s="416"/>
    </row>
    <row r="54" spans="1:7" ht="12" customHeight="1" x14ac:dyDescent="0.2">
      <c r="B54" s="416"/>
      <c r="C54" s="416"/>
    </row>
    <row r="55" spans="1:7" ht="12" customHeight="1" x14ac:dyDescent="0.2">
      <c r="A55" s="416"/>
      <c r="B55" s="416"/>
      <c r="C55" s="416"/>
    </row>
    <row r="56" spans="1:7" ht="12" customHeight="1" x14ac:dyDescent="0.2">
      <c r="A56" s="416"/>
      <c r="B56" s="416"/>
      <c r="C56" s="416"/>
    </row>
    <row r="57" spans="1:7" ht="14.45" customHeight="1" x14ac:dyDescent="0.2">
      <c r="A57" s="416"/>
    </row>
  </sheetData>
  <mergeCells count="3">
    <mergeCell ref="A51:G52"/>
    <mergeCell ref="F7:G8"/>
    <mergeCell ref="B7:E8"/>
  </mergeCells>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BB55"/>
  <sheetViews>
    <sheetView showGridLines="0" showZeros="0" workbookViewId="0"/>
  </sheetViews>
  <sheetFormatPr defaultColWidth="19.83203125" defaultRowHeight="12" x14ac:dyDescent="0.2"/>
  <cols>
    <col min="1" max="1" width="30.83203125" style="1" customWidth="1"/>
    <col min="2" max="9" width="12.83203125" style="1" customWidth="1"/>
    <col min="10" max="16384" width="19.83203125" style="1"/>
  </cols>
  <sheetData>
    <row r="1" spans="1:54" ht="6.95" customHeight="1" x14ac:dyDescent="0.2">
      <c r="A1" s="3"/>
      <c r="B1" s="4"/>
      <c r="C1" s="4"/>
      <c r="D1" s="4"/>
      <c r="E1" s="4"/>
      <c r="F1" s="4"/>
    </row>
    <row r="2" spans="1:54" ht="15.95" customHeight="1" x14ac:dyDescent="0.2">
      <c r="A2" s="5" t="str">
        <f>IF(Lang=1,BA2,BB2)</f>
        <v>STATISTICAL SUMMARY</v>
      </c>
      <c r="B2" s="6"/>
      <c r="C2" s="6"/>
      <c r="D2" s="6"/>
      <c r="E2" s="6"/>
      <c r="F2" s="6"/>
      <c r="G2" s="6"/>
      <c r="H2" s="6"/>
      <c r="I2" s="6"/>
      <c r="BA2" s="456" t="s">
        <v>91</v>
      </c>
      <c r="BB2" s="456" t="s">
        <v>508</v>
      </c>
    </row>
    <row r="3" spans="1:54" ht="15.95" customHeight="1" x14ac:dyDescent="0.2">
      <c r="A3" s="86" t="s">
        <v>595</v>
      </c>
      <c r="B3" s="40"/>
      <c r="C3" s="40"/>
      <c r="D3" s="8"/>
      <c r="E3" s="8"/>
      <c r="F3" s="8"/>
      <c r="G3" s="8"/>
      <c r="H3" s="8"/>
      <c r="I3" s="8"/>
      <c r="BA3" s="456" t="str">
        <f>B9&amp;" AND "&amp;C9&amp;" BUDGET"</f>
        <v>2019/20 AND 2020/21 BUDGET</v>
      </c>
      <c r="BB3" s="456" t="str">
        <f>" BUDGET DE "&amp;B9&amp;" ET DE "&amp;C9</f>
        <v xml:space="preserve"> BUDGET DE 2019/20 ET DE 2020/21</v>
      </c>
    </row>
    <row r="4" spans="1:54" ht="15.95" customHeight="1" x14ac:dyDescent="0.2">
      <c r="B4" s="22"/>
      <c r="C4" s="22"/>
      <c r="D4" s="4"/>
      <c r="E4" s="4"/>
      <c r="F4" s="4"/>
    </row>
    <row r="5" spans="1:54" ht="15.95" customHeight="1" x14ac:dyDescent="0.2">
      <c r="B5" s="217"/>
      <c r="C5" s="217"/>
      <c r="D5" s="4"/>
      <c r="E5" s="4"/>
      <c r="F5" s="4"/>
    </row>
    <row r="6" spans="1:54" ht="15.95" customHeight="1" x14ac:dyDescent="0.2">
      <c r="B6" s="837" t="s">
        <v>512</v>
      </c>
      <c r="C6" s="838"/>
      <c r="D6" s="488"/>
      <c r="E6" s="328"/>
      <c r="F6" s="817" t="s">
        <v>510</v>
      </c>
      <c r="G6" s="818"/>
      <c r="H6" s="327"/>
      <c r="I6" s="328"/>
    </row>
    <row r="7" spans="1:54" ht="15.95" customHeight="1" x14ac:dyDescent="0.2">
      <c r="B7" s="839"/>
      <c r="C7" s="840"/>
      <c r="D7" s="835" t="s">
        <v>511</v>
      </c>
      <c r="E7" s="831"/>
      <c r="F7" s="834"/>
      <c r="G7" s="831"/>
      <c r="H7" s="830" t="s">
        <v>509</v>
      </c>
      <c r="I7" s="831"/>
    </row>
    <row r="8" spans="1:54" ht="15.95" customHeight="1" x14ac:dyDescent="0.2">
      <c r="A8" s="249"/>
      <c r="B8" s="841"/>
      <c r="C8" s="842"/>
      <c r="D8" s="836"/>
      <c r="E8" s="833"/>
      <c r="F8" s="832"/>
      <c r="G8" s="833"/>
      <c r="H8" s="832"/>
      <c r="I8" s="833"/>
    </row>
    <row r="9" spans="1:54" ht="18" customHeight="1" x14ac:dyDescent="0.2">
      <c r="A9" s="27" t="s">
        <v>37</v>
      </c>
      <c r="B9" s="489" t="s">
        <v>581</v>
      </c>
      <c r="C9" s="489" t="s">
        <v>590</v>
      </c>
      <c r="D9" s="218" t="str">
        <f>+B9</f>
        <v>2019/20</v>
      </c>
      <c r="E9" s="448" t="s">
        <v>591</v>
      </c>
      <c r="F9" s="447" t="s">
        <v>592</v>
      </c>
      <c r="G9" s="447" t="s">
        <v>593</v>
      </c>
      <c r="H9" s="447" t="s">
        <v>592</v>
      </c>
      <c r="I9" s="447" t="s">
        <v>594</v>
      </c>
    </row>
    <row r="10" spans="1:54" ht="5.0999999999999996" customHeight="1" x14ac:dyDescent="0.2">
      <c r="A10" s="29"/>
      <c r="D10" s="204"/>
      <c r="E10" s="204"/>
      <c r="F10" s="182"/>
      <c r="G10" s="3"/>
      <c r="H10" s="3"/>
    </row>
    <row r="11" spans="1:54" ht="14.1" customHeight="1" x14ac:dyDescent="0.2">
      <c r="A11" s="271" t="s">
        <v>108</v>
      </c>
      <c r="B11" s="272">
        <v>11543</v>
      </c>
      <c r="C11" s="272">
        <f>'- 4 -'!E11</f>
        <v>11124</v>
      </c>
      <c r="D11" s="292">
        <v>13.779256539697109</v>
      </c>
      <c r="E11" s="292">
        <f>'- 9 -'!C11</f>
        <v>14.36028511771906</v>
      </c>
      <c r="F11" s="272">
        <v>442092</v>
      </c>
      <c r="G11" s="272">
        <f>'- 50 -'!F11</f>
        <v>432342</v>
      </c>
      <c r="H11" s="292">
        <v>11.486322541917898</v>
      </c>
      <c r="I11" s="292">
        <f>'- 47 -'!G11</f>
        <v>11.255783452379603</v>
      </c>
    </row>
    <row r="12" spans="1:54" ht="14.1" customHeight="1" x14ac:dyDescent="0.2">
      <c r="A12" s="15" t="s">
        <v>109</v>
      </c>
      <c r="B12" s="16">
        <v>15983</v>
      </c>
      <c r="C12" s="16">
        <f>'- 4 -'!E12</f>
        <v>15793</v>
      </c>
      <c r="D12" s="47">
        <v>11.261209552144493</v>
      </c>
      <c r="E12" s="47">
        <f>'- 9 -'!C12</f>
        <v>11.283098923548364</v>
      </c>
      <c r="F12" s="16">
        <v>476373</v>
      </c>
      <c r="G12" s="16">
        <f>'- 50 -'!F12</f>
        <v>513595</v>
      </c>
      <c r="H12" s="47">
        <v>14.751350092961783</v>
      </c>
      <c r="I12" s="47">
        <f>'- 47 -'!G12</f>
        <v>13.761688353906729</v>
      </c>
    </row>
    <row r="13" spans="1:54" ht="14.1" customHeight="1" x14ac:dyDescent="0.2">
      <c r="A13" s="271" t="s">
        <v>110</v>
      </c>
      <c r="B13" s="272">
        <v>12146</v>
      </c>
      <c r="C13" s="272">
        <f>'- 4 -'!E13</f>
        <v>12254</v>
      </c>
      <c r="D13" s="292">
        <v>12.827016075363431</v>
      </c>
      <c r="E13" s="292">
        <f>'- 9 -'!C13</f>
        <v>12.723792611568804</v>
      </c>
      <c r="F13" s="272">
        <v>376633</v>
      </c>
      <c r="G13" s="272">
        <f>'- 50 -'!F13</f>
        <v>383977</v>
      </c>
      <c r="H13" s="292">
        <v>14.9897454714289</v>
      </c>
      <c r="I13" s="292">
        <f>'- 47 -'!G13</f>
        <v>14.707878019327923</v>
      </c>
    </row>
    <row r="14" spans="1:54" ht="14.1" customHeight="1" x14ac:dyDescent="0.2">
      <c r="A14" s="15" t="s">
        <v>319</v>
      </c>
      <c r="B14" s="16">
        <v>16194</v>
      </c>
      <c r="C14" s="16">
        <f>'- 4 -'!E14</f>
        <v>15891</v>
      </c>
      <c r="D14" s="47">
        <v>11.820785597381342</v>
      </c>
      <c r="E14" s="47">
        <f>'- 9 -'!C14</f>
        <v>12.161120129870129</v>
      </c>
      <c r="F14" s="16">
        <v>468321</v>
      </c>
      <c r="G14" s="16">
        <f>'- 50 -'!F14</f>
        <v>500927</v>
      </c>
      <c r="H14" s="47">
        <v>0</v>
      </c>
      <c r="I14" s="47">
        <f>'- 47 -'!G14</f>
        <v>0</v>
      </c>
    </row>
    <row r="15" spans="1:54" ht="14.1" customHeight="1" x14ac:dyDescent="0.2">
      <c r="A15" s="271" t="s">
        <v>111</v>
      </c>
      <c r="B15" s="272">
        <v>14938</v>
      </c>
      <c r="C15" s="272">
        <f>'- 4 -'!E15</f>
        <v>15101</v>
      </c>
      <c r="D15" s="292">
        <v>12.51227130745203</v>
      </c>
      <c r="E15" s="292">
        <f>'- 9 -'!C15</f>
        <v>13.550267119961147</v>
      </c>
      <c r="F15" s="272">
        <v>726888</v>
      </c>
      <c r="G15" s="272">
        <f>'- 50 -'!F15</f>
        <v>729902</v>
      </c>
      <c r="H15" s="292">
        <v>11.050115356295413</v>
      </c>
      <c r="I15" s="292">
        <f>'- 47 -'!G15</f>
        <v>11.13737127947193</v>
      </c>
    </row>
    <row r="16" spans="1:54" ht="14.1" customHeight="1" x14ac:dyDescent="0.2">
      <c r="A16" s="15" t="s">
        <v>112</v>
      </c>
      <c r="B16" s="16">
        <v>15759</v>
      </c>
      <c r="C16" s="16">
        <f>'- 4 -'!E16</f>
        <v>15663</v>
      </c>
      <c r="D16" s="47">
        <v>11.670807453416149</v>
      </c>
      <c r="E16" s="47">
        <f>'- 9 -'!C16</f>
        <v>12</v>
      </c>
      <c r="F16" s="16">
        <v>211130</v>
      </c>
      <c r="G16" s="16">
        <f>'- 50 -'!F16</f>
        <v>196578</v>
      </c>
      <c r="H16" s="47">
        <v>21.431691286244838</v>
      </c>
      <c r="I16" s="47">
        <f>'- 47 -'!G16</f>
        <v>24.120413517994539</v>
      </c>
    </row>
    <row r="17" spans="1:9" ht="14.1" customHeight="1" x14ac:dyDescent="0.2">
      <c r="A17" s="271" t="s">
        <v>113</v>
      </c>
      <c r="B17" s="272">
        <v>12836</v>
      </c>
      <c r="C17" s="272">
        <f>'- 4 -'!E17</f>
        <v>12805</v>
      </c>
      <c r="D17" s="292">
        <v>13.093177885053283</v>
      </c>
      <c r="E17" s="292">
        <f>'- 9 -'!C17</f>
        <v>12.954667622289913</v>
      </c>
      <c r="F17" s="272">
        <v>911863</v>
      </c>
      <c r="G17" s="272">
        <f>'- 50 -'!F17</f>
        <v>985463</v>
      </c>
      <c r="H17" s="292">
        <v>7.6846886980415343</v>
      </c>
      <c r="I17" s="292">
        <f>'- 47 -'!G17</f>
        <v>7.3450078962027661</v>
      </c>
    </row>
    <row r="18" spans="1:9" ht="14.1" customHeight="1" x14ac:dyDescent="0.2">
      <c r="A18" s="15" t="s">
        <v>114</v>
      </c>
      <c r="B18" s="16">
        <v>21460</v>
      </c>
      <c r="C18" s="16">
        <f>'- 4 -'!E18</f>
        <v>22528</v>
      </c>
      <c r="D18" s="47">
        <v>12.0326171875</v>
      </c>
      <c r="E18" s="47">
        <f>'- 9 -'!C18</f>
        <v>11.50491778085139</v>
      </c>
      <c r="F18" s="16">
        <v>114978</v>
      </c>
      <c r="G18" s="16">
        <f>'- 50 -'!F18</f>
        <v>120018</v>
      </c>
      <c r="H18" s="47">
        <v>13.201998516983744</v>
      </c>
      <c r="I18" s="47">
        <f>'- 47 -'!G18</f>
        <v>13.202000287487861</v>
      </c>
    </row>
    <row r="19" spans="1:9" ht="14.1" customHeight="1" x14ac:dyDescent="0.2">
      <c r="A19" s="271" t="s">
        <v>115</v>
      </c>
      <c r="B19" s="272">
        <v>11722</v>
      </c>
      <c r="C19" s="272">
        <f>'- 4 -'!E19</f>
        <v>11568</v>
      </c>
      <c r="D19" s="292">
        <v>14.544480530351223</v>
      </c>
      <c r="E19" s="292">
        <f>'- 9 -'!C19</f>
        <v>14.686365137008913</v>
      </c>
      <c r="F19" s="272">
        <v>300968</v>
      </c>
      <c r="G19" s="272">
        <f>'- 50 -'!F19</f>
        <v>336507</v>
      </c>
      <c r="H19" s="292">
        <v>15.016559458756454</v>
      </c>
      <c r="I19" s="292">
        <f>'- 47 -'!G19</f>
        <v>13.73640347076039</v>
      </c>
    </row>
    <row r="20" spans="1:9" ht="14.1" customHeight="1" x14ac:dyDescent="0.2">
      <c r="A20" s="15" t="s">
        <v>116</v>
      </c>
      <c r="B20" s="16">
        <v>11200</v>
      </c>
      <c r="C20" s="16">
        <f>'- 4 -'!E20</f>
        <v>11278</v>
      </c>
      <c r="D20" s="47">
        <v>14.414062854498098</v>
      </c>
      <c r="E20" s="47">
        <f>'- 9 -'!C20</f>
        <v>14.202360082681389</v>
      </c>
      <c r="F20" s="16">
        <v>273984</v>
      </c>
      <c r="G20" s="16">
        <f>'- 50 -'!F20</f>
        <v>286211</v>
      </c>
      <c r="H20" s="47">
        <v>15.16602816530512</v>
      </c>
      <c r="I20" s="47">
        <f>'- 47 -'!G20</f>
        <v>14.641306136638054</v>
      </c>
    </row>
    <row r="21" spans="1:9" ht="14.1" customHeight="1" x14ac:dyDescent="0.2">
      <c r="A21" s="271" t="s">
        <v>117</v>
      </c>
      <c r="B21" s="272">
        <v>13316</v>
      </c>
      <c r="C21" s="272">
        <f>'- 4 -'!E21</f>
        <v>13520</v>
      </c>
      <c r="D21" s="292">
        <v>12.181818181818182</v>
      </c>
      <c r="E21" s="292">
        <f>'- 9 -'!C21</f>
        <v>12.099352051835853</v>
      </c>
      <c r="F21" s="272">
        <v>495401</v>
      </c>
      <c r="G21" s="272">
        <f>'- 50 -'!F21</f>
        <v>534798</v>
      </c>
      <c r="H21" s="292">
        <v>13.587103560656447</v>
      </c>
      <c r="I21" s="292">
        <f>'- 47 -'!G21</f>
        <v>13.015901258296841</v>
      </c>
    </row>
    <row r="22" spans="1:9" ht="14.1" customHeight="1" x14ac:dyDescent="0.2">
      <c r="A22" s="15" t="s">
        <v>118</v>
      </c>
      <c r="B22" s="16">
        <v>13937</v>
      </c>
      <c r="C22" s="16">
        <f>'- 4 -'!E22</f>
        <v>13771</v>
      </c>
      <c r="D22" s="47">
        <v>11.408473221422863</v>
      </c>
      <c r="E22" s="47">
        <f>'- 9 -'!C22</f>
        <v>12.244985061886471</v>
      </c>
      <c r="F22" s="16">
        <v>174815</v>
      </c>
      <c r="G22" s="16">
        <f>'- 50 -'!F22</f>
        <v>180733</v>
      </c>
      <c r="H22" s="47">
        <v>17.297746064654469</v>
      </c>
      <c r="I22" s="47">
        <f>'- 47 -'!G22</f>
        <v>14.994760939301043</v>
      </c>
    </row>
    <row r="23" spans="1:9" ht="14.1" customHeight="1" x14ac:dyDescent="0.2">
      <c r="A23" s="271" t="s">
        <v>119</v>
      </c>
      <c r="B23" s="272">
        <v>16726</v>
      </c>
      <c r="C23" s="272">
        <f>'- 4 -'!E23</f>
        <v>16527</v>
      </c>
      <c r="D23" s="292">
        <v>11.261154074955384</v>
      </c>
      <c r="E23" s="292">
        <f>'- 9 -'!C23</f>
        <v>11.606475716064757</v>
      </c>
      <c r="F23" s="272">
        <v>336160</v>
      </c>
      <c r="G23" s="272">
        <f>'- 50 -'!F23</f>
        <v>355624</v>
      </c>
      <c r="H23" s="292">
        <v>15.006442145356372</v>
      </c>
      <c r="I23" s="292">
        <f>'- 47 -'!G23</f>
        <v>14.828530429311051</v>
      </c>
    </row>
    <row r="24" spans="1:9" ht="14.1" customHeight="1" x14ac:dyDescent="0.2">
      <c r="A24" s="15" t="s">
        <v>120</v>
      </c>
      <c r="B24" s="16">
        <v>15227</v>
      </c>
      <c r="C24" s="16">
        <f>'- 4 -'!E24</f>
        <v>15622</v>
      </c>
      <c r="D24" s="47">
        <v>11.924587588373919</v>
      </c>
      <c r="E24" s="47">
        <f>'- 9 -'!C24</f>
        <v>11.735015772870662</v>
      </c>
      <c r="F24" s="16">
        <v>540409</v>
      </c>
      <c r="G24" s="16">
        <f>'- 50 -'!F24</f>
        <v>562305</v>
      </c>
      <c r="H24" s="47">
        <v>14.930961681174766</v>
      </c>
      <c r="I24" s="47">
        <f>'- 47 -'!G24</f>
        <v>14.883900859645417</v>
      </c>
    </row>
    <row r="25" spans="1:9" ht="14.1" customHeight="1" x14ac:dyDescent="0.2">
      <c r="A25" s="271" t="s">
        <v>121</v>
      </c>
      <c r="B25" s="272">
        <v>12714</v>
      </c>
      <c r="C25" s="272">
        <f>'- 4 -'!E25</f>
        <v>12691</v>
      </c>
      <c r="D25" s="292">
        <v>13.64558952603862</v>
      </c>
      <c r="E25" s="292">
        <f>'- 9 -'!C25</f>
        <v>13.92146770101842</v>
      </c>
      <c r="F25" s="272">
        <v>488248</v>
      </c>
      <c r="G25" s="272">
        <f>'- 50 -'!F25</f>
        <v>519809</v>
      </c>
      <c r="H25" s="292">
        <v>13.693239545334105</v>
      </c>
      <c r="I25" s="292">
        <f>'- 47 -'!G25</f>
        <v>13.12821633005643</v>
      </c>
    </row>
    <row r="26" spans="1:9" ht="14.1" customHeight="1" x14ac:dyDescent="0.2">
      <c r="A26" s="15" t="s">
        <v>122</v>
      </c>
      <c r="B26" s="16">
        <v>13726</v>
      </c>
      <c r="C26" s="16">
        <f>'- 4 -'!E26</f>
        <v>13614</v>
      </c>
      <c r="D26" s="47">
        <v>13.023066462247398</v>
      </c>
      <c r="E26" s="47">
        <f>'- 9 -'!C26</f>
        <v>13.285929756517991</v>
      </c>
      <c r="F26" s="16">
        <v>384710</v>
      </c>
      <c r="G26" s="16">
        <f>'- 50 -'!F26</f>
        <v>405813</v>
      </c>
      <c r="H26" s="47">
        <v>15.62601256542076</v>
      </c>
      <c r="I26" s="47">
        <f>'- 47 -'!G26</f>
        <v>14.726180088208952</v>
      </c>
    </row>
    <row r="27" spans="1:9" ht="14.1" customHeight="1" x14ac:dyDescent="0.2">
      <c r="A27" s="271" t="s">
        <v>123</v>
      </c>
      <c r="B27" s="272">
        <v>14023</v>
      </c>
      <c r="C27" s="272">
        <f>'- 4 -'!E27</f>
        <v>14211</v>
      </c>
      <c r="D27" s="292">
        <v>12.401942472917444</v>
      </c>
      <c r="E27" s="292">
        <f>'- 9 -'!C27</f>
        <v>12.511966701352758</v>
      </c>
      <c r="F27" s="272">
        <v>155961</v>
      </c>
      <c r="G27" s="272">
        <f>'- 50 -'!F27</f>
        <v>143631</v>
      </c>
      <c r="H27" s="292">
        <v>18.548245275772118</v>
      </c>
      <c r="I27" s="292">
        <f>'- 47 -'!G27</f>
        <v>20.751656682078114</v>
      </c>
    </row>
    <row r="28" spans="1:9" ht="14.1" customHeight="1" x14ac:dyDescent="0.2">
      <c r="A28" s="15" t="s">
        <v>124</v>
      </c>
      <c r="B28" s="16">
        <v>14194</v>
      </c>
      <c r="C28" s="16">
        <f>'- 4 -'!E28</f>
        <v>14166</v>
      </c>
      <c r="D28" s="47">
        <v>11.65959672264513</v>
      </c>
      <c r="E28" s="47">
        <f>'- 9 -'!C28</f>
        <v>12.054451012000717</v>
      </c>
      <c r="F28" s="16">
        <v>624146</v>
      </c>
      <c r="G28" s="16">
        <f>'- 50 -'!F28</f>
        <v>673872</v>
      </c>
      <c r="H28" s="47">
        <v>10.509212790706657</v>
      </c>
      <c r="I28" s="47">
        <f>'- 47 -'!G28</f>
        <v>9.9027262121777735</v>
      </c>
    </row>
    <row r="29" spans="1:9" ht="14.1" customHeight="1" x14ac:dyDescent="0.2">
      <c r="A29" s="271" t="s">
        <v>125</v>
      </c>
      <c r="B29" s="272">
        <v>12594</v>
      </c>
      <c r="C29" s="272">
        <f>'- 4 -'!E29</f>
        <v>12344</v>
      </c>
      <c r="D29" s="292">
        <v>13.820497996451428</v>
      </c>
      <c r="E29" s="292">
        <f>'- 9 -'!C29</f>
        <v>14.10252639628246</v>
      </c>
      <c r="F29" s="272">
        <v>619867</v>
      </c>
      <c r="G29" s="272">
        <f>'- 50 -'!F29</f>
        <v>661533</v>
      </c>
      <c r="H29" s="292">
        <v>12.421633672645005</v>
      </c>
      <c r="I29" s="292">
        <f>'- 47 -'!G29</f>
        <v>11.568937547510531</v>
      </c>
    </row>
    <row r="30" spans="1:9" ht="14.1" customHeight="1" x14ac:dyDescent="0.2">
      <c r="A30" s="15" t="s">
        <v>126</v>
      </c>
      <c r="B30" s="16">
        <v>14628</v>
      </c>
      <c r="C30" s="16">
        <f>'- 4 -'!E30</f>
        <v>15009</v>
      </c>
      <c r="D30" s="47">
        <v>11.88862532474867</v>
      </c>
      <c r="E30" s="47">
        <f>'- 9 -'!C30</f>
        <v>11.61938599900072</v>
      </c>
      <c r="F30" s="16">
        <v>537899</v>
      </c>
      <c r="G30" s="16">
        <f>'- 50 -'!F30</f>
        <v>591320</v>
      </c>
      <c r="H30" s="47">
        <v>13.925449550643869</v>
      </c>
      <c r="I30" s="47">
        <f>'- 47 -'!G30</f>
        <v>12.840473226678425</v>
      </c>
    </row>
    <row r="31" spans="1:9" ht="14.1" customHeight="1" x14ac:dyDescent="0.2">
      <c r="A31" s="271" t="s">
        <v>127</v>
      </c>
      <c r="B31" s="272">
        <v>11947</v>
      </c>
      <c r="C31" s="272">
        <f>'- 4 -'!E31</f>
        <v>12168</v>
      </c>
      <c r="D31" s="292">
        <v>12.766600598440382</v>
      </c>
      <c r="E31" s="292">
        <f>'- 9 -'!C31</f>
        <v>12.591090075877093</v>
      </c>
      <c r="F31" s="272">
        <v>433714</v>
      </c>
      <c r="G31" s="272">
        <f>'- 50 -'!F31</f>
        <v>475791</v>
      </c>
      <c r="H31" s="292">
        <v>13.877117315626123</v>
      </c>
      <c r="I31" s="292">
        <f>'- 47 -'!G31</f>
        <v>12.963874855947497</v>
      </c>
    </row>
    <row r="32" spans="1:9" ht="14.1" customHeight="1" x14ac:dyDescent="0.2">
      <c r="A32" s="15" t="s">
        <v>128</v>
      </c>
      <c r="B32" s="16">
        <v>13866</v>
      </c>
      <c r="C32" s="16">
        <f>'- 4 -'!E32</f>
        <v>13432</v>
      </c>
      <c r="D32" s="47">
        <v>11.503170266508583</v>
      </c>
      <c r="E32" s="47">
        <f>'- 9 -'!C32</f>
        <v>11.996609821245119</v>
      </c>
      <c r="F32" s="16">
        <v>640231</v>
      </c>
      <c r="G32" s="16">
        <f>'- 50 -'!F32</f>
        <v>684928</v>
      </c>
      <c r="H32" s="47">
        <v>11.297749248910849</v>
      </c>
      <c r="I32" s="47">
        <f>'- 47 -'!G32</f>
        <v>10.616392417213284</v>
      </c>
    </row>
    <row r="33" spans="1:9" ht="14.1" customHeight="1" x14ac:dyDescent="0.2">
      <c r="A33" s="271" t="s">
        <v>129</v>
      </c>
      <c r="B33" s="272">
        <v>14087</v>
      </c>
      <c r="C33" s="272">
        <f>'- 4 -'!E33</f>
        <v>13896</v>
      </c>
      <c r="D33" s="292">
        <v>12.374526804249605</v>
      </c>
      <c r="E33" s="292">
        <f>'- 9 -'!C33</f>
        <v>12.634677822445212</v>
      </c>
      <c r="F33" s="272">
        <v>681966</v>
      </c>
      <c r="G33" s="272">
        <f>'- 50 -'!F33</f>
        <v>735363</v>
      </c>
      <c r="H33" s="292">
        <v>9.7615904922220675</v>
      </c>
      <c r="I33" s="292">
        <f>'- 47 -'!G33</f>
        <v>9.2390868094204155</v>
      </c>
    </row>
    <row r="34" spans="1:9" ht="14.1" customHeight="1" x14ac:dyDescent="0.2">
      <c r="A34" s="15" t="s">
        <v>130</v>
      </c>
      <c r="B34" s="16">
        <v>14154</v>
      </c>
      <c r="C34" s="16">
        <f>'- 4 -'!E34</f>
        <v>13998</v>
      </c>
      <c r="D34" s="47">
        <v>12.764376357608324</v>
      </c>
      <c r="E34" s="47">
        <f>'- 9 -'!C34</f>
        <v>12.483982257269592</v>
      </c>
      <c r="F34" s="16">
        <v>665460</v>
      </c>
      <c r="G34" s="16">
        <f>'- 50 -'!F34</f>
        <v>721684</v>
      </c>
      <c r="H34" s="47">
        <v>13.570957495993561</v>
      </c>
      <c r="I34" s="47">
        <f>'- 47 -'!G34</f>
        <v>12.564632819672381</v>
      </c>
    </row>
    <row r="35" spans="1:9" ht="14.1" customHeight="1" x14ac:dyDescent="0.2">
      <c r="A35" s="271" t="s">
        <v>131</v>
      </c>
      <c r="B35" s="272">
        <v>11881</v>
      </c>
      <c r="C35" s="272">
        <f>'- 4 -'!E35</f>
        <v>12019</v>
      </c>
      <c r="D35" s="292">
        <v>13.99848711468702</v>
      </c>
      <c r="E35" s="292">
        <f>'- 9 -'!C35</f>
        <v>13.857736814807888</v>
      </c>
      <c r="F35" s="272">
        <v>426807</v>
      </c>
      <c r="G35" s="272">
        <f>'- 50 -'!F35</f>
        <v>451960</v>
      </c>
      <c r="H35" s="292">
        <v>13.469857957350786</v>
      </c>
      <c r="I35" s="292">
        <f>'- 47 -'!G35</f>
        <v>12.776249910391943</v>
      </c>
    </row>
    <row r="36" spans="1:9" ht="14.1" customHeight="1" x14ac:dyDescent="0.2">
      <c r="A36" s="15" t="s">
        <v>132</v>
      </c>
      <c r="B36" s="16">
        <v>14046</v>
      </c>
      <c r="C36" s="16">
        <f>'- 4 -'!E36</f>
        <v>13835</v>
      </c>
      <c r="D36" s="47">
        <v>12.692023633677993</v>
      </c>
      <c r="E36" s="47">
        <f>'- 9 -'!C36</f>
        <v>12.892861099826423</v>
      </c>
      <c r="F36" s="16">
        <v>648089</v>
      </c>
      <c r="G36" s="16">
        <f>'- 50 -'!F36</f>
        <v>651470</v>
      </c>
      <c r="H36" s="47">
        <v>11.503875854616103</v>
      </c>
      <c r="I36" s="47">
        <f>'- 47 -'!G36</f>
        <v>11.360566571001469</v>
      </c>
    </row>
    <row r="37" spans="1:9" ht="14.1" customHeight="1" x14ac:dyDescent="0.2">
      <c r="A37" s="271" t="s">
        <v>133</v>
      </c>
      <c r="B37" s="272">
        <v>12378</v>
      </c>
      <c r="C37" s="272">
        <f>'- 4 -'!E37</f>
        <v>12467</v>
      </c>
      <c r="D37" s="292">
        <v>13.657691702094155</v>
      </c>
      <c r="E37" s="292">
        <f>'- 9 -'!C37</f>
        <v>13.980458113086659</v>
      </c>
      <c r="F37" s="272">
        <v>336015</v>
      </c>
      <c r="G37" s="272">
        <f>'- 50 -'!F37</f>
        <v>364268</v>
      </c>
      <c r="H37" s="292">
        <v>14.611023778880496</v>
      </c>
      <c r="I37" s="292">
        <f>'- 47 -'!G37</f>
        <v>14.231077405409946</v>
      </c>
    </row>
    <row r="38" spans="1:9" ht="14.1" customHeight="1" x14ac:dyDescent="0.2">
      <c r="A38" s="15" t="s">
        <v>134</v>
      </c>
      <c r="B38" s="16">
        <v>12572</v>
      </c>
      <c r="C38" s="16">
        <f>'- 4 -'!E38</f>
        <v>12565</v>
      </c>
      <c r="D38" s="47">
        <v>13.893788157767226</v>
      </c>
      <c r="E38" s="47">
        <f>'- 9 -'!C38</f>
        <v>14.048216007714561</v>
      </c>
      <c r="F38" s="16">
        <v>333778</v>
      </c>
      <c r="G38" s="16">
        <f>'- 50 -'!F38</f>
        <v>354739</v>
      </c>
      <c r="H38" s="47">
        <v>16.719452662151756</v>
      </c>
      <c r="I38" s="47">
        <f>'- 47 -'!G38</f>
        <v>16.175757714538655</v>
      </c>
    </row>
    <row r="39" spans="1:9" ht="14.1" customHeight="1" x14ac:dyDescent="0.2">
      <c r="A39" s="271" t="s">
        <v>135</v>
      </c>
      <c r="B39" s="272">
        <v>15451</v>
      </c>
      <c r="C39" s="272">
        <f>'- 4 -'!E39</f>
        <v>15644</v>
      </c>
      <c r="D39" s="292">
        <v>11.745858080650203</v>
      </c>
      <c r="E39" s="292">
        <f>'- 9 -'!C39</f>
        <v>11.559519193485848</v>
      </c>
      <c r="F39" s="272">
        <v>827723</v>
      </c>
      <c r="G39" s="272">
        <f>'- 50 -'!F39</f>
        <v>882151</v>
      </c>
      <c r="H39" s="292">
        <v>10.544882043697607</v>
      </c>
      <c r="I39" s="292">
        <f>'- 47 -'!G39</f>
        <v>10.141484746226274</v>
      </c>
    </row>
    <row r="40" spans="1:9" ht="14.1" customHeight="1" x14ac:dyDescent="0.2">
      <c r="A40" s="15" t="s">
        <v>136</v>
      </c>
      <c r="B40" s="16">
        <v>12927</v>
      </c>
      <c r="C40" s="16">
        <f>'- 4 -'!E40</f>
        <v>13225</v>
      </c>
      <c r="D40" s="47">
        <v>13.47890594761966</v>
      </c>
      <c r="E40" s="47">
        <f>'- 9 -'!C40</f>
        <v>13.194633888024134</v>
      </c>
      <c r="F40" s="16">
        <v>598190</v>
      </c>
      <c r="G40" s="16">
        <f>'- 50 -'!F40</f>
        <v>633570</v>
      </c>
      <c r="H40" s="47">
        <v>13.404722390017115</v>
      </c>
      <c r="I40" s="47">
        <f>'- 47 -'!G40</f>
        <v>12.916988654021994</v>
      </c>
    </row>
    <row r="41" spans="1:9" ht="14.1" customHeight="1" x14ac:dyDescent="0.2">
      <c r="A41" s="271" t="s">
        <v>137</v>
      </c>
      <c r="B41" s="272">
        <v>14356</v>
      </c>
      <c r="C41" s="272">
        <f>'- 4 -'!E41</f>
        <v>14540</v>
      </c>
      <c r="D41" s="292">
        <v>12.649402390438246</v>
      </c>
      <c r="E41" s="292">
        <f>'- 9 -'!C41</f>
        <v>11.785633611926816</v>
      </c>
      <c r="F41" s="272">
        <v>566870</v>
      </c>
      <c r="G41" s="272">
        <f>'- 50 -'!F41</f>
        <v>586446</v>
      </c>
      <c r="H41" s="292">
        <v>13.844195282178411</v>
      </c>
      <c r="I41" s="292">
        <f>'- 47 -'!G41</f>
        <v>13.728055774902936</v>
      </c>
    </row>
    <row r="42" spans="1:9" ht="14.1" customHeight="1" x14ac:dyDescent="0.2">
      <c r="A42" s="15" t="s">
        <v>138</v>
      </c>
      <c r="B42" s="16">
        <v>15411</v>
      </c>
      <c r="C42" s="16">
        <f>'- 4 -'!E42</f>
        <v>15550</v>
      </c>
      <c r="D42" s="47">
        <v>12.333124272018637</v>
      </c>
      <c r="E42" s="47">
        <f>'- 9 -'!C42</f>
        <v>12.176350209093336</v>
      </c>
      <c r="F42" s="16">
        <v>428070</v>
      </c>
      <c r="G42" s="16">
        <f>'- 50 -'!F42</f>
        <v>466595</v>
      </c>
      <c r="H42" s="47">
        <v>13.820179324333209</v>
      </c>
      <c r="I42" s="47">
        <f>'- 47 -'!G42</f>
        <v>12.856989783751198</v>
      </c>
    </row>
    <row r="43" spans="1:9" ht="14.1" customHeight="1" x14ac:dyDescent="0.2">
      <c r="A43" s="271" t="s">
        <v>139</v>
      </c>
      <c r="B43" s="272">
        <v>13729</v>
      </c>
      <c r="C43" s="272">
        <f>'- 4 -'!E43</f>
        <v>13593</v>
      </c>
      <c r="D43" s="292">
        <v>12.549687677455992</v>
      </c>
      <c r="E43" s="292">
        <f>'- 9 -'!C43</f>
        <v>12.700619234171617</v>
      </c>
      <c r="F43" s="272">
        <v>636721</v>
      </c>
      <c r="G43" s="272">
        <f>'- 50 -'!F43</f>
        <v>655427</v>
      </c>
      <c r="H43" s="292">
        <v>11.815484709837808</v>
      </c>
      <c r="I43" s="292">
        <f>'- 47 -'!G43</f>
        <v>11.456882748240709</v>
      </c>
    </row>
    <row r="44" spans="1:9" ht="14.1" customHeight="1" x14ac:dyDescent="0.2">
      <c r="A44" s="15" t="s">
        <v>140</v>
      </c>
      <c r="B44" s="16">
        <v>16226</v>
      </c>
      <c r="C44" s="16">
        <f>'- 4 -'!E44</f>
        <v>16163</v>
      </c>
      <c r="D44" s="47">
        <v>11.085578446909667</v>
      </c>
      <c r="E44" s="47">
        <f>'- 9 -'!C44</f>
        <v>11.034208432776452</v>
      </c>
      <c r="F44" s="16">
        <v>317474</v>
      </c>
      <c r="G44" s="16">
        <f>'- 50 -'!F44</f>
        <v>353502</v>
      </c>
      <c r="H44" s="47">
        <v>15.269744217659301</v>
      </c>
      <c r="I44" s="47">
        <f>'- 47 -'!G44</f>
        <v>14.530659047744154</v>
      </c>
    </row>
    <row r="45" spans="1:9" ht="14.1" customHeight="1" x14ac:dyDescent="0.2">
      <c r="A45" s="271" t="s">
        <v>141</v>
      </c>
      <c r="B45" s="272">
        <v>11163</v>
      </c>
      <c r="C45" s="272">
        <f>'- 4 -'!E45</f>
        <v>10545</v>
      </c>
      <c r="D45" s="292">
        <v>13.939756334554152</v>
      </c>
      <c r="E45" s="292">
        <f>'- 9 -'!C45</f>
        <v>14.784467402921269</v>
      </c>
      <c r="F45" s="272">
        <v>346680</v>
      </c>
      <c r="G45" s="272">
        <f>'- 50 -'!F45</f>
        <v>360488</v>
      </c>
      <c r="H45" s="292">
        <v>15.31993360361558</v>
      </c>
      <c r="I45" s="292">
        <f>'- 47 -'!G45</f>
        <v>14.043721407979364</v>
      </c>
    </row>
    <row r="46" spans="1:9" ht="14.1" customHeight="1" x14ac:dyDescent="0.2">
      <c r="A46" s="15" t="s">
        <v>142</v>
      </c>
      <c r="B46" s="16">
        <v>13353</v>
      </c>
      <c r="C46" s="16">
        <f>'- 4 -'!E46</f>
        <v>13626</v>
      </c>
      <c r="D46" s="47">
        <v>13.312636800112971</v>
      </c>
      <c r="E46" s="47">
        <f>'- 9 -'!C46</f>
        <v>13.162653385367399</v>
      </c>
      <c r="F46" s="16">
        <v>440936</v>
      </c>
      <c r="G46" s="16">
        <f>'- 50 -'!F46</f>
        <v>468197</v>
      </c>
      <c r="H46" s="47">
        <v>14.971629944486613</v>
      </c>
      <c r="I46" s="47">
        <f>'- 47 -'!G46</f>
        <v>14.57900394866598</v>
      </c>
    </row>
    <row r="47" spans="1:9" ht="5.0999999999999996" customHeight="1" x14ac:dyDescent="0.2">
      <c r="B47" s="140"/>
      <c r="C47" s="140"/>
      <c r="D47" s="202"/>
      <c r="E47" s="202"/>
      <c r="F47" s="140"/>
      <c r="G47" s="140"/>
      <c r="H47" s="202"/>
      <c r="I47" s="202"/>
    </row>
    <row r="48" spans="1:9" ht="14.1" customHeight="1" x14ac:dyDescent="0.2">
      <c r="A48" s="274" t="s">
        <v>143</v>
      </c>
      <c r="B48" s="305">
        <v>13374</v>
      </c>
      <c r="C48" s="305">
        <f>'- 4 -'!E48</f>
        <v>13436</v>
      </c>
      <c r="D48" s="336">
        <v>13.148980746012162</v>
      </c>
      <c r="E48" s="336">
        <f>'- 9 -'!C48</f>
        <v>13.16165180237593</v>
      </c>
      <c r="F48" s="305">
        <v>455854.46932704485</v>
      </c>
      <c r="G48" s="305">
        <f>'- 50 -'!F48</f>
        <v>483255.31839606294</v>
      </c>
      <c r="H48" s="336">
        <v>13.766429265754697</v>
      </c>
      <c r="I48" s="336">
        <f>'- 47 -'!G48</f>
        <v>13.210589579157274</v>
      </c>
    </row>
    <row r="49" spans="1:9" ht="5.0999999999999996" customHeight="1" x14ac:dyDescent="0.2">
      <c r="B49" s="140"/>
      <c r="C49" s="140"/>
      <c r="D49" s="202"/>
      <c r="E49" s="202"/>
      <c r="F49" s="140"/>
      <c r="G49" s="140"/>
      <c r="H49" s="202"/>
      <c r="I49" s="202"/>
    </row>
    <row r="50" spans="1:9" ht="14.45" customHeight="1" x14ac:dyDescent="0.2">
      <c r="A50" s="15" t="s">
        <v>144</v>
      </c>
      <c r="B50" s="16">
        <v>20428</v>
      </c>
      <c r="C50" s="16">
        <f>'- 4 -'!E50</f>
        <v>19684</v>
      </c>
      <c r="D50" s="200">
        <v>8.3044124938026762</v>
      </c>
      <c r="E50" s="200">
        <f>'- 9 -'!C50</f>
        <v>8.6345381526104408</v>
      </c>
      <c r="F50" s="139"/>
      <c r="G50" s="139"/>
      <c r="H50" s="200"/>
      <c r="I50" s="200"/>
    </row>
    <row r="51" spans="1:9" ht="50.1" customHeight="1" x14ac:dyDescent="0.2">
      <c r="A51" s="19"/>
      <c r="B51" s="19"/>
      <c r="C51" s="19"/>
      <c r="D51" s="19"/>
      <c r="E51" s="19"/>
      <c r="F51" s="19"/>
      <c r="G51" s="19"/>
      <c r="H51" s="19"/>
      <c r="I51" s="19"/>
    </row>
    <row r="52" spans="1:9" ht="15" customHeight="1" x14ac:dyDescent="0.2">
      <c r="A52" s="31" t="s">
        <v>325</v>
      </c>
      <c r="B52" s="31"/>
      <c r="C52" s="31"/>
      <c r="D52" s="31"/>
      <c r="E52" s="31"/>
      <c r="F52" s="31"/>
    </row>
    <row r="53" spans="1:9" ht="12" customHeight="1" x14ac:dyDescent="0.2">
      <c r="A53" s="31" t="s">
        <v>326</v>
      </c>
      <c r="B53" s="31"/>
      <c r="C53" s="31"/>
      <c r="D53" s="31"/>
      <c r="E53" s="31"/>
      <c r="F53" s="31"/>
    </row>
    <row r="54" spans="1:9" ht="12" customHeight="1" x14ac:dyDescent="0.2">
      <c r="A54" s="131" t="s">
        <v>541</v>
      </c>
      <c r="B54" s="31"/>
      <c r="C54" s="31"/>
      <c r="D54" s="31"/>
      <c r="E54" s="31"/>
      <c r="F54" s="31"/>
    </row>
    <row r="55" spans="1:9" x14ac:dyDescent="0.2">
      <c r="A55" s="131" t="s">
        <v>542</v>
      </c>
    </row>
  </sheetData>
  <mergeCells count="4">
    <mergeCell ref="H7:I8"/>
    <mergeCell ref="F6:G8"/>
    <mergeCell ref="D7:E8"/>
    <mergeCell ref="B6:C8"/>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Y74"/>
  <sheetViews>
    <sheetView showGridLines="0" defaultGridColor="0" colorId="22" workbookViewId="0">
      <pane xSplit="2" ySplit="10" topLeftCell="J11" activePane="bottomRight" state="frozen"/>
      <selection pane="topRight" activeCell="C1" sqref="C1"/>
      <selection pane="bottomLeft" activeCell="A11" sqref="A11"/>
      <selection pane="bottomRight" sqref="A1:A1048576"/>
    </sheetView>
  </sheetViews>
  <sheetFormatPr defaultColWidth="15.83203125" defaultRowHeight="12" x14ac:dyDescent="0.2"/>
  <cols>
    <col min="1" max="1" width="5.83203125" style="1" customWidth="1"/>
    <col min="2" max="2" width="30.83203125" style="1" hidden="1" customWidth="1"/>
    <col min="3" max="18" width="15.83203125" style="1" hidden="1" customWidth="1"/>
    <col min="19" max="20" width="0" style="1" hidden="1" customWidth="1"/>
    <col min="21" max="21" width="22.33203125" style="1" hidden="1" customWidth="1"/>
    <col min="22" max="26" width="0" style="1" hidden="1" customWidth="1"/>
    <col min="27" max="16384" width="15.83203125" style="1"/>
  </cols>
  <sheetData>
    <row r="1" spans="1:25" ht="6" customHeight="1" x14ac:dyDescent="0.2">
      <c r="A1" s="3"/>
      <c r="B1" s="180"/>
      <c r="C1" s="180"/>
      <c r="D1" s="180"/>
      <c r="E1" s="180"/>
      <c r="F1" s="180"/>
      <c r="G1" s="180"/>
      <c r="H1" s="180"/>
      <c r="I1" s="180"/>
      <c r="J1" s="180"/>
      <c r="K1" s="180"/>
      <c r="L1" s="180"/>
      <c r="M1" s="180"/>
      <c r="N1" s="180"/>
      <c r="O1" s="180"/>
      <c r="P1" s="180"/>
      <c r="Q1" s="180"/>
      <c r="R1" s="180"/>
    </row>
    <row r="2" spans="1:25" x14ac:dyDescent="0.2">
      <c r="A2" s="180"/>
      <c r="B2" s="453" t="s">
        <v>361</v>
      </c>
      <c r="C2" s="164"/>
      <c r="D2" s="164"/>
      <c r="E2" s="164"/>
      <c r="F2" s="164"/>
      <c r="G2" s="164"/>
      <c r="H2" s="164"/>
      <c r="I2" s="164"/>
      <c r="J2" s="164"/>
      <c r="K2" s="508" t="s">
        <v>552</v>
      </c>
      <c r="L2" s="508">
        <v>1127822</v>
      </c>
      <c r="M2" s="164" t="s">
        <v>555</v>
      </c>
      <c r="N2" s="525" t="s">
        <v>571</v>
      </c>
      <c r="O2" s="525">
        <v>0</v>
      </c>
      <c r="P2" s="164"/>
      <c r="Q2" s="164"/>
      <c r="R2" s="164"/>
      <c r="T2" s="247"/>
      <c r="U2" s="430" t="s">
        <v>345</v>
      </c>
      <c r="V2" s="431" t="s">
        <v>346</v>
      </c>
      <c r="Y2" s="1" t="s">
        <v>362</v>
      </c>
    </row>
    <row r="3" spans="1:25" x14ac:dyDescent="0.2">
      <c r="A3" s="203" t="s">
        <v>44</v>
      </c>
      <c r="B3" s="454"/>
      <c r="C3" s="180"/>
      <c r="D3" s="180"/>
      <c r="E3" s="180"/>
      <c r="F3" s="1" t="s">
        <v>76</v>
      </c>
      <c r="G3" s="180"/>
      <c r="H3" s="180"/>
      <c r="I3" s="180"/>
      <c r="J3" s="180"/>
      <c r="K3" s="180"/>
      <c r="L3" s="511">
        <v>1127680</v>
      </c>
      <c r="M3" s="510" t="s">
        <v>556</v>
      </c>
      <c r="N3" s="180"/>
      <c r="O3" s="180"/>
      <c r="P3" s="180"/>
      <c r="Q3" s="180"/>
      <c r="R3" s="180"/>
      <c r="T3" s="432" t="s">
        <v>347</v>
      </c>
      <c r="U3" s="444" t="s">
        <v>572</v>
      </c>
      <c r="V3" s="247"/>
      <c r="Y3" s="1" t="s">
        <v>363</v>
      </c>
    </row>
    <row r="4" spans="1:25" x14ac:dyDescent="0.2">
      <c r="B4" s="455"/>
      <c r="C4" s="164"/>
      <c r="D4" s="164"/>
      <c r="E4" s="164"/>
      <c r="F4" s="164"/>
      <c r="G4" s="164"/>
      <c r="H4" s="164"/>
      <c r="I4" s="164"/>
      <c r="J4" s="164"/>
      <c r="K4" s="164"/>
      <c r="L4" s="164"/>
      <c r="M4" s="164"/>
      <c r="N4" s="164"/>
      <c r="O4" s="164"/>
      <c r="P4" s="164"/>
      <c r="Q4" s="164"/>
      <c r="R4" s="164"/>
      <c r="T4" s="432" t="s">
        <v>348</v>
      </c>
      <c r="U4" s="444" t="s">
        <v>573</v>
      </c>
      <c r="V4" s="247"/>
      <c r="Y4" s="1">
        <v>1</v>
      </c>
    </row>
    <row r="5" spans="1:25" x14ac:dyDescent="0.2">
      <c r="B5" s="204" t="s">
        <v>98</v>
      </c>
      <c r="C5" s="205" t="s">
        <v>28</v>
      </c>
      <c r="D5" s="206"/>
      <c r="E5" s="206"/>
      <c r="F5" s="206"/>
      <c r="G5" s="206"/>
      <c r="H5" s="206"/>
      <c r="I5" s="206"/>
      <c r="J5" s="206"/>
      <c r="K5" s="206"/>
      <c r="L5" s="206"/>
      <c r="M5" s="206"/>
      <c r="N5" s="206"/>
      <c r="O5" s="164"/>
      <c r="P5" s="164"/>
      <c r="Q5" s="164"/>
      <c r="R5" s="164"/>
      <c r="T5" s="1" t="s">
        <v>355</v>
      </c>
    </row>
    <row r="6" spans="1:25" x14ac:dyDescent="0.2">
      <c r="B6" s="445">
        <v>2020</v>
      </c>
      <c r="O6" s="843" t="s">
        <v>543</v>
      </c>
      <c r="P6" s="512"/>
      <c r="S6" s="438" t="s">
        <v>605</v>
      </c>
      <c r="T6" s="438" t="s">
        <v>580</v>
      </c>
    </row>
    <row r="7" spans="1:25" x14ac:dyDescent="0.2">
      <c r="C7" s="90"/>
      <c r="N7" s="128" t="s">
        <v>225</v>
      </c>
      <c r="O7" s="843"/>
      <c r="P7" s="512"/>
      <c r="Q7" s="509" t="s">
        <v>553</v>
      </c>
      <c r="R7" s="509" t="s">
        <v>25</v>
      </c>
      <c r="S7" s="434" t="s">
        <v>349</v>
      </c>
      <c r="T7" s="434" t="s">
        <v>349</v>
      </c>
    </row>
    <row r="8" spans="1:25" x14ac:dyDescent="0.2">
      <c r="C8" s="208" t="s">
        <v>35</v>
      </c>
      <c r="D8" s="4"/>
      <c r="E8" s="4"/>
      <c r="F8" s="4"/>
      <c r="G8" s="4"/>
      <c r="H8" s="4"/>
      <c r="I8" s="4"/>
      <c r="J8" s="4">
        <v>700</v>
      </c>
      <c r="K8" s="4"/>
      <c r="L8" s="128" t="s">
        <v>25</v>
      </c>
      <c r="M8" s="128" t="s">
        <v>188</v>
      </c>
      <c r="N8" s="128" t="s">
        <v>189</v>
      </c>
      <c r="O8" s="843"/>
      <c r="P8" s="512" t="s">
        <v>562</v>
      </c>
      <c r="Q8" s="509" t="s">
        <v>554</v>
      </c>
      <c r="R8" s="509" t="s">
        <v>557</v>
      </c>
      <c r="S8" s="433" t="s">
        <v>350</v>
      </c>
      <c r="T8" s="433" t="s">
        <v>350</v>
      </c>
    </row>
    <row r="9" spans="1:25" x14ac:dyDescent="0.2">
      <c r="A9" s="209" t="s">
        <v>148</v>
      </c>
      <c r="B9" s="1" t="s">
        <v>149</v>
      </c>
      <c r="C9" s="1">
        <v>100</v>
      </c>
      <c r="D9" s="1">
        <v>200</v>
      </c>
      <c r="E9" s="1">
        <v>300</v>
      </c>
      <c r="F9" s="1">
        <v>400</v>
      </c>
      <c r="G9" s="1">
        <v>500</v>
      </c>
      <c r="H9" s="1">
        <v>600</v>
      </c>
      <c r="I9" s="1">
        <v>700</v>
      </c>
      <c r="J9" s="128" t="s">
        <v>41</v>
      </c>
      <c r="K9" s="4">
        <v>800</v>
      </c>
      <c r="L9" s="128" t="s">
        <v>42</v>
      </c>
      <c r="M9" s="128" t="s">
        <v>81</v>
      </c>
      <c r="N9" s="128" t="s">
        <v>97</v>
      </c>
      <c r="O9" s="843"/>
      <c r="P9" s="512" t="s">
        <v>563</v>
      </c>
      <c r="Q9" s="509" t="s">
        <v>34</v>
      </c>
      <c r="R9" s="509" t="s">
        <v>558</v>
      </c>
      <c r="S9" s="435" t="s">
        <v>351</v>
      </c>
      <c r="T9" s="435" t="s">
        <v>351</v>
      </c>
      <c r="U9" s="424" t="s">
        <v>310</v>
      </c>
      <c r="V9" s="424" t="s">
        <v>312</v>
      </c>
      <c r="W9" s="424" t="s">
        <v>313</v>
      </c>
      <c r="X9" s="425" t="s">
        <v>314</v>
      </c>
    </row>
    <row r="10" spans="1:25" ht="3.95" customHeight="1" x14ac:dyDescent="0.2">
      <c r="U10" s="424"/>
      <c r="V10" s="424"/>
      <c r="W10" s="424"/>
      <c r="X10" s="425"/>
    </row>
    <row r="11" spans="1:25" ht="10.9" customHeight="1" x14ac:dyDescent="0.2">
      <c r="A11" s="207" t="s">
        <v>150</v>
      </c>
      <c r="B11" s="1" t="s">
        <v>108</v>
      </c>
      <c r="C11" s="1">
        <v>74900</v>
      </c>
      <c r="D11" s="1">
        <v>0</v>
      </c>
      <c r="E11" s="1">
        <v>0</v>
      </c>
      <c r="F11" s="1">
        <v>0</v>
      </c>
      <c r="G11" s="1">
        <v>0</v>
      </c>
      <c r="H11" s="1">
        <v>7000</v>
      </c>
      <c r="I11" s="1">
        <v>0</v>
      </c>
      <c r="J11" s="1">
        <v>0</v>
      </c>
      <c r="K11" s="1">
        <v>0</v>
      </c>
      <c r="L11" s="72">
        <f t="shared" ref="L11:L37" si="0">SUM(C11:I11)-J11+K11</f>
        <v>81900</v>
      </c>
      <c r="M11" s="72">
        <v>30000</v>
      </c>
      <c r="N11" s="72">
        <v>0</v>
      </c>
      <c r="O11" s="72">
        <v>0</v>
      </c>
      <c r="P11" s="72">
        <v>0</v>
      </c>
      <c r="Q11" s="72">
        <v>2488735</v>
      </c>
      <c r="R11" s="72">
        <v>2428984</v>
      </c>
      <c r="S11" s="436">
        <v>432342</v>
      </c>
      <c r="T11" s="436">
        <v>442092</v>
      </c>
      <c r="U11" s="424" t="s">
        <v>311</v>
      </c>
      <c r="V11" s="424">
        <f>+'- 3 -'!B48+'- 3 -'!B50+'- 3 -'!B51</f>
        <v>2540928149</v>
      </c>
      <c r="W11" s="424">
        <v>2540928149</v>
      </c>
      <c r="X11" s="425">
        <f>+V11-W11</f>
        <v>0</v>
      </c>
    </row>
    <row r="12" spans="1:25" ht="10.9" customHeight="1" x14ac:dyDescent="0.2">
      <c r="A12" s="207" t="s">
        <v>151</v>
      </c>
      <c r="B12" s="1" t="s">
        <v>109</v>
      </c>
      <c r="C12" s="1">
        <v>523000</v>
      </c>
      <c r="D12" s="1">
        <v>0</v>
      </c>
      <c r="E12" s="1">
        <v>0</v>
      </c>
      <c r="F12" s="1">
        <v>0</v>
      </c>
      <c r="G12" s="1">
        <v>0</v>
      </c>
      <c r="H12" s="1">
        <v>0</v>
      </c>
      <c r="I12" s="1">
        <v>0</v>
      </c>
      <c r="J12" s="1">
        <v>0</v>
      </c>
      <c r="K12" s="1">
        <v>0</v>
      </c>
      <c r="L12" s="72">
        <f t="shared" si="0"/>
        <v>523000</v>
      </c>
      <c r="M12" s="72">
        <v>36000</v>
      </c>
      <c r="N12" s="72">
        <v>0</v>
      </c>
      <c r="O12" s="72">
        <v>0</v>
      </c>
      <c r="P12" s="72">
        <v>0</v>
      </c>
      <c r="Q12" s="72">
        <v>6389824</v>
      </c>
      <c r="R12" s="72">
        <v>3291012</v>
      </c>
      <c r="S12" s="436">
        <v>513595</v>
      </c>
      <c r="T12" s="436">
        <v>476373</v>
      </c>
      <c r="U12" s="424" t="s">
        <v>316</v>
      </c>
      <c r="V12" s="424">
        <f>+'- 43 -'!I48</f>
        <v>2517648738</v>
      </c>
      <c r="W12" s="424">
        <v>2517648738</v>
      </c>
      <c r="X12" s="425">
        <f>+V12-W12</f>
        <v>0</v>
      </c>
    </row>
    <row r="13" spans="1:25" ht="10.9" customHeight="1" x14ac:dyDescent="0.2">
      <c r="A13" s="207" t="s">
        <v>152</v>
      </c>
      <c r="B13" s="1" t="s">
        <v>110</v>
      </c>
      <c r="C13" s="1">
        <v>98500</v>
      </c>
      <c r="D13" s="1">
        <v>0</v>
      </c>
      <c r="E13" s="1">
        <v>0</v>
      </c>
      <c r="F13" s="1">
        <v>0</v>
      </c>
      <c r="G13" s="1">
        <v>0</v>
      </c>
      <c r="H13" s="1">
        <v>0</v>
      </c>
      <c r="I13" s="1">
        <v>0</v>
      </c>
      <c r="J13" s="1">
        <v>0</v>
      </c>
      <c r="K13" s="1">
        <v>0</v>
      </c>
      <c r="L13" s="72">
        <f t="shared" si="0"/>
        <v>98500</v>
      </c>
      <c r="M13" s="72">
        <v>95700</v>
      </c>
      <c r="N13" s="72">
        <v>0</v>
      </c>
      <c r="O13" s="72">
        <v>0</v>
      </c>
      <c r="P13" s="72">
        <v>0</v>
      </c>
      <c r="Q13" s="72">
        <v>11474495</v>
      </c>
      <c r="R13" s="72">
        <v>7521300</v>
      </c>
      <c r="S13" s="436">
        <v>383977</v>
      </c>
      <c r="T13" s="436">
        <v>376633</v>
      </c>
      <c r="U13" s="424" t="s">
        <v>317</v>
      </c>
      <c r="V13" s="424">
        <v>4236.5</v>
      </c>
      <c r="W13" s="424">
        <f>+'- 7 -'!B48</f>
        <v>4236.5</v>
      </c>
      <c r="X13" s="425">
        <f>+V13-W13</f>
        <v>0</v>
      </c>
    </row>
    <row r="14" spans="1:25" ht="10.9" customHeight="1" x14ac:dyDescent="0.2">
      <c r="A14" s="207" t="s">
        <v>153</v>
      </c>
      <c r="B14" s="1" t="s">
        <v>319</v>
      </c>
      <c r="C14" s="1">
        <v>1343126</v>
      </c>
      <c r="D14" s="1">
        <v>0</v>
      </c>
      <c r="E14" s="1">
        <v>0</v>
      </c>
      <c r="F14" s="1">
        <v>0</v>
      </c>
      <c r="G14" s="1">
        <v>0</v>
      </c>
      <c r="H14" s="1">
        <v>7503</v>
      </c>
      <c r="I14" s="1">
        <v>0</v>
      </c>
      <c r="J14" s="1">
        <v>0</v>
      </c>
      <c r="K14" s="1">
        <v>0</v>
      </c>
      <c r="L14" s="72">
        <f t="shared" si="0"/>
        <v>1350629</v>
      </c>
      <c r="M14" s="72">
        <v>0</v>
      </c>
      <c r="N14" s="72">
        <v>0</v>
      </c>
      <c r="O14" s="72">
        <v>0</v>
      </c>
      <c r="P14" s="72">
        <v>0</v>
      </c>
      <c r="Q14" s="72">
        <v>28701424</v>
      </c>
      <c r="R14" s="72">
        <v>8236272</v>
      </c>
      <c r="S14" s="436">
        <v>500927</v>
      </c>
      <c r="T14" s="436">
        <v>468321</v>
      </c>
      <c r="U14" s="424" t="s">
        <v>318</v>
      </c>
      <c r="V14" s="424">
        <f>+'- 7 -'!E48</f>
        <v>182185.4</v>
      </c>
      <c r="W14" s="424">
        <v>181865.4</v>
      </c>
      <c r="X14" s="425">
        <f>+V14-W14</f>
        <v>320</v>
      </c>
    </row>
    <row r="15" spans="1:25" ht="10.9" customHeight="1" x14ac:dyDescent="0.2">
      <c r="A15" s="207" t="s">
        <v>154</v>
      </c>
      <c r="B15" s="1" t="s">
        <v>111</v>
      </c>
      <c r="C15" s="1">
        <v>74000</v>
      </c>
      <c r="D15" s="1">
        <v>0</v>
      </c>
      <c r="E15" s="1">
        <v>0</v>
      </c>
      <c r="F15" s="1">
        <v>0</v>
      </c>
      <c r="G15" s="1">
        <v>500</v>
      </c>
      <c r="H15" s="1">
        <v>10000</v>
      </c>
      <c r="I15" s="1">
        <v>5000</v>
      </c>
      <c r="J15" s="1">
        <v>0</v>
      </c>
      <c r="K15" s="1">
        <v>0</v>
      </c>
      <c r="L15" s="72">
        <f t="shared" si="0"/>
        <v>89500</v>
      </c>
      <c r="M15" s="72">
        <v>25000</v>
      </c>
      <c r="N15" s="72">
        <v>0</v>
      </c>
      <c r="O15" s="72">
        <v>0</v>
      </c>
      <c r="P15" s="72">
        <v>0</v>
      </c>
      <c r="Q15" s="72">
        <v>4868437</v>
      </c>
      <c r="R15" s="72">
        <v>2096171</v>
      </c>
      <c r="S15" s="436">
        <v>729902</v>
      </c>
      <c r="T15" s="436">
        <v>726888</v>
      </c>
      <c r="X15" s="423"/>
    </row>
    <row r="16" spans="1:25" ht="10.9" customHeight="1" x14ac:dyDescent="0.2">
      <c r="A16" s="207" t="s">
        <v>155</v>
      </c>
      <c r="B16" s="1" t="s">
        <v>112</v>
      </c>
      <c r="C16" s="1">
        <v>1300</v>
      </c>
      <c r="D16" s="1">
        <v>0</v>
      </c>
      <c r="E16" s="1">
        <v>0</v>
      </c>
      <c r="F16" s="1">
        <v>0</v>
      </c>
      <c r="G16" s="1">
        <v>0</v>
      </c>
      <c r="H16" s="1">
        <v>0</v>
      </c>
      <c r="I16" s="1">
        <v>0</v>
      </c>
      <c r="J16" s="1">
        <v>0</v>
      </c>
      <c r="K16" s="1">
        <v>0</v>
      </c>
      <c r="L16" s="72">
        <f t="shared" si="0"/>
        <v>1300</v>
      </c>
      <c r="M16" s="72">
        <v>27000</v>
      </c>
      <c r="N16" s="72">
        <v>0</v>
      </c>
      <c r="O16" s="72">
        <v>0</v>
      </c>
      <c r="P16" s="72">
        <v>0</v>
      </c>
      <c r="Q16" s="72">
        <v>1758981</v>
      </c>
      <c r="R16" s="72">
        <v>1451061</v>
      </c>
      <c r="S16" s="436">
        <v>196578</v>
      </c>
      <c r="T16" s="436">
        <v>211130</v>
      </c>
    </row>
    <row r="17" spans="1:20" ht="10.9" customHeight="1" x14ac:dyDescent="0.2">
      <c r="A17" s="207" t="s">
        <v>156</v>
      </c>
      <c r="B17" s="1" t="s">
        <v>113</v>
      </c>
      <c r="C17" s="1">
        <v>105550</v>
      </c>
      <c r="D17" s="1">
        <v>0</v>
      </c>
      <c r="E17" s="1">
        <v>0</v>
      </c>
      <c r="F17" s="1">
        <v>0</v>
      </c>
      <c r="G17" s="1">
        <v>1000</v>
      </c>
      <c r="H17" s="1">
        <v>0</v>
      </c>
      <c r="I17" s="1">
        <v>0</v>
      </c>
      <c r="J17" s="1">
        <v>0</v>
      </c>
      <c r="K17" s="1">
        <v>0</v>
      </c>
      <c r="L17" s="72">
        <f t="shared" si="0"/>
        <v>106550</v>
      </c>
      <c r="M17" s="72">
        <v>33000</v>
      </c>
      <c r="N17" s="72">
        <v>0</v>
      </c>
      <c r="O17" s="72">
        <v>14500</v>
      </c>
      <c r="P17" s="72">
        <v>0</v>
      </c>
      <c r="Q17" s="72">
        <v>2509651</v>
      </c>
      <c r="R17" s="72">
        <v>1798436</v>
      </c>
      <c r="S17" s="436">
        <v>985463</v>
      </c>
      <c r="T17" s="436">
        <v>911863</v>
      </c>
    </row>
    <row r="18" spans="1:20" ht="10.9" customHeight="1" x14ac:dyDescent="0.2">
      <c r="A18" s="207" t="s">
        <v>157</v>
      </c>
      <c r="B18" s="1" t="s">
        <v>114</v>
      </c>
      <c r="C18" s="1">
        <v>3500500</v>
      </c>
      <c r="D18" s="1">
        <v>0</v>
      </c>
      <c r="E18" s="1">
        <v>1607500</v>
      </c>
      <c r="F18" s="1">
        <v>0</v>
      </c>
      <c r="G18" s="1">
        <v>99429</v>
      </c>
      <c r="H18" s="1">
        <v>41000</v>
      </c>
      <c r="I18" s="1">
        <v>140000</v>
      </c>
      <c r="J18" s="1">
        <v>0</v>
      </c>
      <c r="K18" s="1">
        <v>0</v>
      </c>
      <c r="L18" s="72">
        <f t="shared" si="0"/>
        <v>5388429</v>
      </c>
      <c r="M18" s="72">
        <v>0</v>
      </c>
      <c r="N18" s="72">
        <v>0</v>
      </c>
      <c r="O18" s="72">
        <v>0</v>
      </c>
      <c r="P18" s="72">
        <v>0</v>
      </c>
      <c r="Q18" s="72">
        <v>12428585</v>
      </c>
      <c r="R18" s="72">
        <v>6478149</v>
      </c>
      <c r="S18" s="436">
        <v>120018</v>
      </c>
      <c r="T18" s="436">
        <v>114978</v>
      </c>
    </row>
    <row r="19" spans="1:20" ht="10.9" customHeight="1" x14ac:dyDescent="0.2">
      <c r="A19" s="207" t="s">
        <v>158</v>
      </c>
      <c r="B19" s="1" t="s">
        <v>115</v>
      </c>
      <c r="C19" s="1">
        <v>482000</v>
      </c>
      <c r="D19" s="1">
        <v>0</v>
      </c>
      <c r="E19" s="1">
        <v>0</v>
      </c>
      <c r="F19" s="1">
        <v>27000</v>
      </c>
      <c r="G19" s="1">
        <v>0</v>
      </c>
      <c r="H19" s="1">
        <v>19600</v>
      </c>
      <c r="I19" s="1">
        <v>0</v>
      </c>
      <c r="J19" s="1">
        <v>0</v>
      </c>
      <c r="K19" s="1">
        <v>0</v>
      </c>
      <c r="L19" s="72">
        <f t="shared" si="0"/>
        <v>528600</v>
      </c>
      <c r="M19" s="72">
        <v>39000</v>
      </c>
      <c r="N19" s="72">
        <v>0</v>
      </c>
      <c r="O19" s="72">
        <v>0</v>
      </c>
      <c r="P19" s="72">
        <v>0</v>
      </c>
      <c r="Q19" s="72">
        <v>4922829</v>
      </c>
      <c r="R19" s="72">
        <v>4914509</v>
      </c>
      <c r="S19" s="436">
        <v>336507</v>
      </c>
      <c r="T19" s="436">
        <v>300968</v>
      </c>
    </row>
    <row r="20" spans="1:20" ht="10.9" customHeight="1" x14ac:dyDescent="0.2">
      <c r="A20" s="207" t="s">
        <v>159</v>
      </c>
      <c r="B20" s="1" t="s">
        <v>116</v>
      </c>
      <c r="C20" s="1">
        <v>2340800</v>
      </c>
      <c r="D20" s="1">
        <v>0</v>
      </c>
      <c r="E20" s="1">
        <v>0</v>
      </c>
      <c r="F20" s="1">
        <v>0</v>
      </c>
      <c r="G20" s="1">
        <v>0</v>
      </c>
      <c r="H20" s="1">
        <v>0</v>
      </c>
      <c r="I20" s="1">
        <v>0</v>
      </c>
      <c r="J20" s="1">
        <v>0</v>
      </c>
      <c r="K20" s="1">
        <v>0</v>
      </c>
      <c r="L20" s="72">
        <f t="shared" si="0"/>
        <v>2340800</v>
      </c>
      <c r="M20" s="72">
        <v>58500</v>
      </c>
      <c r="N20" s="72">
        <v>0</v>
      </c>
      <c r="O20" s="72">
        <v>0</v>
      </c>
      <c r="P20" s="72">
        <v>0</v>
      </c>
      <c r="Q20" s="72">
        <v>9948645</v>
      </c>
      <c r="R20" s="72">
        <v>8577920</v>
      </c>
      <c r="S20" s="436">
        <v>286211</v>
      </c>
      <c r="T20" s="436">
        <v>273984</v>
      </c>
    </row>
    <row r="21" spans="1:20" ht="10.9" customHeight="1" x14ac:dyDescent="0.2">
      <c r="A21" s="207" t="s">
        <v>160</v>
      </c>
      <c r="B21" s="1" t="s">
        <v>117</v>
      </c>
      <c r="C21" s="1">
        <v>213300</v>
      </c>
      <c r="D21" s="1">
        <v>150000</v>
      </c>
      <c r="E21" s="1">
        <v>0</v>
      </c>
      <c r="F21" s="1">
        <v>0</v>
      </c>
      <c r="G21" s="1">
        <v>11000</v>
      </c>
      <c r="H21" s="1">
        <v>18950</v>
      </c>
      <c r="I21" s="1">
        <v>0</v>
      </c>
      <c r="J21" s="1">
        <v>0</v>
      </c>
      <c r="K21" s="1">
        <v>0</v>
      </c>
      <c r="L21" s="72">
        <f t="shared" si="0"/>
        <v>393250</v>
      </c>
      <c r="M21" s="72">
        <v>42000</v>
      </c>
      <c r="N21" s="72">
        <v>0</v>
      </c>
      <c r="O21" s="72">
        <v>0</v>
      </c>
      <c r="P21" s="72">
        <v>0</v>
      </c>
      <c r="Q21" s="72">
        <v>5337824</v>
      </c>
      <c r="R21" s="72">
        <v>3284994</v>
      </c>
      <c r="S21" s="436">
        <v>534798</v>
      </c>
      <c r="T21" s="436">
        <v>495401</v>
      </c>
    </row>
    <row r="22" spans="1:20" ht="10.9" customHeight="1" x14ac:dyDescent="0.2">
      <c r="A22" s="207" t="s">
        <v>161</v>
      </c>
      <c r="B22" s="1" t="s">
        <v>118</v>
      </c>
      <c r="C22" s="1">
        <v>0</v>
      </c>
      <c r="D22" s="1">
        <v>0</v>
      </c>
      <c r="E22" s="1">
        <v>0</v>
      </c>
      <c r="F22" s="1">
        <v>0</v>
      </c>
      <c r="G22" s="1">
        <v>0</v>
      </c>
      <c r="H22" s="1">
        <v>20500</v>
      </c>
      <c r="I22" s="1">
        <v>0</v>
      </c>
      <c r="J22" s="1">
        <v>0</v>
      </c>
      <c r="K22" s="1">
        <v>0</v>
      </c>
      <c r="L22" s="72">
        <f t="shared" si="0"/>
        <v>20500</v>
      </c>
      <c r="M22" s="72">
        <v>33000</v>
      </c>
      <c r="N22" s="72">
        <v>0</v>
      </c>
      <c r="O22" s="72">
        <v>0</v>
      </c>
      <c r="P22" s="72">
        <v>0</v>
      </c>
      <c r="Q22" s="72">
        <v>2817701</v>
      </c>
      <c r="R22" s="72">
        <v>2620597</v>
      </c>
      <c r="S22" s="436">
        <v>180733</v>
      </c>
      <c r="T22" s="436">
        <v>174815</v>
      </c>
    </row>
    <row r="23" spans="1:20" ht="10.9" customHeight="1" x14ac:dyDescent="0.2">
      <c r="A23" s="207" t="s">
        <v>162</v>
      </c>
      <c r="B23" s="1" t="s">
        <v>119</v>
      </c>
      <c r="C23" s="1">
        <v>79000</v>
      </c>
      <c r="D23" s="1">
        <v>0</v>
      </c>
      <c r="E23" s="1">
        <v>0</v>
      </c>
      <c r="F23" s="1">
        <v>0</v>
      </c>
      <c r="G23" s="1">
        <v>0</v>
      </c>
      <c r="H23" s="1">
        <v>1700</v>
      </c>
      <c r="I23" s="1">
        <v>0</v>
      </c>
      <c r="J23" s="1">
        <v>0</v>
      </c>
      <c r="K23" s="1">
        <v>0</v>
      </c>
      <c r="L23" s="72">
        <f t="shared" si="0"/>
        <v>80700</v>
      </c>
      <c r="M23" s="72">
        <v>27500</v>
      </c>
      <c r="N23" s="72">
        <v>0</v>
      </c>
      <c r="O23" s="72">
        <v>0</v>
      </c>
      <c r="P23" s="72">
        <v>1000</v>
      </c>
      <c r="Q23" s="72">
        <v>2223036</v>
      </c>
      <c r="R23" s="72">
        <v>1985834</v>
      </c>
      <c r="S23" s="436">
        <v>355624</v>
      </c>
      <c r="T23" s="436">
        <v>336160</v>
      </c>
    </row>
    <row r="24" spans="1:20" ht="10.9" customHeight="1" x14ac:dyDescent="0.2">
      <c r="A24" s="207" t="s">
        <v>163</v>
      </c>
      <c r="B24" s="1" t="s">
        <v>120</v>
      </c>
      <c r="C24" s="1">
        <v>182000</v>
      </c>
      <c r="D24" s="1">
        <v>0</v>
      </c>
      <c r="E24" s="1">
        <v>0</v>
      </c>
      <c r="F24" s="1">
        <v>0</v>
      </c>
      <c r="G24" s="1">
        <v>0</v>
      </c>
      <c r="H24" s="1">
        <v>0</v>
      </c>
      <c r="I24" s="1">
        <v>0</v>
      </c>
      <c r="J24" s="1">
        <v>0</v>
      </c>
      <c r="K24" s="1">
        <v>0</v>
      </c>
      <c r="L24" s="72">
        <f t="shared" si="0"/>
        <v>182000</v>
      </c>
      <c r="M24" s="72">
        <v>61500</v>
      </c>
      <c r="N24" s="72">
        <v>0</v>
      </c>
      <c r="O24" s="72">
        <v>0</v>
      </c>
      <c r="P24" s="72">
        <v>0</v>
      </c>
      <c r="Q24" s="72">
        <v>10106939</v>
      </c>
      <c r="R24" s="72">
        <v>5118969</v>
      </c>
      <c r="S24" s="436">
        <v>562305</v>
      </c>
      <c r="T24" s="436">
        <v>540409</v>
      </c>
    </row>
    <row r="25" spans="1:20" ht="10.9" customHeight="1" x14ac:dyDescent="0.2">
      <c r="A25" s="207" t="s">
        <v>164</v>
      </c>
      <c r="B25" s="1" t="s">
        <v>121</v>
      </c>
      <c r="C25" s="1">
        <v>666256</v>
      </c>
      <c r="D25" s="1">
        <v>237500</v>
      </c>
      <c r="E25" s="1">
        <v>8744</v>
      </c>
      <c r="F25" s="1">
        <v>0</v>
      </c>
      <c r="G25" s="1">
        <v>14500</v>
      </c>
      <c r="H25" s="1">
        <v>49000</v>
      </c>
      <c r="I25" s="1">
        <v>0</v>
      </c>
      <c r="J25" s="1">
        <v>0</v>
      </c>
      <c r="K25" s="1">
        <v>0</v>
      </c>
      <c r="L25" s="72">
        <f t="shared" si="0"/>
        <v>976000</v>
      </c>
      <c r="M25" s="72">
        <v>20000</v>
      </c>
      <c r="N25" s="72">
        <v>1070632</v>
      </c>
      <c r="O25" s="72">
        <v>0</v>
      </c>
      <c r="P25" s="72">
        <v>0</v>
      </c>
      <c r="Q25" s="72">
        <v>31223944</v>
      </c>
      <c r="R25" s="72">
        <v>15721928</v>
      </c>
      <c r="S25" s="436">
        <v>519809</v>
      </c>
      <c r="T25" s="436">
        <v>488248</v>
      </c>
    </row>
    <row r="26" spans="1:20" ht="10.9" customHeight="1" x14ac:dyDescent="0.2">
      <c r="A26" s="207" t="s">
        <v>165</v>
      </c>
      <c r="B26" s="1" t="s">
        <v>122</v>
      </c>
      <c r="C26" s="1">
        <v>0</v>
      </c>
      <c r="D26" s="1">
        <v>0</v>
      </c>
      <c r="E26" s="1">
        <v>0</v>
      </c>
      <c r="F26" s="1">
        <v>0</v>
      </c>
      <c r="G26" s="1">
        <v>0</v>
      </c>
      <c r="H26" s="1">
        <v>5000</v>
      </c>
      <c r="I26" s="1">
        <v>0</v>
      </c>
      <c r="J26" s="1">
        <v>0</v>
      </c>
      <c r="K26" s="1">
        <v>0</v>
      </c>
      <c r="L26" s="72">
        <f t="shared" si="0"/>
        <v>5000</v>
      </c>
      <c r="M26" s="72">
        <v>44000</v>
      </c>
      <c r="N26" s="72">
        <v>0</v>
      </c>
      <c r="O26" s="72">
        <v>0</v>
      </c>
      <c r="P26" s="72">
        <v>0</v>
      </c>
      <c r="Q26" s="72">
        <v>4898770</v>
      </c>
      <c r="R26" s="72">
        <v>3916052</v>
      </c>
      <c r="S26" s="436">
        <v>405813</v>
      </c>
      <c r="T26" s="436">
        <v>384710</v>
      </c>
    </row>
    <row r="27" spans="1:20" ht="10.9" customHeight="1" x14ac:dyDescent="0.2">
      <c r="A27" s="207" t="s">
        <v>166</v>
      </c>
      <c r="B27" s="1" t="s">
        <v>123</v>
      </c>
      <c r="C27" s="1">
        <v>8300</v>
      </c>
      <c r="D27" s="1">
        <v>0</v>
      </c>
      <c r="E27" s="1">
        <v>0</v>
      </c>
      <c r="F27" s="1">
        <v>0</v>
      </c>
      <c r="G27" s="1">
        <v>0</v>
      </c>
      <c r="H27" s="1">
        <v>0</v>
      </c>
      <c r="I27" s="1">
        <v>0</v>
      </c>
      <c r="J27" s="1">
        <v>0</v>
      </c>
      <c r="K27" s="1">
        <v>0</v>
      </c>
      <c r="L27" s="72">
        <f t="shared" si="0"/>
        <v>8300</v>
      </c>
      <c r="M27" s="72">
        <v>70000</v>
      </c>
      <c r="N27" s="72">
        <v>0</v>
      </c>
      <c r="O27" s="72">
        <v>0</v>
      </c>
      <c r="P27" s="72">
        <v>0</v>
      </c>
      <c r="Q27" s="72">
        <v>3088717</v>
      </c>
      <c r="R27" s="72">
        <v>5091069</v>
      </c>
      <c r="S27" s="436">
        <v>143631</v>
      </c>
      <c r="T27" s="436">
        <v>155961</v>
      </c>
    </row>
    <row r="28" spans="1:20" ht="10.9" customHeight="1" x14ac:dyDescent="0.2">
      <c r="A28" s="207" t="s">
        <v>167</v>
      </c>
      <c r="B28" s="1" t="s">
        <v>124</v>
      </c>
      <c r="C28" s="1">
        <v>110000</v>
      </c>
      <c r="D28" s="1">
        <v>0</v>
      </c>
      <c r="E28" s="1">
        <v>45000</v>
      </c>
      <c r="F28" s="1">
        <v>0</v>
      </c>
      <c r="G28" s="1">
        <v>0</v>
      </c>
      <c r="H28" s="1">
        <v>0</v>
      </c>
      <c r="I28" s="1">
        <v>0</v>
      </c>
      <c r="J28" s="1">
        <v>0</v>
      </c>
      <c r="K28" s="1">
        <v>0</v>
      </c>
      <c r="L28" s="72">
        <f t="shared" si="0"/>
        <v>155000</v>
      </c>
      <c r="M28" s="72">
        <v>30000</v>
      </c>
      <c r="N28" s="72">
        <v>0</v>
      </c>
      <c r="O28" s="72">
        <v>252516</v>
      </c>
      <c r="P28" s="72">
        <v>0</v>
      </c>
      <c r="Q28" s="72">
        <v>3099960</v>
      </c>
      <c r="R28" s="72">
        <v>2268311</v>
      </c>
      <c r="S28" s="436">
        <v>673872</v>
      </c>
      <c r="T28" s="436">
        <v>624146</v>
      </c>
    </row>
    <row r="29" spans="1:20" ht="10.9" customHeight="1" x14ac:dyDescent="0.2">
      <c r="A29" s="207" t="s">
        <v>168</v>
      </c>
      <c r="B29" s="1" t="s">
        <v>125</v>
      </c>
      <c r="C29" s="1">
        <v>2060000</v>
      </c>
      <c r="D29" s="1">
        <v>0</v>
      </c>
      <c r="E29" s="1">
        <v>0</v>
      </c>
      <c r="F29" s="1">
        <v>0</v>
      </c>
      <c r="G29" s="1">
        <v>8000</v>
      </c>
      <c r="H29" s="1">
        <v>0</v>
      </c>
      <c r="I29" s="1">
        <v>0</v>
      </c>
      <c r="J29" s="1">
        <v>0</v>
      </c>
      <c r="K29" s="1">
        <v>0</v>
      </c>
      <c r="L29" s="72">
        <f t="shared" si="0"/>
        <v>2068000</v>
      </c>
      <c r="M29" s="72">
        <v>71000</v>
      </c>
      <c r="N29" s="72">
        <v>946397</v>
      </c>
      <c r="O29" s="72">
        <v>0</v>
      </c>
      <c r="P29" s="72">
        <v>0</v>
      </c>
      <c r="Q29" s="72">
        <v>28167003</v>
      </c>
      <c r="R29" s="72">
        <v>14182898</v>
      </c>
      <c r="S29" s="436">
        <v>661533</v>
      </c>
      <c r="T29" s="436">
        <v>619867</v>
      </c>
    </row>
    <row r="30" spans="1:20" ht="10.9" customHeight="1" x14ac:dyDescent="0.2">
      <c r="A30" s="207" t="s">
        <v>169</v>
      </c>
      <c r="B30" s="1" t="s">
        <v>126</v>
      </c>
      <c r="C30" s="1">
        <v>35084</v>
      </c>
      <c r="D30" s="1">
        <v>0</v>
      </c>
      <c r="E30" s="1">
        <v>0</v>
      </c>
      <c r="F30" s="1">
        <v>0</v>
      </c>
      <c r="G30" s="1">
        <v>0</v>
      </c>
      <c r="H30" s="1">
        <v>0</v>
      </c>
      <c r="I30" s="1">
        <v>0</v>
      </c>
      <c r="J30" s="1">
        <v>0</v>
      </c>
      <c r="K30" s="1">
        <v>0</v>
      </c>
      <c r="L30" s="72">
        <f t="shared" si="0"/>
        <v>35084</v>
      </c>
      <c r="M30" s="72">
        <v>22000</v>
      </c>
      <c r="N30" s="72">
        <v>0</v>
      </c>
      <c r="O30" s="72">
        <v>0</v>
      </c>
      <c r="P30" s="72">
        <v>0</v>
      </c>
      <c r="Q30" s="72">
        <v>1654024</v>
      </c>
      <c r="R30" s="72">
        <v>1621578</v>
      </c>
      <c r="S30" s="436">
        <v>591320</v>
      </c>
      <c r="T30" s="436">
        <v>537899</v>
      </c>
    </row>
    <row r="31" spans="1:20" ht="10.9" customHeight="1" x14ac:dyDescent="0.2">
      <c r="A31" s="207" t="s">
        <v>170</v>
      </c>
      <c r="B31" s="1" t="s">
        <v>127</v>
      </c>
      <c r="C31" s="1">
        <v>52000</v>
      </c>
      <c r="D31" s="1">
        <v>0</v>
      </c>
      <c r="E31" s="1">
        <v>0</v>
      </c>
      <c r="F31" s="1">
        <v>0</v>
      </c>
      <c r="G31" s="1">
        <v>0</v>
      </c>
      <c r="H31" s="1">
        <v>0</v>
      </c>
      <c r="I31" s="1">
        <v>0</v>
      </c>
      <c r="J31" s="1">
        <v>0</v>
      </c>
      <c r="K31" s="1">
        <v>0</v>
      </c>
      <c r="L31" s="72">
        <f t="shared" si="0"/>
        <v>52000</v>
      </c>
      <c r="M31" s="72">
        <v>50000</v>
      </c>
      <c r="N31" s="72">
        <v>0</v>
      </c>
      <c r="O31" s="72">
        <v>0</v>
      </c>
      <c r="P31" s="72">
        <v>0</v>
      </c>
      <c r="Q31" s="72">
        <v>4527147</v>
      </c>
      <c r="R31" s="72">
        <v>3687199</v>
      </c>
      <c r="S31" s="436">
        <v>475791</v>
      </c>
      <c r="T31" s="436">
        <v>433714</v>
      </c>
    </row>
    <row r="32" spans="1:20" ht="10.9" customHeight="1" x14ac:dyDescent="0.2">
      <c r="A32" s="207" t="s">
        <v>171</v>
      </c>
      <c r="B32" s="446" t="s">
        <v>128</v>
      </c>
      <c r="C32" s="1">
        <v>227200</v>
      </c>
      <c r="D32" s="1">
        <v>0</v>
      </c>
      <c r="E32" s="1">
        <v>0</v>
      </c>
      <c r="F32" s="1">
        <v>0</v>
      </c>
      <c r="G32" s="1">
        <v>0</v>
      </c>
      <c r="H32" s="1">
        <v>6000</v>
      </c>
      <c r="I32" s="1">
        <v>0</v>
      </c>
      <c r="J32" s="1">
        <v>0</v>
      </c>
      <c r="K32" s="1">
        <v>0</v>
      </c>
      <c r="L32" s="72">
        <f t="shared" si="0"/>
        <v>233200</v>
      </c>
      <c r="M32" s="72">
        <v>34000</v>
      </c>
      <c r="N32" s="72">
        <v>0</v>
      </c>
      <c r="O32" s="72">
        <v>0</v>
      </c>
      <c r="P32" s="72">
        <v>0</v>
      </c>
      <c r="Q32" s="526">
        <v>4506208</v>
      </c>
      <c r="R32" s="72">
        <v>3208057</v>
      </c>
      <c r="S32" s="436">
        <v>684928</v>
      </c>
      <c r="T32" s="436">
        <v>640231</v>
      </c>
    </row>
    <row r="33" spans="1:20" ht="10.9" customHeight="1" x14ac:dyDescent="0.2">
      <c r="A33" s="207" t="s">
        <v>172</v>
      </c>
      <c r="B33" s="1" t="s">
        <v>129</v>
      </c>
      <c r="C33" s="1">
        <v>84500</v>
      </c>
      <c r="D33" s="1">
        <v>0</v>
      </c>
      <c r="E33" s="1">
        <v>0</v>
      </c>
      <c r="F33" s="1">
        <v>0</v>
      </c>
      <c r="G33" s="1">
        <v>0</v>
      </c>
      <c r="H33" s="1">
        <v>7500</v>
      </c>
      <c r="I33" s="1">
        <v>0</v>
      </c>
      <c r="J33" s="1">
        <v>0</v>
      </c>
      <c r="K33" s="1">
        <v>0</v>
      </c>
      <c r="L33" s="72">
        <f t="shared" si="0"/>
        <v>92000</v>
      </c>
      <c r="M33" s="72">
        <v>39000</v>
      </c>
      <c r="N33" s="72">
        <v>0</v>
      </c>
      <c r="O33" s="72">
        <v>0</v>
      </c>
      <c r="P33" s="72">
        <v>0</v>
      </c>
      <c r="Q33" s="72">
        <v>3346290</v>
      </c>
      <c r="R33" s="72">
        <v>3027520</v>
      </c>
      <c r="S33" s="436">
        <v>735363</v>
      </c>
      <c r="T33" s="436">
        <v>681966</v>
      </c>
    </row>
    <row r="34" spans="1:20" ht="10.9" customHeight="1" x14ac:dyDescent="0.2">
      <c r="A34" s="207" t="s">
        <v>173</v>
      </c>
      <c r="B34" s="1" t="s">
        <v>130</v>
      </c>
      <c r="C34" s="1">
        <v>458267</v>
      </c>
      <c r="D34" s="1">
        <v>4406</v>
      </c>
      <c r="E34" s="1">
        <v>0</v>
      </c>
      <c r="F34" s="1">
        <v>0</v>
      </c>
      <c r="G34" s="1">
        <v>0</v>
      </c>
      <c r="H34" s="1">
        <v>0</v>
      </c>
      <c r="I34" s="1">
        <v>0</v>
      </c>
      <c r="J34" s="1">
        <v>0</v>
      </c>
      <c r="K34" s="1">
        <v>0</v>
      </c>
      <c r="L34" s="72">
        <f t="shared" si="0"/>
        <v>462673</v>
      </c>
      <c r="M34" s="72">
        <v>47000</v>
      </c>
      <c r="N34" s="72">
        <v>0</v>
      </c>
      <c r="O34" s="72">
        <v>0</v>
      </c>
      <c r="P34" s="72">
        <v>0</v>
      </c>
      <c r="Q34" s="72">
        <v>3790094</v>
      </c>
      <c r="R34" s="72">
        <v>3612335</v>
      </c>
      <c r="S34" s="436">
        <v>721684</v>
      </c>
      <c r="T34" s="436">
        <v>665460</v>
      </c>
    </row>
    <row r="35" spans="1:20" ht="10.9" customHeight="1" x14ac:dyDescent="0.2">
      <c r="A35" s="207" t="s">
        <v>174</v>
      </c>
      <c r="B35" s="1" t="s">
        <v>131</v>
      </c>
      <c r="C35" s="1">
        <v>11000</v>
      </c>
      <c r="D35" s="1">
        <v>0</v>
      </c>
      <c r="E35" s="1">
        <v>0</v>
      </c>
      <c r="F35" s="1">
        <v>0</v>
      </c>
      <c r="G35" s="1">
        <v>3300</v>
      </c>
      <c r="H35" s="1">
        <v>44500</v>
      </c>
      <c r="I35" s="1">
        <v>0</v>
      </c>
      <c r="J35" s="1">
        <v>0</v>
      </c>
      <c r="K35" s="1">
        <v>0</v>
      </c>
      <c r="L35" s="72">
        <f t="shared" si="0"/>
        <v>58800</v>
      </c>
      <c r="M35" s="72">
        <v>110000</v>
      </c>
      <c r="N35" s="72">
        <v>0</v>
      </c>
      <c r="O35" s="72">
        <v>0</v>
      </c>
      <c r="P35" s="72">
        <v>0</v>
      </c>
      <c r="Q35" s="72">
        <v>29986322</v>
      </c>
      <c r="R35" s="72">
        <v>17044197</v>
      </c>
      <c r="S35" s="436">
        <v>451960</v>
      </c>
      <c r="T35" s="436">
        <v>426807</v>
      </c>
    </row>
    <row r="36" spans="1:20" ht="10.9" customHeight="1" x14ac:dyDescent="0.2">
      <c r="A36" s="207" t="s">
        <v>175</v>
      </c>
      <c r="B36" s="1" t="s">
        <v>132</v>
      </c>
      <c r="C36" s="1">
        <v>400000</v>
      </c>
      <c r="D36" s="1">
        <v>0</v>
      </c>
      <c r="E36" s="1">
        <v>0</v>
      </c>
      <c r="F36" s="1">
        <v>0</v>
      </c>
      <c r="G36" s="1">
        <v>0</v>
      </c>
      <c r="H36" s="1">
        <v>0</v>
      </c>
      <c r="I36" s="1">
        <v>0</v>
      </c>
      <c r="J36" s="1">
        <v>0</v>
      </c>
      <c r="K36" s="1">
        <v>0</v>
      </c>
      <c r="L36" s="72">
        <f t="shared" si="0"/>
        <v>400000</v>
      </c>
      <c r="M36" s="72">
        <v>40000</v>
      </c>
      <c r="N36" s="72">
        <v>0</v>
      </c>
      <c r="O36" s="72">
        <v>11100</v>
      </c>
      <c r="P36" s="72">
        <v>0</v>
      </c>
      <c r="Q36" s="72">
        <v>3528340</v>
      </c>
      <c r="R36" s="72">
        <v>2009532</v>
      </c>
      <c r="S36" s="436">
        <v>651470</v>
      </c>
      <c r="T36" s="436">
        <v>648089</v>
      </c>
    </row>
    <row r="37" spans="1:20" ht="10.9" customHeight="1" x14ac:dyDescent="0.2">
      <c r="A37" s="207" t="s">
        <v>176</v>
      </c>
      <c r="B37" s="1" t="s">
        <v>133</v>
      </c>
      <c r="C37" s="1">
        <v>446000</v>
      </c>
      <c r="D37" s="1">
        <v>0</v>
      </c>
      <c r="E37" s="1">
        <v>0</v>
      </c>
      <c r="F37" s="1">
        <v>0</v>
      </c>
      <c r="G37" s="1">
        <v>0</v>
      </c>
      <c r="H37" s="1">
        <v>10600</v>
      </c>
      <c r="I37" s="1">
        <v>0</v>
      </c>
      <c r="J37" s="1">
        <v>0</v>
      </c>
      <c r="K37" s="1">
        <v>0</v>
      </c>
      <c r="L37" s="72">
        <f t="shared" si="0"/>
        <v>456600</v>
      </c>
      <c r="M37" s="72">
        <v>54000</v>
      </c>
      <c r="N37" s="72">
        <v>0</v>
      </c>
      <c r="O37" s="72">
        <v>0</v>
      </c>
      <c r="P37" s="72">
        <v>0</v>
      </c>
      <c r="Q37" s="72">
        <v>7494187</v>
      </c>
      <c r="R37" s="72">
        <v>6073479</v>
      </c>
      <c r="S37" s="436">
        <v>364268</v>
      </c>
      <c r="T37" s="436">
        <v>336015</v>
      </c>
    </row>
    <row r="38" spans="1:20" ht="10.9" customHeight="1" x14ac:dyDescent="0.2">
      <c r="A38" s="207" t="s">
        <v>177</v>
      </c>
      <c r="B38" s="1" t="s">
        <v>134</v>
      </c>
      <c r="C38" s="1">
        <v>820000</v>
      </c>
      <c r="D38" s="1">
        <v>220000</v>
      </c>
      <c r="E38" s="1">
        <v>0</v>
      </c>
      <c r="F38" s="1">
        <v>0</v>
      </c>
      <c r="G38" s="1">
        <v>0</v>
      </c>
      <c r="H38" s="1">
        <v>125250</v>
      </c>
      <c r="I38" s="1">
        <v>0</v>
      </c>
      <c r="J38" s="1">
        <v>0</v>
      </c>
      <c r="K38" s="1">
        <v>0</v>
      </c>
      <c r="L38" s="72">
        <f>SUM(C38:I38)-J38+K38</f>
        <v>1165250</v>
      </c>
      <c r="M38" s="72">
        <v>86500</v>
      </c>
      <c r="N38" s="72">
        <v>0</v>
      </c>
      <c r="O38" s="72">
        <v>0</v>
      </c>
      <c r="P38" s="72">
        <v>0</v>
      </c>
      <c r="Q38" s="72">
        <v>20354914</v>
      </c>
      <c r="R38" s="72">
        <v>11012707</v>
      </c>
      <c r="S38" s="436">
        <v>354739</v>
      </c>
      <c r="T38" s="436">
        <v>333778</v>
      </c>
    </row>
    <row r="39" spans="1:20" ht="10.9" customHeight="1" x14ac:dyDescent="0.2">
      <c r="A39" s="207" t="s">
        <v>178</v>
      </c>
      <c r="B39" s="1" t="s">
        <v>135</v>
      </c>
      <c r="C39" s="1">
        <v>279000</v>
      </c>
      <c r="D39" s="1">
        <v>0</v>
      </c>
      <c r="E39" s="1">
        <v>0</v>
      </c>
      <c r="F39" s="1">
        <v>0</v>
      </c>
      <c r="G39" s="1">
        <v>0</v>
      </c>
      <c r="H39" s="1">
        <v>0</v>
      </c>
      <c r="I39" s="1">
        <v>0</v>
      </c>
      <c r="J39" s="1">
        <v>0</v>
      </c>
      <c r="K39" s="1">
        <v>0</v>
      </c>
      <c r="L39" s="72">
        <f t="shared" ref="L39:L46" si="1">SUM(C39:I39)-J39+K39</f>
        <v>279000</v>
      </c>
      <c r="M39" s="72">
        <v>49000</v>
      </c>
      <c r="N39" s="72">
        <v>0</v>
      </c>
      <c r="O39" s="72">
        <v>0</v>
      </c>
      <c r="P39" s="72">
        <v>0</v>
      </c>
      <c r="Q39" s="72">
        <v>2874652</v>
      </c>
      <c r="R39" s="72">
        <v>2071022</v>
      </c>
      <c r="S39" s="436">
        <v>882151</v>
      </c>
      <c r="T39" s="436">
        <v>827723</v>
      </c>
    </row>
    <row r="40" spans="1:20" ht="10.9" customHeight="1" x14ac:dyDescent="0.2">
      <c r="A40" s="207" t="s">
        <v>179</v>
      </c>
      <c r="B40" s="1" t="s">
        <v>136</v>
      </c>
      <c r="C40" s="1">
        <v>429500</v>
      </c>
      <c r="D40" s="1">
        <v>0</v>
      </c>
      <c r="E40" s="1">
        <v>0</v>
      </c>
      <c r="F40" s="1">
        <v>4500</v>
      </c>
      <c r="G40" s="1">
        <v>0</v>
      </c>
      <c r="H40" s="1">
        <v>0</v>
      </c>
      <c r="I40" s="1">
        <v>0</v>
      </c>
      <c r="J40" s="1">
        <v>0</v>
      </c>
      <c r="K40" s="1">
        <v>0</v>
      </c>
      <c r="L40" s="72">
        <f t="shared" si="1"/>
        <v>434000</v>
      </c>
      <c r="M40" s="72">
        <v>82675</v>
      </c>
      <c r="N40" s="72">
        <v>259871</v>
      </c>
      <c r="O40" s="72">
        <v>0</v>
      </c>
      <c r="P40" s="72">
        <v>0</v>
      </c>
      <c r="Q40" s="72">
        <v>17674446</v>
      </c>
      <c r="R40" s="72">
        <v>8330319</v>
      </c>
      <c r="S40" s="436">
        <v>633570</v>
      </c>
      <c r="T40" s="436">
        <v>598190</v>
      </c>
    </row>
    <row r="41" spans="1:20" ht="10.9" customHeight="1" x14ac:dyDescent="0.2">
      <c r="A41" s="207" t="s">
        <v>180</v>
      </c>
      <c r="B41" s="1" t="s">
        <v>137</v>
      </c>
      <c r="C41" s="1">
        <v>525000</v>
      </c>
      <c r="D41" s="1">
        <v>273000</v>
      </c>
      <c r="E41" s="1">
        <v>20000</v>
      </c>
      <c r="F41" s="1">
        <v>0</v>
      </c>
      <c r="G41" s="1">
        <v>-13000</v>
      </c>
      <c r="H41" s="1">
        <v>9000</v>
      </c>
      <c r="I41" s="1">
        <v>0</v>
      </c>
      <c r="J41" s="1">
        <v>0</v>
      </c>
      <c r="K41" s="1">
        <v>0</v>
      </c>
      <c r="L41" s="72">
        <f t="shared" si="1"/>
        <v>814000</v>
      </c>
      <c r="M41" s="72">
        <v>55000</v>
      </c>
      <c r="N41" s="72">
        <v>0</v>
      </c>
      <c r="O41" s="72">
        <v>0</v>
      </c>
      <c r="P41" s="72">
        <v>5000</v>
      </c>
      <c r="Q41" s="72">
        <v>11418187</v>
      </c>
      <c r="R41" s="72">
        <v>6888303</v>
      </c>
      <c r="S41" s="436">
        <v>586446</v>
      </c>
      <c r="T41" s="436">
        <v>566870</v>
      </c>
    </row>
    <row r="42" spans="1:20" ht="10.9" customHeight="1" x14ac:dyDescent="0.2">
      <c r="A42" s="207" t="s">
        <v>181</v>
      </c>
      <c r="B42" s="1" t="s">
        <v>138</v>
      </c>
      <c r="C42" s="1">
        <v>62600</v>
      </c>
      <c r="D42" s="1">
        <v>0</v>
      </c>
      <c r="E42" s="1">
        <v>0</v>
      </c>
      <c r="F42" s="1">
        <v>0</v>
      </c>
      <c r="G42" s="1">
        <v>0</v>
      </c>
      <c r="H42" s="1">
        <v>0</v>
      </c>
      <c r="I42" s="1">
        <v>0</v>
      </c>
      <c r="J42" s="1">
        <v>0</v>
      </c>
      <c r="K42" s="1">
        <v>0</v>
      </c>
      <c r="L42" s="72">
        <f t="shared" si="1"/>
        <v>62600</v>
      </c>
      <c r="M42" s="72">
        <v>35676</v>
      </c>
      <c r="N42" s="72">
        <v>0</v>
      </c>
      <c r="O42" s="72">
        <v>0</v>
      </c>
      <c r="P42" s="72">
        <v>2000</v>
      </c>
      <c r="Q42" s="72">
        <v>3218499</v>
      </c>
      <c r="R42" s="72">
        <v>2286507</v>
      </c>
      <c r="S42" s="436">
        <v>466595</v>
      </c>
      <c r="T42" s="436">
        <v>428070</v>
      </c>
    </row>
    <row r="43" spans="1:20" ht="10.9" customHeight="1" x14ac:dyDescent="0.2">
      <c r="A43" s="207" t="s">
        <v>182</v>
      </c>
      <c r="B43" s="1" t="s">
        <v>139</v>
      </c>
      <c r="C43" s="1">
        <v>33000</v>
      </c>
      <c r="D43" s="1">
        <v>0</v>
      </c>
      <c r="E43" s="1">
        <v>0</v>
      </c>
      <c r="F43" s="1">
        <v>0</v>
      </c>
      <c r="G43" s="1">
        <v>0</v>
      </c>
      <c r="H43" s="1">
        <v>0</v>
      </c>
      <c r="I43" s="1">
        <v>0</v>
      </c>
      <c r="J43" s="1">
        <v>0</v>
      </c>
      <c r="K43" s="1">
        <v>0</v>
      </c>
      <c r="L43" s="72">
        <f t="shared" si="1"/>
        <v>33000</v>
      </c>
      <c r="M43" s="72">
        <v>24500</v>
      </c>
      <c r="N43" s="72">
        <v>0</v>
      </c>
      <c r="O43" s="72">
        <v>0</v>
      </c>
      <c r="P43" s="72">
        <v>0</v>
      </c>
      <c r="Q43" s="72">
        <v>1852540</v>
      </c>
      <c r="R43" s="72">
        <v>1273598</v>
      </c>
      <c r="S43" s="436">
        <v>655427</v>
      </c>
      <c r="T43" s="436">
        <v>636721</v>
      </c>
    </row>
    <row r="44" spans="1:20" ht="10.9" customHeight="1" x14ac:dyDescent="0.2">
      <c r="A44" s="207" t="s">
        <v>183</v>
      </c>
      <c r="B44" s="1" t="s">
        <v>140</v>
      </c>
      <c r="C44" s="1">
        <v>154530</v>
      </c>
      <c r="D44" s="1">
        <v>0</v>
      </c>
      <c r="E44" s="1">
        <v>0</v>
      </c>
      <c r="F44" s="1">
        <v>0</v>
      </c>
      <c r="G44" s="1">
        <v>0</v>
      </c>
      <c r="H44" s="1">
        <v>0</v>
      </c>
      <c r="I44" s="1">
        <v>0</v>
      </c>
      <c r="J44" s="1">
        <v>0</v>
      </c>
      <c r="K44" s="1">
        <v>0</v>
      </c>
      <c r="L44" s="72">
        <f t="shared" si="1"/>
        <v>154530</v>
      </c>
      <c r="M44" s="72">
        <v>20000</v>
      </c>
      <c r="N44" s="72">
        <v>0</v>
      </c>
      <c r="O44" s="72">
        <v>0</v>
      </c>
      <c r="P44" s="72">
        <v>0</v>
      </c>
      <c r="Q44" s="72">
        <v>1340605</v>
      </c>
      <c r="R44" s="72">
        <v>1541291</v>
      </c>
      <c r="S44" s="436">
        <v>353502</v>
      </c>
      <c r="T44" s="436">
        <v>317474</v>
      </c>
    </row>
    <row r="45" spans="1:20" ht="10.9" customHeight="1" x14ac:dyDescent="0.2">
      <c r="A45" s="207" t="s">
        <v>184</v>
      </c>
      <c r="B45" s="1" t="s">
        <v>141</v>
      </c>
      <c r="C45" s="1">
        <v>147300</v>
      </c>
      <c r="D45" s="1">
        <v>0</v>
      </c>
      <c r="E45" s="1">
        <v>7000</v>
      </c>
      <c r="F45" s="1">
        <v>0</v>
      </c>
      <c r="G45" s="1">
        <v>-7000</v>
      </c>
      <c r="H45" s="1">
        <v>0</v>
      </c>
      <c r="I45" s="1">
        <v>0</v>
      </c>
      <c r="J45" s="1">
        <v>0</v>
      </c>
      <c r="K45" s="1">
        <v>0</v>
      </c>
      <c r="L45" s="72">
        <f t="shared" si="1"/>
        <v>147300</v>
      </c>
      <c r="M45" s="72">
        <v>25000</v>
      </c>
      <c r="N45" s="72">
        <v>0</v>
      </c>
      <c r="O45" s="72">
        <v>0</v>
      </c>
      <c r="P45" s="72">
        <v>0</v>
      </c>
      <c r="Q45" s="72">
        <v>2913115</v>
      </c>
      <c r="R45" s="72">
        <v>2031555</v>
      </c>
      <c r="S45" s="436">
        <v>360488</v>
      </c>
      <c r="T45" s="436">
        <v>346680</v>
      </c>
    </row>
    <row r="46" spans="1:20" ht="10.9" customHeight="1" x14ac:dyDescent="0.2">
      <c r="A46" s="207" t="s">
        <v>185</v>
      </c>
      <c r="B46" s="1" t="s">
        <v>142</v>
      </c>
      <c r="C46" s="1">
        <v>1909000</v>
      </c>
      <c r="D46" s="1">
        <v>399950</v>
      </c>
      <c r="E46" s="1">
        <v>0</v>
      </c>
      <c r="F46" s="1">
        <v>0</v>
      </c>
      <c r="G46" s="1">
        <v>7900</v>
      </c>
      <c r="H46" s="1">
        <v>164000</v>
      </c>
      <c r="I46" s="1">
        <v>1200</v>
      </c>
      <c r="J46" s="1">
        <v>0</v>
      </c>
      <c r="K46" s="1">
        <v>0</v>
      </c>
      <c r="L46" s="72">
        <f t="shared" si="1"/>
        <v>2482050</v>
      </c>
      <c r="M46" s="72">
        <v>0</v>
      </c>
      <c r="N46" s="72">
        <v>120000</v>
      </c>
      <c r="O46" s="72">
        <v>0</v>
      </c>
      <c r="P46" s="72">
        <v>0</v>
      </c>
      <c r="Q46" s="72">
        <v>56825941</v>
      </c>
      <c r="R46" s="72">
        <v>28840807</v>
      </c>
      <c r="S46" s="436">
        <v>468197</v>
      </c>
      <c r="T46" s="436">
        <v>440936</v>
      </c>
    </row>
    <row r="47" spans="1:20" ht="3.95" customHeight="1" x14ac:dyDescent="0.2">
      <c r="A47" s="207"/>
      <c r="S47" s="1" t="s">
        <v>352</v>
      </c>
    </row>
    <row r="48" spans="1:20" x14ac:dyDescent="0.2">
      <c r="A48" s="207"/>
      <c r="B48" s="1" t="s">
        <v>143</v>
      </c>
      <c r="C48" s="1">
        <f t="shared" ref="C48:N48" si="2">SUM(C11:C46)</f>
        <v>17936513</v>
      </c>
      <c r="D48" s="1">
        <f t="shared" si="2"/>
        <v>1284856</v>
      </c>
      <c r="E48" s="1">
        <f t="shared" si="2"/>
        <v>1688244</v>
      </c>
      <c r="F48" s="1">
        <f t="shared" si="2"/>
        <v>31500</v>
      </c>
      <c r="G48" s="1">
        <f t="shared" si="2"/>
        <v>125629</v>
      </c>
      <c r="H48" s="1">
        <f t="shared" si="2"/>
        <v>547103</v>
      </c>
      <c r="I48" s="1">
        <f t="shared" si="2"/>
        <v>146200</v>
      </c>
      <c r="J48" s="1">
        <f t="shared" si="2"/>
        <v>0</v>
      </c>
      <c r="K48" s="1">
        <f t="shared" si="2"/>
        <v>0</v>
      </c>
      <c r="L48" s="1">
        <f t="shared" si="2"/>
        <v>21760045</v>
      </c>
      <c r="M48" s="1">
        <f t="shared" si="2"/>
        <v>1517551</v>
      </c>
      <c r="N48" s="1">
        <f t="shared" si="2"/>
        <v>2396900</v>
      </c>
      <c r="O48" s="1">
        <f>SUM(O11:O46)</f>
        <v>278116</v>
      </c>
      <c r="P48" s="1">
        <f>SUM(P11:P46)</f>
        <v>8000</v>
      </c>
      <c r="Q48" s="1">
        <f t="shared" ref="Q48:R48" si="3">SUM(Q11:Q46)</f>
        <v>353761011</v>
      </c>
      <c r="R48" s="1">
        <f t="shared" si="3"/>
        <v>205544472</v>
      </c>
      <c r="S48" s="436">
        <v>483255.31839606294</v>
      </c>
      <c r="T48" s="436">
        <v>455854.46932704485</v>
      </c>
    </row>
    <row r="49" spans="1:20" ht="3.95" customHeight="1" x14ac:dyDescent="0.2">
      <c r="A49" s="207"/>
      <c r="B49" s="1" t="s">
        <v>1</v>
      </c>
    </row>
    <row r="50" spans="1:20" ht="11.1" customHeight="1" x14ac:dyDescent="0.2">
      <c r="A50" s="207" t="s">
        <v>187</v>
      </c>
      <c r="B50" s="1" t="s">
        <v>144</v>
      </c>
      <c r="C50" s="1">
        <v>0</v>
      </c>
      <c r="D50" s="1">
        <v>0</v>
      </c>
      <c r="E50" s="1">
        <v>0</v>
      </c>
      <c r="F50" s="1">
        <v>12000</v>
      </c>
      <c r="G50" s="1">
        <v>0</v>
      </c>
      <c r="H50" s="1">
        <v>20000</v>
      </c>
      <c r="I50" s="1">
        <v>10500</v>
      </c>
      <c r="J50" s="1">
        <v>0</v>
      </c>
      <c r="K50" s="1">
        <v>0</v>
      </c>
      <c r="L50" s="72">
        <f>SUM(C50:I50)-J50+K50</f>
        <v>42500</v>
      </c>
      <c r="M50" s="72">
        <v>0</v>
      </c>
      <c r="N50" s="72">
        <v>0</v>
      </c>
      <c r="O50" s="72">
        <v>0</v>
      </c>
      <c r="P50" s="72">
        <v>0</v>
      </c>
      <c r="Q50" s="72">
        <v>526972</v>
      </c>
      <c r="R50" s="72">
        <v>154173</v>
      </c>
      <c r="S50" s="437" t="s">
        <v>352</v>
      </c>
      <c r="T50" s="437" t="s">
        <v>352</v>
      </c>
    </row>
    <row r="51" spans="1:20" ht="10.9" customHeight="1" x14ac:dyDescent="0.2">
      <c r="A51" s="207" t="s">
        <v>186</v>
      </c>
      <c r="B51" s="1" t="s">
        <v>358</v>
      </c>
      <c r="C51" s="1">
        <v>0</v>
      </c>
      <c r="D51" s="1">
        <v>0</v>
      </c>
      <c r="E51" s="1">
        <v>0</v>
      </c>
      <c r="F51" s="1">
        <v>0</v>
      </c>
      <c r="G51" s="1">
        <v>0</v>
      </c>
      <c r="H51" s="1">
        <v>0</v>
      </c>
      <c r="I51" s="1">
        <v>0</v>
      </c>
      <c r="J51" s="1">
        <v>0</v>
      </c>
      <c r="K51" s="1">
        <v>0</v>
      </c>
      <c r="L51" s="72">
        <f>SUM(C51:I51)-J51+K51</f>
        <v>0</v>
      </c>
      <c r="M51" s="72">
        <v>0</v>
      </c>
      <c r="N51" s="72">
        <v>0</v>
      </c>
      <c r="O51" s="72">
        <v>0</v>
      </c>
      <c r="P51" s="72">
        <v>0</v>
      </c>
      <c r="Q51" s="72">
        <v>10625699</v>
      </c>
      <c r="R51" s="72">
        <v>0</v>
      </c>
    </row>
    <row r="52" spans="1:20" ht="3.95" customHeight="1" x14ac:dyDescent="0.2"/>
    <row r="53" spans="1:20" ht="10.9" customHeight="1" x14ac:dyDescent="0.2">
      <c r="S53" s="515" t="s">
        <v>517</v>
      </c>
    </row>
    <row r="54" spans="1:20" ht="10.9" customHeight="1" x14ac:dyDescent="0.2">
      <c r="B54" s="1" t="s">
        <v>315</v>
      </c>
      <c r="C54" s="1">
        <v>17936513</v>
      </c>
      <c r="D54" s="1">
        <v>1284856</v>
      </c>
      <c r="E54" s="1">
        <v>1688244</v>
      </c>
      <c r="F54" s="1">
        <v>31500</v>
      </c>
      <c r="G54" s="1">
        <v>125629</v>
      </c>
      <c r="H54" s="1">
        <v>547103</v>
      </c>
      <c r="I54" s="1">
        <v>146200</v>
      </c>
      <c r="J54" s="1">
        <v>0</v>
      </c>
      <c r="K54" s="1">
        <v>0</v>
      </c>
      <c r="L54" s="72">
        <f>SUM(C54:I54)-J54+K54</f>
        <v>21760045</v>
      </c>
      <c r="S54" s="516" t="s">
        <v>519</v>
      </c>
    </row>
    <row r="55" spans="1:20" x14ac:dyDescent="0.2">
      <c r="B55" s="423" t="s">
        <v>314</v>
      </c>
      <c r="C55" s="423">
        <f>+C48-C54</f>
        <v>0</v>
      </c>
      <c r="D55" s="423">
        <f t="shared" ref="D55:L55" si="4">+D48-D54</f>
        <v>0</v>
      </c>
      <c r="E55" s="423">
        <f t="shared" si="4"/>
        <v>0</v>
      </c>
      <c r="F55" s="423">
        <f t="shared" si="4"/>
        <v>0</v>
      </c>
      <c r="G55" s="423">
        <f t="shared" si="4"/>
        <v>0</v>
      </c>
      <c r="H55" s="423">
        <f t="shared" si="4"/>
        <v>0</v>
      </c>
      <c r="I55" s="423">
        <f t="shared" si="4"/>
        <v>0</v>
      </c>
      <c r="J55" s="423">
        <f t="shared" si="4"/>
        <v>0</v>
      </c>
      <c r="K55" s="423">
        <f t="shared" si="4"/>
        <v>0</v>
      </c>
      <c r="L55" s="423">
        <f t="shared" si="4"/>
        <v>0</v>
      </c>
      <c r="M55" s="423"/>
      <c r="N55" s="423"/>
      <c r="O55" s="423"/>
      <c r="P55" s="423"/>
      <c r="Q55" s="423"/>
      <c r="R55" s="423"/>
      <c r="S55" s="515" t="s">
        <v>518</v>
      </c>
    </row>
    <row r="58" spans="1:20" x14ac:dyDescent="0.2">
      <c r="B58" s="513" t="s">
        <v>559</v>
      </c>
      <c r="C58" s="844" t="s">
        <v>560</v>
      </c>
      <c r="D58" s="845"/>
      <c r="E58" s="845"/>
      <c r="F58" s="846"/>
      <c r="G58" s="513" t="s">
        <v>561</v>
      </c>
    </row>
    <row r="59" spans="1:20" x14ac:dyDescent="0.2">
      <c r="B59" s="424">
        <v>18</v>
      </c>
      <c r="C59" s="424">
        <v>0</v>
      </c>
      <c r="D59" s="424">
        <v>0</v>
      </c>
      <c r="E59" s="424"/>
      <c r="F59" s="424"/>
      <c r="G59" s="424">
        <v>100</v>
      </c>
    </row>
    <row r="60" spans="1:20" x14ac:dyDescent="0.2">
      <c r="B60" s="514">
        <f>+B59+1</f>
        <v>19</v>
      </c>
      <c r="C60" s="514">
        <v>0</v>
      </c>
      <c r="D60" s="514">
        <v>0</v>
      </c>
      <c r="E60" s="514">
        <v>0</v>
      </c>
      <c r="F60" s="514"/>
      <c r="G60" s="514">
        <v>100</v>
      </c>
    </row>
    <row r="61" spans="1:20" x14ac:dyDescent="0.2">
      <c r="B61" s="424">
        <f t="shared" ref="B61:B74" si="5">+B60+1</f>
        <v>20</v>
      </c>
      <c r="C61" s="424">
        <v>0</v>
      </c>
      <c r="D61" s="424"/>
      <c r="E61" s="424"/>
      <c r="F61" s="424"/>
      <c r="G61" s="424">
        <v>100</v>
      </c>
    </row>
    <row r="62" spans="1:20" x14ac:dyDescent="0.2">
      <c r="B62" s="514">
        <f t="shared" si="5"/>
        <v>21</v>
      </c>
      <c r="C62" s="514">
        <v>0</v>
      </c>
      <c r="D62" s="514">
        <v>0</v>
      </c>
      <c r="E62" s="514">
        <v>0</v>
      </c>
      <c r="F62" s="514"/>
      <c r="G62" s="514">
        <v>200</v>
      </c>
    </row>
    <row r="63" spans="1:20" x14ac:dyDescent="0.2">
      <c r="B63" s="424">
        <f t="shared" si="5"/>
        <v>22</v>
      </c>
      <c r="C63" s="424">
        <v>0</v>
      </c>
      <c r="D63" s="424">
        <v>0</v>
      </c>
      <c r="E63" s="424">
        <v>0</v>
      </c>
      <c r="F63" s="424"/>
      <c r="G63" s="424">
        <v>200</v>
      </c>
    </row>
    <row r="64" spans="1:20" x14ac:dyDescent="0.2">
      <c r="B64" s="514">
        <f t="shared" si="5"/>
        <v>23</v>
      </c>
      <c r="C64" s="514">
        <v>0</v>
      </c>
      <c r="D64" s="514">
        <v>0</v>
      </c>
      <c r="E64" s="514"/>
      <c r="F64" s="514"/>
      <c r="G64" s="514">
        <v>300</v>
      </c>
    </row>
    <row r="65" spans="2:7" x14ac:dyDescent="0.2">
      <c r="B65" s="424">
        <f t="shared" si="5"/>
        <v>24</v>
      </c>
      <c r="C65" s="424">
        <v>0</v>
      </c>
      <c r="D65" s="424">
        <v>0</v>
      </c>
      <c r="E65" s="424">
        <v>0</v>
      </c>
      <c r="F65" s="424">
        <v>0</v>
      </c>
      <c r="G65" s="424">
        <v>400</v>
      </c>
    </row>
    <row r="66" spans="2:7" x14ac:dyDescent="0.2">
      <c r="B66" s="514">
        <f t="shared" si="5"/>
        <v>25</v>
      </c>
      <c r="C66" s="514">
        <v>0</v>
      </c>
      <c r="D66" s="514">
        <v>0</v>
      </c>
      <c r="E66" s="514">
        <v>0</v>
      </c>
      <c r="F66" s="514"/>
      <c r="G66" s="514">
        <v>500</v>
      </c>
    </row>
    <row r="67" spans="2:7" x14ac:dyDescent="0.2">
      <c r="B67" s="424">
        <f t="shared" si="5"/>
        <v>26</v>
      </c>
      <c r="C67" s="424">
        <v>0</v>
      </c>
      <c r="D67" s="424"/>
      <c r="E67" s="424"/>
      <c r="F67" s="424"/>
      <c r="G67" s="424">
        <v>500</v>
      </c>
    </row>
    <row r="68" spans="2:7" x14ac:dyDescent="0.2">
      <c r="B68" s="514">
        <f t="shared" si="5"/>
        <v>27</v>
      </c>
      <c r="C68" s="514">
        <v>0</v>
      </c>
      <c r="D68" s="514">
        <v>0</v>
      </c>
      <c r="E68" s="514">
        <v>0</v>
      </c>
      <c r="F68" s="514"/>
      <c r="G68" s="514">
        <v>600</v>
      </c>
    </row>
    <row r="69" spans="2:7" x14ac:dyDescent="0.2">
      <c r="B69" s="424">
        <f t="shared" si="5"/>
        <v>28</v>
      </c>
      <c r="C69" s="424">
        <v>0</v>
      </c>
      <c r="D69" s="424">
        <v>0</v>
      </c>
      <c r="E69" s="424"/>
      <c r="F69" s="424"/>
      <c r="G69" s="424">
        <v>600</v>
      </c>
    </row>
    <row r="70" spans="2:7" x14ac:dyDescent="0.2">
      <c r="B70" s="514">
        <f t="shared" si="5"/>
        <v>29</v>
      </c>
      <c r="C70" s="514">
        <v>0</v>
      </c>
      <c r="D70" s="514">
        <v>0</v>
      </c>
      <c r="E70" s="514">
        <v>0</v>
      </c>
      <c r="F70" s="514"/>
      <c r="G70" s="514">
        <v>700</v>
      </c>
    </row>
    <row r="71" spans="2:7" x14ac:dyDescent="0.2">
      <c r="B71" s="424">
        <f t="shared" si="5"/>
        <v>30</v>
      </c>
      <c r="C71" s="424">
        <v>0</v>
      </c>
      <c r="D71" s="424">
        <v>0</v>
      </c>
      <c r="E71" s="424"/>
      <c r="F71" s="424"/>
      <c r="G71" s="424">
        <v>700</v>
      </c>
    </row>
    <row r="72" spans="2:7" x14ac:dyDescent="0.2">
      <c r="B72" s="514">
        <f t="shared" si="5"/>
        <v>31</v>
      </c>
      <c r="C72" s="514">
        <v>0</v>
      </c>
      <c r="D72" s="514">
        <v>0</v>
      </c>
      <c r="E72" s="514">
        <v>0</v>
      </c>
      <c r="F72" s="514"/>
      <c r="G72" s="514">
        <v>800</v>
      </c>
    </row>
    <row r="73" spans="2:7" x14ac:dyDescent="0.2">
      <c r="B73" s="424">
        <f t="shared" si="5"/>
        <v>32</v>
      </c>
      <c r="C73" s="424">
        <v>0</v>
      </c>
      <c r="D73" s="424">
        <v>0</v>
      </c>
      <c r="E73" s="424"/>
      <c r="F73" s="424"/>
      <c r="G73" s="424">
        <v>800</v>
      </c>
    </row>
    <row r="74" spans="2:7" x14ac:dyDescent="0.2">
      <c r="B74" s="514">
        <f t="shared" si="5"/>
        <v>33</v>
      </c>
      <c r="C74" s="514">
        <v>-508000</v>
      </c>
      <c r="D74" s="514">
        <v>508000</v>
      </c>
      <c r="E74" s="514"/>
      <c r="F74" s="514"/>
      <c r="G74" s="514">
        <v>900</v>
      </c>
    </row>
  </sheetData>
  <sheetProtection algorithmName="SHA-512" hashValue="VTvvUlRNvv11UfKgUVTWdz0isUe+gxuKThqsDCJ5g+6PNBO+T8P5yP6JgQmLa2d0/bW6xjrvl0x2ne+gOdfLqg==" saltValue="eWedR/0GMEacAd5Tq17oJw==" spinCount="100000" sheet="1" objects="1" scenarios="1"/>
  <mergeCells count="2">
    <mergeCell ref="O6:O9"/>
    <mergeCell ref="C58:F58"/>
  </mergeCells>
  <phoneticPr fontId="0" type="noConversion"/>
  <pageMargins left="0.25" right="0.6" top="0.6" bottom="0.2" header="0.5" footer="0.5"/>
  <pageSetup paperSize="5" scale="87"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0641" r:id="rId4" name="Button 1">
              <controlPr defaultSize="0" print="0" autoFill="0" autoPict="0" macro="[0]!_xludf.replace">
                <anchor moveWithCells="1" sizeWithCells="1">
                  <from>
                    <xdr:col>21</xdr:col>
                    <xdr:colOff>19050</xdr:colOff>
                    <xdr:row>2</xdr:row>
                    <xdr:rowOff>9525</xdr:rowOff>
                  </from>
                  <to>
                    <xdr:col>21</xdr:col>
                    <xdr:colOff>885825</xdr:colOff>
                    <xdr:row>3</xdr:row>
                    <xdr:rowOff>133350</xdr:rowOff>
                  </to>
                </anchor>
              </controlPr>
            </control>
          </mc:Choice>
        </mc:AlternateContent>
        <mc:AlternateContent xmlns:mc="http://schemas.openxmlformats.org/markup-compatibility/2006">
          <mc:Choice Requires="x14">
            <control shapeId="240646" r:id="rId5" name="Drop Down 6">
              <controlPr defaultSize="0" autoLine="0" autoPict="0">
                <anchor moveWithCells="1">
                  <from>
                    <xdr:col>1</xdr:col>
                    <xdr:colOff>228600</xdr:colOff>
                    <xdr:row>2</xdr:row>
                    <xdr:rowOff>9525</xdr:rowOff>
                  </from>
                  <to>
                    <xdr:col>27</xdr:col>
                    <xdr:colOff>209550</xdr:colOff>
                    <xdr:row>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B63"/>
  <sheetViews>
    <sheetView showGridLines="0" showZeros="0" workbookViewId="0"/>
  </sheetViews>
  <sheetFormatPr defaultColWidth="16.83203125" defaultRowHeight="12" x14ac:dyDescent="0.2"/>
  <cols>
    <col min="1" max="1" width="32.83203125" style="1" customWidth="1"/>
    <col min="2" max="7" width="16.83203125" style="1" customWidth="1"/>
    <col min="8" max="16384" width="16.83203125" style="1"/>
  </cols>
  <sheetData>
    <row r="1" spans="1:54" ht="6.95" customHeight="1" x14ac:dyDescent="0.2">
      <c r="A1" s="3"/>
      <c r="B1" s="4"/>
      <c r="C1" s="4"/>
      <c r="D1" s="4"/>
      <c r="E1" s="4"/>
      <c r="F1" s="4"/>
    </row>
    <row r="2" spans="1:54" ht="15.95" customHeight="1" x14ac:dyDescent="0.2">
      <c r="A2" s="33"/>
      <c r="B2" s="34" t="str">
        <f>IF(Lang=1,BA2,BB2)</f>
        <v>ENROLMENTS - HEADCOUNT, FRAME AND ELIGIBLE</v>
      </c>
      <c r="C2" s="6"/>
      <c r="D2" s="6"/>
      <c r="E2" s="6"/>
      <c r="F2" s="85"/>
      <c r="G2" s="85"/>
      <c r="BA2" s="463" t="s">
        <v>78</v>
      </c>
      <c r="BB2" s="463" t="s">
        <v>381</v>
      </c>
    </row>
    <row r="3" spans="1:54" ht="15.95" customHeight="1" x14ac:dyDescent="0.2">
      <c r="A3" s="37"/>
      <c r="B3" s="38" t="str">
        <f>IF(Lang=1,BA3,BB3)</f>
        <v>ACTUAL AND ESTIMATES AS OF SEPTEMBER 30</v>
      </c>
      <c r="C3" s="8"/>
      <c r="D3" s="8"/>
      <c r="E3" s="8"/>
      <c r="F3" s="87"/>
      <c r="G3" s="87"/>
      <c r="BA3" s="461" t="s">
        <v>229</v>
      </c>
      <c r="BB3" s="461" t="s">
        <v>382</v>
      </c>
    </row>
    <row r="4" spans="1:54" ht="15.95" customHeight="1" x14ac:dyDescent="0.2">
      <c r="B4" s="529"/>
      <c r="C4" s="4"/>
      <c r="D4" s="4"/>
      <c r="E4" s="4"/>
      <c r="F4" s="4"/>
    </row>
    <row r="5" spans="1:54" ht="15.95" customHeight="1" x14ac:dyDescent="0.2">
      <c r="B5" s="286" t="s">
        <v>233</v>
      </c>
      <c r="C5" s="287"/>
      <c r="D5" s="288"/>
      <c r="E5" s="289" t="s">
        <v>234</v>
      </c>
      <c r="F5" s="290" t="s">
        <v>235</v>
      </c>
      <c r="G5" s="291" t="s">
        <v>235</v>
      </c>
    </row>
    <row r="6" spans="1:54" ht="15.95" customHeight="1" x14ac:dyDescent="0.2">
      <c r="B6" s="581" t="s">
        <v>602</v>
      </c>
      <c r="C6" s="582"/>
      <c r="D6" s="583"/>
      <c r="E6" s="587" t="s">
        <v>603</v>
      </c>
      <c r="F6" s="587" t="s">
        <v>604</v>
      </c>
      <c r="G6" s="587" t="s">
        <v>583</v>
      </c>
    </row>
    <row r="7" spans="1:54" ht="15.95" customHeight="1" x14ac:dyDescent="0.2">
      <c r="B7" s="584"/>
      <c r="C7" s="585"/>
      <c r="D7" s="586"/>
      <c r="E7" s="588"/>
      <c r="F7" s="588" t="s">
        <v>371</v>
      </c>
      <c r="G7" s="588" t="s">
        <v>371</v>
      </c>
    </row>
    <row r="8" spans="1:54" ht="15.95" customHeight="1" x14ac:dyDescent="0.2">
      <c r="A8" s="82"/>
      <c r="B8" s="590" t="s">
        <v>378</v>
      </c>
      <c r="C8" s="592" t="s">
        <v>379</v>
      </c>
      <c r="D8" s="592" t="s">
        <v>380</v>
      </c>
      <c r="E8" s="592" t="s">
        <v>376</v>
      </c>
      <c r="F8" s="592" t="s">
        <v>380</v>
      </c>
      <c r="G8" s="540" t="s">
        <v>380</v>
      </c>
    </row>
    <row r="9" spans="1:54" ht="15.95" customHeight="1" x14ac:dyDescent="0.2">
      <c r="A9" s="27" t="s">
        <v>37</v>
      </c>
      <c r="B9" s="591"/>
      <c r="C9" s="593"/>
      <c r="D9" s="593"/>
      <c r="E9" s="593"/>
      <c r="F9" s="593"/>
      <c r="G9" s="542"/>
    </row>
    <row r="10" spans="1:54" ht="5.0999999999999996" customHeight="1" x14ac:dyDescent="0.2">
      <c r="A10" s="29"/>
    </row>
    <row r="11" spans="1:54" ht="14.1" customHeight="1" x14ac:dyDescent="0.2">
      <c r="A11" s="271" t="s">
        <v>108</v>
      </c>
      <c r="B11" s="272">
        <v>2034</v>
      </c>
      <c r="C11" s="272">
        <v>0</v>
      </c>
      <c r="D11" s="272">
        <f>+B11-C11</f>
        <v>2034</v>
      </c>
      <c r="E11" s="292">
        <f>'- 7 -'!E11</f>
        <v>1994.5</v>
      </c>
      <c r="F11" s="292">
        <v>1957.3</v>
      </c>
      <c r="G11" s="292">
        <v>1812.9</v>
      </c>
    </row>
    <row r="12" spans="1:54" ht="14.1" customHeight="1" x14ac:dyDescent="0.2">
      <c r="A12" s="15" t="s">
        <v>109</v>
      </c>
      <c r="B12" s="16">
        <v>2254</v>
      </c>
      <c r="C12" s="16">
        <v>0</v>
      </c>
      <c r="D12" s="16">
        <f t="shared" ref="D12:D46" si="0">+B12-C12</f>
        <v>2254</v>
      </c>
      <c r="E12" s="47">
        <f>'- 7 -'!E12</f>
        <v>2154</v>
      </c>
      <c r="F12" s="47">
        <v>2093.6999999999998</v>
      </c>
      <c r="G12" s="47">
        <v>2040.3</v>
      </c>
      <c r="I12" s="79"/>
    </row>
    <row r="13" spans="1:54" ht="14.1" customHeight="1" x14ac:dyDescent="0.2">
      <c r="A13" s="271" t="s">
        <v>110</v>
      </c>
      <c r="B13" s="272">
        <v>9004</v>
      </c>
      <c r="C13" s="272">
        <v>0</v>
      </c>
      <c r="D13" s="272">
        <f t="shared" si="0"/>
        <v>9004</v>
      </c>
      <c r="E13" s="292">
        <f>'- 7 -'!E13</f>
        <v>8741.5</v>
      </c>
      <c r="F13" s="292">
        <v>8621.7999999999993</v>
      </c>
      <c r="G13" s="292">
        <v>8525.4</v>
      </c>
      <c r="I13" s="79"/>
    </row>
    <row r="14" spans="1:54" ht="14.1" customHeight="1" x14ac:dyDescent="0.2">
      <c r="A14" s="15" t="s">
        <v>319</v>
      </c>
      <c r="B14" s="16">
        <v>5840</v>
      </c>
      <c r="C14" s="16">
        <v>38</v>
      </c>
      <c r="D14" s="16">
        <f t="shared" si="0"/>
        <v>5802</v>
      </c>
      <c r="E14" s="47">
        <f>'- 7 -'!E14</f>
        <v>5993</v>
      </c>
      <c r="F14" s="47">
        <v>5512.2</v>
      </c>
      <c r="G14" s="47">
        <v>5391.1</v>
      </c>
    </row>
    <row r="15" spans="1:54" ht="14.1" customHeight="1" x14ac:dyDescent="0.2">
      <c r="A15" s="271" t="s">
        <v>111</v>
      </c>
      <c r="B15" s="272">
        <v>1489</v>
      </c>
      <c r="C15" s="272">
        <v>0</v>
      </c>
      <c r="D15" s="272">
        <f t="shared" si="0"/>
        <v>1489</v>
      </c>
      <c r="E15" s="292">
        <f>'- 7 -'!E15</f>
        <v>1395</v>
      </c>
      <c r="F15" s="292">
        <v>1401.7</v>
      </c>
      <c r="G15" s="292">
        <v>1400.4</v>
      </c>
    </row>
    <row r="16" spans="1:54" ht="14.1" customHeight="1" x14ac:dyDescent="0.2">
      <c r="A16" s="15" t="s">
        <v>112</v>
      </c>
      <c r="B16" s="16">
        <v>987</v>
      </c>
      <c r="C16" s="16">
        <v>0</v>
      </c>
      <c r="D16" s="16">
        <f t="shared" si="0"/>
        <v>987</v>
      </c>
      <c r="E16" s="47">
        <f>'- 7 -'!E16</f>
        <v>948</v>
      </c>
      <c r="F16" s="47">
        <v>910.1</v>
      </c>
      <c r="G16" s="47">
        <v>903.9</v>
      </c>
    </row>
    <row r="17" spans="1:7" ht="14.1" customHeight="1" x14ac:dyDescent="0.2">
      <c r="A17" s="271" t="s">
        <v>113</v>
      </c>
      <c r="B17" s="272">
        <v>1474</v>
      </c>
      <c r="C17" s="272">
        <v>0</v>
      </c>
      <c r="D17" s="272">
        <f t="shared" si="0"/>
        <v>1474</v>
      </c>
      <c r="E17" s="292">
        <f>'- 7 -'!E17</f>
        <v>1446</v>
      </c>
      <c r="F17" s="292">
        <v>1348.7</v>
      </c>
      <c r="G17" s="292">
        <v>1356.5</v>
      </c>
    </row>
    <row r="18" spans="1:7" ht="14.1" customHeight="1" x14ac:dyDescent="0.2">
      <c r="A18" s="15" t="s">
        <v>114</v>
      </c>
      <c r="B18" s="16">
        <v>6670</v>
      </c>
      <c r="C18" s="16">
        <v>439</v>
      </c>
      <c r="D18" s="16">
        <f t="shared" si="0"/>
        <v>6231</v>
      </c>
      <c r="E18" s="47">
        <f>'- 7 -'!E18</f>
        <v>5989</v>
      </c>
      <c r="F18" s="47">
        <v>2120.5</v>
      </c>
      <c r="G18" s="47">
        <v>2132.1</v>
      </c>
    </row>
    <row r="19" spans="1:7" ht="14.1" customHeight="1" x14ac:dyDescent="0.2">
      <c r="A19" s="271" t="s">
        <v>115</v>
      </c>
      <c r="B19" s="272">
        <v>4549</v>
      </c>
      <c r="C19" s="272">
        <v>0</v>
      </c>
      <c r="D19" s="272">
        <f t="shared" si="0"/>
        <v>4549</v>
      </c>
      <c r="E19" s="292">
        <f>'- 7 -'!E19</f>
        <v>4448.5</v>
      </c>
      <c r="F19" s="292">
        <v>4362.8999999999996</v>
      </c>
      <c r="G19" s="292">
        <v>4370.7999999999993</v>
      </c>
    </row>
    <row r="20" spans="1:7" ht="14.1" customHeight="1" x14ac:dyDescent="0.2">
      <c r="A20" s="15" t="s">
        <v>116</v>
      </c>
      <c r="B20" s="16">
        <v>8353</v>
      </c>
      <c r="C20" s="16">
        <v>0</v>
      </c>
      <c r="D20" s="16">
        <f t="shared" si="0"/>
        <v>8353</v>
      </c>
      <c r="E20" s="47">
        <f>'- 7 -'!E20</f>
        <v>8142</v>
      </c>
      <c r="F20" s="47">
        <v>8018.5</v>
      </c>
      <c r="G20" s="47">
        <v>7878.3</v>
      </c>
    </row>
    <row r="21" spans="1:7" ht="14.1" customHeight="1" x14ac:dyDescent="0.2">
      <c r="A21" s="271" t="s">
        <v>117</v>
      </c>
      <c r="B21" s="272">
        <v>2931</v>
      </c>
      <c r="C21" s="272">
        <v>0</v>
      </c>
      <c r="D21" s="272">
        <f t="shared" si="0"/>
        <v>2931</v>
      </c>
      <c r="E21" s="292">
        <f>'- 7 -'!E21</f>
        <v>2801</v>
      </c>
      <c r="F21" s="292">
        <v>2825</v>
      </c>
      <c r="G21" s="292">
        <v>2835.8</v>
      </c>
    </row>
    <row r="22" spans="1:7" ht="14.1" customHeight="1" x14ac:dyDescent="0.2">
      <c r="A22" s="15" t="s">
        <v>118</v>
      </c>
      <c r="B22" s="16">
        <v>1518</v>
      </c>
      <c r="C22" s="16">
        <v>0</v>
      </c>
      <c r="D22" s="16">
        <f t="shared" si="0"/>
        <v>1518</v>
      </c>
      <c r="E22" s="47">
        <f>'- 7 -'!E22</f>
        <v>1434.5</v>
      </c>
      <c r="F22" s="47">
        <v>1464.5</v>
      </c>
      <c r="G22" s="47">
        <v>1468.6</v>
      </c>
    </row>
    <row r="23" spans="1:7" ht="14.1" customHeight="1" x14ac:dyDescent="0.2">
      <c r="A23" s="271" t="s">
        <v>119</v>
      </c>
      <c r="B23" s="272">
        <v>978</v>
      </c>
      <c r="C23" s="272">
        <v>0</v>
      </c>
      <c r="D23" s="272">
        <f t="shared" si="0"/>
        <v>978</v>
      </c>
      <c r="E23" s="292">
        <f>'- 7 -'!E23</f>
        <v>932</v>
      </c>
      <c r="F23" s="292">
        <v>914.8</v>
      </c>
      <c r="G23" s="292">
        <v>938.5</v>
      </c>
    </row>
    <row r="24" spans="1:7" ht="14.1" customHeight="1" x14ac:dyDescent="0.2">
      <c r="A24" s="15" t="s">
        <v>120</v>
      </c>
      <c r="B24" s="16">
        <v>3883</v>
      </c>
      <c r="C24" s="16">
        <v>0</v>
      </c>
      <c r="D24" s="16">
        <f t="shared" si="0"/>
        <v>3883</v>
      </c>
      <c r="E24" s="47">
        <f>'- 7 -'!E24</f>
        <v>3720</v>
      </c>
      <c r="F24" s="47">
        <v>3676.8</v>
      </c>
      <c r="G24" s="47">
        <v>3756.1</v>
      </c>
    </row>
    <row r="25" spans="1:7" ht="14.1" customHeight="1" x14ac:dyDescent="0.2">
      <c r="A25" s="271" t="s">
        <v>121</v>
      </c>
      <c r="B25" s="272">
        <v>15619</v>
      </c>
      <c r="C25" s="272">
        <v>0</v>
      </c>
      <c r="D25" s="272">
        <f t="shared" si="0"/>
        <v>15619</v>
      </c>
      <c r="E25" s="292">
        <f>'- 7 -'!E25</f>
        <v>15146</v>
      </c>
      <c r="F25" s="292">
        <v>14714.6</v>
      </c>
      <c r="G25" s="292">
        <v>14559.7</v>
      </c>
    </row>
    <row r="26" spans="1:7" ht="14.1" customHeight="1" x14ac:dyDescent="0.2">
      <c r="A26" s="15" t="s">
        <v>122</v>
      </c>
      <c r="B26" s="16">
        <v>3183</v>
      </c>
      <c r="C26" s="16">
        <v>0</v>
      </c>
      <c r="D26" s="16">
        <f t="shared" si="0"/>
        <v>3183</v>
      </c>
      <c r="E26" s="47">
        <f>'- 7 -'!E26</f>
        <v>3083</v>
      </c>
      <c r="F26" s="47">
        <v>2962</v>
      </c>
      <c r="G26" s="47">
        <v>2881.5</v>
      </c>
    </row>
    <row r="27" spans="1:7" ht="14.1" customHeight="1" x14ac:dyDescent="0.2">
      <c r="A27" s="271" t="s">
        <v>123</v>
      </c>
      <c r="B27" s="272">
        <v>3153</v>
      </c>
      <c r="C27" s="272">
        <v>0</v>
      </c>
      <c r="D27" s="272">
        <f t="shared" si="0"/>
        <v>3153</v>
      </c>
      <c r="E27" s="292">
        <f>'- 7 -'!E27</f>
        <v>3006</v>
      </c>
      <c r="F27" s="292">
        <v>2964.2</v>
      </c>
      <c r="G27" s="292">
        <v>2927.4</v>
      </c>
    </row>
    <row r="28" spans="1:7" ht="14.1" customHeight="1" x14ac:dyDescent="0.2">
      <c r="A28" s="15" t="s">
        <v>124</v>
      </c>
      <c r="B28" s="16">
        <v>2098</v>
      </c>
      <c r="C28" s="16">
        <v>29</v>
      </c>
      <c r="D28" s="16">
        <f t="shared" si="0"/>
        <v>2069</v>
      </c>
      <c r="E28" s="47">
        <f>'- 7 -'!E28</f>
        <v>2019</v>
      </c>
      <c r="F28" s="47">
        <v>1487.2</v>
      </c>
      <c r="G28" s="47">
        <v>1483.7</v>
      </c>
    </row>
    <row r="29" spans="1:7" ht="14.1" customHeight="1" x14ac:dyDescent="0.2">
      <c r="A29" s="271" t="s">
        <v>125</v>
      </c>
      <c r="B29" s="272">
        <v>14916</v>
      </c>
      <c r="C29" s="272">
        <v>0</v>
      </c>
      <c r="D29" s="272">
        <f t="shared" si="0"/>
        <v>14916</v>
      </c>
      <c r="E29" s="292">
        <f>'- 7 -'!E29</f>
        <v>14385</v>
      </c>
      <c r="F29" s="292">
        <v>14143.1</v>
      </c>
      <c r="G29" s="292">
        <v>13661.2</v>
      </c>
    </row>
    <row r="30" spans="1:7" ht="14.1" customHeight="1" x14ac:dyDescent="0.2">
      <c r="A30" s="15" t="s">
        <v>126</v>
      </c>
      <c r="B30" s="16">
        <v>1068</v>
      </c>
      <c r="C30" s="16">
        <v>0</v>
      </c>
      <c r="D30" s="16">
        <f t="shared" si="0"/>
        <v>1068</v>
      </c>
      <c r="E30" s="47">
        <f>'- 7 -'!E30</f>
        <v>1046.5</v>
      </c>
      <c r="F30" s="47">
        <v>1025.5</v>
      </c>
      <c r="G30" s="47">
        <v>1023.5</v>
      </c>
    </row>
    <row r="31" spans="1:7" ht="14.1" customHeight="1" x14ac:dyDescent="0.2">
      <c r="A31" s="271" t="s">
        <v>127</v>
      </c>
      <c r="B31" s="272">
        <v>3463</v>
      </c>
      <c r="C31" s="272">
        <v>0</v>
      </c>
      <c r="D31" s="272">
        <f t="shared" si="0"/>
        <v>3463</v>
      </c>
      <c r="E31" s="292">
        <f>'- 7 -'!E31</f>
        <v>3352</v>
      </c>
      <c r="F31" s="292">
        <v>3017.1</v>
      </c>
      <c r="G31" s="292">
        <v>3043.2</v>
      </c>
    </row>
    <row r="32" spans="1:7" ht="14.1" customHeight="1" x14ac:dyDescent="0.2">
      <c r="A32" s="15" t="s">
        <v>128</v>
      </c>
      <c r="B32" s="16">
        <v>2376</v>
      </c>
      <c r="C32" s="16">
        <v>0</v>
      </c>
      <c r="D32" s="16">
        <f t="shared" si="0"/>
        <v>2376</v>
      </c>
      <c r="E32" s="47">
        <f>'- 7 -'!E32</f>
        <v>2335.5</v>
      </c>
      <c r="F32" s="47">
        <v>2275.3999999999996</v>
      </c>
      <c r="G32" s="47">
        <v>2226</v>
      </c>
    </row>
    <row r="33" spans="1:7" ht="14.1" customHeight="1" x14ac:dyDescent="0.2">
      <c r="A33" s="271" t="s">
        <v>129</v>
      </c>
      <c r="B33" s="272">
        <v>2143</v>
      </c>
      <c r="C33" s="272">
        <v>0</v>
      </c>
      <c r="D33" s="272">
        <f t="shared" si="0"/>
        <v>2143</v>
      </c>
      <c r="E33" s="292">
        <f>'- 7 -'!E33</f>
        <v>2065.1999999999998</v>
      </c>
      <c r="F33" s="292">
        <v>2010.2</v>
      </c>
      <c r="G33" s="292">
        <v>1996.3</v>
      </c>
    </row>
    <row r="34" spans="1:7" ht="14.1" customHeight="1" x14ac:dyDescent="0.2">
      <c r="A34" s="15" t="s">
        <v>130</v>
      </c>
      <c r="B34" s="16">
        <v>2324</v>
      </c>
      <c r="C34" s="16">
        <v>0</v>
      </c>
      <c r="D34" s="16">
        <f t="shared" si="0"/>
        <v>2324</v>
      </c>
      <c r="E34" s="47">
        <f>'- 7 -'!E34</f>
        <v>2279.6999999999998</v>
      </c>
      <c r="F34" s="47">
        <v>2222.5</v>
      </c>
      <c r="G34" s="47">
        <v>2180.6</v>
      </c>
    </row>
    <row r="35" spans="1:7" ht="14.1" customHeight="1" x14ac:dyDescent="0.2">
      <c r="A35" s="271" t="s">
        <v>131</v>
      </c>
      <c r="B35" s="272">
        <v>16851</v>
      </c>
      <c r="C35" s="272">
        <v>0</v>
      </c>
      <c r="D35" s="272">
        <f t="shared" si="0"/>
        <v>16851</v>
      </c>
      <c r="E35" s="292">
        <f>'- 7 -'!E35</f>
        <v>16298.5</v>
      </c>
      <c r="F35" s="292">
        <v>16056.8</v>
      </c>
      <c r="G35" s="292">
        <v>15899.5</v>
      </c>
    </row>
    <row r="36" spans="1:7" ht="14.1" customHeight="1" x14ac:dyDescent="0.2">
      <c r="A36" s="15" t="s">
        <v>132</v>
      </c>
      <c r="B36" s="16">
        <v>1795</v>
      </c>
      <c r="C36" s="16">
        <v>0</v>
      </c>
      <c r="D36" s="16">
        <f t="shared" si="0"/>
        <v>1795</v>
      </c>
      <c r="E36" s="47">
        <f>'- 7 -'!E36</f>
        <v>1745.5</v>
      </c>
      <c r="F36" s="47">
        <v>1620.5</v>
      </c>
      <c r="G36" s="47">
        <v>1578.6999999999998</v>
      </c>
    </row>
    <row r="37" spans="1:7" ht="14.1" customHeight="1" x14ac:dyDescent="0.2">
      <c r="A37" s="271" t="s">
        <v>133</v>
      </c>
      <c r="B37" s="272">
        <v>4481</v>
      </c>
      <c r="C37" s="272">
        <v>0</v>
      </c>
      <c r="D37" s="272">
        <f t="shared" si="0"/>
        <v>4481</v>
      </c>
      <c r="E37" s="292">
        <f>'- 7 -'!E37</f>
        <v>4364</v>
      </c>
      <c r="F37" s="292">
        <v>4277.3999999999996</v>
      </c>
      <c r="G37" s="292">
        <v>4329.3</v>
      </c>
    </row>
    <row r="38" spans="1:7" ht="14.1" customHeight="1" x14ac:dyDescent="0.2">
      <c r="A38" s="15" t="s">
        <v>134</v>
      </c>
      <c r="B38" s="16">
        <v>11800</v>
      </c>
      <c r="C38" s="16">
        <v>0</v>
      </c>
      <c r="D38" s="16">
        <f t="shared" si="0"/>
        <v>11800</v>
      </c>
      <c r="E38" s="47">
        <f>'- 7 -'!E38</f>
        <v>11654.4</v>
      </c>
      <c r="F38" s="47">
        <v>11265.7</v>
      </c>
      <c r="G38" s="47">
        <v>11128.7</v>
      </c>
    </row>
    <row r="39" spans="1:7" ht="14.1" customHeight="1" x14ac:dyDescent="0.2">
      <c r="A39" s="271" t="s">
        <v>135</v>
      </c>
      <c r="B39" s="272">
        <v>1565</v>
      </c>
      <c r="C39" s="272">
        <v>0</v>
      </c>
      <c r="D39" s="272">
        <f t="shared" si="0"/>
        <v>1565</v>
      </c>
      <c r="E39" s="292">
        <f>'- 7 -'!E39</f>
        <v>1490.6</v>
      </c>
      <c r="F39" s="292">
        <v>1485.7</v>
      </c>
      <c r="G39" s="292">
        <v>1485.4</v>
      </c>
    </row>
    <row r="40" spans="1:7" ht="14.1" customHeight="1" x14ac:dyDescent="0.2">
      <c r="A40" s="15" t="s">
        <v>136</v>
      </c>
      <c r="B40" s="16">
        <v>8459</v>
      </c>
      <c r="C40" s="16">
        <v>0</v>
      </c>
      <c r="D40" s="16">
        <f t="shared" si="0"/>
        <v>8459</v>
      </c>
      <c r="E40" s="47">
        <f>'- 7 -'!E40</f>
        <v>8222.5</v>
      </c>
      <c r="F40" s="47">
        <v>8018.8</v>
      </c>
      <c r="G40" s="47">
        <v>8061.2</v>
      </c>
    </row>
    <row r="41" spans="1:7" ht="14.1" customHeight="1" x14ac:dyDescent="0.2">
      <c r="A41" s="271" t="s">
        <v>137</v>
      </c>
      <c r="B41" s="272">
        <v>4702</v>
      </c>
      <c r="C41" s="272">
        <v>0</v>
      </c>
      <c r="D41" s="272">
        <f t="shared" si="0"/>
        <v>4702</v>
      </c>
      <c r="E41" s="292">
        <f>'- 7 -'!E41</f>
        <v>4494</v>
      </c>
      <c r="F41" s="292">
        <v>4477.3999999999996</v>
      </c>
      <c r="G41" s="292">
        <v>4395.8999999999996</v>
      </c>
    </row>
    <row r="42" spans="1:7" ht="14.1" customHeight="1" x14ac:dyDescent="0.2">
      <c r="A42" s="15" t="s">
        <v>138</v>
      </c>
      <c r="B42" s="16">
        <v>1416</v>
      </c>
      <c r="C42" s="16">
        <v>0</v>
      </c>
      <c r="D42" s="16">
        <f t="shared" si="0"/>
        <v>1416</v>
      </c>
      <c r="E42" s="47">
        <f>'- 7 -'!E42</f>
        <v>1368.5</v>
      </c>
      <c r="F42" s="47">
        <v>1333.3</v>
      </c>
      <c r="G42" s="47">
        <v>1354.5</v>
      </c>
    </row>
    <row r="43" spans="1:7" ht="14.1" customHeight="1" x14ac:dyDescent="0.2">
      <c r="A43" s="271" t="s">
        <v>139</v>
      </c>
      <c r="B43" s="272">
        <v>1043</v>
      </c>
      <c r="C43" s="272">
        <v>0</v>
      </c>
      <c r="D43" s="272">
        <f t="shared" si="0"/>
        <v>1043</v>
      </c>
      <c r="E43" s="292">
        <f>'- 7 -'!E43</f>
        <v>1005</v>
      </c>
      <c r="F43" s="292">
        <v>1002.5</v>
      </c>
      <c r="G43" s="292">
        <v>991.5</v>
      </c>
    </row>
    <row r="44" spans="1:7" ht="14.1" customHeight="1" x14ac:dyDescent="0.2">
      <c r="A44" s="15" t="s">
        <v>140</v>
      </c>
      <c r="B44" s="16">
        <v>732</v>
      </c>
      <c r="C44" s="16">
        <v>9</v>
      </c>
      <c r="D44" s="16">
        <f t="shared" si="0"/>
        <v>723</v>
      </c>
      <c r="E44" s="47">
        <f>'- 7 -'!E44</f>
        <v>693.5</v>
      </c>
      <c r="F44" s="47">
        <v>688.2</v>
      </c>
      <c r="G44" s="47">
        <v>708.2</v>
      </c>
    </row>
    <row r="45" spans="1:7" ht="14.1" customHeight="1" x14ac:dyDescent="0.2">
      <c r="A45" s="271" t="s">
        <v>141</v>
      </c>
      <c r="B45" s="272">
        <v>2009</v>
      </c>
      <c r="C45" s="272">
        <v>0</v>
      </c>
      <c r="D45" s="272">
        <f t="shared" si="0"/>
        <v>2009</v>
      </c>
      <c r="E45" s="292">
        <f>'- 7 -'!E45</f>
        <v>2075</v>
      </c>
      <c r="F45" s="292">
        <v>1918.4</v>
      </c>
      <c r="G45" s="292">
        <v>1779.1</v>
      </c>
    </row>
    <row r="46" spans="1:7" ht="14.1" customHeight="1" x14ac:dyDescent="0.2">
      <c r="A46" s="15" t="s">
        <v>142</v>
      </c>
      <c r="B46" s="16">
        <v>32743</v>
      </c>
      <c r="C46" s="16">
        <v>1693</v>
      </c>
      <c r="D46" s="16">
        <f t="shared" si="0"/>
        <v>31050</v>
      </c>
      <c r="E46" s="47">
        <f>'- 7 -'!E46</f>
        <v>29917</v>
      </c>
      <c r="F46" s="47">
        <v>29273.3</v>
      </c>
      <c r="G46" s="47">
        <v>29503.8</v>
      </c>
    </row>
    <row r="47" spans="1:7" ht="5.0999999999999996" customHeight="1" x14ac:dyDescent="0.2">
      <c r="A47"/>
      <c r="B47"/>
      <c r="C47"/>
      <c r="D47"/>
      <c r="E47"/>
      <c r="F47"/>
      <c r="G47"/>
    </row>
    <row r="48" spans="1:7" ht="14.1" customHeight="1" x14ac:dyDescent="0.2">
      <c r="A48" s="274" t="s">
        <v>143</v>
      </c>
      <c r="B48" s="275">
        <f t="shared" ref="B48:G48" si="1">SUM(B11:B46)</f>
        <v>189903</v>
      </c>
      <c r="C48" s="275">
        <f t="shared" si="1"/>
        <v>2208</v>
      </c>
      <c r="D48" s="275">
        <f t="shared" si="1"/>
        <v>187695</v>
      </c>
      <c r="E48" s="293">
        <f t="shared" si="1"/>
        <v>182185.4</v>
      </c>
      <c r="F48" s="293">
        <f t="shared" si="1"/>
        <v>173468.29999999996</v>
      </c>
      <c r="G48" s="293">
        <f t="shared" si="1"/>
        <v>172009.60000000001</v>
      </c>
    </row>
    <row r="49" spans="1:7" ht="5.0999999999999996" customHeight="1" x14ac:dyDescent="0.2">
      <c r="A49" s="17" t="s">
        <v>1</v>
      </c>
      <c r="B49" s="18"/>
      <c r="C49" s="18"/>
      <c r="D49" s="18"/>
      <c r="E49" s="50"/>
      <c r="F49" s="50"/>
      <c r="G49" s="50"/>
    </row>
    <row r="50" spans="1:7" ht="14.1" customHeight="1" x14ac:dyDescent="0.2">
      <c r="A50" s="15" t="s">
        <v>144</v>
      </c>
      <c r="B50" s="16">
        <v>211</v>
      </c>
      <c r="C50" s="16">
        <v>12</v>
      </c>
      <c r="D50" s="16">
        <f t="shared" ref="D50:D51" si="2">+B50-C50</f>
        <v>199</v>
      </c>
      <c r="E50" s="47">
        <f>'- 7 -'!E50</f>
        <v>172</v>
      </c>
      <c r="F50" s="47">
        <v>184</v>
      </c>
      <c r="G50" s="47">
        <v>176.5</v>
      </c>
    </row>
    <row r="51" spans="1:7" ht="14.1" customHeight="1" x14ac:dyDescent="0.2">
      <c r="A51" s="360" t="s">
        <v>513</v>
      </c>
      <c r="B51" s="272">
        <v>0</v>
      </c>
      <c r="C51" s="272">
        <v>0</v>
      </c>
      <c r="D51" s="272">
        <f t="shared" si="2"/>
        <v>0</v>
      </c>
      <c r="E51" s="292">
        <f>'- 7 -'!E51</f>
        <v>1774.1</v>
      </c>
      <c r="F51" s="292"/>
      <c r="G51" s="292"/>
    </row>
    <row r="52" spans="1:7" ht="50.1" customHeight="1" x14ac:dyDescent="0.2">
      <c r="A52" s="19"/>
      <c r="B52" s="19"/>
      <c r="C52" s="19"/>
      <c r="D52" s="19"/>
      <c r="E52" s="19"/>
      <c r="F52" s="99"/>
      <c r="G52" s="99"/>
    </row>
    <row r="53" spans="1:7" ht="15" customHeight="1" x14ac:dyDescent="0.2">
      <c r="A53" s="20" t="s">
        <v>339</v>
      </c>
      <c r="C53" s="90"/>
      <c r="D53" s="90"/>
      <c r="E53" s="90"/>
      <c r="F53" s="90"/>
    </row>
    <row r="54" spans="1:7" ht="12" customHeight="1" x14ac:dyDescent="0.2">
      <c r="A54" s="569" t="s">
        <v>377</v>
      </c>
      <c r="B54" s="589"/>
      <c r="C54" s="589"/>
      <c r="D54" s="589"/>
      <c r="E54" s="589"/>
      <c r="F54" s="589"/>
      <c r="G54" s="589"/>
    </row>
    <row r="55" spans="1:7" ht="12" customHeight="1" x14ac:dyDescent="0.2">
      <c r="A55" s="589"/>
      <c r="B55" s="589"/>
      <c r="C55" s="589"/>
      <c r="D55" s="589"/>
      <c r="E55" s="589"/>
      <c r="F55" s="589"/>
      <c r="G55" s="589"/>
    </row>
    <row r="56" spans="1:7" ht="12" customHeight="1" x14ac:dyDescent="0.2">
      <c r="A56" s="131" t="s">
        <v>587</v>
      </c>
      <c r="C56" s="90"/>
      <c r="D56" s="90"/>
      <c r="E56" s="90"/>
      <c r="F56" s="91"/>
    </row>
    <row r="57" spans="1:7" ht="14.45" customHeight="1" x14ac:dyDescent="0.2">
      <c r="A57" s="20"/>
      <c r="B57" s="90"/>
      <c r="C57" s="90"/>
      <c r="D57" s="90"/>
      <c r="E57" s="90"/>
      <c r="F57" s="90"/>
    </row>
    <row r="58" spans="1:7" ht="14.45" customHeight="1" x14ac:dyDescent="0.2">
      <c r="F58" s="428"/>
      <c r="G58" s="428"/>
    </row>
    <row r="59" spans="1:7" ht="14.45" customHeight="1" x14ac:dyDescent="0.2">
      <c r="F59" s="428"/>
      <c r="G59" s="428"/>
    </row>
    <row r="60" spans="1:7" x14ac:dyDescent="0.2">
      <c r="F60" s="428"/>
      <c r="G60" s="428"/>
    </row>
    <row r="61" spans="1:7" x14ac:dyDescent="0.2">
      <c r="F61" s="428"/>
      <c r="G61" s="428"/>
    </row>
    <row r="62" spans="1:7" x14ac:dyDescent="0.2">
      <c r="F62" s="428"/>
      <c r="G62" s="428"/>
    </row>
    <row r="63" spans="1:7" x14ac:dyDescent="0.2">
      <c r="F63" s="428"/>
      <c r="G63" s="428"/>
    </row>
  </sheetData>
  <mergeCells count="11">
    <mergeCell ref="B6:D7"/>
    <mergeCell ref="E6:E7"/>
    <mergeCell ref="F6:F7"/>
    <mergeCell ref="G6:G7"/>
    <mergeCell ref="A54:G55"/>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B58"/>
  <sheetViews>
    <sheetView showGridLines="0" showZeros="0" workbookViewId="0"/>
  </sheetViews>
  <sheetFormatPr defaultColWidth="9.33203125" defaultRowHeight="12" x14ac:dyDescent="0.2"/>
  <cols>
    <col min="1" max="1" width="39.83203125" style="1" customWidth="1"/>
    <col min="2" max="3" width="31.83203125" style="1" customWidth="1"/>
    <col min="4" max="4" width="29.83203125" style="1" customWidth="1"/>
    <col min="5" max="16384" width="9.33203125" style="1"/>
  </cols>
  <sheetData>
    <row r="1" spans="1:54" ht="6.95" customHeight="1" x14ac:dyDescent="0.2">
      <c r="A1" s="3"/>
      <c r="B1" s="4"/>
      <c r="C1" s="4"/>
      <c r="D1" s="4"/>
    </row>
    <row r="2" spans="1:54" ht="15.95" customHeight="1" x14ac:dyDescent="0.2">
      <c r="A2" s="33"/>
      <c r="B2" s="34" t="str">
        <f>IF(Lang=1,BA2,BB2)</f>
        <v>PUPIL / TEACHER RATIOS</v>
      </c>
      <c r="C2" s="6"/>
      <c r="D2" s="80"/>
      <c r="BA2" s="458" t="s">
        <v>80</v>
      </c>
      <c r="BB2" s="458" t="s">
        <v>383</v>
      </c>
    </row>
    <row r="3" spans="1:54" ht="15.95" customHeight="1" x14ac:dyDescent="0.2">
      <c r="A3" s="37"/>
      <c r="B3" s="7" t="str">
        <f>STATDATE</f>
        <v>ESTIMATE SEPTEMBER 30, 2020</v>
      </c>
      <c r="C3" s="8"/>
      <c r="D3" s="81"/>
    </row>
    <row r="4" spans="1:54" ht="15.95" customHeight="1" x14ac:dyDescent="0.2">
      <c r="B4" s="4"/>
      <c r="C4" s="4"/>
      <c r="D4" s="4"/>
    </row>
    <row r="5" spans="1:54" ht="15.95" customHeight="1" x14ac:dyDescent="0.2">
      <c r="B5" s="4"/>
      <c r="C5" s="4"/>
      <c r="D5" s="4"/>
    </row>
    <row r="6" spans="1:54" ht="15.95" customHeight="1" x14ac:dyDescent="0.2">
      <c r="B6" s="4"/>
      <c r="C6" s="4"/>
      <c r="D6" s="4"/>
    </row>
    <row r="7" spans="1:54" ht="15.95" customHeight="1" x14ac:dyDescent="0.2">
      <c r="B7" s="597" t="s">
        <v>79</v>
      </c>
      <c r="C7" s="598"/>
      <c r="D7" s="4"/>
    </row>
    <row r="8" spans="1:54" ht="15.95" customHeight="1" x14ac:dyDescent="0.2">
      <c r="A8" s="82"/>
      <c r="B8" s="594" t="s">
        <v>384</v>
      </c>
      <c r="C8" s="596" t="s">
        <v>385</v>
      </c>
      <c r="D8" s="84"/>
    </row>
    <row r="9" spans="1:54" ht="15.95" customHeight="1" x14ac:dyDescent="0.2">
      <c r="A9" s="27" t="s">
        <v>37</v>
      </c>
      <c r="B9" s="595"/>
      <c r="C9" s="578"/>
    </row>
    <row r="10" spans="1:54" ht="5.0999999999999996" customHeight="1" x14ac:dyDescent="0.2">
      <c r="A10" s="29"/>
    </row>
    <row r="11" spans="1:54" ht="14.1" customHeight="1" x14ac:dyDescent="0.2">
      <c r="A11" s="271" t="s">
        <v>108</v>
      </c>
      <c r="B11" s="292">
        <v>16.74080913211348</v>
      </c>
      <c r="C11" s="292">
        <v>14.36028511771906</v>
      </c>
    </row>
    <row r="12" spans="1:54" ht="14.1" customHeight="1" x14ac:dyDescent="0.2">
      <c r="A12" s="15" t="s">
        <v>109</v>
      </c>
      <c r="B12" s="47">
        <v>13.939943049443437</v>
      </c>
      <c r="C12" s="47">
        <v>11.283098923548364</v>
      </c>
    </row>
    <row r="13" spans="1:54" ht="14.1" customHeight="1" x14ac:dyDescent="0.2">
      <c r="A13" s="271" t="s">
        <v>110</v>
      </c>
      <c r="B13" s="292">
        <v>16.782820719579156</v>
      </c>
      <c r="C13" s="292">
        <v>12.723792611568804</v>
      </c>
    </row>
    <row r="14" spans="1:54" ht="14.1" customHeight="1" x14ac:dyDescent="0.2">
      <c r="A14" s="15" t="s">
        <v>319</v>
      </c>
      <c r="B14" s="47">
        <v>15.218384966988319</v>
      </c>
      <c r="C14" s="47">
        <v>12.161120129870129</v>
      </c>
    </row>
    <row r="15" spans="1:54" ht="14.1" customHeight="1" x14ac:dyDescent="0.2">
      <c r="A15" s="271" t="s">
        <v>111</v>
      </c>
      <c r="B15" s="292">
        <v>17.468069120961683</v>
      </c>
      <c r="C15" s="292">
        <v>13.550267119961147</v>
      </c>
    </row>
    <row r="16" spans="1:54" ht="14.1" customHeight="1" x14ac:dyDescent="0.2">
      <c r="A16" s="15" t="s">
        <v>112</v>
      </c>
      <c r="B16" s="47">
        <v>15.222802087515054</v>
      </c>
      <c r="C16" s="47">
        <v>12</v>
      </c>
    </row>
    <row r="17" spans="1:3" ht="14.1" customHeight="1" x14ac:dyDescent="0.2">
      <c r="A17" s="271" t="s">
        <v>113</v>
      </c>
      <c r="B17" s="292">
        <v>14.959652389819988</v>
      </c>
      <c r="C17" s="292">
        <v>12.954667622289913</v>
      </c>
    </row>
    <row r="18" spans="1:3" ht="14.1" customHeight="1" x14ac:dyDescent="0.2">
      <c r="A18" s="15" t="s">
        <v>114</v>
      </c>
      <c r="B18" s="47">
        <v>14.413959085439229</v>
      </c>
      <c r="C18" s="47">
        <v>11.50491778085139</v>
      </c>
    </row>
    <row r="19" spans="1:3" ht="14.1" customHeight="1" x14ac:dyDescent="0.2">
      <c r="A19" s="271" t="s">
        <v>115</v>
      </c>
      <c r="B19" s="292">
        <v>18.251005169442848</v>
      </c>
      <c r="C19" s="292">
        <v>14.686365137008913</v>
      </c>
    </row>
    <row r="20" spans="1:3" ht="14.1" customHeight="1" x14ac:dyDescent="0.2">
      <c r="A20" s="15" t="s">
        <v>116</v>
      </c>
      <c r="B20" s="47">
        <v>17.656626114110988</v>
      </c>
      <c r="C20" s="47">
        <v>14.202360082681389</v>
      </c>
    </row>
    <row r="21" spans="1:3" ht="14.1" customHeight="1" x14ac:dyDescent="0.2">
      <c r="A21" s="271" t="s">
        <v>117</v>
      </c>
      <c r="B21" s="292">
        <v>15.964662296950697</v>
      </c>
      <c r="C21" s="292">
        <v>12.099352051835853</v>
      </c>
    </row>
    <row r="22" spans="1:3" ht="14.1" customHeight="1" x14ac:dyDescent="0.2">
      <c r="A22" s="15" t="s">
        <v>118</v>
      </c>
      <c r="B22" s="47">
        <v>15.850828729281767</v>
      </c>
      <c r="C22" s="47">
        <v>12.244985061886471</v>
      </c>
    </row>
    <row r="23" spans="1:3" ht="14.1" customHeight="1" x14ac:dyDescent="0.2">
      <c r="A23" s="271" t="s">
        <v>119</v>
      </c>
      <c r="B23" s="292">
        <v>14.971887550200803</v>
      </c>
      <c r="C23" s="292">
        <v>11.606475716064757</v>
      </c>
    </row>
    <row r="24" spans="1:3" ht="14.1" customHeight="1" x14ac:dyDescent="0.2">
      <c r="A24" s="15" t="s">
        <v>120</v>
      </c>
      <c r="B24" s="47">
        <v>14.88</v>
      </c>
      <c r="C24" s="47">
        <v>11.735015772870662</v>
      </c>
    </row>
    <row r="25" spans="1:3" ht="14.1" customHeight="1" x14ac:dyDescent="0.2">
      <c r="A25" s="271" t="s">
        <v>121</v>
      </c>
      <c r="B25" s="292">
        <v>17.948262173083531</v>
      </c>
      <c r="C25" s="292">
        <v>13.92146770101842</v>
      </c>
    </row>
    <row r="26" spans="1:3" ht="14.1" customHeight="1" x14ac:dyDescent="0.2">
      <c r="A26" s="15" t="s">
        <v>122</v>
      </c>
      <c r="B26" s="47">
        <v>16.028073823758774</v>
      </c>
      <c r="C26" s="47">
        <v>13.285929756517991</v>
      </c>
    </row>
    <row r="27" spans="1:3" ht="14.1" customHeight="1" x14ac:dyDescent="0.2">
      <c r="A27" s="271" t="s">
        <v>123</v>
      </c>
      <c r="B27" s="292">
        <v>15.883751651254954</v>
      </c>
      <c r="C27" s="292">
        <v>12.511966701352758</v>
      </c>
    </row>
    <row r="28" spans="1:3" ht="14.1" customHeight="1" x14ac:dyDescent="0.2">
      <c r="A28" s="15" t="s">
        <v>124</v>
      </c>
      <c r="B28" s="47">
        <v>14.668700959023541</v>
      </c>
      <c r="C28" s="47">
        <v>12.054451012000717</v>
      </c>
    </row>
    <row r="29" spans="1:3" ht="14.1" customHeight="1" x14ac:dyDescent="0.2">
      <c r="A29" s="271" t="s">
        <v>125</v>
      </c>
      <c r="B29" s="292">
        <v>17.565174919103729</v>
      </c>
      <c r="C29" s="292">
        <v>14.10252639628246</v>
      </c>
    </row>
    <row r="30" spans="1:3" ht="14.1" customHeight="1" x14ac:dyDescent="0.2">
      <c r="A30" s="15" t="s">
        <v>126</v>
      </c>
      <c r="B30" s="47">
        <v>14.254580126677109</v>
      </c>
      <c r="C30" s="47">
        <v>11.61938599900072</v>
      </c>
    </row>
    <row r="31" spans="1:3" ht="14.1" customHeight="1" x14ac:dyDescent="0.2">
      <c r="A31" s="271" t="s">
        <v>127</v>
      </c>
      <c r="B31" s="292">
        <v>16.10145066769142</v>
      </c>
      <c r="C31" s="292">
        <v>12.591090075877093</v>
      </c>
    </row>
    <row r="32" spans="1:3" ht="14.1" customHeight="1" x14ac:dyDescent="0.2">
      <c r="A32" s="15" t="s">
        <v>128</v>
      </c>
      <c r="B32" s="47">
        <v>14.89097169089518</v>
      </c>
      <c r="C32" s="47">
        <v>11.996609821245119</v>
      </c>
    </row>
    <row r="33" spans="1:4" ht="14.1" customHeight="1" x14ac:dyDescent="0.2">
      <c r="A33" s="271" t="s">
        <v>129</v>
      </c>
      <c r="B33" s="292">
        <v>15.4407476635514</v>
      </c>
      <c r="C33" s="292">
        <v>12.634677822445212</v>
      </c>
    </row>
    <row r="34" spans="1:4" ht="14.1" customHeight="1" x14ac:dyDescent="0.2">
      <c r="A34" s="15" t="s">
        <v>130</v>
      </c>
      <c r="B34" s="47">
        <v>16.109815560737758</v>
      </c>
      <c r="C34" s="47">
        <v>12.483982257269592</v>
      </c>
    </row>
    <row r="35" spans="1:4" ht="14.1" customHeight="1" x14ac:dyDescent="0.2">
      <c r="A35" s="271" t="s">
        <v>131</v>
      </c>
      <c r="B35" s="292">
        <v>17.596221322537112</v>
      </c>
      <c r="C35" s="292">
        <v>13.857736814807888</v>
      </c>
    </row>
    <row r="36" spans="1:4" ht="14.1" customHeight="1" x14ac:dyDescent="0.2">
      <c r="A36" s="15" t="s">
        <v>132</v>
      </c>
      <c r="B36" s="47">
        <v>15.812836889070072</v>
      </c>
      <c r="C36" s="47">
        <v>12.892861099826423</v>
      </c>
    </row>
    <row r="37" spans="1:4" ht="14.1" customHeight="1" x14ac:dyDescent="0.2">
      <c r="A37" s="271" t="s">
        <v>133</v>
      </c>
      <c r="B37" s="292">
        <v>18.339987392309311</v>
      </c>
      <c r="C37" s="292">
        <v>13.980458113086659</v>
      </c>
    </row>
    <row r="38" spans="1:4" ht="14.1" customHeight="1" x14ac:dyDescent="0.2">
      <c r="A38" s="15" t="s">
        <v>134</v>
      </c>
      <c r="B38" s="47">
        <v>17.135043740351392</v>
      </c>
      <c r="C38" s="47">
        <v>14.048216007714561</v>
      </c>
    </row>
    <row r="39" spans="1:4" ht="14.1" customHeight="1" x14ac:dyDescent="0.2">
      <c r="A39" s="271" t="s">
        <v>135</v>
      </c>
      <c r="B39" s="292">
        <v>13.706666666666667</v>
      </c>
      <c r="C39" s="292">
        <v>11.559519193485848</v>
      </c>
    </row>
    <row r="40" spans="1:4" ht="14.1" customHeight="1" x14ac:dyDescent="0.2">
      <c r="A40" s="15" t="s">
        <v>136</v>
      </c>
      <c r="B40" s="47">
        <v>17.333881440256345</v>
      </c>
      <c r="C40" s="47">
        <v>13.194633888024134</v>
      </c>
    </row>
    <row r="41" spans="1:4" ht="14.1" customHeight="1" x14ac:dyDescent="0.2">
      <c r="A41" s="271" t="s">
        <v>137</v>
      </c>
      <c r="B41" s="292">
        <v>15.185912828348981</v>
      </c>
      <c r="C41" s="292">
        <v>11.785633611926816</v>
      </c>
    </row>
    <row r="42" spans="1:4" ht="14.1" customHeight="1" x14ac:dyDescent="0.2">
      <c r="A42" s="15" t="s">
        <v>138</v>
      </c>
      <c r="B42" s="47">
        <v>14.938325510315467</v>
      </c>
      <c r="C42" s="47">
        <v>12.176350209093336</v>
      </c>
    </row>
    <row r="43" spans="1:4" ht="14.1" customHeight="1" x14ac:dyDescent="0.2">
      <c r="A43" s="271" t="s">
        <v>139</v>
      </c>
      <c r="B43" s="292">
        <v>15.608013666718435</v>
      </c>
      <c r="C43" s="292">
        <v>12.700619234171617</v>
      </c>
    </row>
    <row r="44" spans="1:4" ht="14.1" customHeight="1" x14ac:dyDescent="0.2">
      <c r="A44" s="15" t="s">
        <v>140</v>
      </c>
      <c r="B44" s="47">
        <v>13.109640831758034</v>
      </c>
      <c r="C44" s="47">
        <v>11.034208432776452</v>
      </c>
    </row>
    <row r="45" spans="1:4" ht="14.1" customHeight="1" x14ac:dyDescent="0.2">
      <c r="A45" s="271" t="s">
        <v>141</v>
      </c>
      <c r="B45" s="292">
        <v>17.629566694987254</v>
      </c>
      <c r="C45" s="292">
        <v>14.784467402921269</v>
      </c>
    </row>
    <row r="46" spans="1:4" ht="14.1" customHeight="1" x14ac:dyDescent="0.2">
      <c r="A46" s="15" t="s">
        <v>142</v>
      </c>
      <c r="B46" s="47">
        <v>17.353650896772546</v>
      </c>
      <c r="C46" s="47">
        <v>13.162653385367399</v>
      </c>
    </row>
    <row r="47" spans="1:4" ht="5.0999999999999996" customHeight="1" x14ac:dyDescent="0.2">
      <c r="A47"/>
      <c r="B47"/>
      <c r="C47"/>
      <c r="D47"/>
    </row>
    <row r="48" spans="1:4" ht="14.1" customHeight="1" x14ac:dyDescent="0.2">
      <c r="A48" s="350" t="s">
        <v>143</v>
      </c>
      <c r="B48" s="351">
        <v>16.708344415397566</v>
      </c>
      <c r="C48" s="352">
        <v>13.16165180237593</v>
      </c>
      <c r="D48" s="29"/>
    </row>
    <row r="49" spans="1:4" ht="5.0999999999999996" customHeight="1" x14ac:dyDescent="0.2">
      <c r="A49" s="17" t="s">
        <v>1</v>
      </c>
      <c r="B49" s="50"/>
      <c r="C49" s="50"/>
    </row>
    <row r="50" spans="1:4" ht="14.1" customHeight="1" x14ac:dyDescent="0.2">
      <c r="A50" s="15" t="s">
        <v>144</v>
      </c>
      <c r="B50" s="47">
        <v>9.8285714285714292</v>
      </c>
      <c r="C50" s="47">
        <v>8.6345381526104408</v>
      </c>
    </row>
    <row r="51" spans="1:4" ht="14.1" customHeight="1" x14ac:dyDescent="0.2">
      <c r="A51" s="360" t="s">
        <v>513</v>
      </c>
      <c r="B51" s="292">
        <v>39.867415730337079</v>
      </c>
      <c r="C51" s="292">
        <v>30.853913043478258</v>
      </c>
    </row>
    <row r="52" spans="1:4" ht="50.1" customHeight="1" x14ac:dyDescent="0.2">
      <c r="A52" s="19"/>
      <c r="B52" s="19"/>
      <c r="C52" s="19"/>
      <c r="D52" s="19"/>
    </row>
    <row r="53" spans="1:4" ht="15" customHeight="1" x14ac:dyDescent="0.2">
      <c r="A53" s="568" t="s">
        <v>386</v>
      </c>
      <c r="B53" s="599"/>
      <c r="C53" s="599"/>
      <c r="D53" s="599"/>
    </row>
    <row r="54" spans="1:4" ht="12" customHeight="1" x14ac:dyDescent="0.2">
      <c r="A54" s="589"/>
      <c r="B54" s="589"/>
      <c r="C54" s="589"/>
      <c r="D54" s="589"/>
    </row>
    <row r="55" spans="1:4" ht="9.75" customHeight="1" x14ac:dyDescent="0.2">
      <c r="A55" s="589"/>
      <c r="B55" s="589"/>
      <c r="C55" s="589"/>
      <c r="D55" s="589"/>
    </row>
    <row r="56" spans="1:4" ht="12" customHeight="1" x14ac:dyDescent="0.2">
      <c r="A56" s="569" t="s">
        <v>521</v>
      </c>
      <c r="B56" s="569"/>
      <c r="C56" s="569"/>
      <c r="D56" s="569"/>
    </row>
    <row r="57" spans="1:4" ht="12" customHeight="1" x14ac:dyDescent="0.2">
      <c r="A57" s="569"/>
      <c r="B57" s="569"/>
      <c r="C57" s="569"/>
      <c r="D57" s="569"/>
    </row>
    <row r="58" spans="1:4" ht="12" customHeight="1" x14ac:dyDescent="0.2">
      <c r="A58" s="569"/>
      <c r="B58" s="569"/>
      <c r="C58" s="569"/>
      <c r="D58" s="569"/>
    </row>
  </sheetData>
  <mergeCells count="5">
    <mergeCell ref="B8:B9"/>
    <mergeCell ref="C8:C9"/>
    <mergeCell ref="B7:C7"/>
    <mergeCell ref="A53:D55"/>
    <mergeCell ref="A56:D58"/>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B50"/>
  <sheetViews>
    <sheetView showGridLines="0" showZeros="0" workbookViewId="0"/>
  </sheetViews>
  <sheetFormatPr defaultColWidth="15.83203125" defaultRowHeight="12" x14ac:dyDescent="0.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54" x14ac:dyDescent="0.2">
      <c r="A2" s="52"/>
      <c r="B2" s="52"/>
      <c r="C2" s="53" t="str">
        <f>OPYEAR</f>
        <v>OPERATING FUND 2020/2021 BUDGET</v>
      </c>
      <c r="D2" s="53"/>
      <c r="E2" s="53"/>
      <c r="F2" s="53"/>
      <c r="G2" s="53"/>
      <c r="H2" s="53"/>
      <c r="I2" s="53"/>
      <c r="J2" s="53"/>
      <c r="K2" s="52"/>
    </row>
    <row r="5" spans="1:54" ht="15.75" x14ac:dyDescent="0.25">
      <c r="C5" s="255" t="str">
        <f>IF(Lang=1,BA5,BB5)</f>
        <v>EXPENSE BY FUNCTION AND OBJECT</v>
      </c>
      <c r="D5" s="55"/>
      <c r="E5" s="55"/>
      <c r="F5" s="55"/>
      <c r="G5" s="55"/>
      <c r="H5" s="55"/>
      <c r="I5" s="55"/>
      <c r="J5" s="55"/>
      <c r="K5" s="4"/>
      <c r="BA5" s="456" t="s">
        <v>255</v>
      </c>
      <c r="BB5" s="456" t="s">
        <v>387</v>
      </c>
    </row>
    <row r="6" spans="1:54" x14ac:dyDescent="0.2">
      <c r="C6" s="54"/>
      <c r="D6" s="55"/>
      <c r="E6" s="55"/>
      <c r="F6" s="55"/>
      <c r="G6" s="55"/>
      <c r="H6" s="55"/>
      <c r="I6" s="55"/>
      <c r="J6" s="55"/>
      <c r="K6" s="4"/>
    </row>
    <row r="7" spans="1:54" x14ac:dyDescent="0.2">
      <c r="C7" s="54"/>
      <c r="D7" s="55"/>
      <c r="E7" s="55"/>
      <c r="F7" s="55"/>
      <c r="G7" s="55"/>
      <c r="H7" s="55"/>
      <c r="I7" s="55"/>
      <c r="J7" s="4"/>
      <c r="K7" s="4"/>
    </row>
    <row r="8" spans="1:54" x14ac:dyDescent="0.2">
      <c r="C8" s="4"/>
      <c r="D8" s="4"/>
      <c r="E8" s="4"/>
      <c r="F8" s="4"/>
      <c r="G8" s="4"/>
      <c r="H8" s="4"/>
      <c r="I8" s="4"/>
      <c r="J8" s="4"/>
      <c r="K8" s="4"/>
    </row>
    <row r="9" spans="1:54" x14ac:dyDescent="0.2">
      <c r="C9" s="4"/>
      <c r="D9" s="4"/>
      <c r="E9" s="4"/>
      <c r="F9" s="4"/>
      <c r="G9" s="4"/>
      <c r="H9" s="4"/>
      <c r="I9" s="4"/>
      <c r="J9" s="4"/>
      <c r="K9" s="4"/>
    </row>
    <row r="10" spans="1:54" x14ac:dyDescent="0.2">
      <c r="C10" s="603" t="s">
        <v>63</v>
      </c>
      <c r="D10" s="604"/>
      <c r="E10" s="604"/>
      <c r="F10" s="604"/>
      <c r="G10" s="604"/>
      <c r="H10" s="604"/>
      <c r="I10" s="604"/>
      <c r="J10" s="605"/>
      <c r="K10" s="4"/>
    </row>
    <row r="11" spans="1:54" x14ac:dyDescent="0.2">
      <c r="C11" s="4"/>
      <c r="D11" s="4"/>
      <c r="E11" s="4"/>
      <c r="F11" s="4"/>
      <c r="G11" s="4"/>
      <c r="H11" s="4"/>
      <c r="I11" s="4"/>
      <c r="J11" s="4"/>
      <c r="K11" s="4"/>
    </row>
    <row r="12" spans="1:54" x14ac:dyDescent="0.2">
      <c r="A12" s="56"/>
      <c r="B12" s="57"/>
      <c r="C12" s="606" t="s">
        <v>64</v>
      </c>
      <c r="D12" s="608" t="s">
        <v>82</v>
      </c>
      <c r="E12" s="606" t="s">
        <v>58</v>
      </c>
      <c r="F12" s="608" t="s">
        <v>388</v>
      </c>
      <c r="G12" s="610" t="s">
        <v>32</v>
      </c>
      <c r="H12" s="612" t="s">
        <v>389</v>
      </c>
      <c r="I12" s="614" t="s">
        <v>42</v>
      </c>
      <c r="J12" s="615"/>
      <c r="K12" s="606" t="s">
        <v>65</v>
      </c>
    </row>
    <row r="13" spans="1:54" x14ac:dyDescent="0.2">
      <c r="A13" s="601" t="s">
        <v>70</v>
      </c>
      <c r="B13" s="602"/>
      <c r="C13" s="607"/>
      <c r="D13" s="609"/>
      <c r="E13" s="607"/>
      <c r="F13" s="609"/>
      <c r="G13" s="611"/>
      <c r="H13" s="613"/>
      <c r="I13" s="616"/>
      <c r="J13" s="617"/>
      <c r="K13" s="607"/>
      <c r="N13" s="128" t="str">
        <f>IF($N$27=0,"","Variance")</f>
        <v/>
      </c>
    </row>
    <row r="15" spans="1:54" x14ac:dyDescent="0.2">
      <c r="A15" s="58">
        <v>100</v>
      </c>
      <c r="B15" s="29" t="s">
        <v>21</v>
      </c>
      <c r="C15" s="59">
        <f>'- 12 -'!B22</f>
        <v>1197171482</v>
      </c>
      <c r="D15" s="60">
        <f>'- 12 -'!B23</f>
        <v>73972308</v>
      </c>
      <c r="E15" s="60">
        <f>'- 12 -'!B40</f>
        <v>33053452</v>
      </c>
      <c r="F15" s="60">
        <f>'- 12 -'!B46</f>
        <v>82688511</v>
      </c>
      <c r="G15" s="61"/>
      <c r="H15" s="164"/>
      <c r="I15" s="62"/>
      <c r="K15" s="59">
        <f>SUM(C15:F15)</f>
        <v>1386885753</v>
      </c>
      <c r="N15" s="1" t="str">
        <f>IF($N$27=0,"",K15-'- 12 -'!$B$51)</f>
        <v/>
      </c>
    </row>
    <row r="16" spans="1:54" ht="24" customHeight="1" x14ac:dyDescent="0.2">
      <c r="A16" s="58">
        <v>200</v>
      </c>
      <c r="B16" s="29" t="s">
        <v>245</v>
      </c>
      <c r="C16" s="59">
        <f>'- 12 -'!D22</f>
        <v>401830382</v>
      </c>
      <c r="D16" s="60">
        <f>'- 12 -'!D23</f>
        <v>42089153</v>
      </c>
      <c r="E16" s="60">
        <f>'- 12 -'!D40</f>
        <v>11982376</v>
      </c>
      <c r="F16" s="60">
        <f>'- 12 -'!D46</f>
        <v>5451085</v>
      </c>
      <c r="G16" s="61"/>
      <c r="H16" s="164"/>
      <c r="I16" s="62"/>
      <c r="K16" s="59">
        <f>SUM(C16:F16)</f>
        <v>461352996</v>
      </c>
      <c r="N16" s="1" t="str">
        <f>IF($N$27=0,"",K16-'- 12 -'!$D$51)</f>
        <v/>
      </c>
    </row>
    <row r="17" spans="1:14" ht="24" customHeight="1" x14ac:dyDescent="0.2">
      <c r="A17" s="58">
        <v>300</v>
      </c>
      <c r="B17" s="29" t="s">
        <v>101</v>
      </c>
      <c r="C17" s="59">
        <f>'- 12 -'!F22</f>
        <v>7852158</v>
      </c>
      <c r="D17" s="60">
        <f>'- 12 -'!F23</f>
        <v>510817</v>
      </c>
      <c r="E17" s="60">
        <f>'- 12 -'!F40</f>
        <v>964943</v>
      </c>
      <c r="F17" s="60">
        <f>'- 12 -'!F46</f>
        <v>279494</v>
      </c>
      <c r="G17" s="61"/>
      <c r="H17" s="164"/>
      <c r="I17" s="63">
        <f>'- 12 -'!F48</f>
        <v>27000</v>
      </c>
      <c r="J17" s="64" t="s">
        <v>89</v>
      </c>
      <c r="K17" s="59">
        <f>SUM(C17:F17,I17)</f>
        <v>9634412</v>
      </c>
      <c r="N17" s="1" t="str">
        <f>IF($N$27=0,"",K17-'- 12 -'!$F$51)</f>
        <v/>
      </c>
    </row>
    <row r="18" spans="1:14" ht="24" customHeight="1" x14ac:dyDescent="0.2">
      <c r="A18" s="58">
        <v>400</v>
      </c>
      <c r="B18" s="29" t="s">
        <v>66</v>
      </c>
      <c r="C18" s="59">
        <f>'- 12 -'!H22</f>
        <v>17216942</v>
      </c>
      <c r="D18" s="60">
        <f>'- 12 -'!H23</f>
        <v>1714620</v>
      </c>
      <c r="E18" s="60">
        <f>'- 12 -'!H40</f>
        <v>2498462</v>
      </c>
      <c r="F18" s="60">
        <f>'- 12 -'!H46</f>
        <v>1864643</v>
      </c>
      <c r="G18" s="61"/>
      <c r="H18" s="164"/>
      <c r="I18" s="62"/>
      <c r="K18" s="59">
        <f>SUM(C18:F18)</f>
        <v>23294667</v>
      </c>
      <c r="N18" s="1" t="str">
        <f>IF($N$27=0,"",K18-'- 12 -'!$H$51)</f>
        <v/>
      </c>
    </row>
    <row r="19" spans="1:14" ht="24" customHeight="1" x14ac:dyDescent="0.2">
      <c r="A19" s="58">
        <v>500</v>
      </c>
      <c r="B19" s="29" t="s">
        <v>86</v>
      </c>
      <c r="C19" s="59">
        <f>'- 12 -'!J22</f>
        <v>50510136</v>
      </c>
      <c r="D19" s="60">
        <f>'- 12 -'!J23</f>
        <v>7195398</v>
      </c>
      <c r="E19" s="60">
        <f>'- 12 -'!J40</f>
        <v>18502644</v>
      </c>
      <c r="F19" s="60">
        <f>'- 12 -'!J46</f>
        <v>2269977</v>
      </c>
      <c r="G19" s="61"/>
      <c r="H19" s="164"/>
      <c r="I19" s="63">
        <f>'- 12 -'!J48</f>
        <v>-27000</v>
      </c>
      <c r="J19" s="64" t="s">
        <v>89</v>
      </c>
      <c r="K19" s="59">
        <f>SUM(C19:F19,I19)</f>
        <v>78451155</v>
      </c>
      <c r="N19" s="1" t="str">
        <f>IF($N$27=0,"",K19-'- 12 -'!$J$51)</f>
        <v/>
      </c>
    </row>
    <row r="20" spans="1:14" ht="12" customHeight="1" x14ac:dyDescent="0.2">
      <c r="A20" s="58"/>
      <c r="B20" s="29"/>
      <c r="C20" s="65"/>
      <c r="D20" s="66"/>
      <c r="E20" s="66"/>
      <c r="F20" s="66"/>
      <c r="G20" s="61"/>
      <c r="H20" s="164"/>
      <c r="I20" s="62"/>
      <c r="K20" s="59"/>
      <c r="L20" s="600" t="s">
        <v>90</v>
      </c>
    </row>
    <row r="21" spans="1:14" ht="24" customHeight="1" x14ac:dyDescent="0.2">
      <c r="A21" s="67">
        <v>600</v>
      </c>
      <c r="B21" s="366" t="s">
        <v>249</v>
      </c>
      <c r="C21" s="59">
        <f>'- 13 -'!B22</f>
        <v>55409246</v>
      </c>
      <c r="D21" s="60">
        <f>'- 13 -'!B23</f>
        <v>5533567</v>
      </c>
      <c r="E21" s="60">
        <f>'- 13 -'!B40</f>
        <v>15749099</v>
      </c>
      <c r="F21" s="60">
        <f>'- 13 -'!B46</f>
        <v>7944416</v>
      </c>
      <c r="G21" s="61"/>
      <c r="H21" s="164"/>
      <c r="I21" s="62"/>
      <c r="K21" s="59">
        <f>SUM(C21:F21)</f>
        <v>84636328</v>
      </c>
      <c r="L21" s="600"/>
      <c r="N21" s="1" t="str">
        <f>IF($N$27=0,"",K21-'- 13 -'!$B$54)</f>
        <v/>
      </c>
    </row>
    <row r="22" spans="1:14" ht="24" customHeight="1" x14ac:dyDescent="0.2">
      <c r="A22" s="58">
        <v>700</v>
      </c>
      <c r="B22" s="29" t="s">
        <v>67</v>
      </c>
      <c r="C22" s="59">
        <f>'- 13 -'!D22</f>
        <v>49549164</v>
      </c>
      <c r="D22" s="60">
        <f>'- 13 -'!D23</f>
        <v>7996719</v>
      </c>
      <c r="E22" s="60">
        <f>'- 13 -'!D40</f>
        <v>31228985</v>
      </c>
      <c r="F22" s="60">
        <f>'- 13 -'!D46</f>
        <v>20640342</v>
      </c>
      <c r="G22" s="61"/>
      <c r="H22" s="164"/>
      <c r="I22" s="62"/>
      <c r="K22" s="59">
        <f>SUM(C22:F22)</f>
        <v>109415210</v>
      </c>
      <c r="L22" s="68"/>
      <c r="N22" s="1" t="str">
        <f>IF($N$27=0,"",K22-'- 13 -'!$D$54)</f>
        <v/>
      </c>
    </row>
    <row r="23" spans="1:14" ht="24" customHeight="1" x14ac:dyDescent="0.2">
      <c r="A23" s="58">
        <v>800</v>
      </c>
      <c r="B23" s="29" t="s">
        <v>68</v>
      </c>
      <c r="C23" s="59">
        <f>'- 13 -'!F22</f>
        <v>124583748</v>
      </c>
      <c r="D23" s="60">
        <f>'- 13 -'!F23</f>
        <v>21512493</v>
      </c>
      <c r="E23" s="60">
        <f>'- 13 -'!F40</f>
        <v>110078808</v>
      </c>
      <c r="F23" s="60">
        <f>'- 13 -'!F46</f>
        <v>27797770</v>
      </c>
      <c r="G23" s="61"/>
      <c r="H23" s="164"/>
      <c r="I23" s="63">
        <f>'- 13 -'!F52</f>
        <v>0</v>
      </c>
      <c r="J23" s="70"/>
      <c r="K23" s="59">
        <f>SUM(C23:F23,I23)</f>
        <v>283972819</v>
      </c>
      <c r="N23" s="1" t="str">
        <f>IF($N$27=0,"",K23-'- 13 -'!$F$54)</f>
        <v/>
      </c>
    </row>
    <row r="24" spans="1:14" ht="24" customHeight="1" x14ac:dyDescent="0.2">
      <c r="A24" s="58">
        <v>900</v>
      </c>
      <c r="B24" s="29" t="s">
        <v>24</v>
      </c>
      <c r="C24" s="65"/>
      <c r="D24" s="66"/>
      <c r="E24" s="66"/>
      <c r="F24" s="66"/>
      <c r="G24" s="60">
        <v>3061285</v>
      </c>
      <c r="H24" s="60">
        <v>10500</v>
      </c>
      <c r="I24" s="69">
        <v>40057065</v>
      </c>
      <c r="J24" s="70" t="s">
        <v>230</v>
      </c>
      <c r="K24" s="59">
        <f>SUM(G24:I24)</f>
        <v>43128850</v>
      </c>
      <c r="N24" s="1" t="str">
        <f>IF($N$27=0,"",K24-'- 13 -'!$H$54)</f>
        <v/>
      </c>
    </row>
    <row r="25" spans="1:14" x14ac:dyDescent="0.2">
      <c r="A25" s="58"/>
      <c r="B25" s="29"/>
      <c r="C25" s="65"/>
      <c r="D25" s="66"/>
      <c r="E25" s="66"/>
      <c r="F25" s="66"/>
      <c r="G25" s="66"/>
      <c r="H25" s="23"/>
      <c r="I25" s="71"/>
      <c r="K25" s="65"/>
    </row>
    <row r="26" spans="1:14" x14ac:dyDescent="0.2">
      <c r="B26" s="29"/>
      <c r="C26" s="72"/>
      <c r="D26" s="72"/>
      <c r="E26" s="72"/>
      <c r="F26" s="72"/>
      <c r="G26" s="72"/>
      <c r="H26" s="72"/>
      <c r="I26" s="72"/>
      <c r="K26" s="72"/>
    </row>
    <row r="27" spans="1:14" x14ac:dyDescent="0.2">
      <c r="A27" s="73"/>
      <c r="B27" s="74" t="s">
        <v>65</v>
      </c>
      <c r="C27" s="75">
        <f>SUM(C15:C24)</f>
        <v>1904123258</v>
      </c>
      <c r="D27" s="76">
        <f>SUM(D15:D24)</f>
        <v>160525075</v>
      </c>
      <c r="E27" s="76">
        <f>SUM(E15:E24)</f>
        <v>224058769</v>
      </c>
      <c r="F27" s="76">
        <f>SUM(F15:F24)</f>
        <v>148936238</v>
      </c>
      <c r="G27" s="76">
        <f>G24</f>
        <v>3061285</v>
      </c>
      <c r="H27" s="76">
        <f>H24</f>
        <v>10500</v>
      </c>
      <c r="I27" s="77">
        <f>SUM(I15:I24)</f>
        <v>40057065</v>
      </c>
      <c r="J27" s="78"/>
      <c r="K27" s="75">
        <f>SUM(K15:K24)</f>
        <v>2480772190</v>
      </c>
      <c r="N27" s="1">
        <f>K27-'- 3 -'!D48</f>
        <v>0</v>
      </c>
    </row>
    <row r="28" spans="1:14" x14ac:dyDescent="0.2">
      <c r="C28" s="72"/>
      <c r="D28" s="72"/>
      <c r="E28" s="72"/>
      <c r="F28" s="72"/>
      <c r="G28" s="72"/>
      <c r="H28" s="72"/>
      <c r="I28" s="72"/>
    </row>
    <row r="29" spans="1:14" ht="60" customHeight="1" x14ac:dyDescent="0.2"/>
    <row r="30" spans="1:14" x14ac:dyDescent="0.2">
      <c r="A30" s="256" t="s">
        <v>89</v>
      </c>
      <c r="B30" s="131" t="s">
        <v>359</v>
      </c>
      <c r="C30" s="29"/>
    </row>
    <row r="31" spans="1:14" hidden="1" x14ac:dyDescent="0.2">
      <c r="A31" s="256" t="s">
        <v>230</v>
      </c>
      <c r="B31" s="127" t="s">
        <v>247</v>
      </c>
      <c r="C31" s="29"/>
    </row>
    <row r="32" spans="1:14" x14ac:dyDescent="0.2">
      <c r="A32" s="256" t="s">
        <v>230</v>
      </c>
      <c r="B32" s="131" t="s">
        <v>567</v>
      </c>
      <c r="C32" s="72"/>
      <c r="K32" s="72"/>
    </row>
    <row r="33" spans="3:3" x14ac:dyDescent="0.2">
      <c r="C33" s="72"/>
    </row>
    <row r="34" spans="3:3" ht="12.75" customHeight="1" x14ac:dyDescent="0.2"/>
    <row r="35" spans="3:3" ht="12.75" customHeight="1" x14ac:dyDescent="0.2"/>
    <row r="36" spans="3:3" ht="12.75" customHeight="1" x14ac:dyDescent="0.2"/>
    <row r="37" spans="3:3" ht="12.75" customHeight="1" x14ac:dyDescent="0.2"/>
    <row r="38" spans="3:3" ht="12.75" customHeight="1" x14ac:dyDescent="0.2"/>
    <row r="39" spans="3:3" ht="12.75" customHeight="1" x14ac:dyDescent="0.2"/>
    <row r="40" spans="3:3" ht="12.75" customHeight="1" x14ac:dyDescent="0.2"/>
    <row r="41" spans="3:3" ht="12.75" customHeight="1" x14ac:dyDescent="0.2"/>
    <row r="42" spans="3:3" ht="12.75" customHeight="1" x14ac:dyDescent="0.2"/>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ht="12.75" customHeight="1" x14ac:dyDescent="0.2"/>
    <row r="50" ht="12.75" customHeight="1" x14ac:dyDescent="0.2"/>
  </sheetData>
  <mergeCells count="11">
    <mergeCell ref="L20:L21"/>
    <mergeCell ref="A13:B13"/>
    <mergeCell ref="C10:J10"/>
    <mergeCell ref="C12:C13"/>
    <mergeCell ref="D12:D13"/>
    <mergeCell ref="E12:E13"/>
    <mergeCell ref="F12:F13"/>
    <mergeCell ref="G12:G13"/>
    <mergeCell ref="H12:H13"/>
    <mergeCell ref="I12:J13"/>
    <mergeCell ref="K12:K13"/>
  </mergeCells>
  <phoneticPr fontId="0" type="noConversion"/>
  <pageMargins left="0.39370078740157483" right="0" top="0.70866141732283472" bottom="0.31496062992125984" header="0" footer="0"/>
  <pageSetup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BB52"/>
  <sheetViews>
    <sheetView showGridLines="0" showZeros="0" workbookViewId="0"/>
  </sheetViews>
  <sheetFormatPr defaultColWidth="15.83203125" defaultRowHeight="12" x14ac:dyDescent="0.2"/>
  <cols>
    <col min="1" max="1" width="49"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54" x14ac:dyDescent="0.2">
      <c r="A2" s="52"/>
      <c r="B2" s="52"/>
      <c r="C2" s="52"/>
      <c r="D2" s="100" t="str">
        <f>OPYEAR</f>
        <v>OPERATING FUND 2020/2021 BUDGET</v>
      </c>
      <c r="E2" s="100"/>
      <c r="F2" s="100"/>
      <c r="G2" s="100"/>
      <c r="H2" s="101"/>
      <c r="I2" s="101"/>
      <c r="J2" s="102"/>
      <c r="K2" s="103" t="s">
        <v>4</v>
      </c>
    </row>
    <row r="3" spans="1:54" ht="9.9499999999999993" customHeight="1" x14ac:dyDescent="0.2">
      <c r="J3" s="90"/>
      <c r="K3" s="90"/>
    </row>
    <row r="4" spans="1:54" ht="15.75" x14ac:dyDescent="0.25">
      <c r="B4" s="257" t="str">
        <f>IF(Lang=1,BA4,BB4)</f>
        <v>EXPENSE BY 2ND LEVEL OBJECT</v>
      </c>
      <c r="C4" s="90"/>
      <c r="D4" s="90"/>
      <c r="E4" s="90"/>
      <c r="F4" s="90"/>
      <c r="G4" s="90"/>
      <c r="H4" s="90"/>
      <c r="I4" s="90"/>
      <c r="J4" s="90"/>
      <c r="K4" s="90"/>
      <c r="BA4" s="456" t="s">
        <v>263</v>
      </c>
      <c r="BB4" s="465" t="s">
        <v>390</v>
      </c>
    </row>
    <row r="5" spans="1:54" ht="15.75" x14ac:dyDescent="0.25">
      <c r="B5" s="257" t="str">
        <f>IF(Lang=1,BA5,BB5)</f>
        <v>AS A PERCENTAGE OF TOTAL OPERATING FUND EXPENSES</v>
      </c>
      <c r="C5" s="90"/>
      <c r="D5" s="90"/>
      <c r="E5" s="90"/>
      <c r="F5" s="90"/>
      <c r="G5" s="90"/>
      <c r="H5" s="90"/>
      <c r="I5" s="90"/>
      <c r="J5" s="90"/>
      <c r="K5" s="90"/>
      <c r="BA5" s="456" t="s">
        <v>264</v>
      </c>
      <c r="BB5" s="465" t="s">
        <v>391</v>
      </c>
    </row>
    <row r="6" spans="1:54" ht="9.9499999999999993" customHeight="1" x14ac:dyDescent="0.2"/>
    <row r="7" spans="1:54" x14ac:dyDescent="0.2">
      <c r="B7" s="618" t="s">
        <v>70</v>
      </c>
      <c r="C7" s="619"/>
      <c r="D7" s="619"/>
      <c r="E7" s="619"/>
      <c r="F7" s="619"/>
      <c r="G7" s="619"/>
      <c r="H7" s="619"/>
      <c r="I7" s="619"/>
      <c r="J7" s="619"/>
      <c r="K7" s="620"/>
    </row>
    <row r="8" spans="1:54" ht="6" customHeight="1" x14ac:dyDescent="0.2"/>
    <row r="9" spans="1:54" x14ac:dyDescent="0.2">
      <c r="A9" s="4"/>
      <c r="B9" s="622" t="s">
        <v>392</v>
      </c>
      <c r="C9" s="623"/>
      <c r="D9" s="626" t="s">
        <v>393</v>
      </c>
      <c r="E9" s="623"/>
      <c r="F9" s="626" t="s">
        <v>101</v>
      </c>
      <c r="G9" s="623"/>
      <c r="H9" s="622" t="s">
        <v>394</v>
      </c>
      <c r="I9" s="623"/>
      <c r="J9" s="626" t="s">
        <v>86</v>
      </c>
      <c r="K9" s="623"/>
    </row>
    <row r="10" spans="1:54" x14ac:dyDescent="0.2">
      <c r="A10" s="4"/>
      <c r="B10" s="624"/>
      <c r="C10" s="625"/>
      <c r="D10" s="624"/>
      <c r="E10" s="625"/>
      <c r="F10" s="624"/>
      <c r="G10" s="625"/>
      <c r="H10" s="624"/>
      <c r="I10" s="625"/>
      <c r="J10" s="624"/>
      <c r="K10" s="625"/>
    </row>
    <row r="11" spans="1:54" x14ac:dyDescent="0.2">
      <c r="A11" s="107" t="s">
        <v>63</v>
      </c>
      <c r="B11" s="108" t="s">
        <v>38</v>
      </c>
      <c r="C11" s="108" t="s">
        <v>39</v>
      </c>
      <c r="D11" s="108" t="s">
        <v>38</v>
      </c>
      <c r="E11" s="108" t="s">
        <v>39</v>
      </c>
      <c r="F11" s="108" t="s">
        <v>38</v>
      </c>
      <c r="G11" s="108" t="s">
        <v>39</v>
      </c>
      <c r="H11" s="108" t="s">
        <v>38</v>
      </c>
      <c r="I11" s="108" t="s">
        <v>39</v>
      </c>
      <c r="J11" s="108" t="s">
        <v>38</v>
      </c>
      <c r="K11" s="109" t="s">
        <v>39</v>
      </c>
    </row>
    <row r="12" spans="1:54" ht="5.0999999999999996" customHeight="1" x14ac:dyDescent="0.2">
      <c r="A12" s="110"/>
      <c r="B12" s="4"/>
      <c r="C12" s="4"/>
      <c r="D12" s="4"/>
      <c r="E12" s="4"/>
      <c r="F12" s="4"/>
      <c r="G12" s="4"/>
      <c r="H12" s="4"/>
      <c r="I12" s="4"/>
      <c r="J12" s="4"/>
      <c r="K12" s="4"/>
    </row>
    <row r="13" spans="1:54" x14ac:dyDescent="0.2">
      <c r="A13" s="281" t="s">
        <v>64</v>
      </c>
      <c r="B13" s="111"/>
      <c r="C13" s="262"/>
      <c r="D13" s="111"/>
      <c r="E13" s="262"/>
      <c r="F13" s="111"/>
      <c r="G13" s="262"/>
      <c r="H13" s="111"/>
      <c r="I13" s="262"/>
      <c r="J13" s="111"/>
      <c r="K13" s="262"/>
    </row>
    <row r="14" spans="1:54" x14ac:dyDescent="0.2">
      <c r="A14" s="112" t="s">
        <v>192</v>
      </c>
      <c r="B14" s="113"/>
      <c r="C14" s="259"/>
      <c r="D14" s="113"/>
      <c r="E14" s="259"/>
      <c r="F14" s="113"/>
      <c r="G14" s="259"/>
      <c r="H14" s="113"/>
      <c r="I14" s="259"/>
      <c r="J14" s="113">
        <v>4209406</v>
      </c>
      <c r="K14" s="259"/>
    </row>
    <row r="15" spans="1:54" x14ac:dyDescent="0.2">
      <c r="A15" s="112" t="s">
        <v>193</v>
      </c>
      <c r="B15" s="113">
        <v>98403410</v>
      </c>
      <c r="C15" s="259">
        <f>B15/'- 13 -'!$J$54*100</f>
        <v>3.9666443535873404</v>
      </c>
      <c r="D15" s="113">
        <v>7140400</v>
      </c>
      <c r="E15" s="259">
        <f>D15/'- 13 -'!$J$54*100</f>
        <v>0.28782973417643803</v>
      </c>
      <c r="F15" s="113">
        <v>838815</v>
      </c>
      <c r="G15" s="259">
        <f>F15/'- 13 -'!$J$54*100</f>
        <v>3.3812657340374329E-2</v>
      </c>
      <c r="H15" s="113">
        <v>732153</v>
      </c>
      <c r="I15" s="259">
        <f>H15/'- 13 -'!$J$54*100</f>
        <v>2.9513108980796822E-2</v>
      </c>
      <c r="J15" s="113">
        <v>21450737</v>
      </c>
      <c r="K15" s="259">
        <f>J15/'- 13 -'!$J$54*100</f>
        <v>0.86467983986873065</v>
      </c>
    </row>
    <row r="16" spans="1:54" x14ac:dyDescent="0.2">
      <c r="A16" s="112" t="s">
        <v>194</v>
      </c>
      <c r="B16" s="113">
        <v>1010786694</v>
      </c>
      <c r="C16" s="259">
        <f>B16/'- 13 -'!$J$54*100</f>
        <v>40.744841387471375</v>
      </c>
      <c r="D16" s="113">
        <v>164937620</v>
      </c>
      <c r="E16" s="259">
        <f>D16/'- 13 -'!$J$54*100</f>
        <v>6.6486403171102948</v>
      </c>
      <c r="F16" s="113">
        <v>6016923</v>
      </c>
      <c r="G16" s="259">
        <f>F16/'- 13 -'!$J$54*100</f>
        <v>0.24254234323708698</v>
      </c>
      <c r="H16" s="113">
        <v>8572017</v>
      </c>
      <c r="I16" s="259">
        <f>H16/'- 13 -'!$J$54*100</f>
        <v>0.34553825758583662</v>
      </c>
      <c r="J16" s="113"/>
      <c r="K16" s="259">
        <f>J16/'- 13 -'!$J$54*100</f>
        <v>0</v>
      </c>
    </row>
    <row r="17" spans="1:12" x14ac:dyDescent="0.2">
      <c r="A17" s="112" t="s">
        <v>195</v>
      </c>
      <c r="B17" s="113">
        <v>24699437</v>
      </c>
      <c r="C17" s="259">
        <f>B17/'- 13 -'!$J$54*100</f>
        <v>0.99563503249365271</v>
      </c>
      <c r="D17" s="113">
        <v>180151340</v>
      </c>
      <c r="E17" s="259">
        <f>D17/'- 13 -'!$J$54*100</f>
        <v>7.2619058181235099</v>
      </c>
      <c r="F17" s="113">
        <v>378381</v>
      </c>
      <c r="G17" s="259">
        <f>F17/'- 13 -'!$J$54*100</f>
        <v>1.5252549247579239E-2</v>
      </c>
      <c r="H17" s="113">
        <v>4492672</v>
      </c>
      <c r="I17" s="259">
        <f>H17/'- 13 -'!$J$54*100</f>
        <v>0.18109974056102265</v>
      </c>
      <c r="J17" s="113"/>
      <c r="K17" s="259">
        <f>J17/'- 13 -'!$J$54*100</f>
        <v>0</v>
      </c>
    </row>
    <row r="18" spans="1:12" x14ac:dyDescent="0.2">
      <c r="A18" s="112" t="s">
        <v>196</v>
      </c>
      <c r="B18" s="113">
        <v>6995941</v>
      </c>
      <c r="C18" s="259">
        <f>B18/'- 13 -'!$J$54*100</f>
        <v>0.28200658763431236</v>
      </c>
      <c r="D18" s="113">
        <v>2030582</v>
      </c>
      <c r="E18" s="259">
        <f>D18/'- 13 -'!$J$54*100</f>
        <v>8.1852820189829686E-2</v>
      </c>
      <c r="F18" s="113">
        <v>207652</v>
      </c>
      <c r="G18" s="259">
        <f>F18/'- 13 -'!$J$54*100</f>
        <v>8.3704582322006761E-3</v>
      </c>
      <c r="H18" s="113">
        <v>1834773</v>
      </c>
      <c r="I18" s="259">
        <f>H18/'- 13 -'!$J$54*100</f>
        <v>7.3959753636225659E-2</v>
      </c>
      <c r="J18" s="113">
        <v>7259857</v>
      </c>
      <c r="K18" s="259">
        <f>J18/'- 13 -'!$J$54*100</f>
        <v>0.29264504936263414</v>
      </c>
    </row>
    <row r="19" spans="1:12" x14ac:dyDescent="0.2">
      <c r="A19" s="114" t="s">
        <v>197</v>
      </c>
      <c r="B19" s="115">
        <v>42903690</v>
      </c>
      <c r="C19" s="260">
        <f>B19/'- 13 -'!$J$54*100</f>
        <v>1.7294490067626886</v>
      </c>
      <c r="D19" s="115">
        <v>2974908</v>
      </c>
      <c r="E19" s="260">
        <f>D19/'- 13 -'!$J$54*100</f>
        <v>0.11991862904590204</v>
      </c>
      <c r="F19" s="115">
        <v>410387</v>
      </c>
      <c r="G19" s="260">
        <f>F19/'- 13 -'!$J$54*100</f>
        <v>1.6542712049670307E-2</v>
      </c>
      <c r="H19" s="115">
        <v>724201</v>
      </c>
      <c r="I19" s="260">
        <f>H19/'- 13 -'!$J$54*100</f>
        <v>2.9192563626731078E-2</v>
      </c>
      <c r="J19" s="115">
        <v>15548503</v>
      </c>
      <c r="K19" s="260">
        <f>J19/'- 13 -'!$J$54*100</f>
        <v>0.62676061359749446</v>
      </c>
    </row>
    <row r="20" spans="1:12" x14ac:dyDescent="0.2">
      <c r="A20" s="114" t="s">
        <v>198</v>
      </c>
      <c r="B20" s="116"/>
      <c r="C20" s="260"/>
      <c r="D20" s="116">
        <v>44427643</v>
      </c>
      <c r="E20" s="260">
        <f>D20/'- 13 -'!$J$54*100</f>
        <v>1.7908795970499813</v>
      </c>
      <c r="F20" s="116"/>
      <c r="G20" s="260"/>
      <c r="H20" s="116">
        <v>826126</v>
      </c>
      <c r="I20" s="260"/>
      <c r="J20" s="116"/>
      <c r="K20" s="260"/>
    </row>
    <row r="21" spans="1:12" x14ac:dyDescent="0.2">
      <c r="A21" s="117" t="s">
        <v>199</v>
      </c>
      <c r="B21" s="118">
        <v>13382310</v>
      </c>
      <c r="C21" s="261">
        <f>B21/'- 13 -'!$J$54*100</f>
        <v>0.53944131000597839</v>
      </c>
      <c r="D21" s="118">
        <v>167889</v>
      </c>
      <c r="E21" s="261">
        <f>D21/'- 13 -'!$J$54*100</f>
        <v>6.7676105317836547E-3</v>
      </c>
      <c r="F21" s="118">
        <v>0</v>
      </c>
      <c r="G21" s="261">
        <f>F21/'- 13 -'!$J$54*100</f>
        <v>0</v>
      </c>
      <c r="H21" s="118">
        <v>35000</v>
      </c>
      <c r="I21" s="261">
        <f>H21/'- 13 -'!$J$54*100</f>
        <v>1.4108510302189418E-3</v>
      </c>
      <c r="J21" s="118">
        <v>2041633</v>
      </c>
      <c r="K21" s="261">
        <f>J21/'- 13 -'!$J$54*100</f>
        <v>8.2298286325113948E-2</v>
      </c>
    </row>
    <row r="22" spans="1:12" ht="12.75" customHeight="1" x14ac:dyDescent="0.2">
      <c r="A22" s="119" t="s">
        <v>200</v>
      </c>
      <c r="B22" s="125">
        <f>SUM(B14:B21)</f>
        <v>1197171482</v>
      </c>
      <c r="C22" s="263">
        <f>B22/'- 13 -'!$J$54*100</f>
        <v>48.258017677955344</v>
      </c>
      <c r="D22" s="125">
        <f>SUM(D14:D21)</f>
        <v>401830382</v>
      </c>
      <c r="E22" s="263">
        <f>D22/'- 13 -'!$J$54*100</f>
        <v>16.197794526227739</v>
      </c>
      <c r="F22" s="125">
        <f>SUM(F14:F21)</f>
        <v>7852158</v>
      </c>
      <c r="G22" s="263">
        <f>F22/'- 13 -'!$J$54*100</f>
        <v>0.31652072010691157</v>
      </c>
      <c r="H22" s="125">
        <f>SUM(H14:H21)</f>
        <v>17216942</v>
      </c>
      <c r="I22" s="263">
        <f>H22/'- 13 -'!$J$54*100</f>
        <v>0.69401543879770755</v>
      </c>
      <c r="J22" s="125">
        <f>SUM(J14:J21)</f>
        <v>50510136</v>
      </c>
      <c r="K22" s="263">
        <f>J22/'- 13 -'!$J$54*100</f>
        <v>2.03606506891711</v>
      </c>
    </row>
    <row r="23" spans="1:12" x14ac:dyDescent="0.2">
      <c r="A23" s="281" t="s">
        <v>72</v>
      </c>
      <c r="B23" s="125">
        <v>73972308</v>
      </c>
      <c r="C23" s="263">
        <f>B23/'- 13 -'!$J$54*100</f>
        <v>2.9818259128420816</v>
      </c>
      <c r="D23" s="125">
        <v>42089153</v>
      </c>
      <c r="E23" s="263">
        <f>D23/'- 13 -'!$J$54*100</f>
        <v>1.6966149963169332</v>
      </c>
      <c r="F23" s="125">
        <v>510817</v>
      </c>
      <c r="G23" s="263">
        <f>F23/'- 13 -'!$J$54*100</f>
        <v>2.0591048305809975E-2</v>
      </c>
      <c r="H23" s="125">
        <v>1714620</v>
      </c>
      <c r="I23" s="263">
        <f>H23/'- 13 -'!$J$54*100</f>
        <v>6.9116382669542911E-2</v>
      </c>
      <c r="J23" s="125">
        <v>7195398</v>
      </c>
      <c r="K23" s="263">
        <f>J23/'- 13 -'!$J$54*100</f>
        <v>0.29004670517529463</v>
      </c>
    </row>
    <row r="24" spans="1:12" x14ac:dyDescent="0.2">
      <c r="A24" s="281" t="s">
        <v>58</v>
      </c>
      <c r="B24" s="113"/>
      <c r="C24" s="259"/>
      <c r="D24" s="113"/>
      <c r="E24" s="259"/>
      <c r="F24" s="113"/>
      <c r="G24" s="259"/>
      <c r="H24" s="113"/>
      <c r="I24" s="259"/>
      <c r="J24" s="113"/>
      <c r="K24" s="259"/>
    </row>
    <row r="25" spans="1:12" x14ac:dyDescent="0.2">
      <c r="A25" s="114" t="s">
        <v>201</v>
      </c>
      <c r="B25" s="115">
        <v>5396327</v>
      </c>
      <c r="C25" s="260">
        <f>B25/'- 13 -'!$J$54*100</f>
        <v>0.21752610020995114</v>
      </c>
      <c r="D25" s="115">
        <v>7305659</v>
      </c>
      <c r="E25" s="260">
        <f>D25/'- 13 -'!$J$54*100</f>
        <v>0.29449132933080807</v>
      </c>
      <c r="F25" s="115">
        <v>56291</v>
      </c>
      <c r="G25" s="260">
        <f>F25/'- 13 -'!$J$54*100</f>
        <v>2.2690918669158412E-3</v>
      </c>
      <c r="H25" s="115">
        <v>1584301</v>
      </c>
      <c r="I25" s="260">
        <f>H25/'- 13 -'!$J$54*100</f>
        <v>6.3863219943625704E-2</v>
      </c>
      <c r="J25" s="115">
        <v>4461192</v>
      </c>
      <c r="K25" s="260">
        <f>J25/'- 13 -'!$J$54*100</f>
        <v>0.17983078083441431</v>
      </c>
    </row>
    <row r="26" spans="1:12" ht="12" customHeight="1" x14ac:dyDescent="0.2">
      <c r="A26" s="114" t="s">
        <v>202</v>
      </c>
      <c r="B26" s="115">
        <v>3798907</v>
      </c>
      <c r="C26" s="260">
        <f>B26/'- 13 -'!$J$54*100</f>
        <v>0.15313405299016997</v>
      </c>
      <c r="D26" s="115">
        <v>312310</v>
      </c>
      <c r="E26" s="260">
        <f>D26/'- 13 -'!$J$54*100</f>
        <v>1.2589225292790791E-2</v>
      </c>
      <c r="F26" s="115">
        <v>69190</v>
      </c>
      <c r="G26" s="260">
        <f>F26/'- 13 -'!$J$54*100</f>
        <v>2.7890509365956734E-3</v>
      </c>
      <c r="H26" s="115">
        <v>27710</v>
      </c>
      <c r="I26" s="260">
        <f>H26/'- 13 -'!$J$54*100</f>
        <v>1.1169909156390535E-3</v>
      </c>
      <c r="J26" s="115">
        <v>1236971</v>
      </c>
      <c r="K26" s="260">
        <f>J26/'- 13 -'!$J$54*100</f>
        <v>4.986233742002727E-2</v>
      </c>
      <c r="L26" s="621" t="s">
        <v>103</v>
      </c>
    </row>
    <row r="27" spans="1:12" ht="12.75" customHeight="1" x14ac:dyDescent="0.2">
      <c r="A27" s="114" t="s">
        <v>203</v>
      </c>
      <c r="B27" s="115"/>
      <c r="C27" s="260">
        <f>B27/'- 13 -'!$J$54*100</f>
        <v>0</v>
      </c>
      <c r="D27" s="115"/>
      <c r="E27" s="260">
        <f>D27/'- 13 -'!$J$54*100</f>
        <v>0</v>
      </c>
      <c r="F27" s="115">
        <v>62071</v>
      </c>
      <c r="G27" s="260">
        <f>F27/'- 13 -'!$J$54*100</f>
        <v>2.5020838370491409E-3</v>
      </c>
      <c r="H27" s="115"/>
      <c r="I27" s="260">
        <f>H27/'- 13 -'!$J$54*100</f>
        <v>0</v>
      </c>
      <c r="J27" s="115"/>
      <c r="K27" s="260">
        <f>J27/'- 13 -'!$J$54*100</f>
        <v>0</v>
      </c>
      <c r="L27" s="621"/>
    </row>
    <row r="28" spans="1:12" ht="12.75" customHeight="1" x14ac:dyDescent="0.2">
      <c r="A28" s="114" t="s">
        <v>242</v>
      </c>
      <c r="B28" s="115">
        <v>2848914</v>
      </c>
      <c r="C28" s="260">
        <f>B28/'- 13 -'!$J$54*100</f>
        <v>0.11483980719729045</v>
      </c>
      <c r="D28" s="115">
        <v>2450459</v>
      </c>
      <c r="E28" s="260">
        <f>D28/'- 13 -'!$J$54*100</f>
        <v>9.8778074418836501E-2</v>
      </c>
      <c r="F28" s="115">
        <v>83874</v>
      </c>
      <c r="G28" s="260">
        <f>F28/'- 13 -'!$J$54*100</f>
        <v>3.3809634088166718E-3</v>
      </c>
      <c r="H28" s="115">
        <v>97882</v>
      </c>
      <c r="I28" s="260">
        <f>H28/'- 13 -'!$J$54*100</f>
        <v>3.9456263011397267E-3</v>
      </c>
      <c r="J28" s="115">
        <v>2363805</v>
      </c>
      <c r="K28" s="260">
        <f>J28/'- 13 -'!$J$54*100</f>
        <v>9.528504912819101E-2</v>
      </c>
      <c r="L28" s="621"/>
    </row>
    <row r="29" spans="1:12" ht="12.75" customHeight="1" x14ac:dyDescent="0.2">
      <c r="A29" s="114" t="s">
        <v>204</v>
      </c>
      <c r="B29" s="115"/>
      <c r="C29" s="260">
        <f>B29/'- 13 -'!$J$54*100</f>
        <v>0</v>
      </c>
      <c r="D29" s="115"/>
      <c r="E29" s="260">
        <f>D29/'- 13 -'!$J$54*100</f>
        <v>0</v>
      </c>
      <c r="F29" s="115"/>
      <c r="G29" s="260">
        <f>F29/'- 13 -'!$J$54*100</f>
        <v>0</v>
      </c>
      <c r="H29" s="115"/>
      <c r="I29" s="260">
        <f>H29/'- 13 -'!$J$54*100</f>
        <v>0</v>
      </c>
      <c r="J29" s="115"/>
      <c r="K29" s="260">
        <f>J29/'- 13 -'!$J$54*100</f>
        <v>0</v>
      </c>
      <c r="L29" s="621"/>
    </row>
    <row r="30" spans="1:12" ht="12.75" customHeight="1" x14ac:dyDescent="0.2">
      <c r="A30" s="114" t="s">
        <v>205</v>
      </c>
      <c r="B30" s="115">
        <v>1266740</v>
      </c>
      <c r="C30" s="260">
        <f>B30/'- 13 -'!$J$54*100</f>
        <v>5.1062326686272634E-2</v>
      </c>
      <c r="D30" s="115">
        <v>1036620</v>
      </c>
      <c r="E30" s="260">
        <f>D30/'- 13 -'!$J$54*100</f>
        <v>4.1786182712730262E-2</v>
      </c>
      <c r="F30" s="115">
        <v>0</v>
      </c>
      <c r="G30" s="260">
        <f>F30/'- 13 -'!$J$54*100</f>
        <v>0</v>
      </c>
      <c r="H30" s="115"/>
      <c r="I30" s="260">
        <f>H30/'- 13 -'!$J$54*100</f>
        <v>0</v>
      </c>
      <c r="J30" s="115"/>
      <c r="K30" s="260">
        <f>J30/'- 13 -'!$J$54*100</f>
        <v>0</v>
      </c>
      <c r="L30" s="258"/>
    </row>
    <row r="31" spans="1:12" ht="12.75" customHeight="1" x14ac:dyDescent="0.2">
      <c r="A31" s="114" t="s">
        <v>206</v>
      </c>
      <c r="B31" s="115">
        <v>452473</v>
      </c>
      <c r="C31" s="260">
        <f>B31/'- 13 -'!$J$54*100</f>
        <v>1.8239199948464433E-2</v>
      </c>
      <c r="D31" s="115">
        <v>26100</v>
      </c>
      <c r="E31" s="260">
        <f>D31/'- 13 -'!$J$54*100</f>
        <v>1.0520917682489822E-3</v>
      </c>
      <c r="F31" s="115">
        <v>3978</v>
      </c>
      <c r="G31" s="260">
        <f>F31/'- 13 -'!$J$54*100</f>
        <v>1.6035329709174144E-4</v>
      </c>
      <c r="H31" s="115">
        <v>62700</v>
      </c>
      <c r="I31" s="260">
        <f>H31/'- 13 -'!$J$54*100</f>
        <v>2.5274388455636468E-3</v>
      </c>
      <c r="J31" s="115">
        <v>232700</v>
      </c>
      <c r="K31" s="260">
        <f>J31/'- 13 -'!$J$54*100</f>
        <v>9.3801438494842213E-3</v>
      </c>
    </row>
    <row r="32" spans="1:12" x14ac:dyDescent="0.2">
      <c r="A32" s="114" t="s">
        <v>207</v>
      </c>
      <c r="B32" s="115">
        <v>157141</v>
      </c>
      <c r="C32" s="260">
        <f>B32/'- 13 -'!$J$54*100</f>
        <v>6.3343583354181342E-3</v>
      </c>
      <c r="D32" s="115">
        <v>22398</v>
      </c>
      <c r="E32" s="260">
        <f>D32/'- 13 -'!$J$54*100</f>
        <v>9.0286403928125302E-4</v>
      </c>
      <c r="F32" s="115">
        <v>8352</v>
      </c>
      <c r="G32" s="260">
        <f>F32/'- 13 -'!$J$54*100</f>
        <v>3.3666936583967431E-4</v>
      </c>
      <c r="H32" s="115">
        <v>0</v>
      </c>
      <c r="I32" s="260">
        <f>H32/'- 13 -'!$J$54*100</f>
        <v>0</v>
      </c>
      <c r="J32" s="115">
        <v>1789096</v>
      </c>
      <c r="K32" s="260">
        <f>J32/'- 13 -'!$J$54*100</f>
        <v>7.2118512421731076E-2</v>
      </c>
    </row>
    <row r="33" spans="1:13" x14ac:dyDescent="0.2">
      <c r="A33" s="114" t="s">
        <v>208</v>
      </c>
      <c r="B33" s="115">
        <v>2633054</v>
      </c>
      <c r="C33" s="260">
        <f>B33/'- 13 -'!$J$54*100</f>
        <v>0.10613848424348871</v>
      </c>
      <c r="D33" s="115">
        <v>89026</v>
      </c>
      <c r="E33" s="260">
        <f>D33/'- 13 -'!$J$54*100</f>
        <v>3.5886406804648994E-3</v>
      </c>
      <c r="F33" s="115">
        <v>64342</v>
      </c>
      <c r="G33" s="260">
        <f>F33/'- 13 -'!$J$54*100</f>
        <v>2.5936279138956326E-3</v>
      </c>
      <c r="H33" s="115">
        <v>94870</v>
      </c>
      <c r="I33" s="260">
        <f>H33/'- 13 -'!$J$54*100</f>
        <v>3.8242124924820283E-3</v>
      </c>
      <c r="J33" s="115">
        <v>194610</v>
      </c>
      <c r="K33" s="260">
        <f>J33/'- 13 -'!$J$54*100</f>
        <v>7.8447348283116631E-3</v>
      </c>
    </row>
    <row r="34" spans="1:13" x14ac:dyDescent="0.2">
      <c r="A34" s="114" t="s">
        <v>209</v>
      </c>
      <c r="B34" s="115">
        <v>3110757</v>
      </c>
      <c r="C34" s="260">
        <f>B34/'- 13 -'!$J$54*100</f>
        <v>0.12539470623459384</v>
      </c>
      <c r="D34" s="115">
        <v>191150</v>
      </c>
      <c r="E34" s="260">
        <f>D34/'- 13 -'!$J$54*100</f>
        <v>7.7052621264671632E-3</v>
      </c>
      <c r="F34" s="115">
        <v>515584</v>
      </c>
      <c r="G34" s="260">
        <f>F34/'- 13 -'!$J$54*100</f>
        <v>2.0783206216125793E-2</v>
      </c>
      <c r="H34" s="115">
        <v>498765</v>
      </c>
      <c r="I34" s="260">
        <f>H34/'- 13 -'!$J$54*100</f>
        <v>2.010523183106144E-2</v>
      </c>
      <c r="J34" s="115">
        <v>370501</v>
      </c>
      <c r="K34" s="260">
        <f>J34/'- 13 -'!$J$54*100</f>
        <v>1.4934906215632803E-2</v>
      </c>
    </row>
    <row r="35" spans="1:13" x14ac:dyDescent="0.2">
      <c r="A35" s="362" t="s">
        <v>248</v>
      </c>
      <c r="B35" s="115"/>
      <c r="C35" s="260">
        <f>B35/'- 13 -'!$J$54*100</f>
        <v>0</v>
      </c>
      <c r="D35" s="115"/>
      <c r="E35" s="260">
        <f>D35/'- 13 -'!$J$54*100</f>
        <v>0</v>
      </c>
      <c r="F35" s="115">
        <v>18803</v>
      </c>
      <c r="G35" s="260">
        <f>F35/'- 13 -'!$J$54*100</f>
        <v>7.5794948346305036E-4</v>
      </c>
      <c r="H35" s="115"/>
      <c r="I35" s="260">
        <f>H35/'- 13 -'!$J$54*100</f>
        <v>0</v>
      </c>
      <c r="J35" s="115"/>
      <c r="K35" s="260">
        <f>J35/'- 13 -'!$J$54*100</f>
        <v>0</v>
      </c>
    </row>
    <row r="36" spans="1:13" x14ac:dyDescent="0.2">
      <c r="A36" s="114" t="s">
        <v>210</v>
      </c>
      <c r="B36" s="115">
        <v>307307</v>
      </c>
      <c r="C36" s="260">
        <f>B36/'- 13 -'!$J$54*100</f>
        <v>1.2387554215528352E-2</v>
      </c>
      <c r="D36" s="115">
        <v>32480</v>
      </c>
      <c r="E36" s="260">
        <f>D36/'- 13 -'!$J$54*100</f>
        <v>1.3092697560431778E-3</v>
      </c>
      <c r="F36" s="115">
        <v>22556</v>
      </c>
      <c r="G36" s="260">
        <f>F36/'- 13 -'!$J$54*100</f>
        <v>9.0923302393195566E-4</v>
      </c>
      <c r="H36" s="115">
        <v>71910</v>
      </c>
      <c r="I36" s="260">
        <f>H36/'- 13 -'!$J$54*100</f>
        <v>2.8986942166584024E-3</v>
      </c>
      <c r="J36" s="115">
        <v>670421</v>
      </c>
      <c r="K36" s="260">
        <f>J36/'- 13 -'!$J$54*100</f>
        <v>2.7024690243726085E-2</v>
      </c>
    </row>
    <row r="37" spans="1:13" x14ac:dyDescent="0.2">
      <c r="A37" s="114" t="s">
        <v>211</v>
      </c>
      <c r="B37" s="115">
        <v>875979</v>
      </c>
      <c r="C37" s="260">
        <f>B37/'- 13 -'!$J$54*100</f>
        <v>3.5310739274290237E-2</v>
      </c>
      <c r="D37" s="115">
        <v>113038</v>
      </c>
      <c r="E37" s="260">
        <f>D37/'- 13 -'!$J$54*100</f>
        <v>4.5565651072539629E-3</v>
      </c>
      <c r="F37" s="115">
        <v>401</v>
      </c>
      <c r="G37" s="260">
        <f>F37/'- 13 -'!$J$54*100</f>
        <v>1.6164321803365588E-5</v>
      </c>
      <c r="H37" s="115">
        <v>10955</v>
      </c>
      <c r="I37" s="260">
        <f>H37/'- 13 -'!$J$54*100</f>
        <v>4.4159637245852869E-4</v>
      </c>
      <c r="J37" s="115">
        <v>3083789</v>
      </c>
      <c r="K37" s="260">
        <f>J37/'- 13 -'!$J$54*100</f>
        <v>0.12430762536079541</v>
      </c>
    </row>
    <row r="38" spans="1:13" x14ac:dyDescent="0.2">
      <c r="A38" s="121" t="s">
        <v>212</v>
      </c>
      <c r="B38" s="115">
        <v>520488</v>
      </c>
      <c r="C38" s="260">
        <f>B38/'- 13 -'!$J$54*100</f>
        <v>2.0980886600474185E-2</v>
      </c>
      <c r="D38" s="115">
        <v>196367</v>
      </c>
      <c r="E38" s="260">
        <f>D38/'- 13 -'!$J$54*100</f>
        <v>7.9155595500286537E-3</v>
      </c>
      <c r="F38" s="115">
        <v>41869</v>
      </c>
      <c r="G38" s="260">
        <f>F38/'- 13 -'!$J$54*100</f>
        <v>1.6877406224067677E-3</v>
      </c>
      <c r="H38" s="115">
        <v>31469</v>
      </c>
      <c r="I38" s="260">
        <f>H38/'- 13 -'!$J$54*100</f>
        <v>1.2685163162845677E-3</v>
      </c>
      <c r="J38" s="115">
        <v>1417556</v>
      </c>
      <c r="K38" s="260">
        <f>J38/'- 13 -'!$J$54*100</f>
        <v>5.7141724085515488E-2</v>
      </c>
    </row>
    <row r="39" spans="1:13" x14ac:dyDescent="0.2">
      <c r="A39" s="122" t="s">
        <v>213</v>
      </c>
      <c r="B39" s="118">
        <v>11685365</v>
      </c>
      <c r="C39" s="261">
        <f>B39/'- 13 -'!$J$54*100</f>
        <v>0.47103740710669612</v>
      </c>
      <c r="D39" s="118">
        <v>206769</v>
      </c>
      <c r="E39" s="261">
        <f>D39/'- 13 -'!$J$54*100</f>
        <v>8.3348644762097253E-3</v>
      </c>
      <c r="F39" s="118">
        <v>17632</v>
      </c>
      <c r="G39" s="261">
        <f>F39/'- 13 -'!$J$54*100</f>
        <v>7.1074643899486797E-4</v>
      </c>
      <c r="H39" s="118">
        <v>17900</v>
      </c>
      <c r="I39" s="261">
        <f>H39/'- 13 -'!$J$54*100</f>
        <v>7.2154952688340153E-4</v>
      </c>
      <c r="J39" s="118">
        <v>2682003</v>
      </c>
      <c r="K39" s="261">
        <f>J39/'- 13 -'!$J$54*100</f>
        <v>0.10811161987429405</v>
      </c>
    </row>
    <row r="40" spans="1:13" x14ac:dyDescent="0.2">
      <c r="A40" s="119" t="s">
        <v>214</v>
      </c>
      <c r="B40" s="125">
        <f>SUM(B25:B39)</f>
        <v>33053452</v>
      </c>
      <c r="C40" s="263">
        <f>B40/'- 13 -'!$J$54*100</f>
        <v>1.3323856230426381</v>
      </c>
      <c r="D40" s="125">
        <f>SUM(D25:D39)</f>
        <v>11982376</v>
      </c>
      <c r="E40" s="263">
        <f>D40/'- 13 -'!$J$54*100</f>
        <v>0.48300992925916347</v>
      </c>
      <c r="F40" s="125">
        <f>SUM(F25:F39)</f>
        <v>964943</v>
      </c>
      <c r="G40" s="263">
        <f>F40/'- 13 -'!$J$54*100</f>
        <v>3.8896880732930177E-2</v>
      </c>
      <c r="H40" s="125">
        <f>SUM(H25:H39)</f>
        <v>2498462</v>
      </c>
      <c r="I40" s="263">
        <f>H40/'- 13 -'!$J$54*100</f>
        <v>0.1007130767617965</v>
      </c>
      <c r="J40" s="125">
        <f>SUM(J25:J39)</f>
        <v>18502644</v>
      </c>
      <c r="K40" s="263">
        <f>J40/'- 13 -'!$J$54*100</f>
        <v>0.74584212426212337</v>
      </c>
    </row>
    <row r="41" spans="1:13" x14ac:dyDescent="0.2">
      <c r="A41" s="281" t="s">
        <v>215</v>
      </c>
      <c r="B41" s="123"/>
      <c r="C41" s="264"/>
      <c r="D41" s="123"/>
      <c r="E41" s="264"/>
      <c r="F41" s="123"/>
      <c r="G41" s="264"/>
      <c r="H41" s="123"/>
      <c r="I41" s="264"/>
      <c r="J41" s="123"/>
      <c r="K41" s="264"/>
    </row>
    <row r="42" spans="1:13" x14ac:dyDescent="0.2">
      <c r="A42" s="114" t="s">
        <v>216</v>
      </c>
      <c r="B42" s="115">
        <v>40586923</v>
      </c>
      <c r="C42" s="260">
        <f>B42/'- 13 -'!$J$54*100</f>
        <v>1.636060060799053</v>
      </c>
      <c r="D42" s="115">
        <v>3567933</v>
      </c>
      <c r="E42" s="260">
        <f>D42/'- 13 -'!$J$54*100</f>
        <v>0.14382348425149025</v>
      </c>
      <c r="F42" s="115">
        <v>119444</v>
      </c>
      <c r="G42" s="260">
        <f>F42/'- 13 -'!$J$54*100</f>
        <v>4.8147911558134643E-3</v>
      </c>
      <c r="H42" s="115">
        <v>1673931</v>
      </c>
      <c r="I42" s="260">
        <f>H42/'- 13 -'!$J$54*100</f>
        <v>6.7476207881869227E-2</v>
      </c>
      <c r="J42" s="115">
        <v>1164356</v>
      </c>
      <c r="K42" s="260">
        <f>J42/'- 13 -'!$J$54*100</f>
        <v>4.6935224632617317E-2</v>
      </c>
    </row>
    <row r="43" spans="1:13" x14ac:dyDescent="0.2">
      <c r="A43" s="114" t="s">
        <v>217</v>
      </c>
      <c r="B43" s="115">
        <v>11623709</v>
      </c>
      <c r="C43" s="260">
        <f>B43/'- 13 -'!$J$54*100</f>
        <v>0.46855205193186239</v>
      </c>
      <c r="D43" s="115">
        <v>689600</v>
      </c>
      <c r="E43" s="260">
        <f>D43/'- 13 -'!$J$54*100</f>
        <v>2.7797796298256634E-2</v>
      </c>
      <c r="F43" s="115">
        <v>72047</v>
      </c>
      <c r="G43" s="260">
        <f>F43/'- 13 -'!$J$54*100</f>
        <v>2.9042166906909739E-3</v>
      </c>
      <c r="H43" s="115">
        <v>76371</v>
      </c>
      <c r="I43" s="260">
        <f>H43/'- 13 -'!$J$54*100</f>
        <v>3.0785172579671652E-3</v>
      </c>
      <c r="J43" s="115">
        <v>89264</v>
      </c>
      <c r="K43" s="260">
        <f>J43/'- 13 -'!$J$54*100</f>
        <v>3.5982344674703889E-3</v>
      </c>
    </row>
    <row r="44" spans="1:13" x14ac:dyDescent="0.2">
      <c r="A44" s="114" t="s">
        <v>218</v>
      </c>
      <c r="B44" s="115">
        <v>9696969</v>
      </c>
      <c r="C44" s="260">
        <f>B44/'- 13 -'!$J$54*100</f>
        <v>0.39088510581860397</v>
      </c>
      <c r="D44" s="115">
        <v>403476</v>
      </c>
      <c r="E44" s="260">
        <f>D44/'- 13 -'!$J$54*100</f>
        <v>1.6264129436246222E-2</v>
      </c>
      <c r="F44" s="115">
        <v>32053</v>
      </c>
      <c r="G44" s="260">
        <f>F44/'- 13 -'!$J$54*100</f>
        <v>1.2920573734745068E-3</v>
      </c>
      <c r="H44" s="115">
        <v>110641</v>
      </c>
      <c r="I44" s="260">
        <f>H44/'- 13 -'!$J$54*100</f>
        <v>4.4599419666986832E-3</v>
      </c>
      <c r="J44" s="115">
        <v>282654</v>
      </c>
      <c r="K44" s="260">
        <f>J44/'- 13 -'!$J$54*100</f>
        <v>1.1393791059871563E-2</v>
      </c>
    </row>
    <row r="45" spans="1:13" x14ac:dyDescent="0.2">
      <c r="A45" s="122" t="s">
        <v>219</v>
      </c>
      <c r="B45" s="118">
        <v>20780910</v>
      </c>
      <c r="C45" s="261">
        <f>B45/'- 13 -'!$J$54*100</f>
        <v>0.83767909378248873</v>
      </c>
      <c r="D45" s="118">
        <v>790076</v>
      </c>
      <c r="E45" s="261">
        <f>D45/'- 13 -'!$J$54*100</f>
        <v>3.1847986815750302E-2</v>
      </c>
      <c r="F45" s="118">
        <v>55950</v>
      </c>
      <c r="G45" s="261">
        <f>F45/'- 13 -'!$J$54*100</f>
        <v>2.255346146878565E-3</v>
      </c>
      <c r="H45" s="118">
        <v>3700</v>
      </c>
      <c r="I45" s="261">
        <f>H45/'- 13 -'!$J$54*100</f>
        <v>1.4914710890885955E-4</v>
      </c>
      <c r="J45" s="118">
        <v>733703</v>
      </c>
      <c r="K45" s="261">
        <f>J45/'- 13 -'!$J$54*100</f>
        <v>2.9575589526420802E-2</v>
      </c>
    </row>
    <row r="46" spans="1:13" x14ac:dyDescent="0.2">
      <c r="A46" s="119" t="s">
        <v>220</v>
      </c>
      <c r="B46" s="125">
        <f>SUM(B42:B45)</f>
        <v>82688511</v>
      </c>
      <c r="C46" s="263">
        <f>B46/'- 13 -'!$J$54*100</f>
        <v>3.3331763123320082</v>
      </c>
      <c r="D46" s="125">
        <f>SUM(D42:D45)</f>
        <v>5451085</v>
      </c>
      <c r="E46" s="263">
        <f>D46/'- 13 -'!$J$54*100</f>
        <v>0.21973339680174342</v>
      </c>
      <c r="F46" s="125">
        <f>SUM(F42:F45)</f>
        <v>279494</v>
      </c>
      <c r="G46" s="263">
        <f>F46/'- 13 -'!$J$54*100</f>
        <v>1.1266411366857512E-2</v>
      </c>
      <c r="H46" s="125">
        <f>SUM(H42:H45)</f>
        <v>1864643</v>
      </c>
      <c r="I46" s="263">
        <f>H46/'- 13 -'!$J$54*100</f>
        <v>7.5163814215443936E-2</v>
      </c>
      <c r="J46" s="125">
        <f>SUM(J42:J45)</f>
        <v>2269977</v>
      </c>
      <c r="K46" s="263">
        <f>J46/'- 13 -'!$J$54*100</f>
        <v>9.150283968638008E-2</v>
      </c>
    </row>
    <row r="47" spans="1:13" x14ac:dyDescent="0.2">
      <c r="A47" s="281" t="s">
        <v>42</v>
      </c>
      <c r="B47" s="123"/>
      <c r="C47" s="264"/>
      <c r="D47" s="123"/>
      <c r="E47" s="264"/>
      <c r="F47" s="123"/>
      <c r="G47" s="264"/>
      <c r="H47" s="123"/>
      <c r="I47" s="264"/>
      <c r="J47" s="123"/>
      <c r="K47" s="264"/>
    </row>
    <row r="48" spans="1:13" ht="15" customHeight="1" x14ac:dyDescent="0.2">
      <c r="A48" s="122" t="s">
        <v>246</v>
      </c>
      <c r="B48" s="124"/>
      <c r="C48" s="261"/>
      <c r="D48" s="124"/>
      <c r="E48" s="261"/>
      <c r="F48" s="118">
        <v>27000</v>
      </c>
      <c r="G48" s="261"/>
      <c r="H48" s="124"/>
      <c r="I48" s="261"/>
      <c r="J48" s="118">
        <v>-27000</v>
      </c>
      <c r="K48" s="261"/>
      <c r="M48" s="1">
        <f>F48+J48+'- 13 -'!F48</f>
        <v>0</v>
      </c>
    </row>
    <row r="49" spans="1:11" x14ac:dyDescent="0.2">
      <c r="A49" s="119" t="s">
        <v>223</v>
      </c>
      <c r="B49" s="119"/>
      <c r="C49" s="263"/>
      <c r="D49" s="119"/>
      <c r="E49" s="263"/>
      <c r="F49" s="125">
        <f>F48</f>
        <v>27000</v>
      </c>
      <c r="G49" s="263"/>
      <c r="H49" s="119"/>
      <c r="I49" s="263"/>
      <c r="J49" s="125">
        <f>J48</f>
        <v>-27000</v>
      </c>
      <c r="K49" s="263"/>
    </row>
    <row r="50" spans="1:11" ht="5.0999999999999996" customHeight="1" x14ac:dyDescent="0.2">
      <c r="A50" s="19"/>
      <c r="B50" s="23"/>
      <c r="C50" s="265"/>
      <c r="D50" s="72"/>
      <c r="E50" s="265"/>
      <c r="F50" s="72"/>
      <c r="G50" s="265"/>
      <c r="H50" s="72"/>
      <c r="I50" s="265"/>
      <c r="J50" s="72"/>
      <c r="K50" s="265"/>
    </row>
    <row r="51" spans="1:11" x14ac:dyDescent="0.2">
      <c r="A51" s="282" t="s">
        <v>224</v>
      </c>
      <c r="B51" s="344">
        <f>SUM(B47,B46,B40,B23,B22)</f>
        <v>1386885753</v>
      </c>
      <c r="C51" s="345">
        <f>B51/'- 13 -'!$J$54*100</f>
        <v>55.905405526172068</v>
      </c>
      <c r="D51" s="344">
        <f>SUM(D47,D46,D40,D23,D22)</f>
        <v>461352996</v>
      </c>
      <c r="E51" s="345">
        <f>D51/'- 13 -'!$J$54*100</f>
        <v>18.597152848605578</v>
      </c>
      <c r="F51" s="344">
        <f>SUM(F49,F46,F40,F23,F22)</f>
        <v>9634412</v>
      </c>
      <c r="G51" s="345">
        <f>F51/'- 13 -'!$J$54*100</f>
        <v>0.38836343130724954</v>
      </c>
      <c r="H51" s="344">
        <f>SUM(H47,H46,H40,H23,H22)</f>
        <v>23294667</v>
      </c>
      <c r="I51" s="345">
        <f>H51/'- 13 -'!$J$54*100</f>
        <v>0.93900871244449091</v>
      </c>
      <c r="J51" s="344">
        <f>SUM(J49,J46,J40,J23,J22)</f>
        <v>78451155</v>
      </c>
      <c r="K51" s="345">
        <f>J51/'- 13 -'!$J$54*100</f>
        <v>3.1623683672461675</v>
      </c>
    </row>
    <row r="52" spans="1:11" ht="20.100000000000001" customHeight="1" x14ac:dyDescent="0.2">
      <c r="A52" s="449" t="s">
        <v>360</v>
      </c>
    </row>
  </sheetData>
  <mergeCells count="7">
    <mergeCell ref="B7:K7"/>
    <mergeCell ref="L26:L29"/>
    <mergeCell ref="B9:C10"/>
    <mergeCell ref="D9:E10"/>
    <mergeCell ref="F9:G10"/>
    <mergeCell ref="H9:I10"/>
    <mergeCell ref="J9:K10"/>
  </mergeCells>
  <phoneticPr fontId="0" type="noConversion"/>
  <printOptions verticalCentered="1"/>
  <pageMargins left="0.74803149606299213" right="0" top="0.31496062992125984" bottom="0.31496062992125984" header="0" footer="0"/>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62</vt:i4>
      </vt:variant>
    </vt:vector>
  </HeadingPairs>
  <TitlesOfParts>
    <vt:vector size="116"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- 47 -</vt:lpstr>
      <vt:lpstr>- 48 - </vt:lpstr>
      <vt:lpstr>- 50 -</vt:lpstr>
      <vt:lpstr>- 51 -</vt:lpstr>
      <vt:lpstr>- 52 -</vt:lpstr>
      <vt:lpstr>- 53 -</vt:lpstr>
      <vt:lpstr>- 54 -</vt:lpstr>
      <vt:lpstr>- 55 -</vt:lpstr>
      <vt:lpstr>- 56 -</vt:lpstr>
      <vt:lpstr>- 57 -</vt:lpstr>
      <vt:lpstr>- 58 -</vt:lpstr>
      <vt:lpstr>- 59 -</vt:lpstr>
      <vt:lpstr>- 60 -</vt:lpstr>
      <vt:lpstr>Data</vt:lpstr>
      <vt:lpstr>AEXP_BF</vt:lpstr>
      <vt:lpstr>AEXP_BP</vt:lpstr>
      <vt:lpstr>Lang</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'- 47 -'!Print_Area</vt:lpstr>
      <vt:lpstr>'- 48 -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Barker, Jordan (MET)</cp:lastModifiedBy>
  <cp:lastPrinted>2021-06-29T11:25:46Z</cp:lastPrinted>
  <dcterms:created xsi:type="dcterms:W3CDTF">1999-01-19T20:49:35Z</dcterms:created>
  <dcterms:modified xsi:type="dcterms:W3CDTF">2021-06-29T19:03:02Z</dcterms:modified>
</cp:coreProperties>
</file>