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worksheets/sheet3.xml" ContentType="application/vnd.openxmlformats-officedocument.spreadsheetml.worksheet+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5" yWindow="-15" windowWidth="15480" windowHeight="5160" tabRatio="865"/>
  </bookViews>
  <sheets>
    <sheet name="README" sheetId="91" r:id="rId1"/>
    <sheet name="- 3 -" sheetId="5" r:id="rId2"/>
    <sheet name="- 4 -" sheetId="6" r:id="rId3"/>
    <sheet name="- 6 -" sheetId="14" r:id="rId4"/>
    <sheet name="- 7 -" sheetId="15" r:id="rId5"/>
    <sheet name="- 8 -" sheetId="16" r:id="rId6"/>
    <sheet name="- 9 -" sheetId="17" r:id="rId7"/>
    <sheet name="- 10 -" sheetId="21" r:id="rId8"/>
    <sheet name="- 12 -" sheetId="22" r:id="rId9"/>
    <sheet name="- 13 -" sheetId="23" r:id="rId10"/>
    <sheet name="- 15 -" sheetId="18" r:id="rId11"/>
    <sheet name="- 16 -" sheetId="19" r:id="rId12"/>
    <sheet name="- 17 -" sheetId="20" r:id="rId13"/>
    <sheet name="- 18 -" sheetId="8" r:id="rId14"/>
    <sheet name="- 19 -" sheetId="9" r:id="rId15"/>
    <sheet name="- 20 -" sheetId="7" r:id="rId16"/>
    <sheet name="- 21 -" sheetId="10" r:id="rId17"/>
    <sheet name="- 22 -" sheetId="11" r:id="rId18"/>
    <sheet name="- 23 -" sheetId="82" r:id="rId19"/>
    <sheet name="- 24 -" sheetId="25" r:id="rId20"/>
    <sheet name="- 25 -" sheetId="26" r:id="rId21"/>
    <sheet name="- 26 -" sheetId="27" r:id="rId22"/>
    <sheet name="- 27 -" sheetId="28" r:id="rId23"/>
    <sheet name="- 28 -" sheetId="29" r:id="rId24"/>
    <sheet name="- 29 -" sheetId="34" r:id="rId25"/>
    <sheet name="- 30 -" sheetId="35" r:id="rId26"/>
    <sheet name="- 31 -" sheetId="36" r:id="rId27"/>
    <sheet name="- 32 -" sheetId="37" r:id="rId28"/>
    <sheet name="- 33 -" sheetId="38" r:id="rId29"/>
    <sheet name="- 34 -" sheetId="39" r:id="rId30"/>
    <sheet name="- 35 -" sheetId="40" r:id="rId31"/>
    <sheet name="- 36 -" sheetId="41" r:id="rId32"/>
    <sheet name="- 37 -" sheetId="54" r:id="rId33"/>
    <sheet name="- 38 -" sheetId="76" r:id="rId34"/>
    <sheet name="- 40 -" sheetId="42" r:id="rId35"/>
    <sheet name="- 41 -" sheetId="43" r:id="rId36"/>
    <sheet name="- 42 -" sheetId="44" r:id="rId37"/>
    <sheet name="- 43 -" sheetId="45" r:id="rId38"/>
    <sheet name="- 44 -" sheetId="33" r:id="rId39"/>
    <sheet name="- 45 -" sheetId="48" r:id="rId40"/>
    <sheet name="- 47 -" sheetId="49" r:id="rId41"/>
    <sheet name="- 48 - " sheetId="88" r:id="rId42"/>
    <sheet name="- 50 -" sheetId="50" r:id="rId43"/>
    <sheet name="- 51 -" sheetId="51" r:id="rId44"/>
    <sheet name="- 52 -" sheetId="81" r:id="rId45"/>
    <sheet name="- 53 -" sheetId="47" r:id="rId46"/>
    <sheet name="- 54 -" sheetId="46" r:id="rId47"/>
    <sheet name="- 55 -" sheetId="52" r:id="rId48"/>
    <sheet name="- 56 -" sheetId="84" r:id="rId49"/>
    <sheet name="- 57 -" sheetId="85" r:id="rId50"/>
    <sheet name="- 58 -" sheetId="89" r:id="rId51"/>
    <sheet name="- 59 -" sheetId="90" r:id="rId52"/>
    <sheet name="- 60 -" sheetId="78" r:id="rId53"/>
    <sheet name="Data" sheetId="2" state="hidden" r:id="rId54"/>
  </sheets>
  <externalReferences>
    <externalReference r:id="rId55"/>
    <externalReference r:id="rId56"/>
    <externalReference r:id="rId57"/>
    <externalReference r:id="rId58"/>
    <externalReference r:id="rId59"/>
  </externalReferences>
  <definedNames>
    <definedName name="_Fill" localSheetId="50" hidden="1">#REF!</definedName>
    <definedName name="_Fill" localSheetId="0" hidden="1">#REF!</definedName>
    <definedName name="_Fill" hidden="1">#REF!</definedName>
    <definedName name="_Order1" hidden="1">0</definedName>
    <definedName name="AEXP_BF" localSheetId="0">'[1]- 15 -'!$B$2</definedName>
    <definedName name="AEXP_BF">'- 15 -'!$B$2</definedName>
    <definedName name="AEXP_BP" localSheetId="0">'[1]- 18 -'!$B$2</definedName>
    <definedName name="AEXP_BP">'- 18 -'!$B$2</definedName>
    <definedName name="capyear" localSheetId="0">#REF!</definedName>
    <definedName name="capyear">#REF!</definedName>
    <definedName name="DATE_ENTRY" localSheetId="0">#REF!</definedName>
    <definedName name="DATE_ENTRY">#REF!</definedName>
    <definedName name="DIV">[2]Data!$A$9:$A$696</definedName>
    <definedName name="DIVNUM">[3]DATA!$B$1</definedName>
    <definedName name="HTML_CodePage" hidden="1">1252</definedName>
    <definedName name="HTML_Control" localSheetId="18" hidden="1">{"'- 4 -'!$A$1:$G$76","'-3 -'!$A$1:$G$77"}</definedName>
    <definedName name="HTML_Control" localSheetId="41" hidden="1">{"'- 4 -'!$A$1:$G$76","'-3 -'!$A$1:$G$77"}</definedName>
    <definedName name="HTML_Control" localSheetId="44" hidden="1">{"'- 4 -'!$A$1:$G$76","'-3 -'!$A$1:$G$77"}</definedName>
    <definedName name="HTML_Control" localSheetId="48" hidden="1">{"'- 4 -'!$A$1:$G$76","'-3 -'!$A$1:$G$77"}</definedName>
    <definedName name="HTML_Control" localSheetId="49" hidden="1">{"'- 4 -'!$A$1:$G$76","'-3 -'!$A$1:$G$77"}</definedName>
    <definedName name="HTML_Control" localSheetId="52" hidden="1">{"'- 4 -'!$A$1:$G$76","'-3 -'!$A$1:$G$77"}</definedName>
    <definedName name="HTML_Control" localSheetId="0" hidden="1">{"'- 4 -'!$A$1:$G$76","'-3 -'!$A$1:$G$77"}</definedName>
    <definedName name="HTML_Control" hidden="1">{"'- 4 -'!$A$1:$G$76","'-3 -'!$A$1:$G$77"}</definedName>
    <definedName name="HTML_Description" hidden="1">""</definedName>
    <definedName name="HTML_Email" hidden="1">""</definedName>
    <definedName name="HTML_Header" hidden="1">"- 8 -"</definedName>
    <definedName name="HTML_LastUpdate" hidden="1">"1999-01-20"</definedName>
    <definedName name="HTML_LineAfter" hidden="1">FALSE</definedName>
    <definedName name="HTML_LineBefore" hidden="1">FALSE</definedName>
    <definedName name="HTML_Name" hidden="1">"Chris J. Anderson"</definedName>
    <definedName name="HTML_OBDlg2" hidden="1">TRUE</definedName>
    <definedName name="HTML_OBDlg4" hidden="1">TRUE</definedName>
    <definedName name="HTML_OS" hidden="1">0</definedName>
    <definedName name="HTML_PathFile" hidden="1">"C:\frame\FIN98\MyHTML.htm"</definedName>
    <definedName name="HTML_Title" hidden="1">"98AFRAME"</definedName>
    <definedName name="Lang" localSheetId="0">[1]Data!$V$4</definedName>
    <definedName name="Lang">Data!$Y$4</definedName>
    <definedName name="LIST">[3]DATA!$D$1:$D$39</definedName>
    <definedName name="LOADED1" localSheetId="0">#REF!</definedName>
    <definedName name="LOADED1">#REF!</definedName>
    <definedName name="LOADED2" localSheetId="0">#REF!</definedName>
    <definedName name="LOADED2">#REF!</definedName>
    <definedName name="LOADED3" localSheetId="0">#REF!</definedName>
    <definedName name="LOADED3">#REF!</definedName>
    <definedName name="NOW" localSheetId="0">#REF!</definedName>
    <definedName name="NOW">#REF!</definedName>
    <definedName name="OD_FINISH" localSheetId="0">#REF!</definedName>
    <definedName name="OD_FINISH">#REF!</definedName>
    <definedName name="OD_FIRST" localSheetId="0">#REF!</definedName>
    <definedName name="OD_FIRST">#REF!</definedName>
    <definedName name="OD_LAST" localSheetId="0">#REF!</definedName>
    <definedName name="OD_LAST">#REF!</definedName>
    <definedName name="OD_START" localSheetId="0">#REF!</definedName>
    <definedName name="OD_START">#REF!</definedName>
    <definedName name="ONE_AM" localSheetId="0">#REF!</definedName>
    <definedName name="ONE_AM">#REF!</definedName>
    <definedName name="ONE_PM" localSheetId="0">#REF!</definedName>
    <definedName name="ONE_PM">#REF!</definedName>
    <definedName name="OPYEAR" localSheetId="0">'[4]- 3 -'!$A$3</definedName>
    <definedName name="OPYEAR">'- 3 -'!$A$3</definedName>
    <definedName name="_xlnm.Print_Area" localSheetId="7">'- 10 -'!$A$1:$L$34</definedName>
    <definedName name="_xlnm.Print_Area" localSheetId="8">'- 12 -'!$A$2:$L$53</definedName>
    <definedName name="_xlnm.Print_Area" localSheetId="9">'- 13 -'!$A$2:$L$55</definedName>
    <definedName name="_xlnm.Print_Area" localSheetId="10">'- 15 -'!$A$1:$I$59</definedName>
    <definedName name="_xlnm.Print_Area" localSheetId="11">'- 16 -'!$A$1:$I$59</definedName>
    <definedName name="_xlnm.Print_Area" localSheetId="12">'- 17 -'!$A$1:$J$59</definedName>
    <definedName name="_xlnm.Print_Area" localSheetId="13">'- 18 -'!$A$1:$G$59</definedName>
    <definedName name="_xlnm.Print_Area" localSheetId="14">'- 19 -'!$A$1:$J$59</definedName>
    <definedName name="_xlnm.Print_Area" localSheetId="15">'- 20 -'!$A$1:$I$59</definedName>
    <definedName name="_xlnm.Print_Area" localSheetId="16">'- 21 -'!$A$1:$I$59</definedName>
    <definedName name="_xlnm.Print_Area" localSheetId="17">'- 22 -'!$A$1:$J$58</definedName>
    <definedName name="_xlnm.Print_Area" localSheetId="18">'- 23 -'!$A$1:$F$59</definedName>
    <definedName name="_xlnm.Print_Area" localSheetId="19">'- 24 -'!$A$1:$I$59</definedName>
    <definedName name="_xlnm.Print_Area" localSheetId="20">'- 25 -'!$A$1:$J$59</definedName>
    <definedName name="_xlnm.Print_Area" localSheetId="21">'- 26 -'!$A$1:$E$59</definedName>
    <definedName name="_xlnm.Print_Area" localSheetId="22">'- 27 -'!$A$1:$J$59</definedName>
    <definedName name="_xlnm.Print_Area" localSheetId="23">'- 28 -'!$A$1:$G$59</definedName>
    <definedName name="_xlnm.Print_Area" localSheetId="24">'- 29 -'!$A$1:$G$59</definedName>
    <definedName name="_xlnm.Print_Area" localSheetId="1">'- 3 -'!$A$1:$F$59</definedName>
    <definedName name="_xlnm.Print_Area" localSheetId="25">'- 30 -'!$A$1:$F$59</definedName>
    <definedName name="_xlnm.Print_Area" localSheetId="26">'- 31 -'!$A$1:$G$59</definedName>
    <definedName name="_xlnm.Print_Area" localSheetId="27">'- 32 -'!$A$1:$F$59</definedName>
    <definedName name="_xlnm.Print_Area" localSheetId="28">'- 33 -'!$A$1:$F$59</definedName>
    <definedName name="_xlnm.Print_Area" localSheetId="29">'- 34 -'!$A$1:$H$59</definedName>
    <definedName name="_xlnm.Print_Area" localSheetId="30">'- 35 -'!$A$1:$E$59</definedName>
    <definedName name="_xlnm.Print_Area" localSheetId="31">'- 36 -'!$A$1:$G$59</definedName>
    <definedName name="_xlnm.Print_Area" localSheetId="32">'- 37 -'!$A$1:$J$59</definedName>
    <definedName name="_xlnm.Print_Area" localSheetId="33">'- 38 -'!$A$1:$H$58</definedName>
    <definedName name="_xlnm.Print_Area" localSheetId="2">'- 4 -'!$A$1:$E$59</definedName>
    <definedName name="_xlnm.Print_Area" localSheetId="34">'- 40 -'!$A$1:$H$59</definedName>
    <definedName name="_xlnm.Print_Area" localSheetId="35">'- 41 -'!$A$1:$I$62</definedName>
    <definedName name="_xlnm.Print_Area" localSheetId="36">'- 42 -'!$A$1:$I$59</definedName>
    <definedName name="_xlnm.Print_Area" localSheetId="37">'- 43 -'!$A$1:$I$59</definedName>
    <definedName name="_xlnm.Print_Area" localSheetId="38">'- 44 -'!$A$1:$C$60</definedName>
    <definedName name="_xlnm.Print_Area" localSheetId="39">'- 45 -'!$A$1:$D$58</definedName>
    <definedName name="_xlnm.Print_Area" localSheetId="40">'- 47 -'!$A$1:$G$57</definedName>
    <definedName name="_xlnm.Print_Area" localSheetId="41">'- 48 - '!$A$1:$F$52</definedName>
    <definedName name="_xlnm.Print_Area" localSheetId="42">'- 50 -'!$A$1:$F$57</definedName>
    <definedName name="_xlnm.Print_Area" localSheetId="43">'- 51 -'!$A$1:$G$59</definedName>
    <definedName name="_xlnm.Print_Area" localSheetId="44">'- 52 -'!$A$1:$G$59</definedName>
    <definedName name="_xlnm.Print_Area" localSheetId="45">'- 53 -'!$A$1:$F$57</definedName>
    <definedName name="_xlnm.Print_Area" localSheetId="46">'- 54 -'!$A$1:$F$59</definedName>
    <definedName name="_xlnm.Print_Area" localSheetId="47">'- 55 -'!$A$1:$F$59</definedName>
    <definedName name="_xlnm.Print_Area" localSheetId="48">'- 56 -'!$A$1:$F$61</definedName>
    <definedName name="_xlnm.Print_Area" localSheetId="49">'- 57 -'!$A$1:$H$56</definedName>
    <definedName name="_xlnm.Print_Area" localSheetId="50">'- 58 -'!$A$1:$I$57</definedName>
    <definedName name="_xlnm.Print_Area" localSheetId="51">'- 59 -'!$A$2:$G$52</definedName>
    <definedName name="_xlnm.Print_Area" localSheetId="3">'- 6 -'!$A$1:$H$59</definedName>
    <definedName name="_xlnm.Print_Area" localSheetId="52">'- 60 -'!$A$1:$I$55</definedName>
    <definedName name="_xlnm.Print_Area" localSheetId="4">'- 7 -'!$A$1:$F$59</definedName>
    <definedName name="_xlnm.Print_Area" localSheetId="5">'- 8 -'!$A$1:$G$59</definedName>
    <definedName name="_xlnm.Print_Area" localSheetId="6">'- 9 -'!$A$1:$D$58</definedName>
    <definedName name="_xlnm.Print_Area" localSheetId="53">Data!$A$3:$N$52</definedName>
    <definedName name="_xlnm.Print_Area" localSheetId="0">README!$B$3:$B$15</definedName>
    <definedName name="REVYEAR" localSheetId="0">'[4]- 42 -'!$B$1</definedName>
    <definedName name="REVYEAR">'- 41 -'!$B$1</definedName>
    <definedName name="STAMP" localSheetId="0">#REF!</definedName>
    <definedName name="STAMP">#REF!</definedName>
    <definedName name="STATDATE" localSheetId="0">'[4]- 6 -'!$B$3</definedName>
    <definedName name="STATDATE">'- 6 -'!$B$3</definedName>
    <definedName name="TAXYEAR" localSheetId="0">'[4]- 46 -'!$B$3</definedName>
    <definedName name="TAXYEAR">'- 45 -'!$B$3</definedName>
    <definedName name="TOTAL1" localSheetId="0">#REF!</definedName>
    <definedName name="TOTAL1">#REF!</definedName>
    <definedName name="TOTAL2" localSheetId="0">#REF!</definedName>
    <definedName name="TOTAL2">#REF!</definedName>
    <definedName name="TOTAL3" localSheetId="0">#REF!</definedName>
    <definedName name="TOTAL3">#REF!</definedName>
    <definedName name="TWO" localSheetId="0">#REF!</definedName>
    <definedName name="TWO">#REF!</definedName>
    <definedName name="YEAR" localSheetId="0">#REF!</definedName>
    <definedName name="YEAR">Data!$B$6</definedName>
    <definedName name="YEARFRENCH">'[5]- 42 -'!$B$1</definedName>
  </definedNames>
  <calcPr calcId="125725"/>
</workbook>
</file>

<file path=xl/calcChain.xml><?xml version="1.0" encoding="utf-8"?>
<calcChain xmlns="http://schemas.openxmlformats.org/spreadsheetml/2006/main">
  <c r="P48" i="2"/>
  <c r="BA3" i="48" l="1"/>
  <c r="I28" i="41" l="1"/>
  <c r="B60" i="2" l="1"/>
  <c r="B61" s="1"/>
  <c r="B62" s="1"/>
  <c r="B63" s="1"/>
  <c r="B64" s="1"/>
  <c r="B65" s="1"/>
  <c r="B66" s="1"/>
  <c r="B67" s="1"/>
  <c r="B68" s="1"/>
  <c r="B69" s="1"/>
  <c r="B70" s="1"/>
  <c r="B71" s="1"/>
  <c r="B72" s="1"/>
  <c r="B73" s="1"/>
  <c r="B74" s="1"/>
  <c r="Q48" l="1"/>
  <c r="D14" i="43"/>
  <c r="E13" l="1"/>
  <c r="E17"/>
  <c r="E21"/>
  <c r="E25"/>
  <c r="E29"/>
  <c r="E33"/>
  <c r="E37"/>
  <c r="E41"/>
  <c r="E45"/>
  <c r="B48" i="38"/>
  <c r="E12" i="43"/>
  <c r="E16"/>
  <c r="E20"/>
  <c r="E24"/>
  <c r="E28"/>
  <c r="E32"/>
  <c r="E36"/>
  <c r="E40"/>
  <c r="E44"/>
  <c r="E51"/>
  <c r="E51" i="46"/>
  <c r="E11" i="43"/>
  <c r="F48" i="44"/>
  <c r="D48" i="45"/>
  <c r="E12" i="46"/>
  <c r="E16"/>
  <c r="E20"/>
  <c r="E24"/>
  <c r="E28"/>
  <c r="E32"/>
  <c r="E36"/>
  <c r="E40"/>
  <c r="E44"/>
  <c r="E13"/>
  <c r="E17"/>
  <c r="E21"/>
  <c r="E25"/>
  <c r="E29"/>
  <c r="E33"/>
  <c r="E37"/>
  <c r="E41"/>
  <c r="E45"/>
  <c r="B48" i="45"/>
  <c r="E11" i="46"/>
  <c r="E15"/>
  <c r="E19"/>
  <c r="E23"/>
  <c r="E27"/>
  <c r="E31"/>
  <c r="E35"/>
  <c r="E39"/>
  <c r="E43"/>
  <c r="E50"/>
  <c r="E14"/>
  <c r="E18"/>
  <c r="E22"/>
  <c r="E26"/>
  <c r="E30"/>
  <c r="E34"/>
  <c r="E38"/>
  <c r="E42"/>
  <c r="E46"/>
  <c r="D48" i="44"/>
  <c r="E15" i="43"/>
  <c r="E19"/>
  <c r="E23"/>
  <c r="E27"/>
  <c r="E31"/>
  <c r="E35"/>
  <c r="E39"/>
  <c r="E43"/>
  <c r="E50"/>
  <c r="H48" i="44"/>
  <c r="E48" i="52"/>
  <c r="D48" i="37"/>
  <c r="E18" i="43"/>
  <c r="E22"/>
  <c r="E26"/>
  <c r="E30"/>
  <c r="E34"/>
  <c r="E38"/>
  <c r="E42"/>
  <c r="E46"/>
  <c r="G48"/>
  <c r="C48" i="47"/>
  <c r="R48" i="2"/>
  <c r="E14" i="43"/>
  <c r="B48" i="37"/>
  <c r="F48" i="36"/>
  <c r="D48"/>
  <c r="B48" l="1"/>
  <c r="F48" i="34" l="1"/>
  <c r="B48" i="29"/>
  <c r="D48" i="35"/>
  <c r="E48" i="29"/>
  <c r="B48" i="35"/>
  <c r="D48" i="34"/>
  <c r="B48"/>
  <c r="H48" i="28" l="1"/>
  <c r="B48" i="27"/>
  <c r="E48" i="28"/>
  <c r="B48"/>
  <c r="B48" i="82" l="1"/>
  <c r="F48" i="25"/>
  <c r="B48" i="26"/>
  <c r="H48"/>
  <c r="D48" i="25"/>
  <c r="H48"/>
  <c r="E48" i="26"/>
  <c r="B48" i="25"/>
  <c r="D48" i="82"/>
  <c r="H48" i="11" l="1"/>
  <c r="E48"/>
  <c r="H48" i="9" l="1"/>
  <c r="H48" i="10"/>
  <c r="B48" i="7"/>
  <c r="E48" i="10"/>
  <c r="B48" i="11"/>
  <c r="B48" i="10"/>
  <c r="E48" i="9"/>
  <c r="B48"/>
  <c r="E48" i="8"/>
  <c r="B48"/>
  <c r="C52" i="84" l="1"/>
  <c r="C14" l="1"/>
  <c r="C18"/>
  <c r="C22"/>
  <c r="C26"/>
  <c r="C30"/>
  <c r="C34"/>
  <c r="C38"/>
  <c r="C42"/>
  <c r="C46"/>
  <c r="C12"/>
  <c r="C16"/>
  <c r="C20"/>
  <c r="C24"/>
  <c r="C13"/>
  <c r="C17"/>
  <c r="C21"/>
  <c r="C25"/>
  <c r="C29"/>
  <c r="C33"/>
  <c r="C37"/>
  <c r="C41"/>
  <c r="C45"/>
  <c r="C23"/>
  <c r="C27"/>
  <c r="C31"/>
  <c r="C35"/>
  <c r="C39"/>
  <c r="C43"/>
  <c r="C47"/>
  <c r="C28"/>
  <c r="C32"/>
  <c r="C36"/>
  <c r="C40"/>
  <c r="C44"/>
  <c r="C51"/>
  <c r="O48" i="2"/>
  <c r="BB3" i="78" l="1"/>
  <c r="BA3"/>
  <c r="A2"/>
  <c r="A2" i="90"/>
  <c r="BB3" i="89"/>
  <c r="AY2" i="84"/>
  <c r="AX2"/>
  <c r="BA3" i="89" s="1"/>
  <c r="A3" s="1"/>
  <c r="B2" i="50"/>
  <c r="A2" i="88"/>
  <c r="A2" i="49"/>
  <c r="B3" i="48"/>
  <c r="A3" i="88" s="1"/>
  <c r="BB3" i="33"/>
  <c r="A2"/>
  <c r="BB1" i="43"/>
  <c r="BA1"/>
  <c r="B1" s="1"/>
  <c r="BA3" i="33" l="1"/>
  <c r="A3" s="1"/>
  <c r="BA2" i="42"/>
  <c r="A2" s="1"/>
  <c r="BB2"/>
  <c r="B2" i="54"/>
  <c r="B2" i="76" s="1"/>
  <c r="A2" i="41"/>
  <c r="B2" i="40"/>
  <c r="B2" i="39"/>
  <c r="B2" i="8"/>
  <c r="B2" i="35" s="1"/>
  <c r="B2" i="18"/>
  <c r="B2" i="20" s="1"/>
  <c r="B5" i="22"/>
  <c r="B5" i="23" s="1"/>
  <c r="B4" i="22"/>
  <c r="B4" i="23" s="1"/>
  <c r="C5" i="21"/>
  <c r="B2" i="17"/>
  <c r="B3" i="16"/>
  <c r="B2"/>
  <c r="B2" i="14"/>
  <c r="B2" i="15" s="1"/>
  <c r="BA3" i="14"/>
  <c r="B3" s="1"/>
  <c r="B3" i="15" s="1"/>
  <c r="BB3" i="14"/>
  <c r="A2" i="6"/>
  <c r="BB3" i="5"/>
  <c r="BA3"/>
  <c r="A3" s="1"/>
  <c r="A2"/>
  <c r="B2" i="19" l="1"/>
  <c r="B2" i="10"/>
  <c r="B2" i="26"/>
  <c r="B2" i="34"/>
  <c r="B2" i="38"/>
  <c r="B2" i="7"/>
  <c r="B2" i="25"/>
  <c r="B2" i="29"/>
  <c r="B2" i="37"/>
  <c r="B2" i="9"/>
  <c r="B2" i="82"/>
  <c r="B2" i="28"/>
  <c r="B2" i="36"/>
  <c r="B2" i="11"/>
  <c r="B2" i="27"/>
  <c r="C15" i="84" l="1"/>
  <c r="C19"/>
  <c r="N48" i="2"/>
  <c r="M48"/>
  <c r="I14" i="78" l="1"/>
  <c r="D9"/>
  <c r="D9" i="90" l="1"/>
  <c r="G9" s="1"/>
  <c r="B9"/>
  <c r="A3" s="1"/>
  <c r="I51" i="89"/>
  <c r="I46"/>
  <c r="I44"/>
  <c r="I42"/>
  <c r="I40"/>
  <c r="I38"/>
  <c r="I36"/>
  <c r="I34"/>
  <c r="I32"/>
  <c r="I30"/>
  <c r="I28"/>
  <c r="I26"/>
  <c r="I24"/>
  <c r="I22"/>
  <c r="I20"/>
  <c r="I18"/>
  <c r="I16"/>
  <c r="I14"/>
  <c r="I12"/>
  <c r="H48"/>
  <c r="G48"/>
  <c r="F48"/>
  <c r="E48"/>
  <c r="D48"/>
  <c r="C48"/>
  <c r="B48"/>
  <c r="K20" i="85"/>
  <c r="K16"/>
  <c r="J50"/>
  <c r="D50"/>
  <c r="C50"/>
  <c r="F52" i="84"/>
  <c r="D40"/>
  <c r="F41" i="85" s="1"/>
  <c r="F19" i="84"/>
  <c r="F15"/>
  <c r="B49"/>
  <c r="F48" i="50"/>
  <c r="F46"/>
  <c r="F45"/>
  <c r="F44"/>
  <c r="F43"/>
  <c r="F42"/>
  <c r="F41"/>
  <c r="F40"/>
  <c r="F39"/>
  <c r="F38"/>
  <c r="F37"/>
  <c r="F36"/>
  <c r="F35"/>
  <c r="F34"/>
  <c r="F33"/>
  <c r="F32"/>
  <c r="F31"/>
  <c r="F30"/>
  <c r="F29"/>
  <c r="F28"/>
  <c r="F27"/>
  <c r="F26"/>
  <c r="F25"/>
  <c r="F24"/>
  <c r="F23"/>
  <c r="F22"/>
  <c r="G22" i="78" s="1"/>
  <c r="F21" i="50"/>
  <c r="F20"/>
  <c r="F19"/>
  <c r="F18"/>
  <c r="F17"/>
  <c r="F16"/>
  <c r="G16" i="78" s="1"/>
  <c r="F15" i="50"/>
  <c r="F14"/>
  <c r="G14" i="78" s="1"/>
  <c r="F13" i="50"/>
  <c r="F12"/>
  <c r="F11"/>
  <c r="B3"/>
  <c r="E48" i="49"/>
  <c r="E53" s="1"/>
  <c r="D48"/>
  <c r="D53" s="1"/>
  <c r="C48"/>
  <c r="C53" s="1"/>
  <c r="B48"/>
  <c r="B53" s="1"/>
  <c r="K47"/>
  <c r="I45"/>
  <c r="I44"/>
  <c r="F44"/>
  <c r="K44" s="1"/>
  <c r="I43"/>
  <c r="F43"/>
  <c r="G43" s="1"/>
  <c r="I43" i="78" s="1"/>
  <c r="G43" s="1"/>
  <c r="I42" i="49"/>
  <c r="I41"/>
  <c r="I40"/>
  <c r="I39"/>
  <c r="F39"/>
  <c r="K39" s="1"/>
  <c r="I38"/>
  <c r="I37"/>
  <c r="I36"/>
  <c r="F36"/>
  <c r="K36" s="1"/>
  <c r="I35"/>
  <c r="I34"/>
  <c r="I33"/>
  <c r="I32"/>
  <c r="I31"/>
  <c r="I30"/>
  <c r="I29"/>
  <c r="I28"/>
  <c r="F28"/>
  <c r="K28" s="1"/>
  <c r="I27"/>
  <c r="I26"/>
  <c r="I25"/>
  <c r="I24"/>
  <c r="K23"/>
  <c r="I23"/>
  <c r="I22"/>
  <c r="I21"/>
  <c r="I20"/>
  <c r="I19"/>
  <c r="I18"/>
  <c r="I17"/>
  <c r="I16"/>
  <c r="I15"/>
  <c r="I14"/>
  <c r="F14" s="1"/>
  <c r="I13"/>
  <c r="I12"/>
  <c r="F12"/>
  <c r="K12" s="1"/>
  <c r="I11"/>
  <c r="F11"/>
  <c r="A3"/>
  <c r="B51" i="48"/>
  <c r="B50"/>
  <c r="C49" i="84" l="1"/>
  <c r="F9" i="90"/>
  <c r="G12" i="49"/>
  <c r="I12" i="78" s="1"/>
  <c r="G12" s="1"/>
  <c r="G39" i="49"/>
  <c r="I39" i="78" s="1"/>
  <c r="G39" s="1"/>
  <c r="G44" i="49"/>
  <c r="I13" i="89"/>
  <c r="I15"/>
  <c r="I17"/>
  <c r="I19"/>
  <c r="I21"/>
  <c r="I23"/>
  <c r="I25"/>
  <c r="I27"/>
  <c r="I29"/>
  <c r="I31"/>
  <c r="I33"/>
  <c r="I35"/>
  <c r="I37"/>
  <c r="I39"/>
  <c r="I41"/>
  <c r="I43"/>
  <c r="I45"/>
  <c r="I50"/>
  <c r="G11" i="49"/>
  <c r="G28"/>
  <c r="G36"/>
  <c r="K43"/>
  <c r="D12" i="84"/>
  <c r="D14"/>
  <c r="D16"/>
  <c r="D18"/>
  <c r="F19" i="85" s="1"/>
  <c r="D21" i="84"/>
  <c r="D23"/>
  <c r="D25"/>
  <c r="D27"/>
  <c r="D29"/>
  <c r="F29" s="1"/>
  <c r="D31"/>
  <c r="D33"/>
  <c r="D35"/>
  <c r="D37"/>
  <c r="D39"/>
  <c r="F40" i="85" s="1"/>
  <c r="F40" i="84"/>
  <c r="D43"/>
  <c r="D45"/>
  <c r="E49"/>
  <c r="I11" i="89"/>
  <c r="K11" i="49"/>
  <c r="C48" i="50"/>
  <c r="D13" i="84"/>
  <c r="D17"/>
  <c r="D20"/>
  <c r="D22"/>
  <c r="D24"/>
  <c r="F24" s="1"/>
  <c r="D26"/>
  <c r="D28"/>
  <c r="F28" s="1"/>
  <c r="D30"/>
  <c r="D32"/>
  <c r="D34"/>
  <c r="D36"/>
  <c r="D38"/>
  <c r="D41"/>
  <c r="F42" i="85" s="1"/>
  <c r="D42" i="84"/>
  <c r="D44"/>
  <c r="F44" s="1"/>
  <c r="D46"/>
  <c r="F47" i="85" s="1"/>
  <c r="D47" i="84"/>
  <c r="F48" i="85" s="1"/>
  <c r="B46" i="48"/>
  <c r="B45"/>
  <c r="B44"/>
  <c r="B43"/>
  <c r="B42"/>
  <c r="B41"/>
  <c r="B40"/>
  <c r="B39"/>
  <c r="B38"/>
  <c r="B37"/>
  <c r="B36"/>
  <c r="B35"/>
  <c r="B34"/>
  <c r="B33"/>
  <c r="B32"/>
  <c r="B31"/>
  <c r="B30"/>
  <c r="B29"/>
  <c r="B28"/>
  <c r="B27"/>
  <c r="B26"/>
  <c r="B25"/>
  <c r="B24"/>
  <c r="B23"/>
  <c r="B22"/>
  <c r="B21"/>
  <c r="B20"/>
  <c r="B19"/>
  <c r="B18"/>
  <c r="B17"/>
  <c r="B16"/>
  <c r="B15"/>
  <c r="B14"/>
  <c r="B13"/>
  <c r="B12"/>
  <c r="B11"/>
  <c r="A5"/>
  <c r="C11" l="1"/>
  <c r="B11" i="50" s="1"/>
  <c r="C15" i="48"/>
  <c r="B15" i="50" s="1"/>
  <c r="D15" s="1"/>
  <c r="C19" i="48"/>
  <c r="B19" i="50" s="1"/>
  <c r="D19" s="1"/>
  <c r="C23" i="48"/>
  <c r="B23" i="50" s="1"/>
  <c r="D23" s="1"/>
  <c r="C27" i="48"/>
  <c r="B27" i="50" s="1"/>
  <c r="D27" s="1"/>
  <c r="C31" i="48"/>
  <c r="B31" i="50" s="1"/>
  <c r="D31" s="1"/>
  <c r="C35" i="48"/>
  <c r="B35" i="50" s="1"/>
  <c r="D35" s="1"/>
  <c r="C39" i="48"/>
  <c r="B39" i="50" s="1"/>
  <c r="D39" s="1"/>
  <c r="C43" i="48"/>
  <c r="B43" i="50" s="1"/>
  <c r="D43" s="1"/>
  <c r="C13" i="48"/>
  <c r="B13" i="50" s="1"/>
  <c r="D13" s="1"/>
  <c r="C17" i="48"/>
  <c r="B17" i="50" s="1"/>
  <c r="D17" s="1"/>
  <c r="C21" i="48"/>
  <c r="B21" i="50" s="1"/>
  <c r="D21" s="1"/>
  <c r="C25" i="48"/>
  <c r="B25" i="50" s="1"/>
  <c r="D25" s="1"/>
  <c r="C29" i="48"/>
  <c r="B29" i="50" s="1"/>
  <c r="D29" s="1"/>
  <c r="C33" i="48"/>
  <c r="B33" i="50" s="1"/>
  <c r="D33" s="1"/>
  <c r="C37" i="48"/>
  <c r="B37" i="50" s="1"/>
  <c r="D37" s="1"/>
  <c r="C41" i="48"/>
  <c r="B41" i="50" s="1"/>
  <c r="D41" s="1"/>
  <c r="C45" i="48"/>
  <c r="B45" i="50" s="1"/>
  <c r="D45" s="1"/>
  <c r="J12" i="49"/>
  <c r="B48" i="48"/>
  <c r="B53" s="1"/>
  <c r="C51" s="1"/>
  <c r="F39" i="84"/>
  <c r="I48" i="89"/>
  <c r="F18" i="84"/>
  <c r="C46" i="48"/>
  <c r="B46" i="50" s="1"/>
  <c r="D46" s="1"/>
  <c r="D11"/>
  <c r="C12" i="48"/>
  <c r="B12" i="50" s="1"/>
  <c r="D12" s="1"/>
  <c r="C14" i="48"/>
  <c r="B14" i="50" s="1"/>
  <c r="D14" s="1"/>
  <c r="C16" i="48"/>
  <c r="B16" i="50" s="1"/>
  <c r="D16" s="1"/>
  <c r="C18" i="48"/>
  <c r="B18" i="50" s="1"/>
  <c r="D18" s="1"/>
  <c r="C20" i="48"/>
  <c r="B20" i="50" s="1"/>
  <c r="D20" s="1"/>
  <c r="C22" i="48"/>
  <c r="B22" i="50" s="1"/>
  <c r="D22" s="1"/>
  <c r="C24" i="48"/>
  <c r="B24" i="50" s="1"/>
  <c r="D24" s="1"/>
  <c r="C26" i="48"/>
  <c r="B26" i="50" s="1"/>
  <c r="D26" s="1"/>
  <c r="C28" i="48"/>
  <c r="B28" i="50" s="1"/>
  <c r="D28" s="1"/>
  <c r="C30" i="48"/>
  <c r="B30" i="50" s="1"/>
  <c r="D30" s="1"/>
  <c r="C32" i="48"/>
  <c r="B32" i="50" s="1"/>
  <c r="D32" s="1"/>
  <c r="C34" i="48"/>
  <c r="B34" i="50" s="1"/>
  <c r="D34" s="1"/>
  <c r="C36" i="48"/>
  <c r="B36" i="50" s="1"/>
  <c r="D36" s="1"/>
  <c r="C38" i="48"/>
  <c r="B38" i="50" s="1"/>
  <c r="D38" s="1"/>
  <c r="C40" i="48"/>
  <c r="B40" i="50" s="1"/>
  <c r="D40" s="1"/>
  <c r="C42" i="48"/>
  <c r="B42" i="50" s="1"/>
  <c r="D42" s="1"/>
  <c r="C44" i="48"/>
  <c r="B44" i="50" s="1"/>
  <c r="D44" s="1"/>
  <c r="I44" i="78"/>
  <c r="G44" s="1"/>
  <c r="J43" i="49"/>
  <c r="J38"/>
  <c r="F39" i="85"/>
  <c r="F38" i="84"/>
  <c r="F35" i="85"/>
  <c r="F34" i="84"/>
  <c r="F31" i="85"/>
  <c r="F30" i="84"/>
  <c r="F27" i="85"/>
  <c r="F26" i="84"/>
  <c r="F23" i="85"/>
  <c r="F22" i="84"/>
  <c r="F14" i="85"/>
  <c r="F13" i="84"/>
  <c r="F45"/>
  <c r="F46" i="85"/>
  <c r="F36"/>
  <c r="F35" i="84"/>
  <c r="F32" i="85"/>
  <c r="F31" i="84"/>
  <c r="F28" i="85"/>
  <c r="F27" i="84"/>
  <c r="F23"/>
  <c r="F24" i="85"/>
  <c r="F15"/>
  <c r="F14" i="84"/>
  <c r="I28" i="78"/>
  <c r="G28" s="1"/>
  <c r="J27" i="49"/>
  <c r="I11" i="78"/>
  <c r="G11" s="1"/>
  <c r="J11" i="49"/>
  <c r="F41" i="84"/>
  <c r="F43" i="85"/>
  <c r="F42" i="84"/>
  <c r="F37" i="85"/>
  <c r="F36" i="84"/>
  <c r="F33" i="85"/>
  <c r="F32" i="84"/>
  <c r="F21" i="85"/>
  <c r="F20" i="84"/>
  <c r="F18" i="85"/>
  <c r="F17" i="84"/>
  <c r="F44" i="85"/>
  <c r="F43" i="84"/>
  <c r="F38" i="85"/>
  <c r="F37" i="84"/>
  <c r="F34" i="85"/>
  <c r="F33" i="84"/>
  <c r="F26" i="85"/>
  <c r="F25" i="84"/>
  <c r="F21"/>
  <c r="F22" i="85"/>
  <c r="F17"/>
  <c r="F16" i="84"/>
  <c r="F13" i="85"/>
  <c r="D49" i="84"/>
  <c r="F49" s="1"/>
  <c r="F12"/>
  <c r="I36" i="78"/>
  <c r="G36" s="1"/>
  <c r="J35" i="49"/>
  <c r="F46" i="84"/>
  <c r="F47"/>
  <c r="D48" i="50" l="1"/>
  <c r="C48" i="48"/>
  <c r="C53" s="1"/>
  <c r="B48" i="50"/>
  <c r="B2" i="46" l="1"/>
  <c r="B2" i="52"/>
  <c r="B2" i="47"/>
  <c r="B2" i="81"/>
  <c r="B2" i="51"/>
  <c r="B2" i="45"/>
  <c r="B2" i="44"/>
  <c r="I48" i="41"/>
  <c r="D50" i="40"/>
  <c r="D27"/>
  <c r="D14"/>
  <c r="H50" i="39" l="1"/>
  <c r="F50"/>
  <c r="D50"/>
  <c r="H27"/>
  <c r="F27"/>
  <c r="D27"/>
  <c r="F52" i="23" l="1"/>
  <c r="D46" l="1"/>
  <c r="B46"/>
  <c r="F46"/>
  <c r="J29"/>
  <c r="J49" i="22"/>
  <c r="F49"/>
  <c r="J35" i="23"/>
  <c r="J14"/>
  <c r="B40" i="22" l="1"/>
  <c r="J40"/>
  <c r="D46"/>
  <c r="F40"/>
  <c r="H46"/>
  <c r="D22" i="23"/>
  <c r="D40"/>
  <c r="B22" i="22"/>
  <c r="F22"/>
  <c r="D40"/>
  <c r="B46"/>
  <c r="F46"/>
  <c r="J46"/>
  <c r="B22" i="23"/>
  <c r="F40"/>
  <c r="J17"/>
  <c r="J20"/>
  <c r="H40" i="22"/>
  <c r="J36" i="23"/>
  <c r="J38"/>
  <c r="J44"/>
  <c r="J15"/>
  <c r="J32"/>
  <c r="J34"/>
  <c r="D22" i="22"/>
  <c r="H22"/>
  <c r="J37" i="23"/>
  <c r="J39"/>
  <c r="J45"/>
  <c r="J19"/>
  <c r="J33"/>
  <c r="B40"/>
  <c r="J22" i="22"/>
  <c r="J18" i="23"/>
  <c r="J21"/>
  <c r="F22"/>
  <c r="J23"/>
  <c r="J25"/>
  <c r="J26"/>
  <c r="J27"/>
  <c r="J28"/>
  <c r="J30"/>
  <c r="J31"/>
  <c r="J42"/>
  <c r="J43"/>
  <c r="J48"/>
  <c r="M48" i="22"/>
  <c r="J16" i="23"/>
  <c r="H51"/>
  <c r="H50"/>
  <c r="H49"/>
  <c r="D23" i="21"/>
  <c r="D22"/>
  <c r="D21"/>
  <c r="I19"/>
  <c r="D19"/>
  <c r="F19" l="1"/>
  <c r="E19"/>
  <c r="D54" i="23"/>
  <c r="B51" i="22"/>
  <c r="C22" i="21"/>
  <c r="F54" i="23"/>
  <c r="H51" i="22"/>
  <c r="C23" i="21"/>
  <c r="F51" i="22"/>
  <c r="J46" i="23"/>
  <c r="D51" i="22"/>
  <c r="C19" i="21"/>
  <c r="C21"/>
  <c r="J22" i="23"/>
  <c r="B54"/>
  <c r="K24" i="21"/>
  <c r="H27"/>
  <c r="H52" i="23"/>
  <c r="J49"/>
  <c r="J50"/>
  <c r="G27" i="21"/>
  <c r="J40" i="23"/>
  <c r="J51" i="22"/>
  <c r="D18" i="21"/>
  <c r="C18" s="1"/>
  <c r="I17"/>
  <c r="F17" s="1"/>
  <c r="E17" s="1"/>
  <c r="D17"/>
  <c r="C17"/>
  <c r="D16"/>
  <c r="C16" s="1"/>
  <c r="F15"/>
  <c r="D15"/>
  <c r="D51" i="16"/>
  <c r="G48"/>
  <c r="F48"/>
  <c r="D48"/>
  <c r="C48"/>
  <c r="B48"/>
  <c r="K19" i="21" l="1"/>
  <c r="K17"/>
  <c r="C15"/>
  <c r="D27"/>
  <c r="E15"/>
  <c r="B3" i="17"/>
  <c r="C27" i="21" l="1"/>
  <c r="K15"/>
  <c r="A3" i="41" l="1"/>
  <c r="B3" i="54"/>
  <c r="B3" i="40"/>
  <c r="B3" i="76"/>
  <c r="B3" i="39"/>
  <c r="B3" i="37"/>
  <c r="B3" i="36"/>
  <c r="B3" i="29"/>
  <c r="B3" i="28"/>
  <c r="B3" i="27"/>
  <c r="B3" i="38"/>
  <c r="B3" i="35"/>
  <c r="B3" i="34"/>
  <c r="B3" i="25"/>
  <c r="B3" i="8"/>
  <c r="B3" i="26"/>
  <c r="B3" i="82"/>
  <c r="B3" i="11"/>
  <c r="B3" i="10"/>
  <c r="B3" i="7"/>
  <c r="B3" i="9"/>
  <c r="B3" i="18"/>
  <c r="B3" i="19" s="1"/>
  <c r="B3" i="20" s="1"/>
  <c r="C2" i="23"/>
  <c r="D2" i="22"/>
  <c r="C2" i="21"/>
  <c r="A53" i="42" l="1"/>
  <c r="A62" i="43" l="1"/>
  <c r="G24" i="78"/>
  <c r="F25" i="85"/>
  <c r="F29"/>
  <c r="F30"/>
  <c r="F45"/>
  <c r="G48" i="78"/>
  <c r="F50" i="85" l="1"/>
  <c r="F13" i="49"/>
  <c r="G13" s="1"/>
  <c r="F15"/>
  <c r="G15" s="1"/>
  <c r="F16"/>
  <c r="K16" s="1"/>
  <c r="F17"/>
  <c r="K17" s="1"/>
  <c r="F18"/>
  <c r="F19"/>
  <c r="G19" s="1"/>
  <c r="F20"/>
  <c r="K20" s="1"/>
  <c r="F21"/>
  <c r="K21" s="1"/>
  <c r="F22"/>
  <c r="K22" s="1"/>
  <c r="F23"/>
  <c r="G23" s="1"/>
  <c r="F24"/>
  <c r="G24" s="1"/>
  <c r="I24" i="78" s="1"/>
  <c r="F25" i="49"/>
  <c r="G25" s="1"/>
  <c r="F26"/>
  <c r="G26" s="1"/>
  <c r="F27"/>
  <c r="G27" s="1"/>
  <c r="F29"/>
  <c r="G29" s="1"/>
  <c r="I29" i="78" s="1"/>
  <c r="F30" i="49"/>
  <c r="F31"/>
  <c r="G31" s="1"/>
  <c r="F32"/>
  <c r="G32" s="1"/>
  <c r="J31" s="1"/>
  <c r="F33"/>
  <c r="G33" s="1"/>
  <c r="F34"/>
  <c r="G34" s="1"/>
  <c r="F35"/>
  <c r="K35" s="1"/>
  <c r="F37"/>
  <c r="K37" s="1"/>
  <c r="F38"/>
  <c r="G38" s="1"/>
  <c r="F40"/>
  <c r="K40" s="1"/>
  <c r="F41"/>
  <c r="G41" s="1"/>
  <c r="F42"/>
  <c r="G42" s="1"/>
  <c r="I42" i="78" s="1"/>
  <c r="F45" i="49"/>
  <c r="K45" s="1"/>
  <c r="F46"/>
  <c r="G46" s="1"/>
  <c r="I46" i="78" s="1"/>
  <c r="K14" i="49"/>
  <c r="J42"/>
  <c r="G17" i="78"/>
  <c r="G19"/>
  <c r="G13"/>
  <c r="G15"/>
  <c r="G23"/>
  <c r="G18"/>
  <c r="G20"/>
  <c r="G21"/>
  <c r="G25"/>
  <c r="G26"/>
  <c r="G27"/>
  <c r="G29"/>
  <c r="G30"/>
  <c r="G31"/>
  <c r="G32"/>
  <c r="G33"/>
  <c r="G34"/>
  <c r="G35"/>
  <c r="G37"/>
  <c r="G38"/>
  <c r="G40"/>
  <c r="G41"/>
  <c r="G42"/>
  <c r="G46"/>
  <c r="G45"/>
  <c r="E16" i="21"/>
  <c r="F16"/>
  <c r="E18"/>
  <c r="F18"/>
  <c r="E21"/>
  <c r="F21"/>
  <c r="E22"/>
  <c r="F22"/>
  <c r="E23"/>
  <c r="F23"/>
  <c r="I23"/>
  <c r="I27" s="1"/>
  <c r="J51" i="23"/>
  <c r="J52" s="1"/>
  <c r="J54" s="1"/>
  <c r="H54"/>
  <c r="K32" i="49" l="1"/>
  <c r="K42"/>
  <c r="I27" i="78"/>
  <c r="J26" i="49"/>
  <c r="G37"/>
  <c r="I37" i="78" s="1"/>
  <c r="K27" i="49"/>
  <c r="K15"/>
  <c r="K30"/>
  <c r="G30"/>
  <c r="J29" s="1"/>
  <c r="G21"/>
  <c r="I21" i="78" s="1"/>
  <c r="K18" i="49"/>
  <c r="G18"/>
  <c r="I18" i="78" s="1"/>
  <c r="K38" i="49"/>
  <c r="K46"/>
  <c r="E27" i="21"/>
  <c r="F27"/>
  <c r="I32" i="78"/>
  <c r="K34" i="49"/>
  <c r="K31"/>
  <c r="K25"/>
  <c r="G16"/>
  <c r="J15" s="1"/>
  <c r="J33"/>
  <c r="I34" i="78"/>
  <c r="J24" i="49"/>
  <c r="I25" i="78"/>
  <c r="G40" i="49"/>
  <c r="G20"/>
  <c r="J19" s="1"/>
  <c r="G22"/>
  <c r="G17"/>
  <c r="J41"/>
  <c r="K33"/>
  <c r="I26" i="78"/>
  <c r="J25" i="49"/>
  <c r="J28"/>
  <c r="G45"/>
  <c r="K41"/>
  <c r="G35"/>
  <c r="K26"/>
  <c r="K13"/>
  <c r="J45"/>
  <c r="I41" i="78"/>
  <c r="J40" i="49"/>
  <c r="I38" i="78"/>
  <c r="J37" i="49"/>
  <c r="I33" i="78"/>
  <c r="J32" i="49"/>
  <c r="J30"/>
  <c r="I31" i="78"/>
  <c r="I13"/>
  <c r="J13" i="49"/>
  <c r="K24"/>
  <c r="K19"/>
  <c r="K16" i="21"/>
  <c r="I23" i="78"/>
  <c r="J22" i="49"/>
  <c r="J18"/>
  <c r="I19" i="78"/>
  <c r="J14" i="49"/>
  <c r="I15" i="78"/>
  <c r="K21" i="21"/>
  <c r="K18"/>
  <c r="F48" i="49"/>
  <c r="G48" s="1"/>
  <c r="I48" i="78" s="1"/>
  <c r="I54" i="23"/>
  <c r="N32" s="1"/>
  <c r="K22" i="21"/>
  <c r="K23"/>
  <c r="E51" i="22"/>
  <c r="N25" i="23" s="1"/>
  <c r="K22"/>
  <c r="N13" s="1"/>
  <c r="K46"/>
  <c r="N16" s="1"/>
  <c r="K40"/>
  <c r="N15" s="1"/>
  <c r="G54"/>
  <c r="N31" s="1"/>
  <c r="E54"/>
  <c r="N30" s="1"/>
  <c r="C54"/>
  <c r="N29" s="1"/>
  <c r="I51" i="22"/>
  <c r="N27" i="23" s="1"/>
  <c r="K49"/>
  <c r="N17" s="1"/>
  <c r="C51" i="22"/>
  <c r="N24" i="23" s="1"/>
  <c r="K52"/>
  <c r="G51" i="22"/>
  <c r="N26" i="23" s="1"/>
  <c r="K51" i="22"/>
  <c r="N28" i="23" s="1"/>
  <c r="K51"/>
  <c r="K22" i="22"/>
  <c r="K43" i="23"/>
  <c r="K27"/>
  <c r="C40"/>
  <c r="K21"/>
  <c r="K42"/>
  <c r="K18"/>
  <c r="K31"/>
  <c r="C30"/>
  <c r="E25"/>
  <c r="E40"/>
  <c r="G42" i="22"/>
  <c r="K38"/>
  <c r="C30"/>
  <c r="E15"/>
  <c r="K33" i="23"/>
  <c r="G26"/>
  <c r="K19"/>
  <c r="K45"/>
  <c r="G39" i="22"/>
  <c r="K37" i="23"/>
  <c r="E36" i="22"/>
  <c r="K33"/>
  <c r="E20"/>
  <c r="E22"/>
  <c r="E28" i="23"/>
  <c r="G21"/>
  <c r="C22"/>
  <c r="E43" i="22"/>
  <c r="K38" i="23"/>
  <c r="E37" i="22"/>
  <c r="K34"/>
  <c r="E33"/>
  <c r="K20" i="23"/>
  <c r="I18" i="22"/>
  <c r="E16"/>
  <c r="G40"/>
  <c r="C18"/>
  <c r="C31" i="23"/>
  <c r="G25"/>
  <c r="I42" i="22"/>
  <c r="K39"/>
  <c r="G35"/>
  <c r="C15"/>
  <c r="G28" i="23"/>
  <c r="E21"/>
  <c r="G43" i="22"/>
  <c r="C39"/>
  <c r="G37"/>
  <c r="K35" i="23"/>
  <c r="G33" i="22"/>
  <c r="E19"/>
  <c r="I46"/>
  <c r="K34" i="23"/>
  <c r="G27"/>
  <c r="C21"/>
  <c r="I43" i="22"/>
  <c r="E39"/>
  <c r="I37"/>
  <c r="C36"/>
  <c r="I33"/>
  <c r="E40"/>
  <c r="C19"/>
  <c r="I16"/>
  <c r="C22"/>
  <c r="K18"/>
  <c r="K46"/>
  <c r="K14" i="23"/>
  <c r="K17" i="22"/>
  <c r="I27"/>
  <c r="G29"/>
  <c r="I30"/>
  <c r="E35"/>
  <c r="K43"/>
  <c r="E44"/>
  <c r="I44"/>
  <c r="C45"/>
  <c r="G45"/>
  <c r="K45"/>
  <c r="E15" i="23"/>
  <c r="C16"/>
  <c r="C17"/>
  <c r="C19"/>
  <c r="G19"/>
  <c r="C29"/>
  <c r="E30"/>
  <c r="E42"/>
  <c r="C38"/>
  <c r="C43"/>
  <c r="E36"/>
  <c r="E43"/>
  <c r="G36"/>
  <c r="E17" i="22"/>
  <c r="I17"/>
  <c r="E21"/>
  <c r="I21"/>
  <c r="C23"/>
  <c r="G23"/>
  <c r="K23"/>
  <c r="E25"/>
  <c r="I25"/>
  <c r="C26"/>
  <c r="G26"/>
  <c r="K26"/>
  <c r="G27"/>
  <c r="C28"/>
  <c r="G28"/>
  <c r="K28"/>
  <c r="I29"/>
  <c r="G30"/>
  <c r="C31"/>
  <c r="G31"/>
  <c r="K31"/>
  <c r="E32"/>
  <c r="C35"/>
  <c r="E16" i="23"/>
  <c r="E27"/>
  <c r="G30"/>
  <c r="E32"/>
  <c r="C33"/>
  <c r="G33"/>
  <c r="E34"/>
  <c r="G45"/>
  <c r="C42"/>
  <c r="E45"/>
  <c r="C45"/>
  <c r="G39"/>
  <c r="C37"/>
  <c r="E39"/>
  <c r="E46"/>
  <c r="E35"/>
  <c r="K54"/>
  <c r="K23"/>
  <c r="N14" s="1"/>
  <c r="I52"/>
  <c r="K26"/>
  <c r="I51"/>
  <c r="K30"/>
  <c r="G22"/>
  <c r="K25"/>
  <c r="I49"/>
  <c r="K28"/>
  <c r="K16"/>
  <c r="C26"/>
  <c r="C18"/>
  <c r="K42" i="22"/>
  <c r="C42"/>
  <c r="K36"/>
  <c r="I15"/>
  <c r="G40" i="23"/>
  <c r="K29"/>
  <c r="C23"/>
  <c r="E22"/>
  <c r="C43" i="22"/>
  <c r="I38"/>
  <c r="C37"/>
  <c r="I34"/>
  <c r="C33"/>
  <c r="G18"/>
  <c r="K32" i="23"/>
  <c r="E26"/>
  <c r="G18"/>
  <c r="K44"/>
  <c r="I39" i="22"/>
  <c r="C38"/>
  <c r="G36"/>
  <c r="C34"/>
  <c r="I40"/>
  <c r="G19"/>
  <c r="K17" i="23"/>
  <c r="G22" i="22"/>
  <c r="I19"/>
  <c r="I22"/>
  <c r="C28" i="23"/>
  <c r="C25"/>
  <c r="E42" i="22"/>
  <c r="K37"/>
  <c r="G15"/>
  <c r="G31" i="23"/>
  <c r="G23"/>
  <c r="E18"/>
  <c r="K39"/>
  <c r="E38" i="22"/>
  <c r="I36"/>
  <c r="E34"/>
  <c r="K40"/>
  <c r="G16"/>
  <c r="E46"/>
  <c r="E31" i="23"/>
  <c r="E23"/>
  <c r="K15"/>
  <c r="G46" i="22"/>
  <c r="G38"/>
  <c r="K36" i="23"/>
  <c r="G34" i="22"/>
  <c r="K32"/>
  <c r="K19"/>
  <c r="E18"/>
  <c r="K15"/>
  <c r="C40"/>
  <c r="C16"/>
  <c r="C46"/>
  <c r="C17"/>
  <c r="C27"/>
  <c r="C29"/>
  <c r="K29"/>
  <c r="I32"/>
  <c r="K35"/>
  <c r="C44"/>
  <c r="G44"/>
  <c r="K44"/>
  <c r="E45"/>
  <c r="I45"/>
  <c r="C15" i="23"/>
  <c r="G15"/>
  <c r="G16"/>
  <c r="E17"/>
  <c r="E19"/>
  <c r="C27"/>
  <c r="E29"/>
  <c r="E44"/>
  <c r="G37"/>
  <c r="G46"/>
  <c r="C39"/>
  <c r="G44"/>
  <c r="G38"/>
  <c r="K16" i="22"/>
  <c r="G17"/>
  <c r="C21"/>
  <c r="G21"/>
  <c r="K21"/>
  <c r="E23"/>
  <c r="I23"/>
  <c r="C25"/>
  <c r="G25"/>
  <c r="K25"/>
  <c r="E26"/>
  <c r="I26"/>
  <c r="E27"/>
  <c r="K27"/>
  <c r="E28"/>
  <c r="I28"/>
  <c r="E29"/>
  <c r="E30"/>
  <c r="K30"/>
  <c r="E31"/>
  <c r="I31"/>
  <c r="C32"/>
  <c r="G32"/>
  <c r="I35"/>
  <c r="G17" i="23"/>
  <c r="G29"/>
  <c r="C32"/>
  <c r="G32"/>
  <c r="E33"/>
  <c r="C34"/>
  <c r="G34"/>
  <c r="G42"/>
  <c r="G35"/>
  <c r="C36"/>
  <c r="G43"/>
  <c r="E38"/>
  <c r="C44"/>
  <c r="E37"/>
  <c r="C46"/>
  <c r="C35"/>
  <c r="J23" i="49"/>
  <c r="K48" l="1"/>
  <c r="J36"/>
  <c r="K27" i="21"/>
  <c r="J20" i="49"/>
  <c r="J17"/>
  <c r="I30" i="78"/>
  <c r="I16"/>
  <c r="I40"/>
  <c r="J39" i="49"/>
  <c r="I22" i="78"/>
  <c r="J21" i="49"/>
  <c r="I20" i="78"/>
  <c r="I17"/>
  <c r="J16" i="49"/>
  <c r="N18" i="23"/>
  <c r="N20" s="1"/>
  <c r="I35" i="78"/>
  <c r="J34" i="49"/>
  <c r="J44"/>
  <c r="I45" i="78"/>
  <c r="N34" i="23"/>
  <c r="B48" i="33" l="1"/>
  <c r="H51" i="39" l="1"/>
  <c r="F51"/>
  <c r="D51" i="40"/>
  <c r="D51" i="39"/>
  <c r="J51" i="9"/>
  <c r="G51"/>
  <c r="C51" i="15"/>
  <c r="E51" s="1"/>
  <c r="G50" i="8"/>
  <c r="E50" i="7"/>
  <c r="J50" i="9"/>
  <c r="G50"/>
  <c r="E46" i="7"/>
  <c r="G46" i="9"/>
  <c r="E45" i="7"/>
  <c r="J45" i="9"/>
  <c r="G45"/>
  <c r="C45" i="15"/>
  <c r="E45" s="1"/>
  <c r="G44" i="8"/>
  <c r="E44" i="7"/>
  <c r="J44" i="9"/>
  <c r="E43" i="7"/>
  <c r="J43" i="9"/>
  <c r="G43"/>
  <c r="C43" i="15"/>
  <c r="E43" s="1"/>
  <c r="E42" i="7"/>
  <c r="J42" i="9"/>
  <c r="G42"/>
  <c r="C42" i="15"/>
  <c r="E42" s="1"/>
  <c r="G41" i="8"/>
  <c r="E41" i="7"/>
  <c r="J41" i="9"/>
  <c r="G41"/>
  <c r="E40" i="7"/>
  <c r="G40" i="9"/>
  <c r="C40" i="15"/>
  <c r="E40" s="1"/>
  <c r="E39" i="7"/>
  <c r="J39" i="9"/>
  <c r="G39"/>
  <c r="C39" i="15"/>
  <c r="E39" s="1"/>
  <c r="E38" i="7"/>
  <c r="G38" i="9"/>
  <c r="C38" i="15"/>
  <c r="E38" s="1"/>
  <c r="G37" i="8"/>
  <c r="E37" i="7"/>
  <c r="G37" i="9"/>
  <c r="C37" i="15"/>
  <c r="E37" s="1"/>
  <c r="E36" i="7"/>
  <c r="J36" i="9"/>
  <c r="G36"/>
  <c r="C36" i="15"/>
  <c r="E36" s="1"/>
  <c r="E35" i="7"/>
  <c r="G35" i="9"/>
  <c r="C35" i="15"/>
  <c r="E35" s="1"/>
  <c r="E34" i="7"/>
  <c r="G34" i="9"/>
  <c r="C34" i="15"/>
  <c r="E34" s="1"/>
  <c r="E33" i="7"/>
  <c r="J33" i="9"/>
  <c r="G33"/>
  <c r="C33" i="15"/>
  <c r="E33" s="1"/>
  <c r="E32" i="7"/>
  <c r="G32" i="9"/>
  <c r="C32" i="15"/>
  <c r="E32" s="1"/>
  <c r="E31" i="7"/>
  <c r="J31" i="9"/>
  <c r="G31"/>
  <c r="C31" i="15"/>
  <c r="E31" s="1"/>
  <c r="E30" i="7"/>
  <c r="J30" i="9"/>
  <c r="G30"/>
  <c r="C30" i="15"/>
  <c r="E30" s="1"/>
  <c r="G29" i="8"/>
  <c r="E29" i="7"/>
  <c r="G29" i="9"/>
  <c r="G28" i="8"/>
  <c r="E28" i="7"/>
  <c r="J28" i="9"/>
  <c r="G28"/>
  <c r="E27" i="7"/>
  <c r="J27" i="9"/>
  <c r="G27"/>
  <c r="E26" i="7"/>
  <c r="G26" i="9"/>
  <c r="C26" i="15"/>
  <c r="E26" s="1"/>
  <c r="E25" i="7"/>
  <c r="G25" i="9"/>
  <c r="E24" i="7"/>
  <c r="G24" i="9"/>
  <c r="C24" i="15"/>
  <c r="E24" s="1"/>
  <c r="E23" i="7"/>
  <c r="J23" i="9"/>
  <c r="G23"/>
  <c r="G22" i="8"/>
  <c r="E22" i="7"/>
  <c r="J22" i="9"/>
  <c r="G22"/>
  <c r="G21" i="8"/>
  <c r="E21" i="7"/>
  <c r="J21" i="9"/>
  <c r="G21"/>
  <c r="E20" i="7"/>
  <c r="J20" i="9"/>
  <c r="G20"/>
  <c r="E19" i="7"/>
  <c r="J19" i="9"/>
  <c r="G19"/>
  <c r="E18" i="7"/>
  <c r="J18" i="9"/>
  <c r="G18"/>
  <c r="E17" i="7"/>
  <c r="J17" i="9"/>
  <c r="G17"/>
  <c r="C17" i="15"/>
  <c r="E17" s="1"/>
  <c r="E16" i="7"/>
  <c r="J16" i="9"/>
  <c r="G16"/>
  <c r="C16" i="15"/>
  <c r="E16" s="1"/>
  <c r="E15" i="7"/>
  <c r="J15" i="9"/>
  <c r="G15"/>
  <c r="C15" i="15"/>
  <c r="E15" s="1"/>
  <c r="G14" i="8"/>
  <c r="E14" i="7"/>
  <c r="J14" i="9"/>
  <c r="E13" i="7"/>
  <c r="G13" i="9"/>
  <c r="C13" i="15"/>
  <c r="E13" s="1"/>
  <c r="G51" i="81"/>
  <c r="G46"/>
  <c r="G44"/>
  <c r="G43"/>
  <c r="G42"/>
  <c r="G41"/>
  <c r="G40"/>
  <c r="G39"/>
  <c r="G38"/>
  <c r="G37"/>
  <c r="G36"/>
  <c r="G35"/>
  <c r="G34"/>
  <c r="G33"/>
  <c r="G32"/>
  <c r="G31"/>
  <c r="G30"/>
  <c r="G29"/>
  <c r="G28"/>
  <c r="G27"/>
  <c r="G26"/>
  <c r="G25"/>
  <c r="G24"/>
  <c r="G23"/>
  <c r="G22"/>
  <c r="G20"/>
  <c r="G19"/>
  <c r="G17"/>
  <c r="G16"/>
  <c r="G15"/>
  <c r="G14"/>
  <c r="G13"/>
  <c r="E12" i="7"/>
  <c r="J12" i="9"/>
  <c r="G12"/>
  <c r="G12" i="81"/>
  <c r="H48" i="14"/>
  <c r="G48"/>
  <c r="F48"/>
  <c r="C48" i="43"/>
  <c r="A53" i="44" s="1"/>
  <c r="D48" i="52"/>
  <c r="C48"/>
  <c r="B48"/>
  <c r="D48" i="46"/>
  <c r="C48"/>
  <c r="B48"/>
  <c r="F48" i="47"/>
  <c r="E48"/>
  <c r="D48"/>
  <c r="F48" i="81"/>
  <c r="E48"/>
  <c r="D48"/>
  <c r="C48"/>
  <c r="B48"/>
  <c r="G48" i="51"/>
  <c r="F48"/>
  <c r="E48"/>
  <c r="D48"/>
  <c r="C48"/>
  <c r="A54" i="47" l="1"/>
  <c r="G11" i="81"/>
  <c r="B48" i="51"/>
  <c r="B48" i="14"/>
  <c r="C11" i="15"/>
  <c r="E11" s="1"/>
  <c r="C48" i="39"/>
  <c r="H14" i="20"/>
  <c r="H18"/>
  <c r="H22"/>
  <c r="H26"/>
  <c r="H30"/>
  <c r="H34"/>
  <c r="H38"/>
  <c r="H42"/>
  <c r="H46"/>
  <c r="I13" i="7"/>
  <c r="H13"/>
  <c r="G13"/>
  <c r="F13"/>
  <c r="I15"/>
  <c r="D15"/>
  <c r="H15"/>
  <c r="G15"/>
  <c r="F15"/>
  <c r="I17"/>
  <c r="D17"/>
  <c r="H17"/>
  <c r="G17"/>
  <c r="F17"/>
  <c r="I19"/>
  <c r="D19"/>
  <c r="H19"/>
  <c r="G19"/>
  <c r="F19"/>
  <c r="I21"/>
  <c r="H21"/>
  <c r="F21"/>
  <c r="G21"/>
  <c r="I23"/>
  <c r="H23"/>
  <c r="D23"/>
  <c r="G23"/>
  <c r="F23"/>
  <c r="D25"/>
  <c r="F25"/>
  <c r="I25"/>
  <c r="G25"/>
  <c r="H25"/>
  <c r="I27"/>
  <c r="H27"/>
  <c r="G27"/>
  <c r="F27"/>
  <c r="I29"/>
  <c r="G29"/>
  <c r="F29"/>
  <c r="H29"/>
  <c r="I31"/>
  <c r="F31"/>
  <c r="G31"/>
  <c r="H31"/>
  <c r="I33"/>
  <c r="H33"/>
  <c r="F33"/>
  <c r="G33"/>
  <c r="I35"/>
  <c r="F35"/>
  <c r="G35"/>
  <c r="H35"/>
  <c r="E37" i="41"/>
  <c r="E37" i="16"/>
  <c r="E39" i="41"/>
  <c r="E39" i="16"/>
  <c r="E43" i="41"/>
  <c r="E43" i="16"/>
  <c r="E45"/>
  <c r="E45" i="41"/>
  <c r="G18" i="81"/>
  <c r="C41" i="15"/>
  <c r="E41" s="1"/>
  <c r="C50"/>
  <c r="E50" s="1"/>
  <c r="E48" i="14"/>
  <c r="E11" i="7"/>
  <c r="G11" i="8"/>
  <c r="B48" i="15"/>
  <c r="W13" i="2" s="1"/>
  <c r="G48" i="39"/>
  <c r="H15" i="20"/>
  <c r="H19"/>
  <c r="H23"/>
  <c r="H27"/>
  <c r="H31"/>
  <c r="H35"/>
  <c r="H39"/>
  <c r="H43"/>
  <c r="H50"/>
  <c r="E16" i="41"/>
  <c r="E16" i="16"/>
  <c r="E24" i="41"/>
  <c r="E24" i="16"/>
  <c r="E26" i="41"/>
  <c r="E26" i="16"/>
  <c r="E30" i="41"/>
  <c r="E30" i="16"/>
  <c r="E32"/>
  <c r="E32" i="41"/>
  <c r="E34"/>
  <c r="E34" i="16"/>
  <c r="I37" i="7"/>
  <c r="F37"/>
  <c r="H37"/>
  <c r="G37"/>
  <c r="I39"/>
  <c r="F39"/>
  <c r="G39"/>
  <c r="H39"/>
  <c r="D39"/>
  <c r="I41"/>
  <c r="F41"/>
  <c r="H41"/>
  <c r="G41"/>
  <c r="I43"/>
  <c r="F43"/>
  <c r="G43"/>
  <c r="D43"/>
  <c r="H43"/>
  <c r="I45"/>
  <c r="F45"/>
  <c r="H45"/>
  <c r="G45"/>
  <c r="I50"/>
  <c r="D50"/>
  <c r="G50"/>
  <c r="H50"/>
  <c r="F50"/>
  <c r="E51" i="16"/>
  <c r="C12" i="15"/>
  <c r="E12" s="1"/>
  <c r="G50" i="81"/>
  <c r="C14" i="15"/>
  <c r="E14" s="1"/>
  <c r="C18"/>
  <c r="E18" s="1"/>
  <c r="C20"/>
  <c r="E20" s="1"/>
  <c r="C22"/>
  <c r="E22" s="1"/>
  <c r="C28"/>
  <c r="E28" s="1"/>
  <c r="D48" i="38"/>
  <c r="D48" i="14"/>
  <c r="J11" i="9"/>
  <c r="E48" i="39"/>
  <c r="D48" i="43"/>
  <c r="I12" i="7"/>
  <c r="D12"/>
  <c r="F12"/>
  <c r="H12"/>
  <c r="G12"/>
  <c r="H16" i="20"/>
  <c r="H20"/>
  <c r="H24"/>
  <c r="H28"/>
  <c r="H32"/>
  <c r="H36"/>
  <c r="J36" s="1"/>
  <c r="H40"/>
  <c r="H44"/>
  <c r="H51"/>
  <c r="I14" i="7"/>
  <c r="F14"/>
  <c r="D14"/>
  <c r="H14"/>
  <c r="G14"/>
  <c r="I16"/>
  <c r="F16"/>
  <c r="H16"/>
  <c r="G16"/>
  <c r="I18"/>
  <c r="G18"/>
  <c r="F18"/>
  <c r="D18"/>
  <c r="H18"/>
  <c r="H20"/>
  <c r="G20"/>
  <c r="F20" s="1"/>
  <c r="D20"/>
  <c r="I20"/>
  <c r="G22"/>
  <c r="F22"/>
  <c r="I22"/>
  <c r="H22" s="1"/>
  <c r="I24"/>
  <c r="H24"/>
  <c r="F24"/>
  <c r="G24"/>
  <c r="G26"/>
  <c r="I26"/>
  <c r="H26" s="1"/>
  <c r="F26"/>
  <c r="I28"/>
  <c r="F28"/>
  <c r="D28"/>
  <c r="G28"/>
  <c r="H28"/>
  <c r="I30"/>
  <c r="F30"/>
  <c r="D30"/>
  <c r="G30"/>
  <c r="H30"/>
  <c r="I32"/>
  <c r="H32"/>
  <c r="G32"/>
  <c r="F32"/>
  <c r="I34"/>
  <c r="G34"/>
  <c r="F34"/>
  <c r="H34"/>
  <c r="E36" i="16"/>
  <c r="E36" i="41"/>
  <c r="E38"/>
  <c r="E38" i="16"/>
  <c r="E40" i="41"/>
  <c r="E40" i="16"/>
  <c r="E42" i="41"/>
  <c r="E42" i="16"/>
  <c r="C44" i="15"/>
  <c r="E44" s="1"/>
  <c r="C46"/>
  <c r="E46" s="1"/>
  <c r="E51" i="7"/>
  <c r="B48" i="47"/>
  <c r="H11" i="20"/>
  <c r="G11" i="9"/>
  <c r="C48" i="14"/>
  <c r="C48" i="40"/>
  <c r="H13" i="20"/>
  <c r="H17"/>
  <c r="H21"/>
  <c r="H25"/>
  <c r="H29"/>
  <c r="H33"/>
  <c r="H37"/>
  <c r="H41"/>
  <c r="H45"/>
  <c r="E13" i="41"/>
  <c r="E13" i="16"/>
  <c r="E15"/>
  <c r="E15" i="41"/>
  <c r="E17" i="16"/>
  <c r="E17" i="41"/>
  <c r="E31"/>
  <c r="E31" i="16"/>
  <c r="E33"/>
  <c r="E33" i="41"/>
  <c r="E35" i="16"/>
  <c r="E35" i="41"/>
  <c r="I36" i="7"/>
  <c r="H36"/>
  <c r="F36"/>
  <c r="D36"/>
  <c r="G36"/>
  <c r="I38"/>
  <c r="F38"/>
  <c r="H38"/>
  <c r="G38"/>
  <c r="I40"/>
  <c r="F40"/>
  <c r="H40"/>
  <c r="G40"/>
  <c r="I42"/>
  <c r="F42"/>
  <c r="H42"/>
  <c r="G42"/>
  <c r="I44"/>
  <c r="H44"/>
  <c r="F44"/>
  <c r="D44"/>
  <c r="G44"/>
  <c r="I46"/>
  <c r="G46"/>
  <c r="F46"/>
  <c r="H46"/>
  <c r="G21" i="81"/>
  <c r="G45"/>
  <c r="C19" i="15"/>
  <c r="E19" s="1"/>
  <c r="C21"/>
  <c r="E21" s="1"/>
  <c r="C23"/>
  <c r="E23" s="1"/>
  <c r="C25"/>
  <c r="E25" s="1"/>
  <c r="C27"/>
  <c r="E27" s="1"/>
  <c r="C29"/>
  <c r="E29" s="1"/>
  <c r="E27" i="41" l="1"/>
  <c r="E21"/>
  <c r="I51" i="7"/>
  <c r="F51"/>
  <c r="D51"/>
  <c r="H51"/>
  <c r="G51"/>
  <c r="E44" i="41"/>
  <c r="E44" i="16"/>
  <c r="E28" i="41"/>
  <c r="E28" i="16"/>
  <c r="E27" s="1"/>
  <c r="E20"/>
  <c r="E20" i="41"/>
  <c r="E12" i="16"/>
  <c r="E12" i="41"/>
  <c r="E50" i="16"/>
  <c r="E50" i="41"/>
  <c r="J46" i="20"/>
  <c r="J38"/>
  <c r="J30"/>
  <c r="J22"/>
  <c r="J14"/>
  <c r="G48" i="81"/>
  <c r="E29" i="41"/>
  <c r="E29" i="16"/>
  <c r="E25"/>
  <c r="E25" i="41"/>
  <c r="J45" i="20"/>
  <c r="J37"/>
  <c r="J29"/>
  <c r="J21"/>
  <c r="J13"/>
  <c r="J51"/>
  <c r="J40"/>
  <c r="J32"/>
  <c r="J24"/>
  <c r="J16"/>
  <c r="J43"/>
  <c r="J35"/>
  <c r="J27"/>
  <c r="J19"/>
  <c r="E23" i="41"/>
  <c r="E23" i="16"/>
  <c r="E19" i="41"/>
  <c r="E19" i="16"/>
  <c r="E46" i="41"/>
  <c r="E46" i="16"/>
  <c r="E22" i="41"/>
  <c r="E22" i="16"/>
  <c r="E21" s="1"/>
  <c r="E18"/>
  <c r="E18" i="41"/>
  <c r="E48" i="7"/>
  <c r="H11"/>
  <c r="G11"/>
  <c r="D11"/>
  <c r="F11"/>
  <c r="I11"/>
  <c r="J42" i="20"/>
  <c r="J34"/>
  <c r="J26"/>
  <c r="J18"/>
  <c r="J41"/>
  <c r="J33"/>
  <c r="J25"/>
  <c r="J17"/>
  <c r="J44"/>
  <c r="J28"/>
  <c r="J20"/>
  <c r="E14" i="41"/>
  <c r="E14" i="16"/>
  <c r="J50" i="20"/>
  <c r="J39"/>
  <c r="J31"/>
  <c r="J23"/>
  <c r="J15"/>
  <c r="E41" i="16"/>
  <c r="E41" i="41"/>
  <c r="H12" i="20"/>
  <c r="H48" s="1"/>
  <c r="C48" i="15"/>
  <c r="H52" i="20" l="1"/>
  <c r="E11" i="16"/>
  <c r="E48" s="1"/>
  <c r="E11" i="41"/>
  <c r="E48" i="15"/>
  <c r="J48" i="20" s="1"/>
  <c r="J11"/>
  <c r="J12"/>
  <c r="F48" i="7"/>
  <c r="H48"/>
  <c r="I48"/>
  <c r="G48"/>
  <c r="E48" i="41" l="1"/>
  <c r="V14" i="2"/>
  <c r="F50" i="46" l="1"/>
  <c r="F45"/>
  <c r="F38"/>
  <c r="F35"/>
  <c r="F25"/>
  <c r="F23"/>
  <c r="B17" i="88"/>
  <c r="B19"/>
  <c r="F15" i="46"/>
  <c r="B14" i="88"/>
  <c r="B11"/>
  <c r="F33" i="46"/>
  <c r="B39" i="88"/>
  <c r="B34"/>
  <c r="B26"/>
  <c r="B37"/>
  <c r="B18"/>
  <c r="F27" i="46"/>
  <c r="F51"/>
  <c r="B20" i="88"/>
  <c r="B35"/>
  <c r="B22"/>
  <c r="B43"/>
  <c r="B15"/>
  <c r="B44"/>
  <c r="B28"/>
  <c r="B42"/>
  <c r="F50" i="52" l="1"/>
  <c r="B50" i="43" s="1"/>
  <c r="F50" s="1"/>
  <c r="H50" s="1"/>
  <c r="G45" i="8"/>
  <c r="E31" i="78"/>
  <c r="F22" i="46"/>
  <c r="F31"/>
  <c r="F39"/>
  <c r="F44"/>
  <c r="F17"/>
  <c r="E38" i="78"/>
  <c r="F46" i="46"/>
  <c r="F43"/>
  <c r="B38" i="88"/>
  <c r="B23"/>
  <c r="F24" i="46"/>
  <c r="B24" i="88"/>
  <c r="B25"/>
  <c r="F26" i="46"/>
  <c r="B27" i="88"/>
  <c r="F28" i="46"/>
  <c r="F29"/>
  <c r="B29" i="88"/>
  <c r="F30" i="46"/>
  <c r="F32"/>
  <c r="B32" i="88"/>
  <c r="F34" i="46"/>
  <c r="F36"/>
  <c r="F37"/>
  <c r="E45" i="78"/>
  <c r="G44" i="9"/>
  <c r="G29" i="10"/>
  <c r="B46" i="88"/>
  <c r="B45"/>
  <c r="B30"/>
  <c r="B41"/>
  <c r="H43" i="18"/>
  <c r="E40" i="78"/>
  <c r="B36" i="88"/>
  <c r="F42" i="46"/>
  <c r="E34" i="78"/>
  <c r="F14" i="46"/>
  <c r="F21"/>
  <c r="B40" i="88"/>
  <c r="B35" i="20"/>
  <c r="X13" i="2"/>
  <c r="F12" i="46"/>
  <c r="F13"/>
  <c r="B13" i="88"/>
  <c r="F16" i="46"/>
  <c r="B16" i="88"/>
  <c r="F18" i="46"/>
  <c r="B12" i="88"/>
  <c r="J37" i="9"/>
  <c r="B21" i="88"/>
  <c r="G38" i="11"/>
  <c r="E39" i="78"/>
  <c r="K48" i="2" l="1"/>
  <c r="J48"/>
  <c r="L51"/>
  <c r="C51" i="5" s="1"/>
  <c r="L34" i="2"/>
  <c r="C34" i="5" s="1"/>
  <c r="L38" i="2"/>
  <c r="C38" i="5" s="1"/>
  <c r="L46" i="2"/>
  <c r="C46" i="5" s="1"/>
  <c r="D18" i="54"/>
  <c r="J21"/>
  <c r="D29"/>
  <c r="E33" i="18"/>
  <c r="D33" i="10"/>
  <c r="D42" i="54"/>
  <c r="D42" i="9"/>
  <c r="G20" i="8"/>
  <c r="G28" i="54"/>
  <c r="J37"/>
  <c r="J14"/>
  <c r="G44"/>
  <c r="D11"/>
  <c r="J20"/>
  <c r="D11" i="10"/>
  <c r="J41" i="54"/>
  <c r="G50" i="10"/>
  <c r="D44"/>
  <c r="J22" i="11"/>
  <c r="F21" i="41"/>
  <c r="G21" s="1"/>
  <c r="J45" i="54"/>
  <c r="J43"/>
  <c r="G37"/>
  <c r="G35"/>
  <c r="G19"/>
  <c r="J30"/>
  <c r="D40"/>
  <c r="J17" i="11"/>
  <c r="G40"/>
  <c r="G36"/>
  <c r="G32"/>
  <c r="G27"/>
  <c r="G22"/>
  <c r="J13"/>
  <c r="G43"/>
  <c r="B20" i="76"/>
  <c r="D20" i="27"/>
  <c r="D20" i="76" s="1"/>
  <c r="D27" i="7"/>
  <c r="D18" i="9"/>
  <c r="D40"/>
  <c r="G25" i="8"/>
  <c r="B18" i="18"/>
  <c r="D18" i="8"/>
  <c r="B27" i="18"/>
  <c r="D27" i="8"/>
  <c r="B31" i="39"/>
  <c r="D16" i="11"/>
  <c r="B15" i="18"/>
  <c r="D15" i="8"/>
  <c r="G51" i="26"/>
  <c r="B51" i="18"/>
  <c r="D51" i="8"/>
  <c r="G28" i="29"/>
  <c r="G34" i="8"/>
  <c r="D35" i="20"/>
  <c r="B19" i="39"/>
  <c r="B43" i="76"/>
  <c r="E43" s="1"/>
  <c r="D43" i="27"/>
  <c r="D43" i="76" s="1"/>
  <c r="G30" i="26"/>
  <c r="D13" i="7"/>
  <c r="G24" i="8"/>
  <c r="G40" i="10"/>
  <c r="G36"/>
  <c r="D15" i="11"/>
  <c r="D38" i="54"/>
  <c r="D22"/>
  <c r="J33" i="11"/>
  <c r="J31" i="26"/>
  <c r="B11" i="40"/>
  <c r="G25" i="28"/>
  <c r="G12"/>
  <c r="D17"/>
  <c r="G44"/>
  <c r="G40"/>
  <c r="G20"/>
  <c r="J18" i="54"/>
  <c r="D13" i="11"/>
  <c r="E18" i="18"/>
  <c r="D18" i="10"/>
  <c r="D20" i="8"/>
  <c r="B28" i="39"/>
  <c r="J32" i="26"/>
  <c r="J42"/>
  <c r="D13" i="9"/>
  <c r="D12" i="8"/>
  <c r="D43"/>
  <c r="H41" i="18"/>
  <c r="G31" i="26"/>
  <c r="B37" i="76"/>
  <c r="E37" s="1"/>
  <c r="D37" i="27"/>
  <c r="D37" i="76" s="1"/>
  <c r="B21"/>
  <c r="D21" i="27"/>
  <c r="D21" i="76" s="1"/>
  <c r="B27" i="19"/>
  <c r="B45" i="39"/>
  <c r="B35"/>
  <c r="B33"/>
  <c r="B21"/>
  <c r="B12"/>
  <c r="J46" i="26"/>
  <c r="J24"/>
  <c r="J13"/>
  <c r="D37" i="9"/>
  <c r="D27"/>
  <c r="B17" i="18"/>
  <c r="D17" i="8"/>
  <c r="B26" i="18"/>
  <c r="D26" i="8"/>
  <c r="J12" i="26"/>
  <c r="B27" i="20"/>
  <c r="B19"/>
  <c r="B40" i="39"/>
  <c r="B29"/>
  <c r="B20"/>
  <c r="G42" i="28"/>
  <c r="J45" i="26"/>
  <c r="B28" i="76"/>
  <c r="D28" i="27"/>
  <c r="D28" i="76" s="1"/>
  <c r="J25" i="26"/>
  <c r="J22"/>
  <c r="J44"/>
  <c r="J33"/>
  <c r="J28"/>
  <c r="G17"/>
  <c r="G43"/>
  <c r="G37"/>
  <c r="G32"/>
  <c r="G19"/>
  <c r="B37" i="19"/>
  <c r="D39" i="11"/>
  <c r="D19"/>
  <c r="D33"/>
  <c r="D18"/>
  <c r="G21" i="10"/>
  <c r="G13"/>
  <c r="G34"/>
  <c r="G26"/>
  <c r="G17"/>
  <c r="D32" i="7"/>
  <c r="J24" i="9"/>
  <c r="J40"/>
  <c r="J34"/>
  <c r="J26"/>
  <c r="B22" i="19"/>
  <c r="F41" i="46"/>
  <c r="D25" i="11"/>
  <c r="F20" i="46"/>
  <c r="B38" i="20"/>
  <c r="D38" i="7"/>
  <c r="J21" i="26"/>
  <c r="G51" i="54"/>
  <c r="G45" i="10"/>
  <c r="D11" i="26"/>
  <c r="B41" i="19"/>
  <c r="B16"/>
  <c r="G33" i="10"/>
  <c r="G46" i="54"/>
  <c r="H11" i="18"/>
  <c r="D38" i="10"/>
  <c r="D51"/>
  <c r="G41" i="11"/>
  <c r="G11"/>
  <c r="B38" i="18"/>
  <c r="D38" i="8"/>
  <c r="D28" i="11"/>
  <c r="B39" i="39"/>
  <c r="B35" i="19"/>
  <c r="E48" i="43"/>
  <c r="J44" i="54"/>
  <c r="G30"/>
  <c r="D32" i="10"/>
  <c r="J46" i="54"/>
  <c r="D46" i="10"/>
  <c r="J36" i="11"/>
  <c r="J35" i="54"/>
  <c r="G27"/>
  <c r="G23"/>
  <c r="J19"/>
  <c r="J17"/>
  <c r="G15"/>
  <c r="D16"/>
  <c r="G29"/>
  <c r="D43"/>
  <c r="D31" i="11"/>
  <c r="G37"/>
  <c r="G33"/>
  <c r="G28"/>
  <c r="G24"/>
  <c r="G18"/>
  <c r="G14"/>
  <c r="G44"/>
  <c r="G14" i="54"/>
  <c r="F13" i="41"/>
  <c r="G13" s="1"/>
  <c r="D36" i="9"/>
  <c r="G18" i="8"/>
  <c r="G35"/>
  <c r="B16" i="18"/>
  <c r="D16" i="8"/>
  <c r="D25"/>
  <c r="B40" i="18"/>
  <c r="D40" i="8"/>
  <c r="H16" i="18"/>
  <c r="G14" i="9"/>
  <c r="G51" i="11"/>
  <c r="G16" i="26"/>
  <c r="B14" i="76"/>
  <c r="D14" i="27"/>
  <c r="D14" i="76" s="1"/>
  <c r="G14" i="10"/>
  <c r="J11" i="26"/>
  <c r="G20" i="11"/>
  <c r="G26" i="8"/>
  <c r="G16"/>
  <c r="B33" i="20"/>
  <c r="D33" s="1"/>
  <c r="B17" i="39"/>
  <c r="B42"/>
  <c r="G24" i="26"/>
  <c r="G46"/>
  <c r="D35" i="7"/>
  <c r="J35" i="9"/>
  <c r="D44"/>
  <c r="G50" i="26"/>
  <c r="D41" i="11"/>
  <c r="G39" i="10"/>
  <c r="D22" i="11"/>
  <c r="D24" i="54"/>
  <c r="D31" i="7"/>
  <c r="J18" i="11"/>
  <c r="G23" i="8"/>
  <c r="D30" i="54"/>
  <c r="D12"/>
  <c r="G41" i="28"/>
  <c r="G34"/>
  <c r="D43"/>
  <c r="D26"/>
  <c r="D29" i="7"/>
  <c r="D22" i="9"/>
  <c r="B31" i="19"/>
  <c r="D22" i="10"/>
  <c r="B37" i="18"/>
  <c r="D37" i="8"/>
  <c r="B33" i="18"/>
  <c r="D33" i="8"/>
  <c r="H36" i="18"/>
  <c r="J40" i="26"/>
  <c r="G17" i="28"/>
  <c r="H27" i="18"/>
  <c r="B23" i="76"/>
  <c r="D23" i="27"/>
  <c r="D23" i="76" s="1"/>
  <c r="B15"/>
  <c r="D15" i="27"/>
  <c r="D15" i="76" s="1"/>
  <c r="G18" i="26"/>
  <c r="G17" i="8"/>
  <c r="G31"/>
  <c r="H30" i="18"/>
  <c r="D15" i="19"/>
  <c r="D15" i="26"/>
  <c r="D13"/>
  <c r="B20" i="19"/>
  <c r="H20" i="18"/>
  <c r="H15"/>
  <c r="B30"/>
  <c r="D30" i="8"/>
  <c r="B44" i="20"/>
  <c r="B29"/>
  <c r="B21"/>
  <c r="J32" i="54"/>
  <c r="B34" i="40"/>
  <c r="D34" s="1"/>
  <c r="B24" i="39"/>
  <c r="B44" i="40"/>
  <c r="D44" s="1"/>
  <c r="B33"/>
  <c r="D33" s="1"/>
  <c r="B17"/>
  <c r="D17" s="1"/>
  <c r="B25" i="76"/>
  <c r="D25" i="27"/>
  <c r="D25" i="76" s="1"/>
  <c r="B32"/>
  <c r="D32" i="27"/>
  <c r="D32" i="76" s="1"/>
  <c r="B46"/>
  <c r="D46" i="27"/>
  <c r="D46" i="76" s="1"/>
  <c r="B36"/>
  <c r="D36" i="27"/>
  <c r="D36" i="76" s="1"/>
  <c r="J29" i="26"/>
  <c r="J23"/>
  <c r="J18"/>
  <c r="J41"/>
  <c r="J17"/>
  <c r="G39"/>
  <c r="G33"/>
  <c r="G25"/>
  <c r="B39" i="19"/>
  <c r="D43" i="11"/>
  <c r="D34"/>
  <c r="D37"/>
  <c r="D24"/>
  <c r="G35" i="10"/>
  <c r="G27"/>
  <c r="G23"/>
  <c r="D34" i="7"/>
  <c r="J29" i="9"/>
  <c r="D24" i="7"/>
  <c r="D16"/>
  <c r="D15" i="9"/>
  <c r="D11"/>
  <c r="B33" i="88"/>
  <c r="F40" i="46"/>
  <c r="F26" i="45"/>
  <c r="F43"/>
  <c r="B38" i="19"/>
  <c r="D11" i="11"/>
  <c r="B50" i="39"/>
  <c r="D51" i="9"/>
  <c r="B16" i="39"/>
  <c r="J38" i="26"/>
  <c r="F20" i="45"/>
  <c r="D26" i="9"/>
  <c r="B11" i="18"/>
  <c r="D11" i="8"/>
  <c r="G13"/>
  <c r="G19" i="10"/>
  <c r="B13" i="19"/>
  <c r="H35" i="18"/>
  <c r="D45" i="9"/>
  <c r="B51" i="19"/>
  <c r="H40" i="18"/>
  <c r="H33"/>
  <c r="D37" i="10"/>
  <c r="D45"/>
  <c r="G40" i="8"/>
  <c r="B50" i="19"/>
  <c r="B18" i="76"/>
  <c r="E18" s="1"/>
  <c r="D18" i="27"/>
  <c r="D18" i="76" s="1"/>
  <c r="G23" i="26"/>
  <c r="B34" i="76"/>
  <c r="D34" i="27"/>
  <c r="D34" i="76" s="1"/>
  <c r="L11" i="2"/>
  <c r="D28" i="10"/>
  <c r="J23" i="54"/>
  <c r="D17" i="10"/>
  <c r="D12" i="9"/>
  <c r="D50" i="54"/>
  <c r="B26" i="76"/>
  <c r="D26" i="27"/>
  <c r="D26" i="76" s="1"/>
  <c r="D13" i="54"/>
  <c r="J28"/>
  <c r="G17"/>
  <c r="D14" i="10"/>
  <c r="B44" i="76"/>
  <c r="D44" i="27"/>
  <c r="D44" i="76" s="1"/>
  <c r="E23" i="18"/>
  <c r="D23" i="10"/>
  <c r="G34" i="54"/>
  <c r="G33"/>
  <c r="G16"/>
  <c r="D31" i="10"/>
  <c r="D50"/>
  <c r="G50" i="54"/>
  <c r="G39"/>
  <c r="J33"/>
  <c r="G25"/>
  <c r="J15"/>
  <c r="J39"/>
  <c r="G24"/>
  <c r="D37"/>
  <c r="G23" i="11"/>
  <c r="G34"/>
  <c r="G29"/>
  <c r="G25"/>
  <c r="G19"/>
  <c r="G15"/>
  <c r="G45"/>
  <c r="J50" i="26"/>
  <c r="D41" i="7"/>
  <c r="D32" i="9"/>
  <c r="G33" i="8"/>
  <c r="B14" i="18"/>
  <c r="D14" i="8"/>
  <c r="B22" i="18"/>
  <c r="D22" i="8"/>
  <c r="B36" i="18"/>
  <c r="D36" i="8"/>
  <c r="G51" i="10"/>
  <c r="J24" i="54"/>
  <c r="B16" i="76"/>
  <c r="E16" s="1"/>
  <c r="D16" i="27"/>
  <c r="D16" i="76" s="1"/>
  <c r="J15" i="26"/>
  <c r="D14" i="11"/>
  <c r="D51"/>
  <c r="G38" i="8"/>
  <c r="B11" i="39"/>
  <c r="B22" i="20"/>
  <c r="B30"/>
  <c r="B39"/>
  <c r="B15" i="39"/>
  <c r="B36"/>
  <c r="G20" i="26"/>
  <c r="G38"/>
  <c r="J25" i="9"/>
  <c r="D34"/>
  <c r="B28" i="18"/>
  <c r="D28" i="8"/>
  <c r="D40" i="11"/>
  <c r="G22" i="10"/>
  <c r="B23" i="19"/>
  <c r="J23" i="11"/>
  <c r="B27" i="40"/>
  <c r="D42" i="8"/>
  <c r="G24" i="28"/>
  <c r="D23"/>
  <c r="D39" i="54"/>
  <c r="D27"/>
  <c r="D24" i="28"/>
  <c r="D25" i="10"/>
  <c r="B32" i="19"/>
  <c r="H18" i="18"/>
  <c r="D39" i="8"/>
  <c r="B22" i="39"/>
  <c r="J36" i="26"/>
  <c r="D28" i="9"/>
  <c r="H23" i="18"/>
  <c r="D31" i="9"/>
  <c r="B14" i="39"/>
  <c r="B41" i="76"/>
  <c r="D41" i="27"/>
  <c r="D41" i="76" s="1"/>
  <c r="B33"/>
  <c r="D33" i="27"/>
  <c r="D33" i="76" s="1"/>
  <c r="G26" i="26"/>
  <c r="D33" i="7"/>
  <c r="D38" i="9"/>
  <c r="G27" i="28"/>
  <c r="B44" i="39"/>
  <c r="B37"/>
  <c r="B32"/>
  <c r="B45" i="76"/>
  <c r="D45" i="27"/>
  <c r="D45" i="76" s="1"/>
  <c r="J26" i="26"/>
  <c r="J20"/>
  <c r="D31" i="19"/>
  <c r="D31" i="26"/>
  <c r="D12"/>
  <c r="D33" i="9"/>
  <c r="D19"/>
  <c r="G30" i="28"/>
  <c r="G40" i="54"/>
  <c r="B37" i="40"/>
  <c r="D37" s="1"/>
  <c r="B25"/>
  <c r="D25" s="1"/>
  <c r="B35"/>
  <c r="D35" s="1"/>
  <c r="B22"/>
  <c r="D22" s="1"/>
  <c r="B30" i="76"/>
  <c r="E30" s="1"/>
  <c r="D30" i="27"/>
  <c r="D30" i="76" s="1"/>
  <c r="J43" i="26"/>
  <c r="J27"/>
  <c r="G45"/>
  <c r="J37"/>
  <c r="J30"/>
  <c r="G27"/>
  <c r="J19"/>
  <c r="G13"/>
  <c r="G40"/>
  <c r="G35"/>
  <c r="G29"/>
  <c r="B43" i="19"/>
  <c r="B15"/>
  <c r="D35" i="11"/>
  <c r="D44"/>
  <c r="D29"/>
  <c r="G28" i="10"/>
  <c r="G41"/>
  <c r="G24"/>
  <c r="D45" i="7"/>
  <c r="D26"/>
  <c r="D17" i="9"/>
  <c r="G43" i="10"/>
  <c r="B42" i="19"/>
  <c r="J51" i="26"/>
  <c r="G50" i="11"/>
  <c r="D38"/>
  <c r="B38" i="40"/>
  <c r="D38" s="1"/>
  <c r="D50" i="11"/>
  <c r="B28" i="19"/>
  <c r="F19" i="46"/>
  <c r="D35" i="9"/>
  <c r="F35" i="45"/>
  <c r="B27" i="39"/>
  <c r="D23" i="11"/>
  <c r="B11" i="19"/>
  <c r="D50" i="9"/>
  <c r="D16" i="19"/>
  <c r="D16" i="26"/>
  <c r="H22" i="18"/>
  <c r="D30" i="10"/>
  <c r="D43"/>
  <c r="H42" i="18"/>
  <c r="B50"/>
  <c r="D50" i="8"/>
  <c r="B23" i="39"/>
  <c r="G44" i="10"/>
  <c r="H37" i="18"/>
  <c r="B43" i="39"/>
  <c r="D27" i="11"/>
  <c r="L15" i="2"/>
  <c r="C15" i="5" s="1"/>
  <c r="F44" i="45"/>
  <c r="G42" i="8"/>
  <c r="J51" i="54"/>
  <c r="J34"/>
  <c r="G43"/>
  <c r="G38"/>
  <c r="D42" i="10"/>
  <c r="D35"/>
  <c r="D15"/>
  <c r="G31" i="54"/>
  <c r="G20"/>
  <c r="B30" i="19"/>
  <c r="D27" i="10"/>
  <c r="D39"/>
  <c r="J42" i="54"/>
  <c r="J38"/>
  <c r="D41" i="10"/>
  <c r="J50" i="28"/>
  <c r="J21" i="11"/>
  <c r="J50" i="54"/>
  <c r="G45"/>
  <c r="G41"/>
  <c r="J31"/>
  <c r="G21"/>
  <c r="G42"/>
  <c r="G39" i="11"/>
  <c r="G35"/>
  <c r="G30"/>
  <c r="G26"/>
  <c r="G21"/>
  <c r="G16"/>
  <c r="J16" i="54"/>
  <c r="G36"/>
  <c r="G42" i="11"/>
  <c r="G31"/>
  <c r="B51" i="41"/>
  <c r="C51" s="1"/>
  <c r="D18" i="28"/>
  <c r="G26" i="54"/>
  <c r="D37" i="7"/>
  <c r="D24" i="9"/>
  <c r="G27" i="8"/>
  <c r="G43"/>
  <c r="B19" i="18"/>
  <c r="D19" i="8"/>
  <c r="B34" i="18"/>
  <c r="D34" i="8"/>
  <c r="B51" i="39"/>
  <c r="H14" i="18"/>
  <c r="G18" i="54"/>
  <c r="B22" i="76"/>
  <c r="D22" i="27"/>
  <c r="D22" i="76" s="1"/>
  <c r="G16" i="10"/>
  <c r="B51" i="76"/>
  <c r="D51" i="27"/>
  <c r="D51" i="76" s="1"/>
  <c r="G51" i="8"/>
  <c r="F15" i="45"/>
  <c r="F13"/>
  <c r="G19" i="8"/>
  <c r="G36"/>
  <c r="B11" i="20"/>
  <c r="B37"/>
  <c r="B34" i="39"/>
  <c r="G14" i="26"/>
  <c r="G34"/>
  <c r="J13" i="9"/>
  <c r="D16"/>
  <c r="B24" i="18"/>
  <c r="D24" i="8"/>
  <c r="D45" i="11"/>
  <c r="D32"/>
  <c r="D21"/>
  <c r="G11" i="10"/>
  <c r="G42" i="26"/>
  <c r="G39" i="8"/>
  <c r="G31" i="10"/>
  <c r="G32" i="54"/>
  <c r="J27"/>
  <c r="B30" i="40"/>
  <c r="D30" s="1"/>
  <c r="G51" i="28"/>
  <c r="D13"/>
  <c r="G40" i="29"/>
  <c r="G11" i="28"/>
  <c r="D33" i="29"/>
  <c r="J43" i="28"/>
  <c r="G39"/>
  <c r="G28"/>
  <c r="G23"/>
  <c r="G14"/>
  <c r="G21"/>
  <c r="H32" i="18"/>
  <c r="H39"/>
  <c r="H26"/>
  <c r="D34" i="10"/>
  <c r="D23" i="8"/>
  <c r="B35" i="18"/>
  <c r="D35" i="8"/>
  <c r="B30" i="39"/>
  <c r="J34" i="26"/>
  <c r="D21" i="9"/>
  <c r="B32" i="18"/>
  <c r="D32" i="8"/>
  <c r="H25" i="18"/>
  <c r="E21"/>
  <c r="D21" i="10"/>
  <c r="B34" i="20"/>
  <c r="D34" s="1"/>
  <c r="B35" i="76"/>
  <c r="D35" i="27"/>
  <c r="D35" i="76" s="1"/>
  <c r="G44" i="26"/>
  <c r="B19" i="40"/>
  <c r="D19" s="1"/>
  <c r="D14" i="19"/>
  <c r="D14" i="26"/>
  <c r="H17" i="18"/>
  <c r="D41" i="9"/>
  <c r="B25" i="20"/>
  <c r="B17"/>
  <c r="J40" i="54"/>
  <c r="J36"/>
  <c r="G22"/>
  <c r="B39" i="40"/>
  <c r="D39" s="1"/>
  <c r="B25" i="39"/>
  <c r="B29" i="40"/>
  <c r="D29" s="1"/>
  <c r="B31" i="76"/>
  <c r="D31" i="27"/>
  <c r="D31" i="76" s="1"/>
  <c r="B24"/>
  <c r="E24" s="1"/>
  <c r="D24" i="27"/>
  <c r="D24" i="76" s="1"/>
  <c r="J16" i="26"/>
  <c r="J39"/>
  <c r="J35"/>
  <c r="G28"/>
  <c r="G21"/>
  <c r="J14"/>
  <c r="G41"/>
  <c r="G36"/>
  <c r="G15"/>
  <c r="B44" i="19"/>
  <c r="B26"/>
  <c r="B19"/>
  <c r="D36" i="11"/>
  <c r="D17"/>
  <c r="D30"/>
  <c r="D26"/>
  <c r="G30" i="10"/>
  <c r="G20"/>
  <c r="G15"/>
  <c r="G42"/>
  <c r="G32"/>
  <c r="G25"/>
  <c r="J26" i="54"/>
  <c r="D40" i="7"/>
  <c r="D22"/>
  <c r="J32" i="9"/>
  <c r="D30"/>
  <c r="G11" i="26"/>
  <c r="B21" i="19"/>
  <c r="B36"/>
  <c r="G38" i="28"/>
  <c r="F41" i="45"/>
  <c r="F24"/>
  <c r="J38" i="9"/>
  <c r="G22" i="26"/>
  <c r="B38" i="39"/>
  <c r="G37" i="10"/>
  <c r="G38"/>
  <c r="D51" i="19"/>
  <c r="D51" i="26"/>
  <c r="H38" i="18"/>
  <c r="E48" i="46"/>
  <c r="F11"/>
  <c r="F51" i="52"/>
  <c r="B51" i="43" s="1"/>
  <c r="F51" s="1"/>
  <c r="H51" s="1"/>
  <c r="F50" i="45"/>
  <c r="B48" i="44"/>
  <c r="B17" i="19"/>
  <c r="G18" i="10"/>
  <c r="B21" i="40"/>
  <c r="D21" s="1"/>
  <c r="B27" i="76"/>
  <c r="E27" s="1"/>
  <c r="D27" i="27"/>
  <c r="D27" i="76" s="1"/>
  <c r="H44" i="18"/>
  <c r="H24"/>
  <c r="D40" i="10"/>
  <c r="H50" i="18"/>
  <c r="G15" i="8"/>
  <c r="D42" i="11"/>
  <c r="B38" i="76"/>
  <c r="E38" s="1"/>
  <c r="D38" i="27"/>
  <c r="D38" i="76" s="1"/>
  <c r="G30" i="8"/>
  <c r="G32"/>
  <c r="B29" i="19"/>
  <c r="C48" i="88"/>
  <c r="F48" i="2"/>
  <c r="L14"/>
  <c r="C14" i="5" s="1"/>
  <c r="B23" i="18"/>
  <c r="H45"/>
  <c r="L28" i="2"/>
  <c r="C28" i="5" s="1"/>
  <c r="L44" i="2"/>
  <c r="C44" i="5" s="1"/>
  <c r="L35" i="2"/>
  <c r="C35" i="5" s="1"/>
  <c r="H19" i="18"/>
  <c r="L17" i="2"/>
  <c r="C17" i="5" s="1"/>
  <c r="H29" i="18"/>
  <c r="B43"/>
  <c r="E48" i="2"/>
  <c r="E14" i="78"/>
  <c r="E21"/>
  <c r="E19"/>
  <c r="E30"/>
  <c r="E33"/>
  <c r="E15"/>
  <c r="E17"/>
  <c r="E31" i="20"/>
  <c r="E37" i="78"/>
  <c r="E25"/>
  <c r="E44"/>
  <c r="E50"/>
  <c r="E35"/>
  <c r="E24"/>
  <c r="E29"/>
  <c r="E13"/>
  <c r="E41"/>
  <c r="E27"/>
  <c r="E28"/>
  <c r="E43"/>
  <c r="E46"/>
  <c r="E23"/>
  <c r="E22"/>
  <c r="J41" i="11"/>
  <c r="L18" i="2"/>
  <c r="C18" i="5" s="1"/>
  <c r="E40" i="18"/>
  <c r="E30"/>
  <c r="L25" i="2"/>
  <c r="C25" i="5" s="1"/>
  <c r="L26" i="2"/>
  <c r="C26" i="5" s="1"/>
  <c r="L31" i="2"/>
  <c r="C31" i="5" s="1"/>
  <c r="E26" i="78"/>
  <c r="L13" i="2"/>
  <c r="C13" i="5" s="1"/>
  <c r="E37" i="18"/>
  <c r="E32"/>
  <c r="B14" i="19"/>
  <c r="L43" i="2"/>
  <c r="C43" i="5" s="1"/>
  <c r="E14" i="18"/>
  <c r="E42"/>
  <c r="E38"/>
  <c r="E27" i="20"/>
  <c r="B32"/>
  <c r="B16"/>
  <c r="B14"/>
  <c r="E43" i="18"/>
  <c r="E18" i="78"/>
  <c r="E12"/>
  <c r="F14" i="45"/>
  <c r="E34" i="18"/>
  <c r="E17"/>
  <c r="H31"/>
  <c r="D21" i="7"/>
  <c r="L39" i="2" l="1"/>
  <c r="C39" i="5" s="1"/>
  <c r="L50" i="2"/>
  <c r="C50" i="5" s="1"/>
  <c r="L36" i="2"/>
  <c r="C36" i="5" s="1"/>
  <c r="D48" i="88"/>
  <c r="B31"/>
  <c r="B48" s="1"/>
  <c r="L12" i="2"/>
  <c r="C12" i="5" s="1"/>
  <c r="L20" i="2"/>
  <c r="C20" i="5" s="1"/>
  <c r="L19" i="2"/>
  <c r="C19" i="5" s="1"/>
  <c r="L32" i="2"/>
  <c r="C32" i="5" s="1"/>
  <c r="L40" i="2"/>
  <c r="C40" i="5" s="1"/>
  <c r="L24" i="2"/>
  <c r="C24" i="5" s="1"/>
  <c r="L23" i="2"/>
  <c r="C23" i="5" s="1"/>
  <c r="G48" i="2"/>
  <c r="E55"/>
  <c r="G17" i="18"/>
  <c r="G34"/>
  <c r="D48" i="9"/>
  <c r="E31" i="5"/>
  <c r="G48" i="26"/>
  <c r="G43" i="18"/>
  <c r="D16" i="20"/>
  <c r="G42" i="18"/>
  <c r="G40"/>
  <c r="G30" i="76"/>
  <c r="D14" i="20"/>
  <c r="D32"/>
  <c r="G38" i="18"/>
  <c r="G14"/>
  <c r="D48" i="7"/>
  <c r="G32" i="18"/>
  <c r="G37"/>
  <c r="G30"/>
  <c r="G31" i="20"/>
  <c r="D43" i="18"/>
  <c r="E29" i="5"/>
  <c r="E19"/>
  <c r="G16" i="76"/>
  <c r="G24"/>
  <c r="D23" i="18"/>
  <c r="G11" i="29"/>
  <c r="G17"/>
  <c r="H21" i="18"/>
  <c r="E25" i="76"/>
  <c r="D25" i="54"/>
  <c r="D46"/>
  <c r="J51" i="11"/>
  <c r="B18" i="41"/>
  <c r="B31"/>
  <c r="F11"/>
  <c r="G30" i="29"/>
  <c r="J51" i="28"/>
  <c r="E20" i="76"/>
  <c r="D20" i="54"/>
  <c r="E13" i="20"/>
  <c r="E35"/>
  <c r="J46" i="11"/>
  <c r="D44" i="29"/>
  <c r="J24" i="28"/>
  <c r="B24" i="40"/>
  <c r="D24" s="1"/>
  <c r="B51"/>
  <c r="E29" i="20"/>
  <c r="F16" i="41"/>
  <c r="G16" s="1"/>
  <c r="F39"/>
  <c r="G39" s="1"/>
  <c r="F46"/>
  <c r="G46" s="1"/>
  <c r="D17" i="29"/>
  <c r="J12" i="28"/>
  <c r="J28" i="11"/>
  <c r="D36" i="29"/>
  <c r="D14"/>
  <c r="J40" i="28"/>
  <c r="F25" i="41"/>
  <c r="G25" s="1"/>
  <c r="D24" i="19"/>
  <c r="D24" i="26"/>
  <c r="D28" i="19"/>
  <c r="D28" i="26"/>
  <c r="D33" i="19"/>
  <c r="D33" i="26"/>
  <c r="D37" i="19"/>
  <c r="D37" i="26"/>
  <c r="D45" i="19"/>
  <c r="D45" i="26"/>
  <c r="D43" i="19"/>
  <c r="D43" i="26"/>
  <c r="B36" i="40"/>
  <c r="D36" s="1"/>
  <c r="G37" i="29"/>
  <c r="D32" i="28"/>
  <c r="J25" i="54"/>
  <c r="J24" i="11"/>
  <c r="J12"/>
  <c r="J30" i="28"/>
  <c r="G16" i="29"/>
  <c r="G32" i="28"/>
  <c r="G37"/>
  <c r="E50" i="20"/>
  <c r="B12" i="41"/>
  <c r="B17"/>
  <c r="B41"/>
  <c r="F28"/>
  <c r="G28" s="1"/>
  <c r="J19" i="28"/>
  <c r="G13"/>
  <c r="G31" i="29"/>
  <c r="F27" i="41"/>
  <c r="G27" s="1"/>
  <c r="F35"/>
  <c r="G35" s="1"/>
  <c r="E12" i="20"/>
  <c r="D18" i="19"/>
  <c r="D18" i="26"/>
  <c r="B13" i="39"/>
  <c r="G13" i="54"/>
  <c r="F23" i="41"/>
  <c r="G23" s="1"/>
  <c r="D28" i="29"/>
  <c r="J26" i="28"/>
  <c r="G19"/>
  <c r="G16" i="19"/>
  <c r="D16" i="28"/>
  <c r="D33" i="54"/>
  <c r="E33" i="76"/>
  <c r="G36" i="28"/>
  <c r="E30" i="20"/>
  <c r="J33" i="28"/>
  <c r="J44"/>
  <c r="G41" i="19"/>
  <c r="D41" i="28"/>
  <c r="H13" i="18"/>
  <c r="D25" i="9"/>
  <c r="B42" i="40"/>
  <c r="D42" s="1"/>
  <c r="D20" i="28"/>
  <c r="B37" i="41"/>
  <c r="J46" i="9"/>
  <c r="E17" i="20"/>
  <c r="E26" i="18"/>
  <c r="G26" s="1"/>
  <c r="D26" i="10"/>
  <c r="G46" i="8"/>
  <c r="D39" i="9"/>
  <c r="B29" i="18"/>
  <c r="D29" i="8"/>
  <c r="D51" i="54"/>
  <c r="E51" i="76"/>
  <c r="E46" i="20"/>
  <c r="D34" i="28"/>
  <c r="E44" i="5"/>
  <c r="F45" i="45"/>
  <c r="F48" i="46"/>
  <c r="F38" i="39"/>
  <c r="D38"/>
  <c r="H38"/>
  <c r="F14" i="19"/>
  <c r="G21" i="18"/>
  <c r="D32"/>
  <c r="D11" i="20"/>
  <c r="B18" i="19"/>
  <c r="E18" i="5" s="1"/>
  <c r="E42"/>
  <c r="E22"/>
  <c r="G35" i="28"/>
  <c r="F37" i="39"/>
  <c r="D37"/>
  <c r="H37"/>
  <c r="F22"/>
  <c r="D22"/>
  <c r="H22"/>
  <c r="D14" i="18"/>
  <c r="G37" i="76"/>
  <c r="D11" i="18"/>
  <c r="F16" i="39"/>
  <c r="H16"/>
  <c r="D16"/>
  <c r="F37" i="45"/>
  <c r="F42"/>
  <c r="F24" i="39"/>
  <c r="H24"/>
  <c r="D24"/>
  <c r="D21" i="20"/>
  <c r="D44"/>
  <c r="E15" i="5"/>
  <c r="F15" i="19"/>
  <c r="E27" i="5"/>
  <c r="E36"/>
  <c r="J48" i="26"/>
  <c r="D40" i="18"/>
  <c r="D38"/>
  <c r="E11" i="5"/>
  <c r="D38" i="20"/>
  <c r="D26" i="18"/>
  <c r="L37" i="2"/>
  <c r="C37" i="5" s="1"/>
  <c r="F55" i="2"/>
  <c r="B33" i="19"/>
  <c r="E33" i="5" s="1"/>
  <c r="B34" i="19"/>
  <c r="B42" i="18"/>
  <c r="B51" i="20"/>
  <c r="F29" i="45"/>
  <c r="B45" i="19"/>
  <c r="H28" i="18"/>
  <c r="F23" i="45"/>
  <c r="E51" i="18"/>
  <c r="F19" i="45"/>
  <c r="B20" i="18"/>
  <c r="G12" i="8"/>
  <c r="B18" i="39"/>
  <c r="D20" i="11"/>
  <c r="D23" i="54"/>
  <c r="G32" i="29"/>
  <c r="J29" i="11"/>
  <c r="B14" i="41"/>
  <c r="B29"/>
  <c r="D19" i="29"/>
  <c r="G12" i="10"/>
  <c r="F24" i="41"/>
  <c r="G24" s="1"/>
  <c r="G19" i="29"/>
  <c r="D36" i="54"/>
  <c r="E22" i="20"/>
  <c r="E25"/>
  <c r="B19" i="41"/>
  <c r="D38" i="29"/>
  <c r="D35"/>
  <c r="J23" i="28"/>
  <c r="F15" i="41"/>
  <c r="G15" s="1"/>
  <c r="F43"/>
  <c r="G43" s="1"/>
  <c r="B40" i="40"/>
  <c r="D40" s="1"/>
  <c r="B50"/>
  <c r="G27" i="20"/>
  <c r="E41"/>
  <c r="B39" i="41"/>
  <c r="B45"/>
  <c r="J39" i="28"/>
  <c r="D13" i="29"/>
  <c r="J39" i="11"/>
  <c r="J38" i="28"/>
  <c r="B13" i="76"/>
  <c r="E13" s="1"/>
  <c r="D13" i="27"/>
  <c r="D13" i="76" s="1"/>
  <c r="F20" i="41"/>
  <c r="G20" s="1"/>
  <c r="D12" i="11"/>
  <c r="D20" i="19"/>
  <c r="D20" i="26"/>
  <c r="D27" i="19"/>
  <c r="D27" i="26"/>
  <c r="D32" i="19"/>
  <c r="D32" i="26"/>
  <c r="D36" i="19"/>
  <c r="D36" i="26"/>
  <c r="D42" i="19"/>
  <c r="D42" i="26"/>
  <c r="B13" i="18"/>
  <c r="D13" i="8"/>
  <c r="B46" i="39"/>
  <c r="B28" i="40"/>
  <c r="D28" s="1"/>
  <c r="G33" i="28"/>
  <c r="G40" i="19"/>
  <c r="D40" i="28"/>
  <c r="D14" i="54"/>
  <c r="E14" i="76"/>
  <c r="J11" i="11"/>
  <c r="D30" i="29"/>
  <c r="D41"/>
  <c r="D35" i="54"/>
  <c r="E35" i="76"/>
  <c r="G12" i="54"/>
  <c r="B31" i="18"/>
  <c r="D31" i="8"/>
  <c r="B41" i="18"/>
  <c r="D41" i="8"/>
  <c r="G31" i="19"/>
  <c r="D31" i="28"/>
  <c r="G27" i="29"/>
  <c r="D28" i="28"/>
  <c r="E51" i="20"/>
  <c r="E26"/>
  <c r="B16" i="41"/>
  <c r="B34"/>
  <c r="F14"/>
  <c r="G14" s="1"/>
  <c r="D42" i="7"/>
  <c r="J27" i="28"/>
  <c r="G12" i="11"/>
  <c r="D37" i="28"/>
  <c r="G29" i="29"/>
  <c r="F41" i="41"/>
  <c r="G41" s="1"/>
  <c r="F34"/>
  <c r="G34" s="1"/>
  <c r="B20"/>
  <c r="L22" i="2"/>
  <c r="C22" i="5" s="1"/>
  <c r="B26" i="39"/>
  <c r="G15" i="29"/>
  <c r="E36" i="18"/>
  <c r="D36" i="10"/>
  <c r="J36" i="28"/>
  <c r="B21" i="41"/>
  <c r="G26" i="29"/>
  <c r="B27" i="41"/>
  <c r="J44" i="11"/>
  <c r="J20"/>
  <c r="B50" i="41"/>
  <c r="G18" i="28"/>
  <c r="D29" i="9"/>
  <c r="B26" i="41"/>
  <c r="J46" i="28"/>
  <c r="E29" i="18"/>
  <c r="D29" i="10"/>
  <c r="D46" i="11"/>
  <c r="D46" i="9"/>
  <c r="J12" i="54"/>
  <c r="F30" i="41"/>
  <c r="G30" s="1"/>
  <c r="H46" i="18"/>
  <c r="G22" i="29"/>
  <c r="B41" i="39"/>
  <c r="G50" i="29"/>
  <c r="B21" i="18"/>
  <c r="D21" i="8"/>
  <c r="D23" i="29"/>
  <c r="D50" i="19"/>
  <c r="D50" i="26"/>
  <c r="D17" i="54"/>
  <c r="B39" i="76"/>
  <c r="E39" s="1"/>
  <c r="D39" i="27"/>
  <c r="D39" i="76" s="1"/>
  <c r="D23" i="9"/>
  <c r="E24" i="20"/>
  <c r="B45" i="40"/>
  <c r="D45" s="1"/>
  <c r="G45" i="28"/>
  <c r="B46" i="19"/>
  <c r="E14" i="20"/>
  <c r="G38" i="76"/>
  <c r="G27"/>
  <c r="E38" i="5"/>
  <c r="H25" i="39"/>
  <c r="F25"/>
  <c r="D25"/>
  <c r="D25" i="20"/>
  <c r="E39" i="5"/>
  <c r="F34" i="39"/>
  <c r="H34"/>
  <c r="D34"/>
  <c r="E14" i="5"/>
  <c r="E37"/>
  <c r="F23" i="39"/>
  <c r="H23"/>
  <c r="D23"/>
  <c r="F16" i="19"/>
  <c r="D11" i="27"/>
  <c r="D11" i="76" s="1"/>
  <c r="B11"/>
  <c r="D28" i="18"/>
  <c r="F15" i="39"/>
  <c r="H15"/>
  <c r="D15"/>
  <c r="D30" i="20"/>
  <c r="B12" i="76"/>
  <c r="E12" s="1"/>
  <c r="D12" i="27"/>
  <c r="D12" i="76" s="1"/>
  <c r="D33" i="18"/>
  <c r="F42" i="39"/>
  <c r="D42"/>
  <c r="H42"/>
  <c r="F39"/>
  <c r="D39"/>
  <c r="H39"/>
  <c r="F39" i="45"/>
  <c r="F29" i="39"/>
  <c r="H29"/>
  <c r="D29"/>
  <c r="D27" i="20"/>
  <c r="D17" i="18"/>
  <c r="F12" i="39"/>
  <c r="D12"/>
  <c r="H12"/>
  <c r="F33"/>
  <c r="D33"/>
  <c r="H33"/>
  <c r="F45"/>
  <c r="D45"/>
  <c r="H45"/>
  <c r="G18" i="18"/>
  <c r="D11" i="40"/>
  <c r="F19" i="39"/>
  <c r="D19"/>
  <c r="H19"/>
  <c r="D15" i="18"/>
  <c r="F31" i="39"/>
  <c r="D31"/>
  <c r="H31"/>
  <c r="B28" i="20"/>
  <c r="E41" i="18"/>
  <c r="B46" i="40"/>
  <c r="D46" s="1"/>
  <c r="B39" i="18"/>
  <c r="G23" i="19"/>
  <c r="B24"/>
  <c r="E24" i="5" s="1"/>
  <c r="E42" i="20"/>
  <c r="E36" i="76"/>
  <c r="B41" i="20"/>
  <c r="B24"/>
  <c r="F16" i="45"/>
  <c r="B25" i="18"/>
  <c r="D11" i="19"/>
  <c r="B12" i="20"/>
  <c r="B18"/>
  <c r="E45"/>
  <c r="D20" i="9"/>
  <c r="E41" i="76"/>
  <c r="D41" i="54"/>
  <c r="E20" i="18"/>
  <c r="D20" i="10"/>
  <c r="J26" i="11"/>
  <c r="J31"/>
  <c r="F31" i="41"/>
  <c r="G31" s="1"/>
  <c r="B24"/>
  <c r="B43"/>
  <c r="D40" i="29"/>
  <c r="J25" i="11"/>
  <c r="J16" i="28"/>
  <c r="D11" i="29"/>
  <c r="G12" i="26"/>
  <c r="F18" i="41"/>
  <c r="G18" s="1"/>
  <c r="F38"/>
  <c r="G38" s="1"/>
  <c r="E16" i="20"/>
  <c r="E21"/>
  <c r="D34" i="29"/>
  <c r="J43" i="11"/>
  <c r="J42" i="28"/>
  <c r="B38" i="41"/>
  <c r="F22"/>
  <c r="G22" s="1"/>
  <c r="E39" i="20"/>
  <c r="F29" i="41"/>
  <c r="G29" s="1"/>
  <c r="B31" i="40"/>
  <c r="D31" s="1"/>
  <c r="B16"/>
  <c r="D16" s="1"/>
  <c r="B15"/>
  <c r="D15" s="1"/>
  <c r="E20" i="20"/>
  <c r="E40"/>
  <c r="F36" i="41"/>
  <c r="G36" s="1"/>
  <c r="B42"/>
  <c r="F45"/>
  <c r="G45" s="1"/>
  <c r="D25" i="29"/>
  <c r="J37" i="28"/>
  <c r="J42" i="11"/>
  <c r="J35"/>
  <c r="J11" i="28"/>
  <c r="E28" i="20"/>
  <c r="G41" i="29"/>
  <c r="D45" i="28"/>
  <c r="F17" i="41"/>
  <c r="G17" s="1"/>
  <c r="F37"/>
  <c r="G37" s="1"/>
  <c r="B12" i="19"/>
  <c r="D19"/>
  <c r="D19" i="26"/>
  <c r="D26" i="19"/>
  <c r="D26" i="26"/>
  <c r="D30" i="19"/>
  <c r="D30" i="26"/>
  <c r="D35" i="19"/>
  <c r="D35" i="26"/>
  <c r="D41" i="19"/>
  <c r="D41" i="26"/>
  <c r="D23" i="19"/>
  <c r="D23" i="26"/>
  <c r="B19" i="76"/>
  <c r="D19" i="27"/>
  <c r="D19" i="76" s="1"/>
  <c r="D14" i="28"/>
  <c r="G50"/>
  <c r="B44" i="41"/>
  <c r="D11" i="28"/>
  <c r="G11" i="19"/>
  <c r="B29" i="76"/>
  <c r="E29" s="1"/>
  <c r="D29" i="27"/>
  <c r="D29" i="76" s="1"/>
  <c r="G26" i="28"/>
  <c r="B36" i="41"/>
  <c r="D20" i="29"/>
  <c r="D31"/>
  <c r="G23"/>
  <c r="G45"/>
  <c r="G31" i="28"/>
  <c r="G22"/>
  <c r="D39"/>
  <c r="E18" i="20"/>
  <c r="B15" i="41"/>
  <c r="B25"/>
  <c r="D45" i="54"/>
  <c r="E45" i="76"/>
  <c r="D16" i="29"/>
  <c r="L27" i="2"/>
  <c r="G42" i="19"/>
  <c r="D42" i="28"/>
  <c r="J40" i="11"/>
  <c r="E12" i="18"/>
  <c r="D12" i="10"/>
  <c r="E24" i="18"/>
  <c r="D24" i="10"/>
  <c r="J31" i="28"/>
  <c r="D15" i="54"/>
  <c r="E15" i="76"/>
  <c r="D35" i="28"/>
  <c r="B11" i="41"/>
  <c r="L16" i="2"/>
  <c r="C16" i="5" s="1"/>
  <c r="L41" i="2"/>
  <c r="C41" i="5" s="1"/>
  <c r="E23" i="20"/>
  <c r="J15" i="11"/>
  <c r="F50" i="41"/>
  <c r="D32" i="29"/>
  <c r="D39" i="19"/>
  <c r="F39" s="1"/>
  <c r="D39" i="26"/>
  <c r="E43" i="20"/>
  <c r="G13" i="11"/>
  <c r="D17" i="19"/>
  <c r="D17" i="26"/>
  <c r="F33" i="41"/>
  <c r="G33" s="1"/>
  <c r="J19" i="11"/>
  <c r="F31" i="45"/>
  <c r="B45" i="18"/>
  <c r="D45" i="8"/>
  <c r="F51" i="41"/>
  <c r="B46" i="18"/>
  <c r="D46" i="8"/>
  <c r="D46" i="7"/>
  <c r="G46" i="11"/>
  <c r="J50"/>
  <c r="B44" i="18"/>
  <c r="D44" i="8"/>
  <c r="L45" i="2"/>
  <c r="C45" i="5" s="1"/>
  <c r="D36" i="28"/>
  <c r="L30" i="2"/>
  <c r="C30" i="5" s="1"/>
  <c r="H34" i="18"/>
  <c r="D22" i="19"/>
  <c r="D22" i="26"/>
  <c r="D21" i="19"/>
  <c r="D21" i="26"/>
  <c r="F42" i="41"/>
  <c r="G42" s="1"/>
  <c r="D24" i="29"/>
  <c r="F21" i="45"/>
  <c r="F40"/>
  <c r="F22"/>
  <c r="F51" i="19"/>
  <c r="F30" i="39"/>
  <c r="D30"/>
  <c r="H30"/>
  <c r="D34" i="18"/>
  <c r="D50"/>
  <c r="F32" i="39"/>
  <c r="H32"/>
  <c r="D32"/>
  <c r="F44"/>
  <c r="D44"/>
  <c r="H44"/>
  <c r="F14"/>
  <c r="D14"/>
  <c r="H14"/>
  <c r="E23" i="5"/>
  <c r="D36" i="18"/>
  <c r="G23"/>
  <c r="C11" i="5"/>
  <c r="G18" i="76"/>
  <c r="E35" i="5"/>
  <c r="D29" i="20"/>
  <c r="D30" i="18"/>
  <c r="E20" i="5"/>
  <c r="E30"/>
  <c r="D37" i="18"/>
  <c r="D16"/>
  <c r="G43" i="76"/>
  <c r="B42"/>
  <c r="E42" s="1"/>
  <c r="D42" i="27"/>
  <c r="D42" i="76" s="1"/>
  <c r="D51" i="18"/>
  <c r="D27"/>
  <c r="G33"/>
  <c r="F27" i="45"/>
  <c r="E39" i="18"/>
  <c r="E15"/>
  <c r="F30" i="45"/>
  <c r="B25" i="19"/>
  <c r="E25" i="5" s="1"/>
  <c r="D12" i="19"/>
  <c r="E25" i="18"/>
  <c r="E50"/>
  <c r="I50" i="45"/>
  <c r="I50" i="44" s="1"/>
  <c r="F50" i="42" s="1"/>
  <c r="E46" i="76"/>
  <c r="E23"/>
  <c r="E43" i="5"/>
  <c r="B26" i="40"/>
  <c r="D26" s="1"/>
  <c r="F12" i="45"/>
  <c r="E34" i="20"/>
  <c r="F36" i="45"/>
  <c r="B50" i="20"/>
  <c r="E44" i="18"/>
  <c r="E11"/>
  <c r="L21" i="2"/>
  <c r="C21" i="5" s="1"/>
  <c r="F51" i="45"/>
  <c r="F38"/>
  <c r="D44" i="54"/>
  <c r="G17" i="11"/>
  <c r="J27"/>
  <c r="B22" i="41"/>
  <c r="B33"/>
  <c r="D21" i="29"/>
  <c r="J34" i="11"/>
  <c r="D32" i="54"/>
  <c r="G51" i="29"/>
  <c r="E44" i="20"/>
  <c r="E32"/>
  <c r="E37"/>
  <c r="D15" i="29"/>
  <c r="J16" i="11"/>
  <c r="J29" i="28"/>
  <c r="B30" i="41"/>
  <c r="B14" i="40"/>
  <c r="B32"/>
  <c r="D32" s="1"/>
  <c r="E15" i="20"/>
  <c r="E33"/>
  <c r="B35" i="41"/>
  <c r="F40"/>
  <c r="G40" s="1"/>
  <c r="B46"/>
  <c r="D42" i="29"/>
  <c r="J18" i="28"/>
  <c r="J38" i="11"/>
  <c r="J14"/>
  <c r="D18" i="29"/>
  <c r="J14" i="28"/>
  <c r="B40" i="41"/>
  <c r="F12"/>
  <c r="G12" s="1"/>
  <c r="F32"/>
  <c r="G32" s="1"/>
  <c r="B17" i="76"/>
  <c r="E17" s="1"/>
  <c r="D17" i="27"/>
  <c r="D17" i="76" s="1"/>
  <c r="H12" i="18"/>
  <c r="D25" i="26"/>
  <c r="D25" i="19"/>
  <c r="D29"/>
  <c r="D29" i="26"/>
  <c r="D34" i="19"/>
  <c r="D34" i="26"/>
  <c r="D40" i="19"/>
  <c r="D40" i="26"/>
  <c r="D46" i="19"/>
  <c r="D46" i="26"/>
  <c r="D51" i="29"/>
  <c r="D44" i="19"/>
  <c r="D44" i="26"/>
  <c r="G46" i="28"/>
  <c r="B28" i="41"/>
  <c r="B20" i="40"/>
  <c r="D20" s="1"/>
  <c r="D34" i="54"/>
  <c r="H48" i="2"/>
  <c r="B12" i="40"/>
  <c r="D12" s="1"/>
  <c r="G43" i="28"/>
  <c r="G42" i="29"/>
  <c r="J29" i="54"/>
  <c r="J32" i="11"/>
  <c r="J37"/>
  <c r="J21" i="28"/>
  <c r="F26" i="41"/>
  <c r="G26" s="1"/>
  <c r="D21" i="28"/>
  <c r="G16"/>
  <c r="G19" i="19"/>
  <c r="D19" i="28"/>
  <c r="G30" i="19"/>
  <c r="D30" i="28"/>
  <c r="B13" i="41"/>
  <c r="B23"/>
  <c r="J22" i="28"/>
  <c r="D12"/>
  <c r="D22"/>
  <c r="D44"/>
  <c r="D31" i="54"/>
  <c r="E31" i="76"/>
  <c r="J13" i="54"/>
  <c r="J30" i="11"/>
  <c r="D12" i="29"/>
  <c r="J25" i="28"/>
  <c r="L29" i="2"/>
  <c r="C29" i="5" s="1"/>
  <c r="B32" i="41"/>
  <c r="L42" i="2"/>
  <c r="C42" i="5" s="1"/>
  <c r="F44" i="41"/>
  <c r="G44" s="1"/>
  <c r="J41" i="28"/>
  <c r="E16" i="18"/>
  <c r="D16" i="10"/>
  <c r="D43" i="9"/>
  <c r="E38" i="20"/>
  <c r="E19" i="18"/>
  <c r="D19" i="10"/>
  <c r="G46"/>
  <c r="D21" i="54"/>
  <c r="E21" i="76"/>
  <c r="D38" i="19"/>
  <c r="D38" i="26"/>
  <c r="B46" i="20"/>
  <c r="D26" i="54"/>
  <c r="E26" i="76"/>
  <c r="E50" i="5"/>
  <c r="D17" i="20"/>
  <c r="E17" i="5"/>
  <c r="D35" i="18"/>
  <c r="E26" i="5"/>
  <c r="E32"/>
  <c r="D24" i="18"/>
  <c r="D37" i="20"/>
  <c r="D19" i="18"/>
  <c r="F43" i="39"/>
  <c r="H43"/>
  <c r="D43"/>
  <c r="F33" i="45"/>
  <c r="F34"/>
  <c r="B40" i="76"/>
  <c r="E40" s="1"/>
  <c r="D40" i="27"/>
  <c r="D40" i="76" s="1"/>
  <c r="F31" i="19"/>
  <c r="F36" i="39"/>
  <c r="D36"/>
  <c r="H36"/>
  <c r="D39" i="20"/>
  <c r="D22"/>
  <c r="H11" i="39"/>
  <c r="D11"/>
  <c r="F11"/>
  <c r="D22" i="18"/>
  <c r="F28" i="45"/>
  <c r="F17" i="39"/>
  <c r="H17"/>
  <c r="D17"/>
  <c r="E16" i="5"/>
  <c r="F17" i="45"/>
  <c r="F20" i="39"/>
  <c r="D20"/>
  <c r="H20"/>
  <c r="F40"/>
  <c r="H40"/>
  <c r="D40"/>
  <c r="D19" i="20"/>
  <c r="F21" i="39"/>
  <c r="D21"/>
  <c r="H21"/>
  <c r="F35"/>
  <c r="D35"/>
  <c r="H35"/>
  <c r="E41" i="5"/>
  <c r="F28" i="39"/>
  <c r="D28"/>
  <c r="H28"/>
  <c r="D18" i="18"/>
  <c r="B41" i="40"/>
  <c r="D41" s="1"/>
  <c r="B40" i="20"/>
  <c r="B31"/>
  <c r="D31" s="1"/>
  <c r="B20"/>
  <c r="F11" i="45"/>
  <c r="E27" i="18"/>
  <c r="E35"/>
  <c r="B36" i="20"/>
  <c r="E31" i="18"/>
  <c r="E44" i="76"/>
  <c r="E28" i="18"/>
  <c r="E34" i="76"/>
  <c r="E32"/>
  <c r="D13" i="19"/>
  <c r="E22" i="18"/>
  <c r="B40" i="19"/>
  <c r="B15" i="20"/>
  <c r="E46" i="18"/>
  <c r="H51"/>
  <c r="B42" i="20"/>
  <c r="B12" i="18"/>
  <c r="B18" i="40"/>
  <c r="D18" s="1"/>
  <c r="B45" i="20"/>
  <c r="B26"/>
  <c r="F18" i="45"/>
  <c r="E36" i="20"/>
  <c r="G21" i="19"/>
  <c r="G45"/>
  <c r="G24"/>
  <c r="G43"/>
  <c r="E11" i="78"/>
  <c r="G20" i="19"/>
  <c r="E36" i="78"/>
  <c r="E32"/>
  <c r="E20"/>
  <c r="E42"/>
  <c r="E16"/>
  <c r="G39" i="19"/>
  <c r="G18"/>
  <c r="K55" i="2"/>
  <c r="E11" i="20"/>
  <c r="X14" i="2"/>
  <c r="B48" i="39" l="1"/>
  <c r="H48" s="1"/>
  <c r="H48" i="18"/>
  <c r="G55" i="2"/>
  <c r="G50" i="44"/>
  <c r="E50" i="42" s="1"/>
  <c r="B48" i="19"/>
  <c r="G11" i="20"/>
  <c r="I18" i="19"/>
  <c r="I20"/>
  <c r="I24"/>
  <c r="G27" i="90"/>
  <c r="I45" i="19"/>
  <c r="I21"/>
  <c r="C27" i="5"/>
  <c r="G29" i="76"/>
  <c r="I39" i="19"/>
  <c r="I43"/>
  <c r="G17" i="76"/>
  <c r="F19" i="41"/>
  <c r="G19" s="1"/>
  <c r="E13" i="18"/>
  <c r="D13" i="10"/>
  <c r="G11" i="54"/>
  <c r="E48"/>
  <c r="E11" i="76"/>
  <c r="D19" i="54"/>
  <c r="E19" i="76"/>
  <c r="G36" i="90"/>
  <c r="D29" i="29"/>
  <c r="D26"/>
  <c r="G33"/>
  <c r="G13"/>
  <c r="G44"/>
  <c r="J45" i="11"/>
  <c r="E45" i="18"/>
  <c r="J35" i="28"/>
  <c r="D26" i="20"/>
  <c r="D12" i="18"/>
  <c r="G46"/>
  <c r="G32" i="76"/>
  <c r="G44"/>
  <c r="G27" i="18"/>
  <c r="D20" i="20"/>
  <c r="G26" i="76"/>
  <c r="G21"/>
  <c r="G19" i="18"/>
  <c r="D25" i="28"/>
  <c r="G25" i="19"/>
  <c r="D13" i="41"/>
  <c r="C13"/>
  <c r="F44" i="19"/>
  <c r="F40"/>
  <c r="D48"/>
  <c r="F25"/>
  <c r="D40" i="41"/>
  <c r="C40"/>
  <c r="G33" i="20"/>
  <c r="D30" i="41"/>
  <c r="C30"/>
  <c r="G37" i="20"/>
  <c r="G44"/>
  <c r="D22" i="41"/>
  <c r="C22"/>
  <c r="G46" i="76"/>
  <c r="F12" i="19"/>
  <c r="G39" i="18"/>
  <c r="G42" i="76"/>
  <c r="F22" i="19"/>
  <c r="D44" i="18"/>
  <c r="G23" i="20"/>
  <c r="G15" i="76"/>
  <c r="G45"/>
  <c r="D36" i="41"/>
  <c r="C36"/>
  <c r="F23" i="19"/>
  <c r="F26"/>
  <c r="G28" i="20"/>
  <c r="G20" i="18"/>
  <c r="D18" i="20"/>
  <c r="D41"/>
  <c r="G41" i="18"/>
  <c r="G48" i="10"/>
  <c r="G14" i="20"/>
  <c r="G33" i="19"/>
  <c r="D33" i="28"/>
  <c r="G46" i="19"/>
  <c r="D46" i="28"/>
  <c r="G15"/>
  <c r="G36" i="18"/>
  <c r="F26" i="39"/>
  <c r="D26"/>
  <c r="H26"/>
  <c r="D13" i="18"/>
  <c r="F27" i="19"/>
  <c r="D45" i="41"/>
  <c r="C45"/>
  <c r="G41" i="20"/>
  <c r="G25"/>
  <c r="D29" i="41"/>
  <c r="C29"/>
  <c r="F18" i="39"/>
  <c r="D18"/>
  <c r="H18"/>
  <c r="D42" i="18"/>
  <c r="G46" i="20"/>
  <c r="G51" i="76"/>
  <c r="D29" i="18"/>
  <c r="G12" i="20"/>
  <c r="D41" i="41"/>
  <c r="C41"/>
  <c r="D12"/>
  <c r="C12"/>
  <c r="F43" i="19"/>
  <c r="F28"/>
  <c r="E21" i="5"/>
  <c r="H55" i="2"/>
  <c r="I48"/>
  <c r="I55" s="1"/>
  <c r="C48"/>
  <c r="C55" s="1"/>
  <c r="G50" i="45"/>
  <c r="E19" i="20"/>
  <c r="E48" s="1"/>
  <c r="G18" i="29"/>
  <c r="D46"/>
  <c r="I39" i="90"/>
  <c r="G39"/>
  <c r="I30"/>
  <c r="G30"/>
  <c r="J34" i="28"/>
  <c r="G39" i="29"/>
  <c r="G36"/>
  <c r="J32" i="28"/>
  <c r="I31" i="90"/>
  <c r="G31"/>
  <c r="D37" i="29"/>
  <c r="J20" i="28"/>
  <c r="D45" i="29"/>
  <c r="G24"/>
  <c r="D22"/>
  <c r="F13" i="19"/>
  <c r="G28" i="18"/>
  <c r="D36" i="20"/>
  <c r="G35" i="18"/>
  <c r="D40" i="20"/>
  <c r="G40" i="76"/>
  <c r="D46" i="20"/>
  <c r="G16" i="18"/>
  <c r="D32" i="41"/>
  <c r="C32"/>
  <c r="I30" i="19"/>
  <c r="D28" i="41"/>
  <c r="C28"/>
  <c r="F34" i="19"/>
  <c r="E12" i="5"/>
  <c r="G44" i="18"/>
  <c r="D50" i="20"/>
  <c r="G23" i="76"/>
  <c r="G50" i="18"/>
  <c r="G25"/>
  <c r="G15"/>
  <c r="F32" i="45"/>
  <c r="G15" i="19"/>
  <c r="D15" i="28"/>
  <c r="F17" i="19"/>
  <c r="G43" i="20"/>
  <c r="D28" i="54"/>
  <c r="E28" i="76"/>
  <c r="B48" i="41"/>
  <c r="C25"/>
  <c r="D25"/>
  <c r="G18" i="20"/>
  <c r="G29" i="19"/>
  <c r="D29" i="28"/>
  <c r="F41" i="19"/>
  <c r="F19"/>
  <c r="D42" i="41"/>
  <c r="C42"/>
  <c r="G40" i="20"/>
  <c r="G39"/>
  <c r="D38" i="41"/>
  <c r="C38"/>
  <c r="G21" i="20"/>
  <c r="D24" i="41"/>
  <c r="C24"/>
  <c r="G41" i="76"/>
  <c r="G45" i="20"/>
  <c r="D24"/>
  <c r="D48" i="11"/>
  <c r="D48" i="8"/>
  <c r="I23" i="19"/>
  <c r="D28" i="20"/>
  <c r="G39" i="76"/>
  <c r="G29" i="18"/>
  <c r="D26" i="41"/>
  <c r="C26"/>
  <c r="D50"/>
  <c r="C50"/>
  <c r="D27"/>
  <c r="C27"/>
  <c r="D21"/>
  <c r="C21"/>
  <c r="G50" i="19"/>
  <c r="D50" i="28"/>
  <c r="D16" i="41"/>
  <c r="C16"/>
  <c r="G51" i="20"/>
  <c r="I31" i="19"/>
  <c r="G14" i="76"/>
  <c r="I40" i="19"/>
  <c r="F42"/>
  <c r="F20"/>
  <c r="D20" i="18"/>
  <c r="G51"/>
  <c r="E28" i="5"/>
  <c r="G30" i="20"/>
  <c r="G33" i="76"/>
  <c r="I16" i="19"/>
  <c r="F13" i="39"/>
  <c r="D13"/>
  <c r="H13"/>
  <c r="F45" i="19"/>
  <c r="F24"/>
  <c r="G13" i="20"/>
  <c r="D18" i="41"/>
  <c r="C18"/>
  <c r="G22" i="19"/>
  <c r="G36"/>
  <c r="F46" i="45"/>
  <c r="G37" i="19"/>
  <c r="L33" i="2"/>
  <c r="C33" i="5" s="1"/>
  <c r="G11" i="90"/>
  <c r="B13" i="40"/>
  <c r="D13" s="1"/>
  <c r="J22" i="54"/>
  <c r="E22" i="76"/>
  <c r="J17" i="28"/>
  <c r="G17" i="19"/>
  <c r="G38" i="29"/>
  <c r="G35"/>
  <c r="J28" i="28"/>
  <c r="D50" i="29"/>
  <c r="J13" i="28"/>
  <c r="G12" i="29"/>
  <c r="G14"/>
  <c r="J45" i="28"/>
  <c r="G21" i="29"/>
  <c r="G25"/>
  <c r="D15" i="20"/>
  <c r="G22" i="18"/>
  <c r="G48" i="28"/>
  <c r="F38" i="19"/>
  <c r="B43" i="20"/>
  <c r="B43" i="40"/>
  <c r="D43" s="1"/>
  <c r="G38" i="20"/>
  <c r="D23" i="41"/>
  <c r="C23"/>
  <c r="I19" i="19"/>
  <c r="F29"/>
  <c r="D46" i="41"/>
  <c r="C46"/>
  <c r="D35"/>
  <c r="C35"/>
  <c r="G15" i="20"/>
  <c r="G32"/>
  <c r="D33" i="41"/>
  <c r="C33"/>
  <c r="G11" i="18"/>
  <c r="D48" i="26"/>
  <c r="G34" i="20"/>
  <c r="E34" i="5"/>
  <c r="D45" i="18"/>
  <c r="C11" i="41"/>
  <c r="D11"/>
  <c r="G24" i="18"/>
  <c r="I42" i="19"/>
  <c r="F35"/>
  <c r="D12" i="20"/>
  <c r="F11" i="19"/>
  <c r="G42" i="20"/>
  <c r="D39" i="18"/>
  <c r="G12" i="76"/>
  <c r="D48" i="27"/>
  <c r="D48" i="76" s="1"/>
  <c r="G24" i="20"/>
  <c r="D21" i="18"/>
  <c r="F41" i="39"/>
  <c r="H41"/>
  <c r="D41"/>
  <c r="E46" i="5"/>
  <c r="G27" i="19"/>
  <c r="D27" i="28"/>
  <c r="D20" i="41"/>
  <c r="C20"/>
  <c r="D41" i="18"/>
  <c r="F36" i="19"/>
  <c r="G13" i="76"/>
  <c r="D39" i="41"/>
  <c r="C39"/>
  <c r="D19"/>
  <c r="C19"/>
  <c r="G22" i="20"/>
  <c r="D14" i="41"/>
  <c r="C14"/>
  <c r="D51" i="20"/>
  <c r="G48" i="9"/>
  <c r="E13" i="5"/>
  <c r="F18" i="19"/>
  <c r="D17" i="41"/>
  <c r="C17"/>
  <c r="G50" i="20"/>
  <c r="F37" i="19"/>
  <c r="G20" i="76"/>
  <c r="G11" i="41"/>
  <c r="G25" i="76"/>
  <c r="G12" i="19"/>
  <c r="G35"/>
  <c r="G14"/>
  <c r="B48" i="54"/>
  <c r="B13" i="20"/>
  <c r="G28" i="19"/>
  <c r="B48" i="18"/>
  <c r="G34" i="19"/>
  <c r="D48" i="2"/>
  <c r="D55" s="1"/>
  <c r="E45" i="5"/>
  <c r="J11" i="54"/>
  <c r="H48"/>
  <c r="G34" i="29"/>
  <c r="B23" i="40"/>
  <c r="D23" s="1"/>
  <c r="D39" i="29"/>
  <c r="D27"/>
  <c r="G43"/>
  <c r="J15" i="28"/>
  <c r="D43" i="29"/>
  <c r="G20"/>
  <c r="G46"/>
  <c r="G36" i="20"/>
  <c r="D45"/>
  <c r="D42"/>
  <c r="E51" i="5"/>
  <c r="G34" i="76"/>
  <c r="G31" i="18"/>
  <c r="J48" i="9"/>
  <c r="G29" i="28"/>
  <c r="G38" i="19"/>
  <c r="D38" i="28"/>
  <c r="G31" i="76"/>
  <c r="F46" i="19"/>
  <c r="G48" i="11"/>
  <c r="C50" i="45"/>
  <c r="G50" i="42" s="1"/>
  <c r="E50" i="45"/>
  <c r="H50" i="42" s="1"/>
  <c r="I50" i="43"/>
  <c r="B50" i="42" s="1"/>
  <c r="C50" i="44"/>
  <c r="C50" i="42" s="1"/>
  <c r="E50" i="44"/>
  <c r="D50" i="42" s="1"/>
  <c r="F21" i="19"/>
  <c r="D46" i="18"/>
  <c r="G12"/>
  <c r="D15" i="41"/>
  <c r="C15"/>
  <c r="I11" i="90"/>
  <c r="I11" i="19"/>
  <c r="D44" i="41"/>
  <c r="C44"/>
  <c r="F30" i="19"/>
  <c r="G20" i="20"/>
  <c r="G16"/>
  <c r="D43" i="41"/>
  <c r="C43"/>
  <c r="D25" i="18"/>
  <c r="G36" i="76"/>
  <c r="G48" i="8"/>
  <c r="F50" i="19"/>
  <c r="F25" i="45"/>
  <c r="D34" i="41"/>
  <c r="C34"/>
  <c r="G26" i="20"/>
  <c r="D31" i="18"/>
  <c r="G35" i="76"/>
  <c r="F46" i="39"/>
  <c r="D46"/>
  <c r="H46"/>
  <c r="F32" i="19"/>
  <c r="B50" i="76"/>
  <c r="E50" s="1"/>
  <c r="D50" i="27"/>
  <c r="D50" i="76" s="1"/>
  <c r="G17" i="20"/>
  <c r="D37" i="41"/>
  <c r="C37"/>
  <c r="I41" i="19"/>
  <c r="G51"/>
  <c r="D51" i="28"/>
  <c r="L54" i="2"/>
  <c r="J55"/>
  <c r="F33" i="19"/>
  <c r="G29" i="20"/>
  <c r="G35"/>
  <c r="D31" i="41"/>
  <c r="C31"/>
  <c r="G44" i="19"/>
  <c r="G26"/>
  <c r="G13"/>
  <c r="B48" i="76"/>
  <c r="I51" i="45"/>
  <c r="E40" i="5"/>
  <c r="G32" i="19"/>
  <c r="B23" i="20"/>
  <c r="E48" i="78"/>
  <c r="B43" i="85"/>
  <c r="E43" s="1"/>
  <c r="D51" i="5"/>
  <c r="F51" i="18" s="1"/>
  <c r="B24" i="85"/>
  <c r="E24" s="1"/>
  <c r="B29"/>
  <c r="E29" s="1"/>
  <c r="D14" i="5"/>
  <c r="F14" i="20" s="1"/>
  <c r="F48" i="41" l="1"/>
  <c r="G48" s="1"/>
  <c r="E48" i="18"/>
  <c r="G48" s="1"/>
  <c r="D48" i="39"/>
  <c r="F48"/>
  <c r="C48" i="5"/>
  <c r="B48" i="40"/>
  <c r="D48" s="1"/>
  <c r="E48" i="5"/>
  <c r="I37" i="90"/>
  <c r="G37"/>
  <c r="I34"/>
  <c r="G34"/>
  <c r="I45"/>
  <c r="G45"/>
  <c r="I18"/>
  <c r="G18"/>
  <c r="I20"/>
  <c r="G20"/>
  <c r="G48" i="20"/>
  <c r="I33" i="90"/>
  <c r="G33"/>
  <c r="G24" i="85"/>
  <c r="K24"/>
  <c r="B26"/>
  <c r="E26" s="1"/>
  <c r="D24" i="5"/>
  <c r="I38" i="90"/>
  <c r="G38"/>
  <c r="I51" i="19"/>
  <c r="H51"/>
  <c r="I38"/>
  <c r="I34"/>
  <c r="I28"/>
  <c r="D13" i="20"/>
  <c r="I14" i="19"/>
  <c r="H14"/>
  <c r="I43" i="90"/>
  <c r="G43"/>
  <c r="I35"/>
  <c r="G35"/>
  <c r="I27" i="19"/>
  <c r="D43" i="20"/>
  <c r="I17" i="19"/>
  <c r="I37"/>
  <c r="I36"/>
  <c r="I50"/>
  <c r="G28" i="76"/>
  <c r="I15" i="19"/>
  <c r="I16" i="90"/>
  <c r="G16"/>
  <c r="I29"/>
  <c r="G29"/>
  <c r="G19" i="76"/>
  <c r="G48" i="54"/>
  <c r="G13" i="18"/>
  <c r="B21" i="85"/>
  <c r="E21" s="1"/>
  <c r="D19" i="5"/>
  <c r="F19" i="76" s="1"/>
  <c r="B45" i="85"/>
  <c r="E45" s="1"/>
  <c r="D43" i="5"/>
  <c r="F51"/>
  <c r="D51" i="6" s="1"/>
  <c r="C51" i="38"/>
  <c r="E51"/>
  <c r="I51" i="20"/>
  <c r="C51" i="9"/>
  <c r="I51" i="25"/>
  <c r="F51" i="9"/>
  <c r="E51" i="36"/>
  <c r="I51" i="10"/>
  <c r="C51"/>
  <c r="C51" i="7"/>
  <c r="G51" i="25"/>
  <c r="C51" i="35"/>
  <c r="F51" i="10"/>
  <c r="C51" i="11"/>
  <c r="G51" i="34"/>
  <c r="E51"/>
  <c r="F51" i="26"/>
  <c r="F51" i="54"/>
  <c r="E51" i="25"/>
  <c r="E51" i="35"/>
  <c r="I51" i="26"/>
  <c r="I51" i="9"/>
  <c r="I51" i="54"/>
  <c r="F51" i="8"/>
  <c r="C51"/>
  <c r="E51" i="82"/>
  <c r="F51" i="11"/>
  <c r="C51" i="27"/>
  <c r="C51" i="76" s="1"/>
  <c r="F51" i="28"/>
  <c r="C51" i="26"/>
  <c r="C51" i="25"/>
  <c r="I51" i="28"/>
  <c r="E51" i="19"/>
  <c r="F51" i="29"/>
  <c r="C51"/>
  <c r="C51" i="37"/>
  <c r="C51" i="34"/>
  <c r="E51" i="37"/>
  <c r="G51" i="36"/>
  <c r="C51"/>
  <c r="C51" i="54"/>
  <c r="C51" i="82"/>
  <c r="I51" i="11"/>
  <c r="C51" i="18"/>
  <c r="C51" i="19"/>
  <c r="B34" i="85"/>
  <c r="E34" s="1"/>
  <c r="D32" i="5"/>
  <c r="H32" i="19" s="1"/>
  <c r="G43" i="85"/>
  <c r="K43"/>
  <c r="I32" i="90"/>
  <c r="G32"/>
  <c r="D23" i="20"/>
  <c r="I13" i="19"/>
  <c r="I26"/>
  <c r="I26" i="90"/>
  <c r="G26"/>
  <c r="I42"/>
  <c r="G42"/>
  <c r="J48" i="28"/>
  <c r="I12" i="19"/>
  <c r="I41" i="90"/>
  <c r="G41"/>
  <c r="I40"/>
  <c r="G40"/>
  <c r="G22" i="76"/>
  <c r="I17" i="90"/>
  <c r="G17"/>
  <c r="I44"/>
  <c r="G44"/>
  <c r="I46" i="19"/>
  <c r="G45" i="18"/>
  <c r="D22" i="5"/>
  <c r="F22" i="76" s="1"/>
  <c r="D41" i="5"/>
  <c r="F14"/>
  <c r="D14" i="6" s="1"/>
  <c r="E14" i="38"/>
  <c r="C14"/>
  <c r="I14" i="20"/>
  <c r="F14" i="10"/>
  <c r="E14" i="35"/>
  <c r="E14" i="34"/>
  <c r="C14" i="82"/>
  <c r="G14" i="34"/>
  <c r="F14" i="8"/>
  <c r="C14" i="7"/>
  <c r="C14" i="10"/>
  <c r="C14" i="8"/>
  <c r="E14" i="82"/>
  <c r="C14" i="26"/>
  <c r="I14" i="54"/>
  <c r="I14" i="25"/>
  <c r="I14" i="9"/>
  <c r="F14" i="11"/>
  <c r="F14" i="54"/>
  <c r="F14" i="9"/>
  <c r="C14" i="27"/>
  <c r="C14" i="76" s="1"/>
  <c r="I14" i="10"/>
  <c r="C14" i="9"/>
  <c r="E14" i="25"/>
  <c r="C14" i="11"/>
  <c r="F14" i="26"/>
  <c r="F14" i="28"/>
  <c r="I14" i="26"/>
  <c r="C14" i="35"/>
  <c r="E14" i="19"/>
  <c r="E14" i="36"/>
  <c r="I14" i="18"/>
  <c r="C14" i="34"/>
  <c r="I14" i="11"/>
  <c r="I14" i="28"/>
  <c r="F14" i="18"/>
  <c r="C14" i="54"/>
  <c r="G14" i="36"/>
  <c r="C14" i="25"/>
  <c r="G14"/>
  <c r="E14" i="37"/>
  <c r="C14" i="20"/>
  <c r="C14" i="19"/>
  <c r="C14" i="29"/>
  <c r="C14" i="18"/>
  <c r="C14" i="37"/>
  <c r="C14" i="28"/>
  <c r="C14" i="36"/>
  <c r="B22" i="85"/>
  <c r="E22" s="1"/>
  <c r="D20" i="5"/>
  <c r="D50"/>
  <c r="H50" i="19" s="1"/>
  <c r="B14" i="85"/>
  <c r="E14" s="1"/>
  <c r="D12" i="5"/>
  <c r="I32" i="19"/>
  <c r="I51" i="43"/>
  <c r="B51" i="42" s="1"/>
  <c r="C51" i="44"/>
  <c r="C51" i="42" s="1"/>
  <c r="E51" i="45"/>
  <c r="H51" i="42" s="1"/>
  <c r="C51" i="45"/>
  <c r="G51" i="42" s="1"/>
  <c r="E51" i="44"/>
  <c r="D51" i="42" s="1"/>
  <c r="G51" i="44"/>
  <c r="E51" i="42" s="1"/>
  <c r="I51" i="44"/>
  <c r="F51" i="42" s="1"/>
  <c r="I15" i="90"/>
  <c r="G15"/>
  <c r="D48" i="54"/>
  <c r="I21" i="90"/>
  <c r="G21"/>
  <c r="D48" i="41"/>
  <c r="C48"/>
  <c r="G19" i="20"/>
  <c r="I25" i="90"/>
  <c r="G25"/>
  <c r="I24"/>
  <c r="G24"/>
  <c r="I33" i="19"/>
  <c r="F48"/>
  <c r="I25"/>
  <c r="G11" i="76"/>
  <c r="E48"/>
  <c r="C51" i="28"/>
  <c r="I51" i="18"/>
  <c r="C51" i="20"/>
  <c r="F14" i="29"/>
  <c r="F14" i="76"/>
  <c r="F51" i="20"/>
  <c r="F48" i="45"/>
  <c r="G51"/>
  <c r="F51" i="76"/>
  <c r="I36" i="90"/>
  <c r="D27" i="5"/>
  <c r="H27" i="19" s="1"/>
  <c r="G29" i="85"/>
  <c r="K29"/>
  <c r="B46"/>
  <c r="E46" s="1"/>
  <c r="D44" i="5"/>
  <c r="H44" i="19" s="1"/>
  <c r="D18" i="5"/>
  <c r="B17" i="85"/>
  <c r="E17" s="1"/>
  <c r="D15" i="5"/>
  <c r="G48" i="29"/>
  <c r="D48"/>
  <c r="I44" i="19"/>
  <c r="I14" i="90"/>
  <c r="G14"/>
  <c r="G50" i="76"/>
  <c r="J48" i="54"/>
  <c r="D48" i="18"/>
  <c r="I35" i="19"/>
  <c r="I22" i="90"/>
  <c r="G22"/>
  <c r="D48" i="28"/>
  <c r="I22" i="19"/>
  <c r="I28" i="90"/>
  <c r="G28"/>
  <c r="I46"/>
  <c r="G46"/>
  <c r="I29" i="19"/>
  <c r="J48" i="11"/>
  <c r="D48" i="10"/>
  <c r="G48" i="19"/>
  <c r="J50" i="42"/>
  <c r="B48" i="20"/>
  <c r="L48" i="2"/>
  <c r="L55" s="1"/>
  <c r="I27" i="90"/>
  <c r="H22" i="19" l="1"/>
  <c r="F50" i="76"/>
  <c r="E14" i="90"/>
  <c r="F19" i="20"/>
  <c r="B31" i="85"/>
  <c r="E31" s="1"/>
  <c r="D29" i="5"/>
  <c r="I48" i="19"/>
  <c r="F15" i="5"/>
  <c r="E15" i="38"/>
  <c r="C15"/>
  <c r="I15" i="20"/>
  <c r="C15" i="8"/>
  <c r="C15" i="27"/>
  <c r="C15" i="76" s="1"/>
  <c r="C15" i="9"/>
  <c r="C15" i="82"/>
  <c r="I15" i="26"/>
  <c r="C15" i="35"/>
  <c r="F15" i="9"/>
  <c r="E15" i="25"/>
  <c r="C15" i="26"/>
  <c r="I15" i="54"/>
  <c r="E15" i="34"/>
  <c r="F15" i="26"/>
  <c r="F15" i="10"/>
  <c r="C15" i="25"/>
  <c r="G15"/>
  <c r="F15" i="54"/>
  <c r="E15" i="82"/>
  <c r="F15" i="11"/>
  <c r="I15" i="25"/>
  <c r="F15" i="8"/>
  <c r="C15" i="11"/>
  <c r="C15" i="7"/>
  <c r="E15" i="35"/>
  <c r="I15" i="9"/>
  <c r="I15" i="10"/>
  <c r="G15" i="34"/>
  <c r="C15" i="10"/>
  <c r="I15" i="18"/>
  <c r="G15" i="36"/>
  <c r="F15" i="29"/>
  <c r="I15" i="11"/>
  <c r="C15" i="29"/>
  <c r="E15" i="37"/>
  <c r="C15"/>
  <c r="C15" i="34"/>
  <c r="E15" i="19"/>
  <c r="C15"/>
  <c r="C15" i="18"/>
  <c r="C15" i="54"/>
  <c r="C15" i="36"/>
  <c r="E15"/>
  <c r="F15" i="76"/>
  <c r="C15" i="28"/>
  <c r="C15" i="20"/>
  <c r="F15" i="28"/>
  <c r="F15" i="18"/>
  <c r="F15" i="20"/>
  <c r="I15" i="28"/>
  <c r="B38" i="85"/>
  <c r="E38" s="1"/>
  <c r="D36" i="5"/>
  <c r="B42" i="85"/>
  <c r="E42" s="1"/>
  <c r="D40" i="5"/>
  <c r="G14" i="85"/>
  <c r="K14"/>
  <c r="G22"/>
  <c r="K22"/>
  <c r="C22" i="28"/>
  <c r="F22" i="5"/>
  <c r="C22" i="38"/>
  <c r="E22"/>
  <c r="I22" i="20"/>
  <c r="F22" i="11"/>
  <c r="I22" i="25"/>
  <c r="G22" i="34"/>
  <c r="F22" i="10"/>
  <c r="F22" i="26"/>
  <c r="G22" i="25"/>
  <c r="C22" i="82"/>
  <c r="I22" i="11"/>
  <c r="C22" i="54"/>
  <c r="C22" i="34"/>
  <c r="E22" i="25"/>
  <c r="I22" i="9"/>
  <c r="F22" i="54"/>
  <c r="I22" i="26"/>
  <c r="C22" i="11"/>
  <c r="C22" i="10"/>
  <c r="C22" i="8"/>
  <c r="E22" i="34"/>
  <c r="E22" i="82"/>
  <c r="F22" i="8"/>
  <c r="C22" i="25"/>
  <c r="C22" i="27"/>
  <c r="C22" i="76" s="1"/>
  <c r="C22" i="7"/>
  <c r="C22" i="9"/>
  <c r="E22" i="35"/>
  <c r="C22"/>
  <c r="F22" i="9"/>
  <c r="E22" i="37"/>
  <c r="C22" i="19"/>
  <c r="I22" i="10"/>
  <c r="C22" i="37"/>
  <c r="C22" i="26"/>
  <c r="C22" i="20"/>
  <c r="F22" i="29"/>
  <c r="F22" i="28"/>
  <c r="E22" i="36"/>
  <c r="I22" i="28"/>
  <c r="I22" i="18"/>
  <c r="C22" i="36"/>
  <c r="G22"/>
  <c r="C22" i="18"/>
  <c r="C22" i="29"/>
  <c r="E22" i="19"/>
  <c r="I22" i="54"/>
  <c r="F22" i="18"/>
  <c r="F22" i="20"/>
  <c r="E51" i="6"/>
  <c r="F51"/>
  <c r="K45" i="85"/>
  <c r="G45"/>
  <c r="B23"/>
  <c r="E23" s="1"/>
  <c r="D21" i="5"/>
  <c r="G46" i="85"/>
  <c r="K46"/>
  <c r="F12" i="5"/>
  <c r="E12" i="38"/>
  <c r="C12"/>
  <c r="I12" i="20"/>
  <c r="F12" i="28"/>
  <c r="C12" i="25"/>
  <c r="E12" i="34"/>
  <c r="E12" i="35"/>
  <c r="G12" i="34"/>
  <c r="C12" i="54"/>
  <c r="C12" i="35"/>
  <c r="C12" i="8"/>
  <c r="I12" i="26"/>
  <c r="C12" i="9"/>
  <c r="C12" i="26"/>
  <c r="F12" i="10"/>
  <c r="C12" i="11"/>
  <c r="I12" i="54"/>
  <c r="G12" i="36"/>
  <c r="I12" i="28"/>
  <c r="I12" i="9"/>
  <c r="E12" i="25"/>
  <c r="F12" i="8"/>
  <c r="F12" i="54"/>
  <c r="C12" i="37"/>
  <c r="F12" i="26"/>
  <c r="E12" i="82"/>
  <c r="C12" i="34"/>
  <c r="C12" i="7"/>
  <c r="I12" i="11"/>
  <c r="E12" i="36"/>
  <c r="E12" i="37"/>
  <c r="C12" i="82"/>
  <c r="C12" i="10"/>
  <c r="G12" i="25"/>
  <c r="I12" i="10"/>
  <c r="F12" i="9"/>
  <c r="F12" i="11"/>
  <c r="C12" i="27"/>
  <c r="C12" i="76" s="1"/>
  <c r="I12" i="25"/>
  <c r="C12" i="28"/>
  <c r="C12" i="29"/>
  <c r="C12" i="36"/>
  <c r="C12" i="18"/>
  <c r="F12" i="20"/>
  <c r="I12" i="18"/>
  <c r="F12"/>
  <c r="E12" i="19"/>
  <c r="C12" i="20"/>
  <c r="C12" i="19"/>
  <c r="F12" i="29"/>
  <c r="F12" i="76"/>
  <c r="D25" i="5"/>
  <c r="B27" i="85"/>
  <c r="E27" s="1"/>
  <c r="C20" i="19"/>
  <c r="F20" i="5"/>
  <c r="E20" i="38"/>
  <c r="C20"/>
  <c r="I20" i="20"/>
  <c r="G20" i="34"/>
  <c r="I20" i="25"/>
  <c r="E20" i="82"/>
  <c r="C20" i="7"/>
  <c r="C20" i="35"/>
  <c r="F20" i="8"/>
  <c r="C20" i="27"/>
  <c r="C20" i="76" s="1"/>
  <c r="C20" i="8"/>
  <c r="I20" i="9"/>
  <c r="F20" i="11"/>
  <c r="C20" i="82"/>
  <c r="F20" i="26"/>
  <c r="I20"/>
  <c r="I20" i="10"/>
  <c r="F20" i="9"/>
  <c r="C20" i="25"/>
  <c r="I20" i="54"/>
  <c r="F20" i="28"/>
  <c r="E20" i="34"/>
  <c r="E20" i="25"/>
  <c r="F20" i="54"/>
  <c r="E20" i="35"/>
  <c r="F20" i="10"/>
  <c r="G20" i="25"/>
  <c r="C20" i="26"/>
  <c r="E20" i="36"/>
  <c r="C20" i="29"/>
  <c r="C20" i="37"/>
  <c r="C20" i="28"/>
  <c r="C20" i="11"/>
  <c r="G20" i="36"/>
  <c r="I20" i="11"/>
  <c r="C20" i="10"/>
  <c r="I20" i="18"/>
  <c r="C20" i="36"/>
  <c r="C20" i="54"/>
  <c r="C20" i="9"/>
  <c r="E20" i="37"/>
  <c r="C20" i="34"/>
  <c r="F20" i="20"/>
  <c r="H20" i="19"/>
  <c r="C20" i="18"/>
  <c r="F20" i="76"/>
  <c r="C20" i="20"/>
  <c r="I20" i="28"/>
  <c r="F20" i="18"/>
  <c r="E20" i="19"/>
  <c r="F20" i="29"/>
  <c r="I41" i="11"/>
  <c r="F41" i="5"/>
  <c r="E41" i="38"/>
  <c r="C41"/>
  <c r="I41" i="20"/>
  <c r="G41" i="34"/>
  <c r="I41" i="54"/>
  <c r="F41" i="9"/>
  <c r="I41" i="26"/>
  <c r="C41" i="35"/>
  <c r="F41" i="10"/>
  <c r="I41" i="9"/>
  <c r="C41" i="25"/>
  <c r="C41" i="10"/>
  <c r="F41" i="8"/>
  <c r="G41" i="25"/>
  <c r="E41"/>
  <c r="E41" i="35"/>
  <c r="I41" i="10"/>
  <c r="C41" i="7"/>
  <c r="C41" i="27"/>
  <c r="C41" i="76" s="1"/>
  <c r="C41" i="9"/>
  <c r="F41" i="26"/>
  <c r="I41" i="25"/>
  <c r="C41" i="11"/>
  <c r="F41" i="54"/>
  <c r="C41" i="82"/>
  <c r="E41"/>
  <c r="F41" i="11"/>
  <c r="F41" i="28"/>
  <c r="C41" i="34"/>
  <c r="C41" i="37"/>
  <c r="C41" i="19"/>
  <c r="G41" i="36"/>
  <c r="E41" i="34"/>
  <c r="C41" i="54"/>
  <c r="F41" i="29"/>
  <c r="C41" i="26"/>
  <c r="I41" i="18"/>
  <c r="E41" i="36"/>
  <c r="C41" i="28"/>
  <c r="C41" i="36"/>
  <c r="E41" i="37"/>
  <c r="C41" i="29"/>
  <c r="C41" i="8"/>
  <c r="I41" i="28"/>
  <c r="E41" i="19"/>
  <c r="F41" i="76"/>
  <c r="H41" i="19"/>
  <c r="F41" i="20"/>
  <c r="C41" i="18"/>
  <c r="C41" i="20"/>
  <c r="F41" i="18"/>
  <c r="B40" i="85"/>
  <c r="E40" s="1"/>
  <c r="D38" i="5"/>
  <c r="E43" i="82"/>
  <c r="F43" i="5"/>
  <c r="E43" i="38"/>
  <c r="C43"/>
  <c r="I43" i="20"/>
  <c r="F43" i="11"/>
  <c r="F43" i="26"/>
  <c r="E43" i="25"/>
  <c r="C43" i="54"/>
  <c r="I43" i="18"/>
  <c r="G43" i="25"/>
  <c r="C43" i="10"/>
  <c r="I43"/>
  <c r="C43" i="7"/>
  <c r="C43" i="25"/>
  <c r="C43" i="82"/>
  <c r="C43" i="27"/>
  <c r="C43" i="76" s="1"/>
  <c r="G43" i="34"/>
  <c r="C43" i="28"/>
  <c r="C43" i="34"/>
  <c r="I43" i="26"/>
  <c r="I43" i="25"/>
  <c r="F43" i="10"/>
  <c r="C43" i="35"/>
  <c r="F43" i="54"/>
  <c r="F43" i="8"/>
  <c r="I43" i="54"/>
  <c r="C43" i="8"/>
  <c r="I43" i="9"/>
  <c r="C43" i="11"/>
  <c r="E43" i="34"/>
  <c r="I43" i="28"/>
  <c r="F43" i="9"/>
  <c r="F43" i="18"/>
  <c r="C43" i="37"/>
  <c r="C43" i="36"/>
  <c r="C43" i="18"/>
  <c r="C43" i="26"/>
  <c r="C43" i="19"/>
  <c r="I43" i="11"/>
  <c r="E43" i="37"/>
  <c r="G43" i="36"/>
  <c r="F43" i="76"/>
  <c r="C43" i="9"/>
  <c r="E43" i="36"/>
  <c r="F43" i="28"/>
  <c r="H43" i="19"/>
  <c r="F43" i="20"/>
  <c r="F43" i="29"/>
  <c r="C43"/>
  <c r="E43" i="19"/>
  <c r="E43" i="35"/>
  <c r="B19" i="85"/>
  <c r="E19" s="1"/>
  <c r="D17" i="5"/>
  <c r="I13" i="90"/>
  <c r="G13"/>
  <c r="B48" i="85"/>
  <c r="E48" s="1"/>
  <c r="D46" i="5"/>
  <c r="F44" i="9"/>
  <c r="F44" i="5"/>
  <c r="E44" i="38"/>
  <c r="C44"/>
  <c r="I44" i="20"/>
  <c r="F44" i="54"/>
  <c r="I44" i="26"/>
  <c r="C44" i="35"/>
  <c r="I44" i="54"/>
  <c r="F44" i="11"/>
  <c r="C44" i="34"/>
  <c r="E44" i="25"/>
  <c r="E44" i="34"/>
  <c r="G44" i="25"/>
  <c r="C44" i="7"/>
  <c r="I44" i="10"/>
  <c r="E44" i="35"/>
  <c r="C44" i="25"/>
  <c r="C44" i="27"/>
  <c r="C44" i="76" s="1"/>
  <c r="C44" i="82"/>
  <c r="F44" i="26"/>
  <c r="E44" i="82"/>
  <c r="I44" i="9"/>
  <c r="C44" i="10"/>
  <c r="F44" i="28"/>
  <c r="G44" i="34"/>
  <c r="C44" i="9"/>
  <c r="C44" i="11"/>
  <c r="F44" i="10"/>
  <c r="F44" i="8"/>
  <c r="I44" i="25"/>
  <c r="C44" i="37"/>
  <c r="C44" i="54"/>
  <c r="C44" i="19"/>
  <c r="I44" i="28"/>
  <c r="I44" i="18"/>
  <c r="C44" i="8"/>
  <c r="C44" i="26"/>
  <c r="G44" i="36"/>
  <c r="C44"/>
  <c r="C44" i="20"/>
  <c r="E44" i="37"/>
  <c r="C44" i="28"/>
  <c r="C44" i="29"/>
  <c r="I44" i="11"/>
  <c r="E44" i="36"/>
  <c r="E44" i="19"/>
  <c r="F44" i="18"/>
  <c r="F44" i="29"/>
  <c r="F44" i="20"/>
  <c r="F44" i="76"/>
  <c r="C44" i="18"/>
  <c r="G34" i="85"/>
  <c r="K34"/>
  <c r="G21"/>
  <c r="K21"/>
  <c r="G26"/>
  <c r="K26"/>
  <c r="J51" i="42"/>
  <c r="H15" i="19"/>
  <c r="F18" i="5"/>
  <c r="C18" i="38"/>
  <c r="E18"/>
  <c r="I18" i="20"/>
  <c r="C18" i="10"/>
  <c r="F18" i="11"/>
  <c r="C18" i="25"/>
  <c r="G18" i="34"/>
  <c r="I18" i="9"/>
  <c r="C18" i="35"/>
  <c r="C18" i="9"/>
  <c r="E18" i="35"/>
  <c r="I18" i="54"/>
  <c r="C18" i="11"/>
  <c r="C18" i="82"/>
  <c r="F18" i="8"/>
  <c r="I18" i="10"/>
  <c r="C18" i="28"/>
  <c r="F18" i="10"/>
  <c r="C18" i="8"/>
  <c r="I18" i="11"/>
  <c r="F18" i="26"/>
  <c r="I18"/>
  <c r="G18" i="25"/>
  <c r="C18" i="54"/>
  <c r="C18" i="34"/>
  <c r="F18" i="9"/>
  <c r="C18" i="27"/>
  <c r="C18" i="76" s="1"/>
  <c r="E18" i="82"/>
  <c r="E18" i="25"/>
  <c r="F18" i="54"/>
  <c r="C18" i="7"/>
  <c r="C18" i="37"/>
  <c r="F18" i="76"/>
  <c r="I18" i="28"/>
  <c r="I18" i="18"/>
  <c r="E18" i="36"/>
  <c r="F18" i="18"/>
  <c r="E18" i="37"/>
  <c r="E18" i="34"/>
  <c r="C18" i="29"/>
  <c r="C18" i="26"/>
  <c r="I18" i="25"/>
  <c r="F18" i="28"/>
  <c r="G18" i="36"/>
  <c r="C18" i="18"/>
  <c r="C18" i="36"/>
  <c r="C18" i="20"/>
  <c r="F18" i="29"/>
  <c r="F18" i="20"/>
  <c r="E18" i="19"/>
  <c r="C18"/>
  <c r="H18"/>
  <c r="B37" i="85"/>
  <c r="E37" s="1"/>
  <c r="D35" i="5"/>
  <c r="E27" i="37"/>
  <c r="F27" i="5"/>
  <c r="E27" i="38"/>
  <c r="C27"/>
  <c r="I27" i="20"/>
  <c r="C27" i="7"/>
  <c r="G27" i="34"/>
  <c r="E27" i="25"/>
  <c r="F27" i="10"/>
  <c r="C27" i="34"/>
  <c r="E27"/>
  <c r="F27" i="8"/>
  <c r="C27" i="27"/>
  <c r="C27" i="76" s="1"/>
  <c r="E27" i="35"/>
  <c r="I27" i="10"/>
  <c r="I27" i="54"/>
  <c r="C27" i="82"/>
  <c r="F27" i="11"/>
  <c r="F27" i="54"/>
  <c r="E27" i="82"/>
  <c r="F27" i="28"/>
  <c r="I27" i="26"/>
  <c r="F27"/>
  <c r="C27" i="11"/>
  <c r="C27" i="10"/>
  <c r="F27" i="9"/>
  <c r="C27" i="8"/>
  <c r="I27" i="25"/>
  <c r="C27" i="9"/>
  <c r="I27"/>
  <c r="G27" i="25"/>
  <c r="C27"/>
  <c r="C27" i="54"/>
  <c r="C27" i="35"/>
  <c r="I27" i="18"/>
  <c r="F27" i="20"/>
  <c r="I27" i="11"/>
  <c r="C27" i="26"/>
  <c r="I27" i="28"/>
  <c r="E27" i="36"/>
  <c r="C27" i="18"/>
  <c r="C27" i="19"/>
  <c r="G27" i="36"/>
  <c r="C27"/>
  <c r="F27" i="29"/>
  <c r="F27" i="76"/>
  <c r="C27" i="20"/>
  <c r="C27" i="37"/>
  <c r="F27" i="18"/>
  <c r="E27" i="19"/>
  <c r="C27" i="28"/>
  <c r="C27" i="29"/>
  <c r="D48" i="20"/>
  <c r="B52"/>
  <c r="B53"/>
  <c r="G17" i="85"/>
  <c r="K17"/>
  <c r="G48" i="76"/>
  <c r="B32" i="85"/>
  <c r="E32" s="1"/>
  <c r="D30" i="5"/>
  <c r="F50"/>
  <c r="D50" i="6" s="1"/>
  <c r="E50" i="38"/>
  <c r="C50"/>
  <c r="I50" i="20"/>
  <c r="E50" i="35"/>
  <c r="C50" i="25"/>
  <c r="F50" i="9"/>
  <c r="F50" i="11"/>
  <c r="E50" i="25"/>
  <c r="G50" i="34"/>
  <c r="C50" i="82"/>
  <c r="F50" i="8"/>
  <c r="F50" i="26"/>
  <c r="C50" i="35"/>
  <c r="C50" i="54"/>
  <c r="F50"/>
  <c r="G50" i="25"/>
  <c r="C50" i="7"/>
  <c r="F50" i="10"/>
  <c r="E50" i="34"/>
  <c r="I50" i="25"/>
  <c r="I50" i="26"/>
  <c r="I50" i="28"/>
  <c r="I50" i="54"/>
  <c r="I50" i="10"/>
  <c r="I50" i="9"/>
  <c r="C50" i="10"/>
  <c r="C50" i="11"/>
  <c r="C50" i="9"/>
  <c r="C50" i="8"/>
  <c r="E50" i="82"/>
  <c r="E50" i="37"/>
  <c r="C50" i="19"/>
  <c r="G50" i="36"/>
  <c r="I50" i="11"/>
  <c r="E50" i="36"/>
  <c r="F50" i="28"/>
  <c r="C50" i="34"/>
  <c r="F50" i="29"/>
  <c r="C50" i="26"/>
  <c r="I50" i="18"/>
  <c r="C50" i="37"/>
  <c r="C50" i="36"/>
  <c r="C50" i="18"/>
  <c r="E50" i="19"/>
  <c r="C50" i="28"/>
  <c r="F50" i="20"/>
  <c r="C50"/>
  <c r="F50" i="18"/>
  <c r="C50" i="27"/>
  <c r="C50" i="76" s="1"/>
  <c r="C50" i="29"/>
  <c r="B28" i="85"/>
  <c r="E28" s="1"/>
  <c r="D26" i="5"/>
  <c r="F14" i="6"/>
  <c r="E14"/>
  <c r="C14" i="78" s="1"/>
  <c r="I23" i="90"/>
  <c r="G23"/>
  <c r="B47" i="85"/>
  <c r="E47" s="1"/>
  <c r="D45" i="5"/>
  <c r="B33" i="85"/>
  <c r="E33" s="1"/>
  <c r="D31" i="5"/>
  <c r="C32" i="8"/>
  <c r="F32" i="5"/>
  <c r="C32" i="38"/>
  <c r="E32"/>
  <c r="I32" i="20"/>
  <c r="F32" i="11"/>
  <c r="F32" i="26"/>
  <c r="C32" i="25"/>
  <c r="E32"/>
  <c r="C32" i="82"/>
  <c r="I32" i="10"/>
  <c r="E32" i="34"/>
  <c r="C32" i="35"/>
  <c r="I32" i="9"/>
  <c r="I32" i="26"/>
  <c r="C32" i="7"/>
  <c r="I32" i="25"/>
  <c r="F32" i="10"/>
  <c r="F32" i="8"/>
  <c r="I32" i="54"/>
  <c r="C32" i="27"/>
  <c r="C32" i="76" s="1"/>
  <c r="C32" i="9"/>
  <c r="E32" i="35"/>
  <c r="F32" i="9"/>
  <c r="G32" i="34"/>
  <c r="G32" i="25"/>
  <c r="C32" i="10"/>
  <c r="C32" i="11"/>
  <c r="F32" i="54"/>
  <c r="E32" i="82"/>
  <c r="F32" i="28"/>
  <c r="C32" i="18"/>
  <c r="F32" i="29"/>
  <c r="C32" i="19"/>
  <c r="C32" i="37"/>
  <c r="E32"/>
  <c r="I32" i="18"/>
  <c r="C32" i="20"/>
  <c r="F32" i="18"/>
  <c r="I32" i="11"/>
  <c r="E32" i="36"/>
  <c r="C32" i="28"/>
  <c r="C32" i="26"/>
  <c r="C32" i="36"/>
  <c r="C32" i="29"/>
  <c r="C32" i="54"/>
  <c r="C32" i="34"/>
  <c r="G32" i="36"/>
  <c r="F32" i="76"/>
  <c r="F32" i="20"/>
  <c r="I32" i="28"/>
  <c r="E32" i="19"/>
  <c r="B41" i="85"/>
  <c r="E41" s="1"/>
  <c r="D39" i="5"/>
  <c r="C19" i="36"/>
  <c r="F19" i="5"/>
  <c r="D19" i="6" s="1"/>
  <c r="C19" i="38"/>
  <c r="E19"/>
  <c r="I19" i="20"/>
  <c r="F19" i="10"/>
  <c r="F19" i="11"/>
  <c r="I19" i="26"/>
  <c r="I19" i="10"/>
  <c r="G19" i="34"/>
  <c r="C19"/>
  <c r="F19" i="54"/>
  <c r="E19" i="34"/>
  <c r="C19" i="11"/>
  <c r="E19" i="82"/>
  <c r="I19" i="9"/>
  <c r="F19" i="8"/>
  <c r="F19" i="26"/>
  <c r="I19" i="54"/>
  <c r="F19" i="9"/>
  <c r="E19" i="25"/>
  <c r="C19" i="8"/>
  <c r="E19" i="35"/>
  <c r="C19" i="7"/>
  <c r="C19" i="9"/>
  <c r="G19" i="25"/>
  <c r="C19"/>
  <c r="I19"/>
  <c r="C19" i="35"/>
  <c r="F19" i="29"/>
  <c r="E19" i="36"/>
  <c r="C19" i="26"/>
  <c r="C19" i="20"/>
  <c r="C19" i="82"/>
  <c r="I19" i="18"/>
  <c r="C19" i="10"/>
  <c r="C19" i="19"/>
  <c r="I19" i="28"/>
  <c r="C19" i="37"/>
  <c r="C19" i="29"/>
  <c r="E19" i="37"/>
  <c r="C19" i="27"/>
  <c r="C19" i="76" s="1"/>
  <c r="I19" i="11"/>
  <c r="C19" i="18"/>
  <c r="F19" i="28"/>
  <c r="C19"/>
  <c r="G19" i="36"/>
  <c r="C19" i="54"/>
  <c r="E19" i="19"/>
  <c r="H19"/>
  <c r="F19" i="18"/>
  <c r="I12" i="90"/>
  <c r="G12"/>
  <c r="D48"/>
  <c r="G48" s="1"/>
  <c r="I19"/>
  <c r="G19"/>
  <c r="I24" i="25"/>
  <c r="F24" i="5"/>
  <c r="E24" i="38"/>
  <c r="C24"/>
  <c r="I24" i="20"/>
  <c r="C24" i="82"/>
  <c r="C24" i="28"/>
  <c r="E24" i="82"/>
  <c r="C24" i="25"/>
  <c r="C24" i="35"/>
  <c r="F24" i="8"/>
  <c r="I24" i="26"/>
  <c r="E24" i="25"/>
  <c r="E24" i="35"/>
  <c r="C24" i="11"/>
  <c r="C24" i="7"/>
  <c r="F24" i="54"/>
  <c r="F24" i="11"/>
  <c r="C24" i="54"/>
  <c r="E24" i="34"/>
  <c r="F24" i="10"/>
  <c r="I24"/>
  <c r="C24" i="8"/>
  <c r="F24" i="9"/>
  <c r="G24" i="34"/>
  <c r="I24" i="9"/>
  <c r="F24" i="26"/>
  <c r="I24" i="54"/>
  <c r="F24" i="28"/>
  <c r="C24" i="9"/>
  <c r="C24" i="27"/>
  <c r="C24" i="76" s="1"/>
  <c r="F24"/>
  <c r="C24" i="26"/>
  <c r="I24" i="11"/>
  <c r="G24" i="25"/>
  <c r="E24" i="37"/>
  <c r="I24" i="18"/>
  <c r="I24" i="28"/>
  <c r="C24" i="36"/>
  <c r="E24"/>
  <c r="G24"/>
  <c r="C24" i="29"/>
  <c r="C24" i="18"/>
  <c r="C24" i="34"/>
  <c r="C24" i="10"/>
  <c r="C24" i="37"/>
  <c r="C24" i="19"/>
  <c r="C24" i="20"/>
  <c r="F24" i="29"/>
  <c r="E24" i="19"/>
  <c r="H24"/>
  <c r="F24" i="18"/>
  <c r="F24" i="20"/>
  <c r="B18" i="85"/>
  <c r="E18" s="1"/>
  <c r="D16" i="5"/>
  <c r="H12" i="19"/>
  <c r="C43" i="20"/>
  <c r="E19" i="90" l="1"/>
  <c r="F45" i="8"/>
  <c r="F45" i="5"/>
  <c r="E45" i="38"/>
  <c r="C45"/>
  <c r="I45" i="20"/>
  <c r="F45" i="10"/>
  <c r="E45" i="25"/>
  <c r="F45" i="11"/>
  <c r="F45" i="26"/>
  <c r="F45" i="9"/>
  <c r="F45" i="54"/>
  <c r="E45" i="37"/>
  <c r="I45" i="54"/>
  <c r="E45" i="82"/>
  <c r="E45" i="34"/>
  <c r="C45" i="27"/>
  <c r="C45" i="76" s="1"/>
  <c r="C45" i="7"/>
  <c r="C45" i="11"/>
  <c r="I45" i="10"/>
  <c r="I45" i="25"/>
  <c r="C45" i="9"/>
  <c r="C45" i="10"/>
  <c r="I45" i="9"/>
  <c r="G45" i="34"/>
  <c r="E45" i="35"/>
  <c r="I45" i="26"/>
  <c r="G45" i="25"/>
  <c r="C45" i="35"/>
  <c r="I45" i="18"/>
  <c r="C45" i="26"/>
  <c r="C45" i="37"/>
  <c r="C45" i="25"/>
  <c r="C45" i="36"/>
  <c r="F45" i="28"/>
  <c r="C45"/>
  <c r="E45" i="36"/>
  <c r="C45" i="34"/>
  <c r="F45" i="29"/>
  <c r="C45" i="54"/>
  <c r="C45" i="82"/>
  <c r="G45" i="36"/>
  <c r="C45" i="8"/>
  <c r="H45" i="19"/>
  <c r="C45" i="29"/>
  <c r="E45" i="19"/>
  <c r="C45" i="20"/>
  <c r="F45" i="76"/>
  <c r="C45" i="19"/>
  <c r="F45" i="20"/>
  <c r="I45" i="11"/>
  <c r="I45" i="28"/>
  <c r="C45" i="18"/>
  <c r="F45"/>
  <c r="G18" i="85"/>
  <c r="K18"/>
  <c r="D24" i="6"/>
  <c r="E24" i="90"/>
  <c r="G41" i="85"/>
  <c r="K41"/>
  <c r="G47"/>
  <c r="K47"/>
  <c r="G32"/>
  <c r="K32"/>
  <c r="B35"/>
  <c r="E35" s="1"/>
  <c r="D33" i="5"/>
  <c r="G48" i="85"/>
  <c r="K48"/>
  <c r="F17" i="5"/>
  <c r="E17" i="38"/>
  <c r="C17"/>
  <c r="I17" i="20"/>
  <c r="G17" i="34"/>
  <c r="C17" i="8"/>
  <c r="I17" i="54"/>
  <c r="F17" i="28"/>
  <c r="C17" i="34"/>
  <c r="F17" i="54"/>
  <c r="C17" i="9"/>
  <c r="I17" i="10"/>
  <c r="C17" i="11"/>
  <c r="C17" i="25"/>
  <c r="C17" i="28"/>
  <c r="F17" i="8"/>
  <c r="C17" i="10"/>
  <c r="F17" i="9"/>
  <c r="I17" i="11"/>
  <c r="F17" i="26"/>
  <c r="F17" i="10"/>
  <c r="G17" i="25"/>
  <c r="I17" i="26"/>
  <c r="E17" i="25"/>
  <c r="I17" i="9"/>
  <c r="C17" i="82"/>
  <c r="C17" i="35"/>
  <c r="C17" i="7"/>
  <c r="E17" i="34"/>
  <c r="E17" i="82"/>
  <c r="E17" i="35"/>
  <c r="I17" i="25"/>
  <c r="F17" i="29"/>
  <c r="E17" i="36"/>
  <c r="C17" i="18"/>
  <c r="C17" i="26"/>
  <c r="C17" i="20"/>
  <c r="C17" i="37"/>
  <c r="F17" i="18"/>
  <c r="F17" i="11"/>
  <c r="I17" i="18"/>
  <c r="C17" i="36"/>
  <c r="C17" i="29"/>
  <c r="E17" i="37"/>
  <c r="C17" i="54"/>
  <c r="G17" i="36"/>
  <c r="C17" i="27"/>
  <c r="C17" i="76" s="1"/>
  <c r="C17" i="19"/>
  <c r="I17" i="28"/>
  <c r="F17" i="20"/>
  <c r="F17" i="76"/>
  <c r="E17" i="19"/>
  <c r="H17"/>
  <c r="D43" i="6"/>
  <c r="E43" i="90"/>
  <c r="D20" i="6"/>
  <c r="E20" i="90"/>
  <c r="G23" i="85"/>
  <c r="K23"/>
  <c r="I36" i="20"/>
  <c r="F36" i="5"/>
  <c r="E36" i="38"/>
  <c r="C36"/>
  <c r="F36" i="10"/>
  <c r="G36" i="25"/>
  <c r="I36" i="11"/>
  <c r="C36" i="27"/>
  <c r="C36" i="76" s="1"/>
  <c r="C36" i="82"/>
  <c r="I36" i="10"/>
  <c r="I36" i="26"/>
  <c r="F36" i="54"/>
  <c r="G36" i="34"/>
  <c r="F36" i="11"/>
  <c r="E36" i="25"/>
  <c r="C36" i="35"/>
  <c r="C36" i="9"/>
  <c r="E36" i="82"/>
  <c r="F36" i="9"/>
  <c r="C36" i="25"/>
  <c r="C36" i="11"/>
  <c r="I36" i="25"/>
  <c r="E36" i="37"/>
  <c r="C36" i="8"/>
  <c r="E36" i="34"/>
  <c r="E36" i="35"/>
  <c r="I36" i="9"/>
  <c r="F36" i="8"/>
  <c r="I36" i="54"/>
  <c r="F36" i="26"/>
  <c r="C36" i="7"/>
  <c r="C36" i="28"/>
  <c r="C36" i="36"/>
  <c r="C36" i="29"/>
  <c r="C36" i="10"/>
  <c r="I36" i="18"/>
  <c r="C36" i="19"/>
  <c r="C36" i="54"/>
  <c r="E36" i="36"/>
  <c r="C36" i="18"/>
  <c r="C36" i="37"/>
  <c r="C36" i="34"/>
  <c r="F36" i="28"/>
  <c r="C36" i="26"/>
  <c r="I36" i="28"/>
  <c r="G36" i="36"/>
  <c r="F36" i="18"/>
  <c r="C36" i="20"/>
  <c r="F36" i="76"/>
  <c r="F36" i="29"/>
  <c r="E36" i="19"/>
  <c r="F36" i="20"/>
  <c r="H36" i="19"/>
  <c r="G31" i="85"/>
  <c r="K31"/>
  <c r="D32" i="6"/>
  <c r="E32" i="90"/>
  <c r="D27" i="6"/>
  <c r="E27" i="90"/>
  <c r="D18" i="6"/>
  <c r="E18" i="90"/>
  <c r="D44" i="6"/>
  <c r="E44" i="90"/>
  <c r="F46" i="5"/>
  <c r="E46" i="38"/>
  <c r="C46"/>
  <c r="I46" i="20"/>
  <c r="F46" i="54"/>
  <c r="I46"/>
  <c r="F46" i="26"/>
  <c r="C46" i="34"/>
  <c r="C46" i="10"/>
  <c r="I46" i="26"/>
  <c r="C46" i="27"/>
  <c r="C46" i="76" s="1"/>
  <c r="G46" i="34"/>
  <c r="E46" i="82"/>
  <c r="I46" i="25"/>
  <c r="E46"/>
  <c r="E46" i="36"/>
  <c r="G46" i="25"/>
  <c r="C46" i="54"/>
  <c r="I46" i="11"/>
  <c r="G46" i="36"/>
  <c r="I46" i="10"/>
  <c r="C46" i="7"/>
  <c r="C46" i="25"/>
  <c r="E46" i="35"/>
  <c r="C46" i="82"/>
  <c r="I46" i="9"/>
  <c r="E46" i="37"/>
  <c r="C46" i="9"/>
  <c r="C46" i="35"/>
  <c r="C46" i="8"/>
  <c r="F46" i="11"/>
  <c r="C46" i="26"/>
  <c r="F46" i="9"/>
  <c r="F46" i="8"/>
  <c r="E46" i="34"/>
  <c r="I46" i="28"/>
  <c r="C46" i="11"/>
  <c r="C46" i="37"/>
  <c r="C46" i="36"/>
  <c r="F46" i="28"/>
  <c r="F46" i="10"/>
  <c r="C46" i="28"/>
  <c r="C46" i="20"/>
  <c r="I46" i="18"/>
  <c r="C46" i="19"/>
  <c r="F46" i="29"/>
  <c r="E46" i="19"/>
  <c r="F46" i="18"/>
  <c r="F46" i="20"/>
  <c r="C46" i="18"/>
  <c r="F46" i="76"/>
  <c r="C46" i="29"/>
  <c r="H46" i="19"/>
  <c r="G40" i="85"/>
  <c r="K40"/>
  <c r="D41" i="6"/>
  <c r="E41" i="90"/>
  <c r="F25" i="5"/>
  <c r="E25" i="38"/>
  <c r="C25"/>
  <c r="I25" i="20"/>
  <c r="I25" i="26"/>
  <c r="F25" i="9"/>
  <c r="C25" i="8"/>
  <c r="F25" i="26"/>
  <c r="G25" i="34"/>
  <c r="I25" i="25"/>
  <c r="E25" i="82"/>
  <c r="C25" i="27"/>
  <c r="C25" i="76" s="1"/>
  <c r="C25" i="7"/>
  <c r="E25" i="35"/>
  <c r="E25" i="34"/>
  <c r="E25" i="25"/>
  <c r="F25" i="8"/>
  <c r="F25" i="28"/>
  <c r="C25" i="35"/>
  <c r="F25" i="11"/>
  <c r="I25" i="9"/>
  <c r="C25" i="11"/>
  <c r="I25" i="10"/>
  <c r="F25" i="54"/>
  <c r="C25" i="10"/>
  <c r="C25" i="34"/>
  <c r="C25" i="82"/>
  <c r="F25" i="10"/>
  <c r="G25" i="25"/>
  <c r="C25" i="37"/>
  <c r="C25" i="36"/>
  <c r="I25" i="11"/>
  <c r="C25" i="29"/>
  <c r="E25" i="36"/>
  <c r="I25" i="28"/>
  <c r="I25" i="54"/>
  <c r="C25" i="9"/>
  <c r="C25" i="25"/>
  <c r="E25" i="37"/>
  <c r="I25" i="18"/>
  <c r="C25" i="26"/>
  <c r="C25" i="54"/>
  <c r="G25" i="36"/>
  <c r="C25" i="20"/>
  <c r="C25" i="28"/>
  <c r="F25" i="18"/>
  <c r="C25" i="19"/>
  <c r="F25" i="76"/>
  <c r="C25" i="18"/>
  <c r="E25" i="19"/>
  <c r="F25" i="20"/>
  <c r="F25" i="29"/>
  <c r="H25" i="19"/>
  <c r="E12" i="90"/>
  <c r="D12" i="6"/>
  <c r="C21" i="7"/>
  <c r="F21" i="5"/>
  <c r="C21" i="38"/>
  <c r="E21"/>
  <c r="I21" i="20"/>
  <c r="I21" i="26"/>
  <c r="E21" i="25"/>
  <c r="F21" i="9"/>
  <c r="I21" i="11"/>
  <c r="C21" i="9"/>
  <c r="I21" i="25"/>
  <c r="I21" i="54"/>
  <c r="C21" i="27"/>
  <c r="C21" i="76" s="1"/>
  <c r="G21" i="25"/>
  <c r="I21" i="9"/>
  <c r="C21" i="11"/>
  <c r="F21" i="28"/>
  <c r="C21" i="10"/>
  <c r="F21" i="26"/>
  <c r="F21" i="10"/>
  <c r="E21" i="35"/>
  <c r="C21"/>
  <c r="C21" i="82"/>
  <c r="F21" i="8"/>
  <c r="F21" i="54"/>
  <c r="F21" i="11"/>
  <c r="G21" i="34"/>
  <c r="G21" i="36"/>
  <c r="E21" i="34"/>
  <c r="I21" i="10"/>
  <c r="C21" i="25"/>
  <c r="C21" i="34"/>
  <c r="C21" i="20"/>
  <c r="C21" i="36"/>
  <c r="C21" i="28"/>
  <c r="E21" i="36"/>
  <c r="E21" i="37"/>
  <c r="I21" i="28"/>
  <c r="E21" i="82"/>
  <c r="F21" i="18"/>
  <c r="C21" i="26"/>
  <c r="C21" i="19"/>
  <c r="C21" i="29"/>
  <c r="C21" i="54"/>
  <c r="C21" i="37"/>
  <c r="C21" i="8"/>
  <c r="F21" i="20"/>
  <c r="E21" i="19"/>
  <c r="F21" i="76"/>
  <c r="F21" i="29"/>
  <c r="C21" i="18"/>
  <c r="H21" i="19"/>
  <c r="I21" i="18"/>
  <c r="G42" i="85"/>
  <c r="K42"/>
  <c r="B39"/>
  <c r="E39" s="1"/>
  <c r="D37" i="5"/>
  <c r="F29" i="10"/>
  <c r="F29" i="5"/>
  <c r="E29" i="38"/>
  <c r="C29"/>
  <c r="I29" i="20"/>
  <c r="E29" i="35"/>
  <c r="G29" i="25"/>
  <c r="F29" i="11"/>
  <c r="F29" i="26"/>
  <c r="C29" i="25"/>
  <c r="E29" i="34"/>
  <c r="E29" i="25"/>
  <c r="E29" i="82"/>
  <c r="C29" i="11"/>
  <c r="C29" i="34"/>
  <c r="C29" i="54"/>
  <c r="G29" i="34"/>
  <c r="C29" i="7"/>
  <c r="I29" i="26"/>
  <c r="I29" i="10"/>
  <c r="C29" i="35"/>
  <c r="F29" i="8"/>
  <c r="I29" i="25"/>
  <c r="F29" i="54"/>
  <c r="I29" i="9"/>
  <c r="F29"/>
  <c r="C29" i="19"/>
  <c r="C29" i="10"/>
  <c r="C29" i="27"/>
  <c r="C29" i="76" s="1"/>
  <c r="C29" i="36"/>
  <c r="I29" i="28"/>
  <c r="C29" i="8"/>
  <c r="C29" i="9"/>
  <c r="C29" i="82"/>
  <c r="I29" i="11"/>
  <c r="E29" i="36"/>
  <c r="F29" i="29"/>
  <c r="C29" i="20"/>
  <c r="I29" i="18"/>
  <c r="E29" i="37"/>
  <c r="G29" i="36"/>
  <c r="C29" i="26"/>
  <c r="I29" i="54"/>
  <c r="C29" i="37"/>
  <c r="F29" i="18"/>
  <c r="E29" i="19"/>
  <c r="F29" i="28"/>
  <c r="C29" i="29"/>
  <c r="F29" i="76"/>
  <c r="C29" i="18"/>
  <c r="C29" i="28"/>
  <c r="F29" i="20"/>
  <c r="H29" i="19"/>
  <c r="G28" i="85"/>
  <c r="K28"/>
  <c r="C30" i="8"/>
  <c r="F30" i="5"/>
  <c r="E30" i="38"/>
  <c r="C30"/>
  <c r="I30" i="20"/>
  <c r="F30" i="26"/>
  <c r="E30" i="82"/>
  <c r="C30" i="27"/>
  <c r="C30" i="76" s="1"/>
  <c r="I30" i="26"/>
  <c r="E30" i="34"/>
  <c r="C30" i="82"/>
  <c r="I30" i="9"/>
  <c r="E30" i="35"/>
  <c r="F30" i="28"/>
  <c r="G30" i="25"/>
  <c r="G30" i="34"/>
  <c r="I30" i="25"/>
  <c r="F30" i="10"/>
  <c r="C30" i="9"/>
  <c r="C30" i="7"/>
  <c r="F30" i="54"/>
  <c r="F30" i="11"/>
  <c r="C30"/>
  <c r="C30" i="35"/>
  <c r="E30" i="25"/>
  <c r="I30" i="54"/>
  <c r="I30" i="10"/>
  <c r="C30" i="54"/>
  <c r="C30" i="10"/>
  <c r="F30" i="9"/>
  <c r="C30" i="25"/>
  <c r="C30" i="34"/>
  <c r="F30" i="8"/>
  <c r="I30" i="28"/>
  <c r="C30" i="29"/>
  <c r="C30" i="36"/>
  <c r="C30" i="18"/>
  <c r="I30"/>
  <c r="C30" i="28"/>
  <c r="F30" i="76"/>
  <c r="F30" i="18"/>
  <c r="E30" i="37"/>
  <c r="I30" i="11"/>
  <c r="C30" i="37"/>
  <c r="F30" i="29"/>
  <c r="G30" i="36"/>
  <c r="C30" i="20"/>
  <c r="C30" i="19"/>
  <c r="C30" i="26"/>
  <c r="E30" i="36"/>
  <c r="F30" i="20"/>
  <c r="H30" i="19"/>
  <c r="E30"/>
  <c r="B15" i="85"/>
  <c r="E15" s="1"/>
  <c r="D13" i="5"/>
  <c r="G33" i="85"/>
  <c r="K33"/>
  <c r="F26" i="18"/>
  <c r="F26" i="5"/>
  <c r="C26" i="38"/>
  <c r="E26"/>
  <c r="I26" i="20"/>
  <c r="F26" i="10"/>
  <c r="F26" i="8"/>
  <c r="C26" i="34"/>
  <c r="C26" i="9"/>
  <c r="F26" i="26"/>
  <c r="C26" i="25"/>
  <c r="F26" i="11"/>
  <c r="C26"/>
  <c r="C26" i="8"/>
  <c r="I26" i="9"/>
  <c r="I26" i="25"/>
  <c r="I26" i="54"/>
  <c r="G26" i="34"/>
  <c r="C26" i="27"/>
  <c r="C26" i="76" s="1"/>
  <c r="C26" i="35"/>
  <c r="F26" i="9"/>
  <c r="G26" i="25"/>
  <c r="E26" i="35"/>
  <c r="C26" i="28"/>
  <c r="C26" i="82"/>
  <c r="I26" i="26"/>
  <c r="C26" i="7"/>
  <c r="I26" i="10"/>
  <c r="F26" i="54"/>
  <c r="E26" i="82"/>
  <c r="E26" i="25"/>
  <c r="C26" i="10"/>
  <c r="F26" i="28"/>
  <c r="I26"/>
  <c r="C26" i="18"/>
  <c r="E26" i="36"/>
  <c r="C26" i="19"/>
  <c r="C26" i="26"/>
  <c r="E26" i="34"/>
  <c r="C26" i="54"/>
  <c r="I26" i="18"/>
  <c r="E26" i="37"/>
  <c r="F26" i="29"/>
  <c r="I26" i="11"/>
  <c r="C26" i="37"/>
  <c r="G26" i="36"/>
  <c r="C26"/>
  <c r="C26" i="20"/>
  <c r="F26"/>
  <c r="C26" i="29"/>
  <c r="F26" i="76"/>
  <c r="E26" i="19"/>
  <c r="H26"/>
  <c r="E50" i="6"/>
  <c r="C50" i="78" s="1"/>
  <c r="F50" i="6"/>
  <c r="G37" i="85"/>
  <c r="K37"/>
  <c r="F38" i="11"/>
  <c r="F38" i="5"/>
  <c r="C38" i="38"/>
  <c r="E38"/>
  <c r="I38" i="20"/>
  <c r="C38" i="54"/>
  <c r="C38" i="10"/>
  <c r="C38" i="36"/>
  <c r="I38" i="26"/>
  <c r="C38" i="9"/>
  <c r="C38" i="34"/>
  <c r="C38" i="35"/>
  <c r="F38" i="54"/>
  <c r="F38" i="28"/>
  <c r="C38" i="27"/>
  <c r="C38" i="76" s="1"/>
  <c r="C38" i="82"/>
  <c r="C38" i="25"/>
  <c r="C38" i="7"/>
  <c r="C38" i="8"/>
  <c r="F38" i="9"/>
  <c r="C38" i="11"/>
  <c r="G38" i="34"/>
  <c r="E38" i="82"/>
  <c r="E38" i="35"/>
  <c r="E38" i="25"/>
  <c r="E38" i="34"/>
  <c r="F38" i="10"/>
  <c r="I38" i="25"/>
  <c r="G38"/>
  <c r="F38" i="8"/>
  <c r="F38" i="26"/>
  <c r="I38" i="54"/>
  <c r="I38" i="9"/>
  <c r="I38" i="10"/>
  <c r="C38" i="18"/>
  <c r="F38" i="76"/>
  <c r="I38" i="18"/>
  <c r="E38" i="37"/>
  <c r="G38" i="36"/>
  <c r="E38"/>
  <c r="C38" i="19"/>
  <c r="C38" i="29"/>
  <c r="I38" i="28"/>
  <c r="I38" i="11"/>
  <c r="F38" i="18"/>
  <c r="C38" i="20"/>
  <c r="C38" i="37"/>
  <c r="C38" i="26"/>
  <c r="E38" i="19"/>
  <c r="F38" i="29"/>
  <c r="C38" i="28"/>
  <c r="F38" i="20"/>
  <c r="H38" i="19"/>
  <c r="G27" i="85"/>
  <c r="K27"/>
  <c r="F40" i="9"/>
  <c r="F40" i="5"/>
  <c r="E40" i="38"/>
  <c r="C40"/>
  <c r="I40" i="20"/>
  <c r="C40" i="54"/>
  <c r="F40" i="11"/>
  <c r="F40" i="26"/>
  <c r="C40" i="35"/>
  <c r="C40" i="7"/>
  <c r="F40" i="28"/>
  <c r="I40" i="9"/>
  <c r="C40" i="82"/>
  <c r="C40" i="8"/>
  <c r="F40"/>
  <c r="G40" i="34"/>
  <c r="E40" i="25"/>
  <c r="I40" i="54"/>
  <c r="C40" i="10"/>
  <c r="G40" i="25"/>
  <c r="F40" i="10"/>
  <c r="I40" i="26"/>
  <c r="E40" i="82"/>
  <c r="F40" i="29"/>
  <c r="I40" i="10"/>
  <c r="C40" i="9"/>
  <c r="E40" i="34"/>
  <c r="I40" i="25"/>
  <c r="C40" i="11"/>
  <c r="F40" i="54"/>
  <c r="E40" i="35"/>
  <c r="C40" i="34"/>
  <c r="C40" i="28"/>
  <c r="C40" i="27"/>
  <c r="C40" i="76" s="1"/>
  <c r="I40" i="28"/>
  <c r="E40" i="37"/>
  <c r="I40" i="11"/>
  <c r="C40" i="26"/>
  <c r="F40" i="18"/>
  <c r="C40"/>
  <c r="C40" i="29"/>
  <c r="C40" i="37"/>
  <c r="C40" i="25"/>
  <c r="C40" i="36"/>
  <c r="G40"/>
  <c r="E40"/>
  <c r="I40" i="18"/>
  <c r="F40" i="76"/>
  <c r="E40" i="19"/>
  <c r="C40" i="20"/>
  <c r="F40"/>
  <c r="H40" i="19"/>
  <c r="C40"/>
  <c r="F16" i="5"/>
  <c r="C16" i="38"/>
  <c r="E16"/>
  <c r="I16" i="20"/>
  <c r="C16" i="11"/>
  <c r="C16" i="26"/>
  <c r="F16" i="11"/>
  <c r="F16" i="10"/>
  <c r="E16" i="25"/>
  <c r="C16" i="35"/>
  <c r="G16" i="34"/>
  <c r="C16" i="54"/>
  <c r="F16" i="26"/>
  <c r="F16" i="54"/>
  <c r="C16" i="9"/>
  <c r="I16" i="26"/>
  <c r="I16" i="25"/>
  <c r="C16" i="82"/>
  <c r="F16" i="8"/>
  <c r="E16" i="34"/>
  <c r="C16" i="27"/>
  <c r="C16" i="76" s="1"/>
  <c r="I16" i="54"/>
  <c r="E16" i="35"/>
  <c r="G16" i="25"/>
  <c r="C16" i="8"/>
  <c r="E16" i="82"/>
  <c r="C16" i="7"/>
  <c r="C16" i="25"/>
  <c r="F16" i="9"/>
  <c r="I16" i="10"/>
  <c r="I16" i="9"/>
  <c r="C16" i="28"/>
  <c r="C16" i="29"/>
  <c r="C16" i="18"/>
  <c r="C16" i="37"/>
  <c r="C16" i="10"/>
  <c r="F16" i="76"/>
  <c r="G16" i="36"/>
  <c r="C16"/>
  <c r="C16" i="19"/>
  <c r="E16" i="36"/>
  <c r="C16" i="20"/>
  <c r="F16" i="29"/>
  <c r="I16" i="28"/>
  <c r="I16" i="11"/>
  <c r="F16" i="28"/>
  <c r="I16" i="18"/>
  <c r="E16" i="19"/>
  <c r="E16" i="37"/>
  <c r="C16" i="34"/>
  <c r="H16" i="19"/>
  <c r="F16" i="18"/>
  <c r="F16" i="20"/>
  <c r="E39" i="19"/>
  <c r="F39" i="5"/>
  <c r="E39" i="38"/>
  <c r="C39"/>
  <c r="I39" i="20"/>
  <c r="E39" i="25"/>
  <c r="F39" i="26"/>
  <c r="I39" i="25"/>
  <c r="F39" i="9"/>
  <c r="C39" i="8"/>
  <c r="F39"/>
  <c r="E39" i="34"/>
  <c r="C39" i="54"/>
  <c r="G39" i="34"/>
  <c r="F39" i="28"/>
  <c r="E39" i="82"/>
  <c r="G39" i="25"/>
  <c r="I39" i="9"/>
  <c r="I39" i="10"/>
  <c r="F39" i="11"/>
  <c r="C39" i="35"/>
  <c r="C39" i="11"/>
  <c r="F39" i="10"/>
  <c r="F39" i="54"/>
  <c r="I39"/>
  <c r="E39" i="35"/>
  <c r="C39" i="7"/>
  <c r="C39" i="10"/>
  <c r="C39" i="34"/>
  <c r="I39" i="26"/>
  <c r="C39" i="82"/>
  <c r="C39" i="25"/>
  <c r="C39" i="9"/>
  <c r="E39" i="36"/>
  <c r="I39" i="28"/>
  <c r="I39" i="11"/>
  <c r="C39" i="27"/>
  <c r="C39" i="76" s="1"/>
  <c r="C39" i="19"/>
  <c r="I39" i="18"/>
  <c r="E39" i="37"/>
  <c r="C39"/>
  <c r="G39" i="36"/>
  <c r="C39"/>
  <c r="C39" i="28"/>
  <c r="C39" i="26"/>
  <c r="C39" i="20"/>
  <c r="F39"/>
  <c r="F39" i="29"/>
  <c r="C39" i="18"/>
  <c r="C39" i="29"/>
  <c r="H39" i="19"/>
  <c r="F39" i="18"/>
  <c r="F39" i="76"/>
  <c r="F19" i="6"/>
  <c r="E19"/>
  <c r="C19" i="78" s="1"/>
  <c r="C31" i="20"/>
  <c r="F31" i="5"/>
  <c r="E31" i="38"/>
  <c r="C31"/>
  <c r="I31" i="20"/>
  <c r="I31" i="54"/>
  <c r="F31" i="11"/>
  <c r="E31" i="34"/>
  <c r="I31" i="26"/>
  <c r="F31"/>
  <c r="C31" i="7"/>
  <c r="E31" i="25"/>
  <c r="F31" i="54"/>
  <c r="E31" i="82"/>
  <c r="F31" i="10"/>
  <c r="G31" i="34"/>
  <c r="C31" i="25"/>
  <c r="E31" i="37"/>
  <c r="C31" i="10"/>
  <c r="C31" i="9"/>
  <c r="C31" i="26"/>
  <c r="C31" i="27"/>
  <c r="C31" i="76" s="1"/>
  <c r="I31" i="10"/>
  <c r="G31" i="25"/>
  <c r="C31" i="11"/>
  <c r="I31" i="25"/>
  <c r="F31" i="8"/>
  <c r="I31" i="9"/>
  <c r="C31" i="35"/>
  <c r="E31"/>
  <c r="I31" i="18"/>
  <c r="F31" i="29"/>
  <c r="C31" i="28"/>
  <c r="F31"/>
  <c r="C31" i="19"/>
  <c r="I31" i="11"/>
  <c r="C31" i="34"/>
  <c r="I31" i="28"/>
  <c r="F31" i="9"/>
  <c r="C31" i="36"/>
  <c r="C31" i="8"/>
  <c r="C31" i="29"/>
  <c r="E31" i="19"/>
  <c r="C31" i="82"/>
  <c r="C31" i="37"/>
  <c r="F31" i="20"/>
  <c r="E31" i="36"/>
  <c r="G31"/>
  <c r="C31" i="54"/>
  <c r="C31" i="18"/>
  <c r="H31" i="19"/>
  <c r="F31" i="18"/>
  <c r="F31" i="76"/>
  <c r="B36" i="85"/>
  <c r="E36" s="1"/>
  <c r="D34" i="5"/>
  <c r="E35" i="35"/>
  <c r="F35" i="5"/>
  <c r="C35" i="38"/>
  <c r="E35"/>
  <c r="I35" i="20"/>
  <c r="C35" i="35"/>
  <c r="I35" i="54"/>
  <c r="C35" i="7"/>
  <c r="E35" i="82"/>
  <c r="F35" i="9"/>
  <c r="F35" i="11"/>
  <c r="C35" i="27"/>
  <c r="C35" i="76" s="1"/>
  <c r="C35" i="20"/>
  <c r="C35" i="82"/>
  <c r="C35" i="11"/>
  <c r="G35" i="25"/>
  <c r="E35"/>
  <c r="I35" i="26"/>
  <c r="G35" i="34"/>
  <c r="C35" i="25"/>
  <c r="I35" i="9"/>
  <c r="F35" i="10"/>
  <c r="F35" i="26"/>
  <c r="C35" i="9"/>
  <c r="C35" i="10"/>
  <c r="C35" i="8"/>
  <c r="I35" i="10"/>
  <c r="F35" i="54"/>
  <c r="E35" i="34"/>
  <c r="I35" i="25"/>
  <c r="F35" i="8"/>
  <c r="C35" i="34"/>
  <c r="G35" i="36"/>
  <c r="C35" i="29"/>
  <c r="I35" i="18"/>
  <c r="E35" i="36"/>
  <c r="C35" i="18"/>
  <c r="C35" i="36"/>
  <c r="C35" i="19"/>
  <c r="E35" i="37"/>
  <c r="F35" i="28"/>
  <c r="C35" i="54"/>
  <c r="C35" i="37"/>
  <c r="I35" i="11"/>
  <c r="C35" i="26"/>
  <c r="C35" i="28"/>
  <c r="I35"/>
  <c r="F35" i="20"/>
  <c r="F35" i="18"/>
  <c r="F35" i="29"/>
  <c r="E35" i="19"/>
  <c r="F35" i="76"/>
  <c r="H35" i="19"/>
  <c r="B30" i="85"/>
  <c r="E30" s="1"/>
  <c r="D28" i="5"/>
  <c r="G19" i="85"/>
  <c r="K19"/>
  <c r="B25"/>
  <c r="E25" s="1"/>
  <c r="D23" i="5"/>
  <c r="D22" i="6"/>
  <c r="E22" i="90"/>
  <c r="G38" i="85"/>
  <c r="K38"/>
  <c r="D15" i="6"/>
  <c r="E15" i="90"/>
  <c r="B44" i="85"/>
  <c r="E44" s="1"/>
  <c r="D42" i="5"/>
  <c r="D11"/>
  <c r="B48"/>
  <c r="B13" i="85"/>
  <c r="D31" i="6" l="1"/>
  <c r="E31" i="90"/>
  <c r="V11" i="2"/>
  <c r="X11" s="1"/>
  <c r="G15" i="85"/>
  <c r="K15"/>
  <c r="D30" i="6"/>
  <c r="E30" i="90"/>
  <c r="D21" i="6"/>
  <c r="E21" i="90"/>
  <c r="D25" i="6"/>
  <c r="E25" i="90"/>
  <c r="E18" i="6"/>
  <c r="C18" i="78" s="1"/>
  <c r="F18" i="6"/>
  <c r="E32"/>
  <c r="C32" i="78" s="1"/>
  <c r="F32" i="6"/>
  <c r="E43"/>
  <c r="C43" i="78" s="1"/>
  <c r="F43" i="6"/>
  <c r="C33" i="20"/>
  <c r="F33" i="5"/>
  <c r="E33" i="38"/>
  <c r="C33"/>
  <c r="I33" i="20"/>
  <c r="C33" i="8"/>
  <c r="E33" i="82"/>
  <c r="E33" i="34"/>
  <c r="G33" i="25"/>
  <c r="I33" i="54"/>
  <c r="F33" i="8"/>
  <c r="C33" i="9"/>
  <c r="I33" i="10"/>
  <c r="C33" i="29"/>
  <c r="I33" i="26"/>
  <c r="F33" i="10"/>
  <c r="I33" i="9"/>
  <c r="C33" i="35"/>
  <c r="F33" i="11"/>
  <c r="C33" i="34"/>
  <c r="F33" i="26"/>
  <c r="C33" i="27"/>
  <c r="C33" i="76" s="1"/>
  <c r="I33" i="25"/>
  <c r="C33" i="82"/>
  <c r="C33" i="10"/>
  <c r="I33" i="11"/>
  <c r="C33"/>
  <c r="E33" i="25"/>
  <c r="E33" i="35"/>
  <c r="F33" i="54"/>
  <c r="C33" i="7"/>
  <c r="F33" i="9"/>
  <c r="G33" i="34"/>
  <c r="G33" i="36"/>
  <c r="E33"/>
  <c r="C33" i="54"/>
  <c r="C33" i="37"/>
  <c r="C33" i="18"/>
  <c r="C33" i="36"/>
  <c r="C33" i="26"/>
  <c r="I33" i="18"/>
  <c r="E33" i="37"/>
  <c r="I33" i="28"/>
  <c r="C33" i="25"/>
  <c r="F33" i="28"/>
  <c r="F33" i="18"/>
  <c r="F33" i="29"/>
  <c r="E33" i="19"/>
  <c r="F33" i="20"/>
  <c r="C33" i="28"/>
  <c r="F33" i="76"/>
  <c r="C33" i="19"/>
  <c r="H33"/>
  <c r="B50" i="85"/>
  <c r="E13"/>
  <c r="G44"/>
  <c r="K44"/>
  <c r="K25"/>
  <c r="G25"/>
  <c r="K30"/>
  <c r="G30"/>
  <c r="D35" i="6"/>
  <c r="E35" i="90"/>
  <c r="D16" i="6"/>
  <c r="E16" i="90"/>
  <c r="D40" i="6"/>
  <c r="E40" i="90"/>
  <c r="D26" i="6"/>
  <c r="E26" i="90"/>
  <c r="F13" i="5"/>
  <c r="E13" i="38"/>
  <c r="C13"/>
  <c r="I13" i="20"/>
  <c r="C13" i="11"/>
  <c r="F13" i="10"/>
  <c r="G13" i="36"/>
  <c r="I13" i="25"/>
  <c r="C13" i="54"/>
  <c r="I13" i="9"/>
  <c r="C13" i="28"/>
  <c r="C13" i="9"/>
  <c r="E13" i="25"/>
  <c r="F13" i="9"/>
  <c r="E13" i="35"/>
  <c r="G13" i="34"/>
  <c r="C13" i="25"/>
  <c r="I13" i="11"/>
  <c r="I13" i="10"/>
  <c r="C13" i="26"/>
  <c r="F13"/>
  <c r="C13" i="7"/>
  <c r="I13" i="26"/>
  <c r="F13" i="8"/>
  <c r="G13" i="25"/>
  <c r="E13" i="82"/>
  <c r="E13" i="37"/>
  <c r="E13" i="34"/>
  <c r="C13" i="8"/>
  <c r="C13" i="82"/>
  <c r="I13" i="54"/>
  <c r="F13" i="28"/>
  <c r="C13" i="29"/>
  <c r="C13" i="19"/>
  <c r="E13" i="36"/>
  <c r="F13" i="54"/>
  <c r="C13" i="37"/>
  <c r="C13" i="35"/>
  <c r="C13" i="27"/>
  <c r="C13" i="76" s="1"/>
  <c r="F13" i="11"/>
  <c r="C13" i="36"/>
  <c r="E13" i="19"/>
  <c r="F13" i="20"/>
  <c r="C13" i="10"/>
  <c r="C13" i="34"/>
  <c r="I13" i="28"/>
  <c r="F13" i="76"/>
  <c r="F13" i="29"/>
  <c r="C13" i="18"/>
  <c r="I13"/>
  <c r="F13"/>
  <c r="H13" i="19"/>
  <c r="C13" i="20"/>
  <c r="D29" i="6"/>
  <c r="E29" i="90"/>
  <c r="E44" i="6"/>
  <c r="C44" i="78" s="1"/>
  <c r="F44" i="6"/>
  <c r="D45"/>
  <c r="E45" i="90"/>
  <c r="G23" i="25"/>
  <c r="F23" i="5"/>
  <c r="E23" i="38"/>
  <c r="C23"/>
  <c r="I23" i="20"/>
  <c r="C23" i="25"/>
  <c r="F23" i="54"/>
  <c r="I23" i="26"/>
  <c r="I23" i="54"/>
  <c r="F23" i="11"/>
  <c r="C23" i="28"/>
  <c r="E23" i="82"/>
  <c r="I23" i="9"/>
  <c r="F23" i="26"/>
  <c r="E23" i="35"/>
  <c r="C23" i="11"/>
  <c r="E23" i="34"/>
  <c r="F23" i="28"/>
  <c r="C23" i="8"/>
  <c r="F23" i="10"/>
  <c r="I23" i="25"/>
  <c r="I23" i="11"/>
  <c r="C23" i="7"/>
  <c r="F23" i="9"/>
  <c r="C23" i="35"/>
  <c r="I23" i="10"/>
  <c r="E23" i="25"/>
  <c r="F23" i="8"/>
  <c r="C23" i="27"/>
  <c r="C23" i="76" s="1"/>
  <c r="C23" i="10"/>
  <c r="C23" i="82"/>
  <c r="C23" i="18"/>
  <c r="F23" i="29"/>
  <c r="I23" i="18"/>
  <c r="F23"/>
  <c r="E23" i="36"/>
  <c r="G23"/>
  <c r="C23"/>
  <c r="C23" i="29"/>
  <c r="C23" i="26"/>
  <c r="C23" i="19"/>
  <c r="C23" i="54"/>
  <c r="I23" i="28"/>
  <c r="C23" i="9"/>
  <c r="C23" i="37"/>
  <c r="E23"/>
  <c r="G23" i="34"/>
  <c r="F23" i="76"/>
  <c r="F23" i="20"/>
  <c r="E23" i="19"/>
  <c r="H23"/>
  <c r="C23" i="34"/>
  <c r="C23" i="20"/>
  <c r="G36" i="85"/>
  <c r="K36"/>
  <c r="D38" i="6"/>
  <c r="E38" i="90"/>
  <c r="G39" i="85"/>
  <c r="K39"/>
  <c r="F12" i="6"/>
  <c r="E12"/>
  <c r="C12" i="78" s="1"/>
  <c r="F41" i="6"/>
  <c r="E41"/>
  <c r="C41" i="78" s="1"/>
  <c r="E27" i="6"/>
  <c r="C27" i="78" s="1"/>
  <c r="F27" i="6"/>
  <c r="E20"/>
  <c r="C20" i="78" s="1"/>
  <c r="F20" i="6"/>
  <c r="F42" i="5"/>
  <c r="C42" i="38"/>
  <c r="E42"/>
  <c r="I42" i="20"/>
  <c r="C42" i="54"/>
  <c r="I42" i="25"/>
  <c r="F42" i="54"/>
  <c r="C42" i="11"/>
  <c r="F42" i="28"/>
  <c r="E42" i="34"/>
  <c r="E42" i="37"/>
  <c r="C42" i="82"/>
  <c r="C42" i="35"/>
  <c r="E42" i="25"/>
  <c r="C42" i="8"/>
  <c r="C42" i="25"/>
  <c r="F42" i="8"/>
  <c r="C42" i="10"/>
  <c r="I42" i="54"/>
  <c r="F42" i="26"/>
  <c r="C42" i="9"/>
  <c r="G42" i="25"/>
  <c r="E42" i="82"/>
  <c r="I42" i="10"/>
  <c r="F42" i="11"/>
  <c r="I42" i="26"/>
  <c r="E42" i="35"/>
  <c r="I42" i="9"/>
  <c r="G42" i="34"/>
  <c r="F42" i="10"/>
  <c r="F42" i="18"/>
  <c r="C42" i="34"/>
  <c r="C42" i="26"/>
  <c r="C42" i="7"/>
  <c r="G42" i="36"/>
  <c r="I42" i="18"/>
  <c r="C42" i="37"/>
  <c r="E42" i="36"/>
  <c r="I42" i="11"/>
  <c r="C42" i="27"/>
  <c r="C42" i="76" s="1"/>
  <c r="F42" i="29"/>
  <c r="F42" i="9"/>
  <c r="C42" i="36"/>
  <c r="C42" i="19"/>
  <c r="C42" i="29"/>
  <c r="I42" i="28"/>
  <c r="C42"/>
  <c r="F42" i="76"/>
  <c r="C42" i="18"/>
  <c r="E42" i="19"/>
  <c r="H42"/>
  <c r="F42" i="20"/>
  <c r="C42"/>
  <c r="F28" i="9"/>
  <c r="F28" i="5"/>
  <c r="E28" i="38"/>
  <c r="C28"/>
  <c r="I28" i="20"/>
  <c r="I28" i="26"/>
  <c r="C28" i="11"/>
  <c r="C28" i="7"/>
  <c r="F28" i="11"/>
  <c r="C28" i="8"/>
  <c r="I28" i="25"/>
  <c r="E28"/>
  <c r="I28" i="9"/>
  <c r="F28" i="29"/>
  <c r="G28" i="34"/>
  <c r="E28" i="35"/>
  <c r="F28" i="8"/>
  <c r="G28" i="25"/>
  <c r="F28" i="54"/>
  <c r="C28" i="27"/>
  <c r="C28" i="76" s="1"/>
  <c r="E28" i="82"/>
  <c r="C28" i="35"/>
  <c r="C28" i="10"/>
  <c r="I28" i="54"/>
  <c r="C28" i="9"/>
  <c r="F28" i="10"/>
  <c r="E28" i="34"/>
  <c r="F28" i="28"/>
  <c r="F28" i="26"/>
  <c r="C28" i="25"/>
  <c r="G28" i="36"/>
  <c r="C28" i="82"/>
  <c r="I28" i="10"/>
  <c r="C28" i="26"/>
  <c r="C28" i="34"/>
  <c r="E28" i="36"/>
  <c r="E28" i="37"/>
  <c r="I28" i="11"/>
  <c r="C28" i="29"/>
  <c r="C28" i="28"/>
  <c r="C28" i="18"/>
  <c r="C28" i="37"/>
  <c r="C28" i="36"/>
  <c r="C28" i="19"/>
  <c r="E28"/>
  <c r="C28" i="20"/>
  <c r="F28"/>
  <c r="I28" i="18"/>
  <c r="I28" i="28"/>
  <c r="F28" i="18"/>
  <c r="C28" i="54"/>
  <c r="H28" i="19"/>
  <c r="F28" i="76"/>
  <c r="F11" i="5"/>
  <c r="D48"/>
  <c r="C11" i="38"/>
  <c r="E11"/>
  <c r="I11" i="20"/>
  <c r="C11" i="54"/>
  <c r="G11" i="25"/>
  <c r="C11" i="34"/>
  <c r="C11" i="26"/>
  <c r="F11" i="11"/>
  <c r="C11" i="8"/>
  <c r="I11" i="10"/>
  <c r="C11" i="35"/>
  <c r="E11" i="82"/>
  <c r="I11" i="26"/>
  <c r="C11" i="9"/>
  <c r="C11" i="11"/>
  <c r="I11" i="25"/>
  <c r="F11" i="8"/>
  <c r="E11" i="35"/>
  <c r="F11" i="10"/>
  <c r="C11"/>
  <c r="C11" i="7"/>
  <c r="G11" i="34"/>
  <c r="E11" i="25"/>
  <c r="F11" i="9"/>
  <c r="C11" i="82"/>
  <c r="F11" i="26"/>
  <c r="C11" i="25"/>
  <c r="E11" i="34"/>
  <c r="I11" i="9"/>
  <c r="F11" i="28"/>
  <c r="G11" i="36"/>
  <c r="C11" i="18"/>
  <c r="C11" i="37"/>
  <c r="E11"/>
  <c r="I11" i="28"/>
  <c r="E11" i="36"/>
  <c r="C11" i="20"/>
  <c r="C11" i="19"/>
  <c r="I11" i="18"/>
  <c r="F11" i="29"/>
  <c r="I11" i="11"/>
  <c r="C11" i="27"/>
  <c r="C11" i="76" s="1"/>
  <c r="C11" i="29"/>
  <c r="C11" i="28"/>
  <c r="F11" i="20"/>
  <c r="F11" i="54"/>
  <c r="C11" i="36"/>
  <c r="H11" i="19"/>
  <c r="F11" i="18"/>
  <c r="E11" i="19"/>
  <c r="I11" i="54"/>
  <c r="F11" i="76"/>
  <c r="F15" i="6"/>
  <c r="E15"/>
  <c r="C15" i="78" s="1"/>
  <c r="F22" i="6"/>
  <c r="E22"/>
  <c r="C22" i="78" s="1"/>
  <c r="C34" i="20"/>
  <c r="F34" i="5"/>
  <c r="C34" i="38"/>
  <c r="E34"/>
  <c r="I34" i="20"/>
  <c r="F34" i="8"/>
  <c r="F34" i="9"/>
  <c r="E34" i="37"/>
  <c r="C34" i="34"/>
  <c r="G34" i="25"/>
  <c r="C34" i="82"/>
  <c r="I34" i="54"/>
  <c r="C34" i="10"/>
  <c r="C34" i="35"/>
  <c r="F34" i="28"/>
  <c r="C34" i="11"/>
  <c r="C34" i="7"/>
  <c r="F34" i="54"/>
  <c r="E34" i="34"/>
  <c r="F34" i="26"/>
  <c r="F34" i="10"/>
  <c r="C34" i="27"/>
  <c r="C34" i="76" s="1"/>
  <c r="E34" i="25"/>
  <c r="F34" i="11"/>
  <c r="I34" i="25"/>
  <c r="I34" i="26"/>
  <c r="I34" i="9"/>
  <c r="I34" i="10"/>
  <c r="C34" i="9"/>
  <c r="G34" i="34"/>
  <c r="C34" i="8"/>
  <c r="E34" i="35"/>
  <c r="F34" i="18"/>
  <c r="C34" i="36"/>
  <c r="E34" i="82"/>
  <c r="I34" i="11"/>
  <c r="C34" i="26"/>
  <c r="C34" i="18"/>
  <c r="C34" i="37"/>
  <c r="C34" i="54"/>
  <c r="C34" i="25"/>
  <c r="G34" i="36"/>
  <c r="C34" i="28"/>
  <c r="E34" i="36"/>
  <c r="C34" i="29"/>
  <c r="C34" i="19"/>
  <c r="I34" i="18"/>
  <c r="F34" i="29"/>
  <c r="F34" i="76"/>
  <c r="E34" i="19"/>
  <c r="I34" i="28"/>
  <c r="F34" i="20"/>
  <c r="H34" i="19"/>
  <c r="D39" i="6"/>
  <c r="E39" i="90"/>
  <c r="I37" i="9"/>
  <c r="F37" i="5"/>
  <c r="C37" i="38"/>
  <c r="E37"/>
  <c r="I37" i="20"/>
  <c r="I37" i="54"/>
  <c r="C37" i="27"/>
  <c r="C37" i="76" s="1"/>
  <c r="I37" i="25"/>
  <c r="I37" i="10"/>
  <c r="F37" i="11"/>
  <c r="F37" i="10"/>
  <c r="F37" i="54"/>
  <c r="C37" i="9"/>
  <c r="F37" i="8"/>
  <c r="F37" i="9"/>
  <c r="C37" i="10"/>
  <c r="C37" i="34"/>
  <c r="E37" i="82"/>
  <c r="C37"/>
  <c r="F37" i="26"/>
  <c r="C37" i="35"/>
  <c r="C37" i="54"/>
  <c r="E37" i="34"/>
  <c r="I37" i="26"/>
  <c r="C37" i="25"/>
  <c r="C37" i="7"/>
  <c r="G37" i="25"/>
  <c r="E37"/>
  <c r="C37" i="8"/>
  <c r="C37" i="11"/>
  <c r="G37" i="34"/>
  <c r="E37" i="35"/>
  <c r="C37" i="28"/>
  <c r="I37" i="18"/>
  <c r="C37" i="20"/>
  <c r="F37" i="29"/>
  <c r="F37" i="76"/>
  <c r="G37" i="36"/>
  <c r="C37"/>
  <c r="F37" i="28"/>
  <c r="C37" i="18"/>
  <c r="C37" i="37"/>
  <c r="E37"/>
  <c r="F37" i="18"/>
  <c r="C37" i="26"/>
  <c r="E37" i="36"/>
  <c r="I37" i="28"/>
  <c r="C37" i="19"/>
  <c r="I37" i="11"/>
  <c r="C37" i="29"/>
  <c r="F37" i="20"/>
  <c r="E37" i="19"/>
  <c r="H37"/>
  <c r="D46" i="6"/>
  <c r="E46" i="90"/>
  <c r="D36" i="6"/>
  <c r="E36" i="90"/>
  <c r="D17" i="6"/>
  <c r="E17" i="90"/>
  <c r="G35" i="85"/>
  <c r="K35"/>
  <c r="E24" i="6"/>
  <c r="C24" i="78" s="1"/>
  <c r="F24" i="6"/>
  <c r="E17" l="1"/>
  <c r="C17" i="78" s="1"/>
  <c r="F17" i="6"/>
  <c r="E39"/>
  <c r="C39" i="78" s="1"/>
  <c r="F39" i="6"/>
  <c r="E36"/>
  <c r="C36" i="78" s="1"/>
  <c r="F36" i="6"/>
  <c r="N27" i="21"/>
  <c r="E48" i="38"/>
  <c r="C48"/>
  <c r="I48" i="20"/>
  <c r="G48" i="25"/>
  <c r="I48" i="10"/>
  <c r="I48" i="26"/>
  <c r="C48" i="9"/>
  <c r="F48" i="26"/>
  <c r="E48" i="82"/>
  <c r="I48" i="25"/>
  <c r="C48" i="7"/>
  <c r="C48" i="82"/>
  <c r="E48" i="25"/>
  <c r="C48" i="8"/>
  <c r="E48" i="34"/>
  <c r="I48" i="18"/>
  <c r="C48" i="19"/>
  <c r="F48" i="10"/>
  <c r="G48" i="34"/>
  <c r="E48" i="36"/>
  <c r="C48" i="26"/>
  <c r="C48" i="27"/>
  <c r="C48" i="76" s="1"/>
  <c r="C48" i="25"/>
  <c r="I48" i="9"/>
  <c r="C48" i="11"/>
  <c r="F48" i="28"/>
  <c r="C48" i="37"/>
  <c r="F48" i="8"/>
  <c r="C48" i="35"/>
  <c r="E48" i="37"/>
  <c r="F48" i="9"/>
  <c r="F48" i="11"/>
  <c r="G48" i="36"/>
  <c r="E48" i="19"/>
  <c r="C48" i="18"/>
  <c r="I48" i="11"/>
  <c r="F48" i="18"/>
  <c r="C48" i="34"/>
  <c r="F48" i="29"/>
  <c r="I48" i="28"/>
  <c r="I48" i="54"/>
  <c r="C48" i="28"/>
  <c r="C48" i="10"/>
  <c r="F48" i="20"/>
  <c r="F48" i="54"/>
  <c r="C48" i="36"/>
  <c r="C48" i="54"/>
  <c r="E48" i="35"/>
  <c r="C48" i="29"/>
  <c r="C48" i="20"/>
  <c r="F48" i="76"/>
  <c r="H48" i="19"/>
  <c r="E38" i="6"/>
  <c r="C38" i="78" s="1"/>
  <c r="F38" i="6"/>
  <c r="E26"/>
  <c r="C26" i="78" s="1"/>
  <c r="F26" i="6"/>
  <c r="E16"/>
  <c r="C16" i="78" s="1"/>
  <c r="F16" i="6"/>
  <c r="F25"/>
  <c r="E25"/>
  <c r="C25" i="78" s="1"/>
  <c r="F30" i="6"/>
  <c r="E30"/>
  <c r="C30" i="78" s="1"/>
  <c r="F31" i="6"/>
  <c r="E31"/>
  <c r="C31" i="78" s="1"/>
  <c r="E46" i="6"/>
  <c r="C46" i="78" s="1"/>
  <c r="F46" i="6"/>
  <c r="D37"/>
  <c r="E37" i="90"/>
  <c r="D42" i="6"/>
  <c r="E42" i="90"/>
  <c r="D33" i="6"/>
  <c r="E33" i="90"/>
  <c r="D34" i="6"/>
  <c r="E34" i="90"/>
  <c r="D23" i="6"/>
  <c r="E23" i="90"/>
  <c r="D13" i="6"/>
  <c r="E13" i="90"/>
  <c r="E40" i="6"/>
  <c r="C40" i="78" s="1"/>
  <c r="F40" i="6"/>
  <c r="F35"/>
  <c r="E35"/>
  <c r="C35" i="78" s="1"/>
  <c r="F21" i="6"/>
  <c r="E21"/>
  <c r="C21" i="78" s="1"/>
  <c r="F48" i="5"/>
  <c r="E48" i="90" s="1"/>
  <c r="D11" i="6"/>
  <c r="E11" i="90"/>
  <c r="D28" i="6"/>
  <c r="E28" i="90"/>
  <c r="F45" i="6"/>
  <c r="E45"/>
  <c r="C45" i="78" s="1"/>
  <c r="E29" i="6"/>
  <c r="C29" i="78" s="1"/>
  <c r="F29" i="6"/>
  <c r="G13" i="85"/>
  <c r="K13"/>
  <c r="E50"/>
  <c r="F11" i="6" l="1"/>
  <c r="E11"/>
  <c r="C11" i="78" s="1"/>
  <c r="D48" i="6"/>
  <c r="F13"/>
  <c r="E13"/>
  <c r="C13" i="78" s="1"/>
  <c r="F34" i="6"/>
  <c r="E34"/>
  <c r="C34" i="78" s="1"/>
  <c r="E42" i="6"/>
  <c r="C42" i="78" s="1"/>
  <c r="F42" i="6"/>
  <c r="G50" i="85"/>
  <c r="K50"/>
  <c r="E28" i="6"/>
  <c r="C28" i="78" s="1"/>
  <c r="F28" i="6"/>
  <c r="F23"/>
  <c r="E23"/>
  <c r="C23" i="78" s="1"/>
  <c r="F33" i="6"/>
  <c r="E33"/>
  <c r="C33" i="78" s="1"/>
  <c r="F37" i="6"/>
  <c r="E37"/>
  <c r="C37" i="78" s="1"/>
  <c r="N19" i="21"/>
  <c r="N22"/>
  <c r="N24"/>
  <c r="N17"/>
  <c r="N16"/>
  <c r="N18"/>
  <c r="N13"/>
  <c r="N15"/>
  <c r="N21"/>
  <c r="N23"/>
  <c r="E48" i="6" l="1"/>
  <c r="C48" i="78" s="1"/>
  <c r="F48" i="6"/>
  <c r="F35" i="52"/>
  <c r="B35" i="43" s="1"/>
  <c r="F35" s="1"/>
  <c r="H35" s="1"/>
  <c r="F15" i="52"/>
  <c r="B15" i="43" s="1"/>
  <c r="F15" s="1"/>
  <c r="H15" s="1"/>
  <c r="F20" i="52"/>
  <c r="B20" i="43" s="1"/>
  <c r="F20" s="1"/>
  <c r="H20" s="1"/>
  <c r="F28" i="52"/>
  <c r="B28" i="43" s="1"/>
  <c r="F28" s="1"/>
  <c r="H28" s="1"/>
  <c r="F13" i="52"/>
  <c r="B13" i="43" s="1"/>
  <c r="F13" s="1"/>
  <c r="H13" s="1"/>
  <c r="F41" i="52"/>
  <c r="B41" i="43" s="1"/>
  <c r="F41" s="1"/>
  <c r="H41" s="1"/>
  <c r="F40" i="52"/>
  <c r="B40" i="43" s="1"/>
  <c r="F40" s="1"/>
  <c r="H40" s="1"/>
  <c r="F19" i="52"/>
  <c r="B19" i="43" s="1"/>
  <c r="F19" s="1"/>
  <c r="H19" s="1"/>
  <c r="F42" i="52"/>
  <c r="B42" i="43" s="1"/>
  <c r="F42" s="1"/>
  <c r="H42" s="1"/>
  <c r="F21" i="52"/>
  <c r="B21" i="43" s="1"/>
  <c r="F21" s="1"/>
  <c r="H21" s="1"/>
  <c r="F39" i="52"/>
  <c r="B39" i="43" s="1"/>
  <c r="F39" s="1"/>
  <c r="H39" s="1"/>
  <c r="F44" i="52"/>
  <c r="B44" i="43" s="1"/>
  <c r="F44" s="1"/>
  <c r="H44" s="1"/>
  <c r="F26" i="52"/>
  <c r="B26" i="43" s="1"/>
  <c r="F26" s="1"/>
  <c r="H26" s="1"/>
  <c r="F22" i="52"/>
  <c r="B22" i="43" s="1"/>
  <c r="F22" s="1"/>
  <c r="H22" s="1"/>
  <c r="F43" i="52"/>
  <c r="B43" i="43" s="1"/>
  <c r="F43" s="1"/>
  <c r="H43" s="1"/>
  <c r="F14" i="52"/>
  <c r="B14" i="43" s="1"/>
  <c r="F14" s="1"/>
  <c r="H14" s="1"/>
  <c r="F31" i="52"/>
  <c r="B31" i="43" s="1"/>
  <c r="F31" s="1"/>
  <c r="H31" s="1"/>
  <c r="F24" i="52"/>
  <c r="B24" i="43" s="1"/>
  <c r="F24" s="1"/>
  <c r="H24" s="1"/>
  <c r="F27" i="52"/>
  <c r="B27" i="43" s="1"/>
  <c r="F27" s="1"/>
  <c r="H27" s="1"/>
  <c r="F12" i="52"/>
  <c r="B12" i="43" s="1"/>
  <c r="F12" s="1"/>
  <c r="H12" s="1"/>
  <c r="F18" i="52"/>
  <c r="B18" i="43" s="1"/>
  <c r="F18" s="1"/>
  <c r="H18" s="1"/>
  <c r="F30" i="52"/>
  <c r="B30" i="43" s="1"/>
  <c r="F30" s="1"/>
  <c r="H30" s="1"/>
  <c r="F36" i="52"/>
  <c r="B36" i="43" s="1"/>
  <c r="F36" s="1"/>
  <c r="H36" s="1"/>
  <c r="F38" i="52"/>
  <c r="B38" i="43" s="1"/>
  <c r="F38" s="1"/>
  <c r="H38" s="1"/>
  <c r="F37" i="52"/>
  <c r="B37" i="43" s="1"/>
  <c r="F37" s="1"/>
  <c r="H37" s="1"/>
  <c r="F17" i="52"/>
  <c r="B17" i="43" s="1"/>
  <c r="F17" s="1"/>
  <c r="H17" s="1"/>
  <c r="F33" i="52"/>
  <c r="B33" i="43" s="1"/>
  <c r="F33" s="1"/>
  <c r="H33" s="1"/>
  <c r="F29" i="52"/>
  <c r="B29" i="43" s="1"/>
  <c r="F29" s="1"/>
  <c r="H29" s="1"/>
  <c r="F23" i="52"/>
  <c r="B23" i="43" s="1"/>
  <c r="F23" s="1"/>
  <c r="H23" s="1"/>
  <c r="F16" i="52"/>
  <c r="B16" i="43" s="1"/>
  <c r="F16" s="1"/>
  <c r="H16" s="1"/>
  <c r="F45" i="52"/>
  <c r="B45" i="43" s="1"/>
  <c r="F45" s="1"/>
  <c r="H45" s="1"/>
  <c r="F34" i="52"/>
  <c r="B34" i="43" s="1"/>
  <c r="F34" s="1"/>
  <c r="H34" s="1"/>
  <c r="F25" i="52"/>
  <c r="B25" i="43" s="1"/>
  <c r="F25" s="1"/>
  <c r="H25" s="1"/>
  <c r="F32" i="52"/>
  <c r="B32" i="43" s="1"/>
  <c r="F32" s="1"/>
  <c r="H32" s="1"/>
  <c r="F46" i="52"/>
  <c r="B46" i="43" s="1"/>
  <c r="F46" s="1"/>
  <c r="H46" s="1"/>
  <c r="F11" i="52"/>
  <c r="F48" l="1"/>
  <c r="B11" i="43"/>
  <c r="I45" i="45"/>
  <c r="I22"/>
  <c r="I22" i="43" s="1"/>
  <c r="B22" i="42" s="1"/>
  <c r="I21" i="45"/>
  <c r="I21" i="43" s="1"/>
  <c r="B21" i="42" s="1"/>
  <c r="I23" i="45"/>
  <c r="I23" i="43" s="1"/>
  <c r="B23" i="42" s="1"/>
  <c r="I43" i="45"/>
  <c r="I43" i="43" s="1"/>
  <c r="B43" i="42" s="1"/>
  <c r="I39" i="45"/>
  <c r="I46"/>
  <c r="I46" i="43" s="1"/>
  <c r="B46" i="42" s="1"/>
  <c r="I25" i="45"/>
  <c r="I25" i="43" s="1"/>
  <c r="B25" i="42" s="1"/>
  <c r="I29" i="45"/>
  <c r="I37"/>
  <c r="I37" i="43" s="1"/>
  <c r="B37" i="42" s="1"/>
  <c r="I18" i="45"/>
  <c r="I18" i="43" s="1"/>
  <c r="B18" i="42" s="1"/>
  <c r="I31" i="45"/>
  <c r="I31" i="43" s="1"/>
  <c r="B31" i="42" s="1"/>
  <c r="I26" i="45"/>
  <c r="I26" i="43" s="1"/>
  <c r="B26" i="42" s="1"/>
  <c r="I42" i="45"/>
  <c r="I42" i="43" s="1"/>
  <c r="B42" i="42" s="1"/>
  <c r="I13" i="45"/>
  <c r="I13" i="43" s="1"/>
  <c r="B13" i="42" s="1"/>
  <c r="I35" i="45"/>
  <c r="I35" i="43" s="1"/>
  <c r="B35" i="42" s="1"/>
  <c r="I17" i="45"/>
  <c r="I41"/>
  <c r="I41" i="43" s="1"/>
  <c r="B41" i="42" s="1"/>
  <c r="I32" i="45"/>
  <c r="I32" i="43" s="1"/>
  <c r="B32" i="42" s="1"/>
  <c r="I36" i="45"/>
  <c r="I36" i="43" s="1"/>
  <c r="B36" i="42" s="1"/>
  <c r="I20" i="45"/>
  <c r="I19"/>
  <c r="I19" i="43" s="1"/>
  <c r="B19" i="42" s="1"/>
  <c r="I30" i="45"/>
  <c r="I30" i="43" s="1"/>
  <c r="B30" i="42" s="1"/>
  <c r="I15" i="45"/>
  <c r="I15" i="43" s="1"/>
  <c r="B15" i="42" s="1"/>
  <c r="I34" i="45"/>
  <c r="I34" i="43" s="1"/>
  <c r="B34" i="42" s="1"/>
  <c r="I27" i="45"/>
  <c r="I27" i="43" s="1"/>
  <c r="B27" i="42" s="1"/>
  <c r="I40" i="45"/>
  <c r="I40" i="43" s="1"/>
  <c r="B40" i="42" s="1"/>
  <c r="I16" i="45"/>
  <c r="I16" i="43" s="1"/>
  <c r="B16" i="42" s="1"/>
  <c r="I33" i="45"/>
  <c r="I33" i="43" s="1"/>
  <c r="B33" i="42" s="1"/>
  <c r="I38" i="45"/>
  <c r="I38" i="43" s="1"/>
  <c r="B38" i="42" s="1"/>
  <c r="I12" i="45"/>
  <c r="I12" i="43" s="1"/>
  <c r="B12" i="42" s="1"/>
  <c r="I14" i="45"/>
  <c r="I14" i="43" s="1"/>
  <c r="B14" i="42" s="1"/>
  <c r="I44" i="45"/>
  <c r="I44" i="43" s="1"/>
  <c r="B44" i="42" s="1"/>
  <c r="I28" i="45"/>
  <c r="I28" i="43" s="1"/>
  <c r="B28" i="42" s="1"/>
  <c r="I24" i="45"/>
  <c r="I24" i="43" s="1"/>
  <c r="B24" i="42" s="1"/>
  <c r="G39" i="44" l="1"/>
  <c r="E39" i="42" s="1"/>
  <c r="I39" i="44"/>
  <c r="F39" i="42" s="1"/>
  <c r="C39" i="45"/>
  <c r="G39" i="42" s="1"/>
  <c r="E39" i="44"/>
  <c r="D39" i="42" s="1"/>
  <c r="C39" i="44"/>
  <c r="C39" i="42" s="1"/>
  <c r="G39" i="45"/>
  <c r="E39"/>
  <c r="H39" i="42" s="1"/>
  <c r="B48" i="43"/>
  <c r="F11"/>
  <c r="G29" i="45"/>
  <c r="I29" i="44"/>
  <c r="F29" i="42" s="1"/>
  <c r="E29" i="44"/>
  <c r="D29" i="42" s="1"/>
  <c r="C29" i="44"/>
  <c r="C29" i="42" s="1"/>
  <c r="C29" i="45"/>
  <c r="G29" i="42" s="1"/>
  <c r="E29" i="45"/>
  <c r="H29" i="42" s="1"/>
  <c r="G29" i="44"/>
  <c r="E29" i="42" s="1"/>
  <c r="C44" i="44"/>
  <c r="C44" i="42" s="1"/>
  <c r="G44" i="44"/>
  <c r="E44" i="42" s="1"/>
  <c r="C44" i="45"/>
  <c r="G44" i="42" s="1"/>
  <c r="I44" i="44"/>
  <c r="F44" i="42" s="1"/>
  <c r="E44" i="45"/>
  <c r="H44" i="42" s="1"/>
  <c r="E44" i="44"/>
  <c r="D44" i="42" s="1"/>
  <c r="G44" i="45"/>
  <c r="G12"/>
  <c r="I12" i="44"/>
  <c r="F12" i="42" s="1"/>
  <c r="G12" i="44"/>
  <c r="E12" i="42" s="1"/>
  <c r="C12" i="44"/>
  <c r="C12" i="42" s="1"/>
  <c r="C12" i="45"/>
  <c r="G12" i="42" s="1"/>
  <c r="E12" i="45"/>
  <c r="H12" i="42" s="1"/>
  <c r="E12" i="44"/>
  <c r="D12" i="42" s="1"/>
  <c r="G40" i="45"/>
  <c r="E40" i="44"/>
  <c r="D40" i="42" s="1"/>
  <c r="G40" i="44"/>
  <c r="E40" i="42" s="1"/>
  <c r="I40" i="44"/>
  <c r="F40" i="42" s="1"/>
  <c r="C40" i="45"/>
  <c r="G40" i="42" s="1"/>
  <c r="C40" i="44"/>
  <c r="C40" i="42" s="1"/>
  <c r="E40" i="45"/>
  <c r="H40" i="42" s="1"/>
  <c r="I30" i="44"/>
  <c r="F30" i="42" s="1"/>
  <c r="G30" i="44"/>
  <c r="E30" i="42" s="1"/>
  <c r="C30" i="44"/>
  <c r="C30" i="42" s="1"/>
  <c r="E30" i="45"/>
  <c r="H30" i="42" s="1"/>
  <c r="E30" i="44"/>
  <c r="D30" i="42" s="1"/>
  <c r="C30" i="45"/>
  <c r="G30" i="42" s="1"/>
  <c r="G30" i="45"/>
  <c r="G32"/>
  <c r="E32" i="44"/>
  <c r="D32" i="42" s="1"/>
  <c r="G32" i="44"/>
  <c r="E32" i="42" s="1"/>
  <c r="I32" i="44"/>
  <c r="F32" i="42" s="1"/>
  <c r="C32" i="45"/>
  <c r="G32" i="42" s="1"/>
  <c r="C32" i="44"/>
  <c r="C32" i="42" s="1"/>
  <c r="E32" i="45"/>
  <c r="H32" i="42" s="1"/>
  <c r="E13" i="45"/>
  <c r="H13" i="42" s="1"/>
  <c r="G13" i="44"/>
  <c r="E13" i="42" s="1"/>
  <c r="E13" i="44"/>
  <c r="D13" i="42" s="1"/>
  <c r="I13" i="44"/>
  <c r="F13" i="42" s="1"/>
  <c r="C13" i="45"/>
  <c r="G13" i="42" s="1"/>
  <c r="C13" i="44"/>
  <c r="C13" i="42" s="1"/>
  <c r="G13" i="45"/>
  <c r="C26"/>
  <c r="G26" i="42" s="1"/>
  <c r="I26" i="44"/>
  <c r="F26" i="42" s="1"/>
  <c r="G26" i="45"/>
  <c r="E26"/>
  <c r="H26" i="42" s="1"/>
  <c r="C26" i="44"/>
  <c r="C26" i="42" s="1"/>
  <c r="G26" i="44"/>
  <c r="E26" i="42" s="1"/>
  <c r="E26" i="44"/>
  <c r="D26" i="42" s="1"/>
  <c r="G46" i="45"/>
  <c r="G46" i="44"/>
  <c r="E46" i="42" s="1"/>
  <c r="C46" i="45"/>
  <c r="G46" i="42" s="1"/>
  <c r="E46" i="44"/>
  <c r="D46" i="42" s="1"/>
  <c r="E46" i="45"/>
  <c r="H46" i="42" s="1"/>
  <c r="I46" i="44"/>
  <c r="F46" i="42" s="1"/>
  <c r="C46" i="44"/>
  <c r="C46" i="42" s="1"/>
  <c r="G43" i="45"/>
  <c r="E43" i="44"/>
  <c r="D43" i="42" s="1"/>
  <c r="C43" i="44"/>
  <c r="C43" i="42" s="1"/>
  <c r="I43" i="44"/>
  <c r="F43" i="42" s="1"/>
  <c r="E43" i="45"/>
  <c r="H43" i="42" s="1"/>
  <c r="C43" i="45"/>
  <c r="G43" i="42" s="1"/>
  <c r="G43" i="44"/>
  <c r="E43" i="42" s="1"/>
  <c r="G14" i="45"/>
  <c r="C14"/>
  <c r="G14" i="42" s="1"/>
  <c r="C14" i="44"/>
  <c r="C14" i="42" s="1"/>
  <c r="I14" i="44"/>
  <c r="F14" i="42" s="1"/>
  <c r="G14" i="44"/>
  <c r="E14" i="42" s="1"/>
  <c r="E14" i="44"/>
  <c r="D14" i="42" s="1"/>
  <c r="E14" i="45"/>
  <c r="H14" i="42" s="1"/>
  <c r="E38" i="45"/>
  <c r="H38" i="42" s="1"/>
  <c r="C38" i="44"/>
  <c r="C38" i="42" s="1"/>
  <c r="E38" i="44"/>
  <c r="D38" i="42" s="1"/>
  <c r="C38" i="45"/>
  <c r="G38" i="42" s="1"/>
  <c r="G38" i="44"/>
  <c r="E38" i="42" s="1"/>
  <c r="I38" i="44"/>
  <c r="F38" i="42" s="1"/>
  <c r="G38" i="45"/>
  <c r="C27" i="44"/>
  <c r="C27" i="42" s="1"/>
  <c r="C27" i="45"/>
  <c r="G27" i="42" s="1"/>
  <c r="G27" i="44"/>
  <c r="E27" i="42" s="1"/>
  <c r="G27" i="45"/>
  <c r="I27" i="44"/>
  <c r="F27" i="42" s="1"/>
  <c r="E27" i="45"/>
  <c r="H27" i="42" s="1"/>
  <c r="E27" i="44"/>
  <c r="D27" i="42" s="1"/>
  <c r="E19" i="44"/>
  <c r="D19" i="42" s="1"/>
  <c r="I19" i="44"/>
  <c r="F19" i="42" s="1"/>
  <c r="C19" i="45"/>
  <c r="G19" i="42" s="1"/>
  <c r="G19" i="44"/>
  <c r="E19" i="42" s="1"/>
  <c r="C19" i="44"/>
  <c r="C19" i="42" s="1"/>
  <c r="E19" i="45"/>
  <c r="H19" i="42" s="1"/>
  <c r="G19" i="45"/>
  <c r="G36" i="44"/>
  <c r="E36" i="42" s="1"/>
  <c r="C36" i="44"/>
  <c r="C36" i="42" s="1"/>
  <c r="E36" i="45"/>
  <c r="H36" i="42" s="1"/>
  <c r="C36" i="45"/>
  <c r="G36" i="42" s="1"/>
  <c r="E36" i="44"/>
  <c r="D36" i="42" s="1"/>
  <c r="I36" i="44"/>
  <c r="F36" i="42" s="1"/>
  <c r="G36" i="45"/>
  <c r="C35" i="44"/>
  <c r="C35" i="42" s="1"/>
  <c r="I35" i="44"/>
  <c r="F35" i="42" s="1"/>
  <c r="G35" i="45"/>
  <c r="E35"/>
  <c r="H35" i="42" s="1"/>
  <c r="E35" i="44"/>
  <c r="D35" i="42" s="1"/>
  <c r="C35" i="45"/>
  <c r="G35" i="42" s="1"/>
  <c r="G35" i="44"/>
  <c r="E35" i="42" s="1"/>
  <c r="I31" i="44"/>
  <c r="F31" i="42" s="1"/>
  <c r="E31" i="44"/>
  <c r="D31" i="42" s="1"/>
  <c r="G31" i="44"/>
  <c r="E31" i="42" s="1"/>
  <c r="G31" i="45"/>
  <c r="E31"/>
  <c r="H31" i="42" s="1"/>
  <c r="C31" i="44"/>
  <c r="C31" i="42" s="1"/>
  <c r="C31" i="45"/>
  <c r="G31" i="42" s="1"/>
  <c r="C37" i="45"/>
  <c r="G37" i="42" s="1"/>
  <c r="G37" i="44"/>
  <c r="E37" i="42" s="1"/>
  <c r="G37" i="45"/>
  <c r="E37" i="44"/>
  <c r="D37" i="42" s="1"/>
  <c r="I37" i="44"/>
  <c r="F37" i="42" s="1"/>
  <c r="C37" i="44"/>
  <c r="C37" i="42" s="1"/>
  <c r="E37" i="45"/>
  <c r="H37" i="42" s="1"/>
  <c r="I39" i="43"/>
  <c r="B39" i="42" s="1"/>
  <c r="G15" i="45"/>
  <c r="C15"/>
  <c r="G15" i="42" s="1"/>
  <c r="C15" i="44"/>
  <c r="C15" i="42" s="1"/>
  <c r="G15" i="44"/>
  <c r="E15" i="42" s="1"/>
  <c r="I15" i="44"/>
  <c r="F15" i="42" s="1"/>
  <c r="E15" i="45"/>
  <c r="H15" i="42" s="1"/>
  <c r="E15" i="44"/>
  <c r="D15" i="42" s="1"/>
  <c r="G41" i="45"/>
  <c r="E41" i="44"/>
  <c r="D41" i="42" s="1"/>
  <c r="E41" i="45"/>
  <c r="H41" i="42" s="1"/>
  <c r="C41" i="44"/>
  <c r="C41" i="42" s="1"/>
  <c r="I41" i="44"/>
  <c r="F41" i="42" s="1"/>
  <c r="C41" i="45"/>
  <c r="G41" i="42" s="1"/>
  <c r="G41" i="44"/>
  <c r="E41" i="42" s="1"/>
  <c r="E23" i="44"/>
  <c r="D23" i="42" s="1"/>
  <c r="I23" i="44"/>
  <c r="F23" i="42" s="1"/>
  <c r="C23" i="45"/>
  <c r="G23" i="42" s="1"/>
  <c r="G23" i="44"/>
  <c r="E23" i="42" s="1"/>
  <c r="E23" i="45"/>
  <c r="H23" i="42" s="1"/>
  <c r="C23" i="44"/>
  <c r="C23" i="42" s="1"/>
  <c r="G23" i="45"/>
  <c r="G24"/>
  <c r="G24" i="44"/>
  <c r="E24" i="42" s="1"/>
  <c r="E24" i="44"/>
  <c r="D24" i="42" s="1"/>
  <c r="E24" i="45"/>
  <c r="H24" i="42" s="1"/>
  <c r="C24" i="45"/>
  <c r="G24" i="42" s="1"/>
  <c r="C24" i="44"/>
  <c r="C24" i="42" s="1"/>
  <c r="I24" i="44"/>
  <c r="F24" i="42" s="1"/>
  <c r="I20" i="44"/>
  <c r="F20" i="42" s="1"/>
  <c r="C20" i="45"/>
  <c r="G20" i="42" s="1"/>
  <c r="C20" i="44"/>
  <c r="C20" i="42" s="1"/>
  <c r="E20" i="44"/>
  <c r="D20" i="42" s="1"/>
  <c r="G20" i="45"/>
  <c r="E20"/>
  <c r="H20" i="42" s="1"/>
  <c r="G20" i="44"/>
  <c r="E20" i="42" s="1"/>
  <c r="G17" i="45"/>
  <c r="C17"/>
  <c r="G17" i="42" s="1"/>
  <c r="G17" i="44"/>
  <c r="E17" i="42" s="1"/>
  <c r="C17" i="44"/>
  <c r="C17" i="42" s="1"/>
  <c r="E17" i="44"/>
  <c r="D17" i="42" s="1"/>
  <c r="E17" i="45"/>
  <c r="H17" i="42" s="1"/>
  <c r="I17" i="44"/>
  <c r="F17" i="42" s="1"/>
  <c r="G18" i="44"/>
  <c r="E18" i="42" s="1"/>
  <c r="I18" i="44"/>
  <c r="F18" i="42" s="1"/>
  <c r="G18" i="45"/>
  <c r="C18"/>
  <c r="G18" i="42" s="1"/>
  <c r="E18" i="45"/>
  <c r="H18" i="42" s="1"/>
  <c r="E18" i="44"/>
  <c r="D18" i="42" s="1"/>
  <c r="C18" i="44"/>
  <c r="C18" i="42" s="1"/>
  <c r="C21" i="44"/>
  <c r="C21" i="42" s="1"/>
  <c r="G21" i="44"/>
  <c r="E21" i="42" s="1"/>
  <c r="C21" i="45"/>
  <c r="G21" i="42" s="1"/>
  <c r="I21" i="44"/>
  <c r="F21" i="42" s="1"/>
  <c r="E21" i="45"/>
  <c r="H21" i="42" s="1"/>
  <c r="E21" i="44"/>
  <c r="D21" i="42" s="1"/>
  <c r="G21" i="45"/>
  <c r="G45"/>
  <c r="C45" i="44"/>
  <c r="C45" i="42" s="1"/>
  <c r="E45" i="44"/>
  <c r="D45" i="42" s="1"/>
  <c r="G45" i="44"/>
  <c r="E45" i="42" s="1"/>
  <c r="E45" i="45"/>
  <c r="H45" i="42" s="1"/>
  <c r="C45" i="45"/>
  <c r="G45" i="42" s="1"/>
  <c r="I45" i="44"/>
  <c r="F45" i="42" s="1"/>
  <c r="E28" i="45"/>
  <c r="H28" i="42" s="1"/>
  <c r="C28" i="45"/>
  <c r="G28" i="42" s="1"/>
  <c r="I28" i="44"/>
  <c r="F28" i="42" s="1"/>
  <c r="G28" i="45"/>
  <c r="G28" i="44"/>
  <c r="E28" i="42" s="1"/>
  <c r="C28" i="44"/>
  <c r="C28" i="42" s="1"/>
  <c r="E28" i="44"/>
  <c r="D28" i="42" s="1"/>
  <c r="G16" i="45"/>
  <c r="G16" i="44"/>
  <c r="E16" i="42" s="1"/>
  <c r="I16" i="44"/>
  <c r="F16" i="42" s="1"/>
  <c r="E16" i="44"/>
  <c r="D16" i="42" s="1"/>
  <c r="E16" i="45"/>
  <c r="H16" i="42" s="1"/>
  <c r="C16" i="44"/>
  <c r="C16" i="42" s="1"/>
  <c r="C16" i="45"/>
  <c r="G16" i="42" s="1"/>
  <c r="C42" i="45"/>
  <c r="G42" i="42" s="1"/>
  <c r="G42" i="44"/>
  <c r="E42" i="42" s="1"/>
  <c r="E42" i="44"/>
  <c r="D42" i="42" s="1"/>
  <c r="C42" i="44"/>
  <c r="C42" i="42" s="1"/>
  <c r="I42" i="44"/>
  <c r="F42" i="42" s="1"/>
  <c r="E42" i="45"/>
  <c r="H42" i="42" s="1"/>
  <c r="G42" i="45"/>
  <c r="C25" i="44"/>
  <c r="C25" i="42" s="1"/>
  <c r="G25" i="45"/>
  <c r="I25" i="44"/>
  <c r="F25" i="42" s="1"/>
  <c r="G25" i="44"/>
  <c r="E25" i="42" s="1"/>
  <c r="C25" i="45"/>
  <c r="G25" i="42" s="1"/>
  <c r="E25" i="44"/>
  <c r="D25" i="42" s="1"/>
  <c r="E25" i="45"/>
  <c r="H25" i="42" s="1"/>
  <c r="E22" i="45"/>
  <c r="H22" i="42" s="1"/>
  <c r="C22" i="44"/>
  <c r="C22" i="42" s="1"/>
  <c r="C22" i="45"/>
  <c r="G22" i="42" s="1"/>
  <c r="G22" i="44"/>
  <c r="E22" i="42" s="1"/>
  <c r="E22" i="44"/>
  <c r="D22" i="42" s="1"/>
  <c r="I22" i="44"/>
  <c r="F22" i="42" s="1"/>
  <c r="G22" i="45"/>
  <c r="C33" i="44"/>
  <c r="C33" i="42" s="1"/>
  <c r="E33" i="45"/>
  <c r="H33" i="42" s="1"/>
  <c r="G33" i="45"/>
  <c r="G33" i="44"/>
  <c r="E33" i="42" s="1"/>
  <c r="E33" i="44"/>
  <c r="D33" i="42" s="1"/>
  <c r="I33" i="44"/>
  <c r="F33" i="42" s="1"/>
  <c r="C33" i="45"/>
  <c r="G33" i="42" s="1"/>
  <c r="G34" i="45"/>
  <c r="G34" i="44"/>
  <c r="E34" i="42" s="1"/>
  <c r="I34" i="44"/>
  <c r="F34" i="42" s="1"/>
  <c r="C34" i="44"/>
  <c r="C34" i="42" s="1"/>
  <c r="E34" i="44"/>
  <c r="D34" i="42" s="1"/>
  <c r="E34" i="45"/>
  <c r="H34" i="42" s="1"/>
  <c r="C34" i="45"/>
  <c r="G34" i="42" s="1"/>
  <c r="I20" i="43"/>
  <c r="B20" i="42" s="1"/>
  <c r="I17" i="43"/>
  <c r="B17" i="42" s="1"/>
  <c r="I29" i="43"/>
  <c r="B29" i="42" s="1"/>
  <c r="I45" i="43"/>
  <c r="B45" i="42" s="1"/>
  <c r="J13" l="1"/>
  <c r="J43"/>
  <c r="J33"/>
  <c r="J18"/>
  <c r="J23"/>
  <c r="J15"/>
  <c r="J37"/>
  <c r="J31"/>
  <c r="J35"/>
  <c r="J19"/>
  <c r="J32"/>
  <c r="J30"/>
  <c r="J40"/>
  <c r="J44"/>
  <c r="J27"/>
  <c r="J14"/>
  <c r="J16"/>
  <c r="J21"/>
  <c r="J36"/>
  <c r="J38"/>
  <c r="J46"/>
  <c r="J26"/>
  <c r="J12"/>
  <c r="J34"/>
  <c r="J45"/>
  <c r="J22"/>
  <c r="J25"/>
  <c r="J42"/>
  <c r="J28"/>
  <c r="J24"/>
  <c r="J41"/>
  <c r="H11" i="43"/>
  <c r="F48"/>
  <c r="J29" i="42"/>
  <c r="J39"/>
  <c r="J20"/>
  <c r="J17"/>
  <c r="H48" i="43" l="1"/>
  <c r="I11" i="45"/>
  <c r="C11" i="44" l="1"/>
  <c r="C11" i="42" s="1"/>
  <c r="E11" i="44"/>
  <c r="D11" i="42" s="1"/>
  <c r="G11" i="44"/>
  <c r="E11" i="42" s="1"/>
  <c r="I48" i="45"/>
  <c r="I11" i="44"/>
  <c r="F11" i="42" s="1"/>
  <c r="C11" i="45"/>
  <c r="G11" i="42" s="1"/>
  <c r="G11" i="45"/>
  <c r="E11"/>
  <c r="H11" i="42" s="1"/>
  <c r="I11" i="43"/>
  <c r="B11" i="42" s="1"/>
  <c r="J11" l="1"/>
  <c r="G48" i="45"/>
  <c r="E48" i="44"/>
  <c r="D48" i="42" s="1"/>
  <c r="L13" s="1"/>
  <c r="C48" i="45"/>
  <c r="G48" i="42" s="1"/>
  <c r="L16" s="1"/>
  <c r="E48" i="45"/>
  <c r="H48" i="42" s="1"/>
  <c r="L17" s="1"/>
  <c r="C48" i="44"/>
  <c r="C48" i="42" s="1"/>
  <c r="L12" s="1"/>
  <c r="V12" i="2"/>
  <c r="X12" s="1"/>
  <c r="G48" i="44"/>
  <c r="E48" i="42" s="1"/>
  <c r="L14" s="1"/>
  <c r="I48" i="44"/>
  <c r="F48" i="42" s="1"/>
  <c r="L15" s="1"/>
  <c r="I48" i="43"/>
  <c r="B48" i="42" s="1"/>
  <c r="J48" l="1"/>
  <c r="L11"/>
  <c r="L19" s="1"/>
</calcChain>
</file>

<file path=xl/comments1.xml><?xml version="1.0" encoding="utf-8"?>
<comments xmlns="http://schemas.openxmlformats.org/spreadsheetml/2006/main">
  <authors>
    <author>GPizzaro</author>
  </authors>
  <commentList>
    <comment ref="J8" authorId="0">
      <text>
        <r>
          <rPr>
            <b/>
            <sz val="8"/>
            <color indexed="81"/>
            <rFont val="Tahoma"/>
            <family val="2"/>
          </rPr>
          <t>GPizzaro:</t>
        </r>
        <r>
          <rPr>
            <sz val="8"/>
            <color indexed="81"/>
            <rFont val="Tahoma"/>
            <family val="2"/>
          </rPr>
          <t xml:space="preserve">
Portioned assessment come from W:\Edusfb\Total School Assessment\YYYY F assessment.</t>
        </r>
      </text>
    </comment>
    <comment ref="H16" authorId="0">
      <text>
        <r>
          <rPr>
            <b/>
            <sz val="8"/>
            <color indexed="81"/>
            <rFont val="Tahoma"/>
            <family val="2"/>
          </rPr>
          <t>GPizzaro:</t>
        </r>
        <r>
          <rPr>
            <sz val="8"/>
            <color indexed="81"/>
            <rFont val="Tahoma"/>
            <family val="2"/>
          </rPr>
          <t xml:space="preserve">
Take it from the folder</t>
        </r>
      </text>
    </comment>
  </commentList>
</comments>
</file>

<file path=xl/sharedStrings.xml><?xml version="1.0" encoding="utf-8"?>
<sst xmlns="http://schemas.openxmlformats.org/spreadsheetml/2006/main" count="2916" uniqueCount="612">
  <si>
    <t>PAGE 1 OF 3</t>
  </si>
  <si>
    <t xml:space="preserve"> </t>
  </si>
  <si>
    <t>PAGE 2 OF 3</t>
  </si>
  <si>
    <t>PAGE 3 OF 3</t>
  </si>
  <si>
    <t>PAGE 1 OF 2</t>
  </si>
  <si>
    <t xml:space="preserve">PAGE 2 OF 2 </t>
  </si>
  <si>
    <t xml:space="preserve"> FUNCTION 100: REGULAR INSTRUCTION</t>
  </si>
  <si>
    <t xml:space="preserve"> FUNCTION 400: COMMUNITY EDUCATION AND SERVICES</t>
  </si>
  <si>
    <t xml:space="preserve"> FUNCTION 700: TRANSPORTATION OF PUPILS</t>
  </si>
  <si>
    <t xml:space="preserve"> FUNCTION 800: OPERATIONS AND MAINTENANCE</t>
  </si>
  <si>
    <t xml:space="preserve"> FUNCTION 900: FISCAL</t>
  </si>
  <si>
    <t>REGULAR TRANSPORTATION</t>
  </si>
  <si>
    <t>ADMINISTRATION, REGULAR AND OTHER</t>
  </si>
  <si>
    <t xml:space="preserve">TOTAL </t>
  </si>
  <si>
    <t>ADMINISTRATION</t>
  </si>
  <si>
    <t>ENGLISH LANGUAGE</t>
  </si>
  <si>
    <t>FRANÇAIS</t>
  </si>
  <si>
    <t>FRENCH IMMERSION</t>
  </si>
  <si>
    <t>BOARD OF TRUSTEES</t>
  </si>
  <si>
    <t>OTHER</t>
  </si>
  <si>
    <t>SCHOOL BUILDINGS</t>
  </si>
  <si>
    <t>REGULAR INSTRUCTION</t>
  </si>
  <si>
    <t>COMMUNITY EDUCATION</t>
  </si>
  <si>
    <t>MAINTENANCE</t>
  </si>
  <si>
    <t>FISCAL</t>
  </si>
  <si>
    <t>TOTAL</t>
  </si>
  <si>
    <t>(PROGRAM 720)</t>
  </si>
  <si>
    <t>(PROGRAMS 710, 720 AND 790)</t>
  </si>
  <si>
    <t>EXPENDITURES</t>
  </si>
  <si>
    <t>REGULAR</t>
  </si>
  <si>
    <t>OTHER BUILDINGS</t>
  </si>
  <si>
    <t>GROUNDS</t>
  </si>
  <si>
    <t>DEBT SERVICES</t>
  </si>
  <si>
    <t>ENGLISH</t>
  </si>
  <si>
    <t>EDUCATION</t>
  </si>
  <si>
    <t xml:space="preserve">    TRANSFERS BY FUNCTION</t>
  </si>
  <si>
    <t>AREA</t>
  </si>
  <si>
    <t xml:space="preserve"> DIVISION / DISTRICT</t>
  </si>
  <si>
    <t>AMOUNT</t>
  </si>
  <si>
    <t>%</t>
  </si>
  <si>
    <t xml:space="preserve">PER PUPIL </t>
  </si>
  <si>
    <t>RECHARGE</t>
  </si>
  <si>
    <t>TRANSFERS</t>
  </si>
  <si>
    <t>TOTAL PORTIONED ASSESSMENT, SPECIAL LEVY AND MILL RATES</t>
  </si>
  <si>
    <t>DATE:</t>
  </si>
  <si>
    <t>PROVINCIAL GOVERNMENT</t>
  </si>
  <si>
    <t>BASE SUPPORT</t>
  </si>
  <si>
    <t>CATEGORICAL SUPPORT</t>
  </si>
  <si>
    <t>PRIVATE</t>
  </si>
  <si>
    <t>% OF OPERATING FUND REVENUES</t>
  </si>
  <si>
    <t>FEDERAL</t>
  </si>
  <si>
    <t>MUNICIPAL</t>
  </si>
  <si>
    <t>GOVERNMENTS</t>
  </si>
  <si>
    <t>PROVINCIAL</t>
  </si>
  <si>
    <t>FIRST NATIONS</t>
  </si>
  <si>
    <t>REVENUE</t>
  </si>
  <si>
    <t>MINING</t>
  </si>
  <si>
    <t>OCCUPANCY</t>
  </si>
  <si>
    <t>SERVICES</t>
  </si>
  <si>
    <t>EQUIPMENT</t>
  </si>
  <si>
    <t xml:space="preserve">OTHER  </t>
  </si>
  <si>
    <t>SPECIAL LEVY</t>
  </si>
  <si>
    <t>OTHER DIVISIONS</t>
  </si>
  <si>
    <t>OBJECT</t>
  </si>
  <si>
    <t>SALARIES</t>
  </si>
  <si>
    <t>TOTALS</t>
  </si>
  <si>
    <t>COMMUNITY EDUCATION &amp; SERVICES</t>
  </si>
  <si>
    <t>TRANSPORTATION OF PUPILS</t>
  </si>
  <si>
    <t>OPERATIONS AND MAINTENANCE</t>
  </si>
  <si>
    <t>PAGE 2 OF 2</t>
  </si>
  <si>
    <t>FUNCTION</t>
  </si>
  <si>
    <t>INSTRUCTION</t>
  </si>
  <si>
    <t>EMPLOYEE BENEFITS AND ALLOWANCES</t>
  </si>
  <si>
    <t>FRAME STUDENT STATISTICS</t>
  </si>
  <si>
    <t xml:space="preserve">PAGE 1 OF 2 </t>
  </si>
  <si>
    <t>%  IN DUAL TRACK SCHOOLS</t>
  </si>
  <si>
    <t>SUPPLEMENTARY DATA FOR FRAME REPORT</t>
  </si>
  <si>
    <t>CHECK</t>
  </si>
  <si>
    <t>ENROLMENTS - HEADCOUNT, FRAME AND ELIGIBLE</t>
  </si>
  <si>
    <t>FRAME PUPIL / TEACHER RATIOS</t>
  </si>
  <si>
    <t>PUPIL / TEACHER RATIOS</t>
  </si>
  <si>
    <t>INSURANCE</t>
  </si>
  <si>
    <t>EMPLOYEE BENEFITS</t>
  </si>
  <si>
    <t>SUPPLIES &amp; MATERIALS</t>
  </si>
  <si>
    <t>OPERATIONS &amp; MAINTENANCE</t>
  </si>
  <si>
    <t>INSTRUCTIONAL &amp; PUPIL SUPPORT SERVICES</t>
  </si>
  <si>
    <t>DIVISIONAL ADMINISTRATION</t>
  </si>
  <si>
    <t xml:space="preserve"> FUNCTION 500: DIVISIONAL ADMINISTRATION</t>
  </si>
  <si>
    <t xml:space="preserve">N/A </t>
  </si>
  <si>
    <t>(1)</t>
  </si>
  <si>
    <t>- 10 -</t>
  </si>
  <si>
    <t>STATISTICAL SUMMARY</t>
  </si>
  <si>
    <t>PAGE 1 OF 5</t>
  </si>
  <si>
    <t>PAGE 2 OF 5</t>
  </si>
  <si>
    <t>PAGE 3 OF 5</t>
  </si>
  <si>
    <t>PAGE 4 OF 5</t>
  </si>
  <si>
    <t>PAGE 5 OF 5</t>
  </si>
  <si>
    <t>PROGRAMS</t>
  </si>
  <si>
    <t>YEAR</t>
  </si>
  <si>
    <t>(Grants-</t>
  </si>
  <si>
    <t>in-Lieu)</t>
  </si>
  <si>
    <t>ADULT LEARNING CENTRES</t>
  </si>
  <si>
    <t>- 13 -</t>
  </si>
  <si>
    <t>- 12 -</t>
  </si>
  <si>
    <t>INSTRUCTIONAL</t>
  </si>
  <si>
    <t>FUNDING OF SCHOOLS PROGRAM (CONT'D)</t>
  </si>
  <si>
    <t>FUNDING OF SCHOOLS PROGRAM</t>
  </si>
  <si>
    <t>REPAIRS</t>
  </si>
  <si>
    <t xml:space="preserve"> BEAUTIFUL PLAINS</t>
  </si>
  <si>
    <t xml:space="preserve"> BORDER LAND</t>
  </si>
  <si>
    <t xml:space="preserve"> BRANDON</t>
  </si>
  <si>
    <t xml:space="preserve"> EVERGREEN</t>
  </si>
  <si>
    <t xml:space="preserve"> FLIN FLON</t>
  </si>
  <si>
    <t xml:space="preserve"> FORT LA BOSSE</t>
  </si>
  <si>
    <t xml:space="preserve"> FRONTIER</t>
  </si>
  <si>
    <t xml:space="preserve"> GARDEN VALLEY</t>
  </si>
  <si>
    <t xml:space="preserve"> HANOVER</t>
  </si>
  <si>
    <t xml:space="preserve"> INTERLAKE</t>
  </si>
  <si>
    <t xml:space="preserve"> KELSEY</t>
  </si>
  <si>
    <t xml:space="preserve"> LAKESHORE</t>
  </si>
  <si>
    <t xml:space="preserve"> LORD SELKIRK</t>
  </si>
  <si>
    <t xml:space="preserve"> LOUIS RIEL</t>
  </si>
  <si>
    <t xml:space="preserve"> MOUNTAIN VIEW</t>
  </si>
  <si>
    <t xml:space="preserve"> MYSTERY LAKE</t>
  </si>
  <si>
    <t xml:space="preserve"> PARK WEST</t>
  </si>
  <si>
    <t xml:space="preserve"> PEMBINA TRAILS</t>
  </si>
  <si>
    <t xml:space="preserve"> PINE CREEK</t>
  </si>
  <si>
    <t xml:space="preserve"> PORTAGE LA PRAIRIE</t>
  </si>
  <si>
    <t xml:space="preserve"> PRAIRIE ROSE</t>
  </si>
  <si>
    <t xml:space="preserve"> PRAIRIE SPIRIT</t>
  </si>
  <si>
    <t xml:space="preserve"> RED RIVER VALLEY</t>
  </si>
  <si>
    <t xml:space="preserve"> RIVER EAST TRANSCONA</t>
  </si>
  <si>
    <t xml:space="preserve"> ROLLING RIVER</t>
  </si>
  <si>
    <t xml:space="preserve"> SEINE RIVER</t>
  </si>
  <si>
    <t xml:space="preserve"> SEVEN OAKS</t>
  </si>
  <si>
    <t xml:space="preserve"> SOUTHWEST HORIZON</t>
  </si>
  <si>
    <t xml:space="preserve"> ST. JAMES-ASSINIBOIA</t>
  </si>
  <si>
    <t xml:space="preserve"> SUNRISE</t>
  </si>
  <si>
    <t xml:space="preserve"> SWAN VALLEY</t>
  </si>
  <si>
    <t xml:space="preserve"> TURTLE MOUNTAIN</t>
  </si>
  <si>
    <t xml:space="preserve"> TURTLE RIVER</t>
  </si>
  <si>
    <t xml:space="preserve"> WESTERN</t>
  </si>
  <si>
    <t xml:space="preserve"> WINNIPEG</t>
  </si>
  <si>
    <t xml:space="preserve"> PROVINCE</t>
  </si>
  <si>
    <t xml:space="preserve"> WHITESHELL</t>
  </si>
  <si>
    <t xml:space="preserve"> L.G.D. OF PINAWA</t>
  </si>
  <si>
    <t xml:space="preserve"> NOT IN ANY DIVISION</t>
  </si>
  <si>
    <t xml:space="preserve"> DIVISION/DISTRICT TOTAL</t>
  </si>
  <si>
    <t xml:space="preserve">CO. </t>
  </si>
  <si>
    <t>DIVISION/DISTRICT</t>
  </si>
  <si>
    <t>BE</t>
  </si>
  <si>
    <t>BO</t>
  </si>
  <si>
    <t>BR</t>
  </si>
  <si>
    <t>DI</t>
  </si>
  <si>
    <t>EV</t>
  </si>
  <si>
    <t>FL</t>
  </si>
  <si>
    <t>FO</t>
  </si>
  <si>
    <t>FR</t>
  </si>
  <si>
    <t>GA</t>
  </si>
  <si>
    <t>HA</t>
  </si>
  <si>
    <t>IN</t>
  </si>
  <si>
    <t>KE</t>
  </si>
  <si>
    <t>LA</t>
  </si>
  <si>
    <t>LO</t>
  </si>
  <si>
    <t>LR</t>
  </si>
  <si>
    <t>MO</t>
  </si>
  <si>
    <t>MY</t>
  </si>
  <si>
    <t>PA</t>
  </si>
  <si>
    <t>PE</t>
  </si>
  <si>
    <t>PI</t>
  </si>
  <si>
    <t>PO</t>
  </si>
  <si>
    <t>PR</t>
  </si>
  <si>
    <t>PS</t>
  </si>
  <si>
    <t>RE</t>
  </si>
  <si>
    <t>RI</t>
  </si>
  <si>
    <t>RO</t>
  </si>
  <si>
    <t>SE</t>
  </si>
  <si>
    <t>SO</t>
  </si>
  <si>
    <t>SR</t>
  </si>
  <si>
    <t>ST</t>
  </si>
  <si>
    <t>SU</t>
  </si>
  <si>
    <t>SW</t>
  </si>
  <si>
    <t>TM</t>
  </si>
  <si>
    <t>TR</t>
  </si>
  <si>
    <t>WE</t>
  </si>
  <si>
    <t>WI</t>
  </si>
  <si>
    <t>WT</t>
  </si>
  <si>
    <t>XW</t>
  </si>
  <si>
    <t>LIABILITY</t>
  </si>
  <si>
    <t>SELF-FUNDED</t>
  </si>
  <si>
    <t xml:space="preserve"> FUNCTION 300: ADULT LEARNING CENTRES</t>
  </si>
  <si>
    <t>LOCAL TAXATION AND ASSESSMENT PER RESIDENT PUPIL</t>
  </si>
  <si>
    <t xml:space="preserve">  TRUSTEES REMUNERATION</t>
  </si>
  <si>
    <t xml:space="preserve">  EXECUTIVE MANAGERIAL, &amp; SUPERVISORY</t>
  </si>
  <si>
    <t xml:space="preserve">  INSTRUCTIONAL - TEACHING</t>
  </si>
  <si>
    <t xml:space="preserve">  INSTRUCTIONAL - OTHER</t>
  </si>
  <si>
    <t xml:space="preserve">  TECHNICAL, SPECIALIZED AND SERVICE</t>
  </si>
  <si>
    <t xml:space="preserve">  SECRETARIAL, CLERICAL AND OTHER</t>
  </si>
  <si>
    <t xml:space="preserve">  CLINICIAN</t>
  </si>
  <si>
    <t xml:space="preserve">  INFORMATION TECHNOLOGY</t>
  </si>
  <si>
    <t xml:space="preserve">  TOTAL SALARIES</t>
  </si>
  <si>
    <t xml:space="preserve">  PROFESSIONAL, TECHNICAL &amp; SPECIALIZED</t>
  </si>
  <si>
    <t xml:space="preserve">  COMMUNICATIONS</t>
  </si>
  <si>
    <t xml:space="preserve">  UTILITY SERVICES</t>
  </si>
  <si>
    <t xml:space="preserve">  TRANSPORTATION OF PUPILS</t>
  </si>
  <si>
    <t xml:space="preserve">  TUITION</t>
  </si>
  <si>
    <t xml:space="preserve">  PRINTING AND BINDING</t>
  </si>
  <si>
    <t xml:space="preserve">  INSURANCE AND BOND PREMIUMS</t>
  </si>
  <si>
    <t xml:space="preserve">  MAINTENANCE AND REPAIR SERVICES</t>
  </si>
  <si>
    <t xml:space="preserve">  RENTALS</t>
  </si>
  <si>
    <t xml:space="preserve">  ADVERTISING</t>
  </si>
  <si>
    <t xml:space="preserve">  DUES AND FEES</t>
  </si>
  <si>
    <t xml:space="preserve">  PROFESSIONAL AND STAFF DEVELOPMENT</t>
  </si>
  <si>
    <t xml:space="preserve">  INFORMATION TECHNOLOGY SERVICES</t>
  </si>
  <si>
    <t xml:space="preserve">  TOTAL SERVICES</t>
  </si>
  <si>
    <t>SUPPLIES AND EQUIPMENT</t>
  </si>
  <si>
    <t xml:space="preserve">  SUPPLIES</t>
  </si>
  <si>
    <t xml:space="preserve">  CURRICULAR AND MEDIA MATERIALS</t>
  </si>
  <si>
    <t xml:space="preserve">  MINOR EQUIPMENT</t>
  </si>
  <si>
    <t xml:space="preserve">  INFORMATION TECHNOLOGY EQUIPMENT</t>
  </si>
  <si>
    <t xml:space="preserve">  TOTAL SUPPLIES AND EQUIPMENT</t>
  </si>
  <si>
    <t xml:space="preserve">  DEBT SERVICES</t>
  </si>
  <si>
    <t xml:space="preserve">  OTHER GOVERNMENT AUTHORITIES</t>
  </si>
  <si>
    <t xml:space="preserve">  TOTAL TRANSFERS</t>
  </si>
  <si>
    <t>PROVINCE</t>
  </si>
  <si>
    <t>ADMIN. COSTS</t>
  </si>
  <si>
    <t>PAGE 1 0F 2</t>
  </si>
  <si>
    <t>PAGE 2 0F 2</t>
  </si>
  <si>
    <t>CALCULATION OF EXPENDITURE BASE AND ADMINISTRATION PERCENTAGE</t>
  </si>
  <si>
    <t>ACTUAL AND ESTIMATES AS OF SEPTEMBER 30</t>
  </si>
  <si>
    <t>(2)</t>
  </si>
  <si>
    <r>
      <t xml:space="preserve">SINGLE TRACK </t>
    </r>
    <r>
      <rPr>
        <b/>
        <vertAlign val="superscript"/>
        <sz val="9"/>
        <rFont val="Arial"/>
        <family val="2"/>
      </rPr>
      <t>(1)</t>
    </r>
  </si>
  <si>
    <r>
      <t xml:space="preserve">DUAL TRACK </t>
    </r>
    <r>
      <rPr>
        <b/>
        <vertAlign val="superscript"/>
        <sz val="9"/>
        <rFont val="Arial"/>
        <family val="2"/>
      </rPr>
      <t>(2)</t>
    </r>
  </si>
  <si>
    <r>
      <t xml:space="preserve">HEADCOUNT </t>
    </r>
    <r>
      <rPr>
        <b/>
        <vertAlign val="superscript"/>
        <sz val="9"/>
        <rFont val="Arial"/>
        <family val="2"/>
      </rPr>
      <t>(1)</t>
    </r>
  </si>
  <si>
    <r>
      <t xml:space="preserve">FRAME </t>
    </r>
    <r>
      <rPr>
        <b/>
        <vertAlign val="superscript"/>
        <sz val="9"/>
        <rFont val="Arial"/>
        <family val="2"/>
      </rPr>
      <t>(2)</t>
    </r>
  </si>
  <si>
    <r>
      <t xml:space="preserve">ELIGIBLE </t>
    </r>
    <r>
      <rPr>
        <b/>
        <vertAlign val="superscript"/>
        <sz val="9"/>
        <rFont val="Arial"/>
        <family val="2"/>
      </rPr>
      <t>(3)</t>
    </r>
  </si>
  <si>
    <t xml:space="preserve"> FUNCTION 800: (CONT'D)</t>
  </si>
  <si>
    <t xml:space="preserve"> FUNCTION 700: TRANSPORTATION (CONT'D)</t>
  </si>
  <si>
    <t xml:space="preserve"> FUNCTION 500: (CONT'D)</t>
  </si>
  <si>
    <t xml:space="preserve"> FUNCTION 100: REGULAR INSTRUCTION (CONT'D)</t>
  </si>
  <si>
    <r>
      <t xml:space="preserve">DUAL TRACK SCHOOLS </t>
    </r>
    <r>
      <rPr>
        <b/>
        <vertAlign val="superscript"/>
        <sz val="9"/>
        <rFont val="Arial"/>
        <family val="2"/>
      </rPr>
      <t>(1)</t>
    </r>
  </si>
  <si>
    <r>
      <t xml:space="preserve">SINGLE TRACK SCHOOLS </t>
    </r>
    <r>
      <rPr>
        <b/>
        <vertAlign val="superscript"/>
        <sz val="9"/>
        <rFont val="Arial"/>
        <family val="2"/>
      </rPr>
      <t>(1)</t>
    </r>
  </si>
  <si>
    <t xml:space="preserve">  TRAVEL AND MEETINGS</t>
  </si>
  <si>
    <t xml:space="preserve"> FUNCTION 200: STUDENT SUPPORT SERVICES</t>
  </si>
  <si>
    <t xml:space="preserve"> FUNCTION 200: STUDENT SUPPORT SERVICES (CONT'D)</t>
  </si>
  <si>
    <t>STUDENT SUPPORT SERVICES</t>
  </si>
  <si>
    <r>
      <t xml:space="preserve">  RECHARGE </t>
    </r>
    <r>
      <rPr>
        <vertAlign val="superscript"/>
        <sz val="9"/>
        <rFont val="Arial"/>
        <family val="2"/>
      </rPr>
      <t>(1)</t>
    </r>
  </si>
  <si>
    <t>Reallocation of school building costs associated with Adult Learning Centre operations to Function 300</t>
  </si>
  <si>
    <t xml:space="preserve">  PROPERTY TAXES</t>
  </si>
  <si>
    <t>INSTRUCTIONAL AND OTHER SUPPORT SERVICES</t>
  </si>
  <si>
    <t xml:space="preserve"> FUNCTION 600: INSTRUCTIONAL &amp; OTHER SUPPORT SERVICES</t>
  </si>
  <si>
    <t xml:space="preserve"> FUNCTION 600: INSTRUCTIONAL &amp; OTHER SUPPORT SERVICES (CONT'D)</t>
  </si>
  <si>
    <t>OPERATING FUND EXPENSE PER PUPIL</t>
  </si>
  <si>
    <r>
      <t xml:space="preserve">EXPENSES </t>
    </r>
    <r>
      <rPr>
        <b/>
        <vertAlign val="superscript"/>
        <sz val="10"/>
        <rFont val="Arial"/>
        <family val="2"/>
      </rPr>
      <t xml:space="preserve">(1)    </t>
    </r>
    <r>
      <rPr>
        <b/>
        <sz val="9"/>
        <rFont val="Arial"/>
        <family val="2"/>
      </rPr>
      <t xml:space="preserve">                                               </t>
    </r>
  </si>
  <si>
    <t>RECONCILIATION  OF  EXPENSES</t>
  </si>
  <si>
    <t>EXPENSE BY FUNCTION AND OBJECT</t>
  </si>
  <si>
    <t xml:space="preserve">  BAD DEBT EXPENSE</t>
  </si>
  <si>
    <r>
      <t xml:space="preserve"> INFORMATION TECHNOLOGY EXPENSES  </t>
    </r>
    <r>
      <rPr>
        <b/>
        <vertAlign val="superscript"/>
        <sz val="9"/>
        <rFont val="Arial"/>
        <family val="2"/>
      </rPr>
      <t>(1)</t>
    </r>
  </si>
  <si>
    <t>ANALYSIS OF EXPENSE BY PROGRAM</t>
  </si>
  <si>
    <t>ANALYSIS OF  TRANSPORTATION EXPENSES</t>
  </si>
  <si>
    <t>ANALYSIS OF  TRANSPORTATION EXPENSES (CONT'D)</t>
  </si>
  <si>
    <t xml:space="preserve"> ANALYSIS OF OPERATIONS AND MAINTENANCE EXPENSES FOR SCHOOL BUILDINGS</t>
  </si>
  <si>
    <t>ANALYSIS OF EXPENSE BY FUNCTION</t>
  </si>
  <si>
    <t>EXPENSE BY 2ND LEVEL OBJECT</t>
  </si>
  <si>
    <t>AS A PERCENTAGE OF TOTAL OPERATING FUND EXPENSES</t>
  </si>
  <si>
    <t xml:space="preserve"> DIVISION/DISTRICT</t>
  </si>
  <si>
    <t>FORT LA BOSSE</t>
  </si>
  <si>
    <t>FRONTIER</t>
  </si>
  <si>
    <t>GARDEN VALLEY</t>
  </si>
  <si>
    <t>HANOVER</t>
  </si>
  <si>
    <t>INTERLAKE</t>
  </si>
  <si>
    <t>KELSEY</t>
  </si>
  <si>
    <t>LAKESHORE</t>
  </si>
  <si>
    <t>LORD SELKIRK</t>
  </si>
  <si>
    <t>LOUIS RIEL</t>
  </si>
  <si>
    <t>MOUNTAIN VIEW</t>
  </si>
  <si>
    <t>MYSTERY LAKE</t>
  </si>
  <si>
    <t>PARK WEST</t>
  </si>
  <si>
    <t>PEMBINA TRAILS</t>
  </si>
  <si>
    <t>PINE CREEK</t>
  </si>
  <si>
    <t>PORTAGE LA PRAIRIE</t>
  </si>
  <si>
    <t>PRAIRIE ROSE</t>
  </si>
  <si>
    <t>PRAIRIE SPIRIT</t>
  </si>
  <si>
    <t>RED RIVER VALLEY</t>
  </si>
  <si>
    <t>RIVER EAST TRANSCONA</t>
  </si>
  <si>
    <t>ROLLING RIVER</t>
  </si>
  <si>
    <t>SEINE RIVER</t>
  </si>
  <si>
    <t>SEVEN OAKS</t>
  </si>
  <si>
    <t>SOUTHWEST HORIZON</t>
  </si>
  <si>
    <t>ST. JAMES-ASSINIBOIA</t>
  </si>
  <si>
    <t>SUNRISE</t>
  </si>
  <si>
    <t>SWAN VALLEY</t>
  </si>
  <si>
    <t>TURTLE MOUNTAIN</t>
  </si>
  <si>
    <t>TURTLE RIVER</t>
  </si>
  <si>
    <t>WESTERN</t>
  </si>
  <si>
    <t>WINNIPEG</t>
  </si>
  <si>
    <t>WHITESHELL</t>
  </si>
  <si>
    <t xml:space="preserve">  RECHARGE</t>
  </si>
  <si>
    <r>
      <t xml:space="preserve">OTHER </t>
    </r>
    <r>
      <rPr>
        <b/>
        <vertAlign val="superscript"/>
        <sz val="9"/>
        <rFont val="Arial"/>
        <family val="2"/>
      </rPr>
      <t>(1)</t>
    </r>
  </si>
  <si>
    <t>TOTAL PORTIONED ASSESSMENT</t>
  </si>
  <si>
    <t>NET SPECIAL LEVY</t>
  </si>
  <si>
    <t xml:space="preserve">  EXECUTIVE, MANAGERIAL
 AND SUPERVISORY</t>
  </si>
  <si>
    <t xml:space="preserve"> TECHNICAL, 
SPECIALIZED AND SERVICE</t>
  </si>
  <si>
    <t>SECRETARIAL 
CLERICAL
 AND OTHER</t>
  </si>
  <si>
    <r>
      <t xml:space="preserve">  
  IT  </t>
    </r>
    <r>
      <rPr>
        <b/>
        <vertAlign val="superscript"/>
        <sz val="11"/>
        <rFont val="Arial"/>
        <family val="2"/>
      </rPr>
      <t>(3)</t>
    </r>
  </si>
  <si>
    <t>ANALYSIS OF INFORMATION TECHNOLOGY EXPENSES</t>
  </si>
  <si>
    <r>
      <t>PROVINCIAL</t>
    </r>
    <r>
      <rPr>
        <vertAlign val="superscript"/>
        <sz val="9"/>
        <rFont val="Arial"/>
        <family val="2"/>
      </rPr>
      <t>(1)</t>
    </r>
  </si>
  <si>
    <t>DIRECT SUPPORT TO PUPILS</t>
  </si>
  <si>
    <t>PER PUPIL</t>
  </si>
  <si>
    <t xml:space="preserve">% of Total Expense </t>
  </si>
  <si>
    <t>Control</t>
  </si>
  <si>
    <t>Total expenses</t>
  </si>
  <si>
    <t>Frame</t>
  </si>
  <si>
    <t>tables budget</t>
  </si>
  <si>
    <t>Variance</t>
  </si>
  <si>
    <t>Budget Table</t>
  </si>
  <si>
    <t>Total Revenues</t>
  </si>
  <si>
    <t>SENIOR YEARS tech</t>
  </si>
  <si>
    <t>Total Reg. Instruct..</t>
  </si>
  <si>
    <t xml:space="preserve"> DSFM</t>
  </si>
  <si>
    <t>NET TRANSFERS TO/(FROM) CAPITAL FUND</t>
  </si>
  <si>
    <t>(2)  Provided in recognition of the higher costs associated with sparsely populated rural and northern divisions.</t>
  </si>
  <si>
    <t>(1)  Includes vehicle support for school buses.</t>
  </si>
  <si>
    <t>(2)  For a definition of Divisional Administration, see expense definitions, page iii.</t>
  </si>
  <si>
    <t>(3)  Information Technology.</t>
  </si>
  <si>
    <t>(1)  From page 4 (for more information, see page 4).</t>
  </si>
  <si>
    <t>(2)  From page 9 (for more information, see page 9).</t>
  </si>
  <si>
    <t>(1)  Total operating expenses as reported on the Schedule of Revenues and Expenses in each school division's budget.</t>
  </si>
  <si>
    <t>(2)  Operating fund transfers are payments to other school divisions, organizations and individuals.  These are removed to provide more accurate</t>
  </si>
  <si>
    <t>(3)  As reported on pages 10 and 13 (on a provincial basis).</t>
  </si>
  <si>
    <t>(4)  Expenses for Adult Learning Centres and Community Education and Services (Functions 300 and 400).</t>
  </si>
  <si>
    <t>(5)  As reported on page 4.</t>
  </si>
  <si>
    <t>(2)  Mill rates for Flin Flon and Mystery Lake are adjusted for mining revenue.</t>
  </si>
  <si>
    <t>(1)  Includes transfers to bus reserves and other capital reserves.</t>
  </si>
  <si>
    <t>(1)  See appendix for more detail.</t>
  </si>
  <si>
    <t>(5)  Includes revenue from other provincial government departments.</t>
  </si>
  <si>
    <t>(1)  Excludes information technology expenses in Function 300 (Adult Learning Centres) and Function 400 (Community Education and Services).</t>
  </si>
  <si>
    <t>(2)  Square footage (as per note above) divided by total F.T.E. enrolment (from page 7).</t>
  </si>
  <si>
    <t>(1)  No one language program comprises 90% or more of Regular Instruction enrolment.</t>
  </si>
  <si>
    <t>(1)  90% or more of Regular Instruction enrolment is in one language.</t>
  </si>
  <si>
    <t>(1)  Pupils taught in schools, whether or not they are counted for grant purposes.</t>
  </si>
  <si>
    <t>(1)  90% or more of Regular Instruction enrolment is in one language program.</t>
  </si>
  <si>
    <t>(2)  No one language program comprises 90% or more of Regular Instruction enrolment.</t>
  </si>
  <si>
    <r>
      <t xml:space="preserve"> 
 CLINICIAN</t>
    </r>
    <r>
      <rPr>
        <b/>
        <vertAlign val="superscript"/>
        <sz val="11"/>
        <rFont val="Arial"/>
        <family val="2"/>
      </rPr>
      <t xml:space="preserve"> (2)</t>
    </r>
  </si>
  <si>
    <t xml:space="preserve"> TEACHING</t>
  </si>
  <si>
    <r>
      <t xml:space="preserve">REGULAR INSTRUCTION </t>
    </r>
    <r>
      <rPr>
        <b/>
        <vertAlign val="superscript"/>
        <sz val="9"/>
        <rFont val="Arial"/>
        <family val="2"/>
      </rPr>
      <t>(1)</t>
    </r>
  </si>
  <si>
    <t>Replace</t>
  </si>
  <si>
    <t>Before click replace select the range you want.</t>
  </si>
  <si>
    <t>This</t>
  </si>
  <si>
    <t>into</t>
  </si>
  <si>
    <t>Per Funded</t>
  </si>
  <si>
    <t>Resident</t>
  </si>
  <si>
    <t>Pupil &lt; 21</t>
  </si>
  <si>
    <t>N/A</t>
  </si>
  <si>
    <t>(4)  Includes School Buildings "D" Support, Technology Education Equipment and other minor capital support.</t>
  </si>
  <si>
    <t>(2)  Includes clinicians contracted/outsourced/private or employed by other divisions on a full time equivalent basis.</t>
  </si>
  <si>
    <t xml:space="preserve">      </t>
  </si>
  <si>
    <t>(1)  All other categorical support not shown elsewhere (eg. Aboriginal and International Languages, Northern Allowance, etc.).</t>
  </si>
  <si>
    <t>Prev. Year</t>
  </si>
  <si>
    <t>14b_PROV.xlsm</t>
  </si>
  <si>
    <t>(4)  Includes other miscellaneous support (Institutional Programs, Nursing Supports, General Support Grant, Smaller Classes Initiative, etc.).</t>
  </si>
  <si>
    <t>+</t>
  </si>
  <si>
    <t xml:space="preserve">       per pupil costs.</t>
  </si>
  <si>
    <t xml:space="preserve"> MITT</t>
  </si>
  <si>
    <t>Reallocation of administration costs associated with Adult Learning Centre operations from Function 500 to Function 300.</t>
  </si>
  <si>
    <r>
      <t>(1)</t>
    </r>
    <r>
      <rPr>
        <sz val="9"/>
        <rFont val="Arial"/>
        <family val="2"/>
      </rPr>
      <t xml:space="preserve"> Reallocation of administration costs associated with Adult Learning Centre operations from Function 500 to Function 300.</t>
    </r>
  </si>
  <si>
    <t>Select Language</t>
  </si>
  <si>
    <t>English</t>
  </si>
  <si>
    <t>French</t>
  </si>
  <si>
    <r>
      <t xml:space="preserve">LESS 
OPERATING FUND TRANSFERS </t>
    </r>
    <r>
      <rPr>
        <b/>
        <vertAlign val="superscript"/>
        <sz val="9"/>
        <rFont val="Arial"/>
        <family val="2"/>
      </rPr>
      <t>(2)</t>
    </r>
  </si>
  <si>
    <r>
      <t xml:space="preserve">EXPENSES NET OF TRANSFERS </t>
    </r>
    <r>
      <rPr>
        <b/>
        <vertAlign val="superscript"/>
        <sz val="9"/>
        <rFont val="Arial"/>
        <family val="2"/>
      </rPr>
      <t>(3)</t>
    </r>
  </si>
  <si>
    <r>
      <t xml:space="preserve">LESS
 NON K-12 EDUCATION &amp; SERVICES </t>
    </r>
    <r>
      <rPr>
        <b/>
        <vertAlign val="superscript"/>
        <sz val="9"/>
        <rFont val="Arial"/>
        <family val="2"/>
      </rPr>
      <t>(4)</t>
    </r>
  </si>
  <si>
    <r>
      <t xml:space="preserve">TOTAL EXPENSES FOR PER PUPIL COSTS </t>
    </r>
    <r>
      <rPr>
        <b/>
        <vertAlign val="superscript"/>
        <sz val="9"/>
        <rFont val="Arial"/>
        <family val="2"/>
      </rPr>
      <t>(5)</t>
    </r>
  </si>
  <si>
    <r>
      <t xml:space="preserve">TOTAL 
 EXPENSES </t>
    </r>
    <r>
      <rPr>
        <b/>
        <vertAlign val="superscript"/>
        <sz val="9"/>
        <rFont val="Arial"/>
        <family val="2"/>
      </rPr>
      <t>(1)</t>
    </r>
  </si>
  <si>
    <t>CONCILIATION DES DÉPENSES</t>
  </si>
  <si>
    <t>DÉPENSES DU FONDS DE FONCTIONNEMENT PAR ÉLÈVE</t>
  </si>
  <si>
    <t/>
  </si>
  <si>
    <t xml:space="preserve"> FRANÇAIS</t>
  </si>
  <si>
    <t>OTHER BILINGUAL</t>
  </si>
  <si>
    <t xml:space="preserve"> STATISTIQUES SUR LES ÉLÈVES (SYSTÈME COMPTABLE FRAME)</t>
  </si>
  <si>
    <t>SENIOR YEARS TECHNOLOGY</t>
  </si>
  <si>
    <t>K-12  F.T.E. ENROLMENT</t>
  </si>
  <si>
    <t>(2)  The total number of pupils enrolled in schools adjusted for full time equivalence (F.T.E.). Full time equivalent means pupils are counted on the
       basis of time attending school - eg. Kindergarten as 1/2.  This total is the same as reported on page 7.</t>
  </si>
  <si>
    <t>N-12 ENROLMENT</t>
  </si>
  <si>
    <t>NURSERY ENROLMENT</t>
  </si>
  <si>
    <t>K-12 ENROLMENT</t>
  </si>
  <si>
    <t>INSCRIPTIONS – ÉLÈVES PRÉSENTS, SELON LE SYSTÈME COMPTABLE FRAME, ET ADMISSIBLES</t>
  </si>
  <si>
    <t>CHIFFRES RÉELS ET PRÉVISIONS AU 30 SEPTEMBRE</t>
  </si>
  <si>
    <t>RAPPORTS ÉLÈVES-ENSEIGNANT</t>
  </si>
  <si>
    <r>
      <t xml:space="preserve">REGULAR 
 INSTRUCTION </t>
    </r>
    <r>
      <rPr>
        <b/>
        <vertAlign val="superscript"/>
        <sz val="9"/>
        <rFont val="Arial"/>
        <family val="2"/>
      </rPr>
      <t>(1)</t>
    </r>
  </si>
  <si>
    <r>
      <t>EDUCATOR</t>
    </r>
    <r>
      <rPr>
        <b/>
        <vertAlign val="superscript"/>
        <sz val="9"/>
        <rFont val="Arial"/>
        <family val="2"/>
      </rPr>
      <t xml:space="preserve"> (2)</t>
    </r>
  </si>
  <si>
    <t>(1)  Based on object code 330 instructional-teaching personnel and F.T.E. students in Function 100. Included are teachers in physical education, 
       music, EAL, etc. in addition to regular classroom teachers. School-based administrative personnel and Special Placement classroom 
       teachers are excluded.</t>
  </si>
  <si>
    <t>DÉPENSES PAR FONCTION ET PAR OBJET</t>
  </si>
  <si>
    <t>SUPPLIES AND MATERIALS</t>
  </si>
  <si>
    <t>BAD DEBT EXPENSE</t>
  </si>
  <si>
    <t>DÉPENSES PAR OBJET DE DEUXIÈME CATÉGORIE EXPRIMÉES</t>
  </si>
  <si>
    <t xml:space="preserve"> EN POURCENTAGE DU TOTAL DES DÉPENSES DU FONDS DE FONCTIONNEMENT</t>
  </si>
  <si>
    <t>REGULAR
 INSTRUCTION</t>
  </si>
  <si>
    <t>STUDENT SUPPORTSERVICES</t>
  </si>
  <si>
    <t>COMMUNITY 
EDUCATION</t>
  </si>
  <si>
    <t>INSTRUCTIONAL &amp; OTHER SUPPORT SERVICES</t>
  </si>
  <si>
    <t>PER 
PUPIL</t>
  </si>
  <si>
    <t>STUDENT SUPPORT 
SERVICES</t>
  </si>
  <si>
    <t>ANALYSE DES DÉPENSES PAR FONCTION</t>
  </si>
  <si>
    <t>COMMUNITY EDUCATION AND SERVICES</t>
  </si>
  <si>
    <t>DIVISIONAL
 ADMINISTRATION</t>
  </si>
  <si>
    <t>TRANSPORTATION 
OF PUPILS</t>
  </si>
  <si>
    <t>ANALYSE DES DÉPENSES PAR PROGRAMME</t>
  </si>
  <si>
    <t>SENIOR YEARS 
TECHNOLOGY EDUCATION</t>
  </si>
  <si>
    <t>NO. OF F.T.E. PUPILS</t>
  </si>
  <si>
    <t>ADMINISTRATION / COORDINATION</t>
  </si>
  <si>
    <t>CLINICAL AND RELATED
 SERVICES</t>
  </si>
  <si>
    <t>(1)  Expenses shown are extra costs associated with special needs students in regular classes, not the total cost of educating 
       those students.</t>
  </si>
  <si>
    <t>SPECIAL 
PLACEMENT</t>
  </si>
  <si>
    <r>
      <t xml:space="preserve">REGULAR 
PLACEMENT </t>
    </r>
    <r>
      <rPr>
        <b/>
        <vertAlign val="superscript"/>
        <sz val="9"/>
        <rFont val="Arial"/>
        <family val="2"/>
      </rPr>
      <t>(1)</t>
    </r>
  </si>
  <si>
    <t>OTHER RESOURCE
 SERVICES</t>
  </si>
  <si>
    <t>COUNSELLING AND GUIDANCE</t>
  </si>
  <si>
    <t>COUNSELLING 
AND GUIDANCE</t>
  </si>
  <si>
    <t>ADMINISTRATION
 AND OTHER</t>
  </si>
  <si>
    <t>CONTINUING EDUCATION</t>
  </si>
  <si>
    <t>ENGLISH AS AN ADDITIONAL LANGUAGE</t>
  </si>
  <si>
    <t>ENGLISH AS AN ADDITIONAL LANGUAGE FOR ADULTS</t>
  </si>
  <si>
    <t>COMMUNITY SERVICES &amp; RECREATION</t>
  </si>
  <si>
    <t>PRE-KINDERGARTEN EDUCATION</t>
  </si>
  <si>
    <t>INSTRUCTIONAL MGMT. 
AND ADMINISTRATION</t>
  </si>
  <si>
    <t>BUSINESS AND
 ADMIN. SERVICES</t>
  </si>
  <si>
    <t>MANAGEMENT
 INFORMATION SERVICES</t>
  </si>
  <si>
    <t>CURRICULUM CONSULTING AND DEVELOPMENT ADMINISTRATION</t>
  </si>
  <si>
    <t>CURRICULUM CONSULTING AND DEVELOPMENT</t>
  </si>
  <si>
    <t>LIBRARY /
 MEDIA CENTRE</t>
  </si>
  <si>
    <t>PROFESSIONAL AND 
STAFF DEVELOPMENT</t>
  </si>
  <si>
    <t>(1)  Includes food services, health services, and other activities related to instructional and other support not included
       in previous programs.</t>
  </si>
  <si>
    <t>ALLOWANCES IN LIEU 
OF TRANSPORTATION</t>
  </si>
  <si>
    <t>BOARDING OF
 STUDENTS</t>
  </si>
  <si>
    <t>FIELD TRIPS
 AND OTHER</t>
  </si>
  <si>
    <t>HEALTH AND 
EDUCATION LEVY</t>
  </si>
  <si>
    <t>TRANSPORTED PUPILS</t>
  </si>
  <si>
    <t>TOTAL KM. (ROUTES)</t>
  </si>
  <si>
    <t>LOADED
 KM.</t>
  </si>
  <si>
    <t>COST 
PER KM.</t>
  </si>
  <si>
    <t>TOTAL KM. 
(LOG BOOK)</t>
  </si>
  <si>
    <t>ANALYSE DES DÉPENSES DE TRANSPORT</t>
  </si>
  <si>
    <t>ANALYSE DES DÉPENSES DE TRANSPORT (SUITE)</t>
  </si>
  <si>
    <t>REPAIRS AND
 REPLACEMENTS</t>
  </si>
  <si>
    <t>COST PER PUPIL</t>
  </si>
  <si>
    <r>
      <t xml:space="preserve">COST PER 
SQ. FT. </t>
    </r>
    <r>
      <rPr>
        <b/>
        <vertAlign val="superscript"/>
        <sz val="9"/>
        <rFont val="Arial"/>
        <family val="2"/>
      </rPr>
      <t>(1)</t>
    </r>
  </si>
  <si>
    <r>
      <t>SQ. FT. PER PUPIL</t>
    </r>
    <r>
      <rPr>
        <b/>
        <vertAlign val="superscript"/>
        <sz val="9"/>
        <rFont val="Arial"/>
        <family val="2"/>
      </rPr>
      <t xml:space="preserve"> (2)</t>
    </r>
  </si>
  <si>
    <t xml:space="preserve"> ANALYSE DES DÉPENSES DE FONCTIONNEMENT ET D'ENTRETIEN DES BÂTIMENTS SCOLAIRES</t>
  </si>
  <si>
    <t>ANALYSE DES DÉPENSES DE TECHNOLOGIE DE L'INFORMATION</t>
  </si>
  <si>
    <r>
      <t>MANAGEMENT
 INFORMATION SERVICES</t>
    </r>
    <r>
      <rPr>
        <b/>
        <vertAlign val="superscript"/>
        <sz val="9"/>
        <rFont val="Arial"/>
        <family val="2"/>
      </rPr>
      <t xml:space="preserve"> (2)</t>
    </r>
  </si>
  <si>
    <t>OTHER SCHOOL DIVISIONS</t>
  </si>
  <si>
    <t>PRIVATE ORG.'S &amp; INDIVIDUALS</t>
  </si>
  <si>
    <r>
      <t xml:space="preserve">FUNDING OF SCHOOLS PROGRAM </t>
    </r>
    <r>
      <rPr>
        <b/>
        <vertAlign val="superscript"/>
        <sz val="9"/>
        <rFont val="Arial"/>
        <family val="2"/>
      </rPr>
      <t>(1)</t>
    </r>
  </si>
  <si>
    <r>
      <t xml:space="preserve">EDUCATION PROPERTY TAX CREDIT </t>
    </r>
    <r>
      <rPr>
        <b/>
        <vertAlign val="superscript"/>
        <sz val="9"/>
        <rFont val="Arial"/>
        <family val="2"/>
      </rPr>
      <t>(2)</t>
    </r>
  </si>
  <si>
    <r>
      <t>TAX  INCENTIVE GRANT</t>
    </r>
    <r>
      <rPr>
        <b/>
        <vertAlign val="superscript"/>
        <sz val="9"/>
        <rFont val="Arial"/>
        <family val="2"/>
      </rPr>
      <t>(3)</t>
    </r>
  </si>
  <si>
    <r>
      <t xml:space="preserve">OTHER REVENUE </t>
    </r>
    <r>
      <rPr>
        <b/>
        <vertAlign val="superscript"/>
        <sz val="9"/>
        <rFont val="Arial"/>
        <family val="2"/>
      </rPr>
      <t>(4)</t>
    </r>
  </si>
  <si>
    <r>
      <t xml:space="preserve">OTHER PROVINCIAL REVENUE </t>
    </r>
    <r>
      <rPr>
        <b/>
        <vertAlign val="superscript"/>
        <sz val="9"/>
        <rFont val="Arial"/>
        <family val="2"/>
      </rPr>
      <t>(5)</t>
    </r>
  </si>
  <si>
    <t>TOTAL PROVINCIAL REVENUE</t>
  </si>
  <si>
    <r>
      <t>% OPERATING FUND REVENUE</t>
    </r>
    <r>
      <rPr>
        <b/>
        <vertAlign val="superscript"/>
        <sz val="9"/>
        <rFont val="Arial"/>
        <family val="2"/>
      </rPr>
      <t xml:space="preserve"> (6)</t>
    </r>
  </si>
  <si>
    <t>(3)  Although the Tax Incentive Grant was discontinued in 2012, the funding provided in 2011 continues to be provided. Amounts shown here are the portions
       by division after the allocation to the DSFM.</t>
  </si>
  <si>
    <t>(2)  Effective with the 2005 tax year, the Resident Homeowner Advance portion of the Manitoba Education Property Tax Credit (EPTC) is provided directly to
       school divisions as revenue from the Province of Manitoba to more accurately reflect the amount of provincial funding provided in support of education. 
       Amounts shown here do not include the Farmland School Tax Rebate nor the income tax portion of the EPTC nor the School Tax Assistance for Tenants
       and Homeowners (55+) because these are not quantifiable on a school division basis.  For these amounts shown on a provincial basis, see page i.</t>
  </si>
  <si>
    <t>FEDERAL
 GOVERNMENT</t>
  </si>
  <si>
    <r>
      <t>MUNICIPAL GOVERNMENT</t>
    </r>
    <r>
      <rPr>
        <b/>
        <vertAlign val="superscript"/>
        <sz val="9"/>
        <rFont val="Arial"/>
        <family val="2"/>
      </rPr>
      <t xml:space="preserve"> (1)</t>
    </r>
  </si>
  <si>
    <t xml:space="preserve"> PRIVATE 
ORGANIZATIONS &amp; INDIVIDUALS</t>
  </si>
  <si>
    <t>TOTAL 
NON-PROVINCIAL REVENUE</t>
  </si>
  <si>
    <t>TOTAL 
OPERATING 
FUND</t>
  </si>
  <si>
    <t>TRANSFERTS NETS AU (DU) FONDS DE CAPITAL ET D'EMPRUNT</t>
  </si>
  <si>
    <r>
      <t xml:space="preserve">NET TRANSFERS
 TO/(FROM) 
CAPITAL FUND </t>
    </r>
    <r>
      <rPr>
        <b/>
        <vertAlign val="superscript"/>
        <sz val="9"/>
        <rFont val="Arial"/>
        <family val="2"/>
      </rPr>
      <t>(1)</t>
    </r>
  </si>
  <si>
    <t xml:space="preserve">PORTIONED
 ASSESSMENT
 OTHER  </t>
  </si>
  <si>
    <t>EDUCATION 
 SUPPORT LEVY</t>
  </si>
  <si>
    <r>
      <t xml:space="preserve">PORTIONED ASSESSMENT - OTHER AND EDUCATION SUPPORT LEVY   </t>
    </r>
    <r>
      <rPr>
        <vertAlign val="superscript"/>
        <sz val="9"/>
        <rFont val="Arial"/>
        <family val="2"/>
      </rPr>
      <t>(1)</t>
    </r>
  </si>
  <si>
    <t>URBAN 
AND FARM RESIDENTIAL</t>
  </si>
  <si>
    <t>FARM 
LAND AND 
BUILDINGS</t>
  </si>
  <si>
    <r>
      <t xml:space="preserve">SPECIAL
 LEVY </t>
    </r>
    <r>
      <rPr>
        <b/>
        <vertAlign val="superscript"/>
        <sz val="9"/>
        <rFont val="Arial"/>
        <family val="2"/>
      </rPr>
      <t>(1)</t>
    </r>
  </si>
  <si>
    <r>
      <t>SPECIAL 
LEVY 
MILL RATE</t>
    </r>
    <r>
      <rPr>
        <b/>
        <vertAlign val="superscript"/>
        <sz val="9"/>
        <rFont val="Arial"/>
        <family val="2"/>
      </rPr>
      <t xml:space="preserve"> (2)</t>
    </r>
  </si>
  <si>
    <t>TOTAL DE LA VALEUR FRACTIONNÉE, TAXE SPÉCIALE ET TAUX EN MILLIÈMES DE DOLLAR</t>
  </si>
  <si>
    <t>GROSS SPECIAL
 LEVY</t>
  </si>
  <si>
    <r>
      <t xml:space="preserve">TAX INCENTIVE GRANT </t>
    </r>
    <r>
      <rPr>
        <b/>
        <vertAlign val="superscript"/>
        <sz val="9"/>
        <rFont val="Arial"/>
        <family val="2"/>
      </rPr>
      <t>(1)</t>
    </r>
  </si>
  <si>
    <t>NET SPECIAL
 LEVY</t>
  </si>
  <si>
    <t>TAXE SPÉCIALE NETTE</t>
  </si>
  <si>
    <t>IMPÔTS LOCAUX ET ÉVALUATION EN FONCTION DU NOMBRE D'ÉLÈVES RÉSIDENTS</t>
  </si>
  <si>
    <r>
      <t xml:space="preserve">ASSESSMENT
 PER
 RESIDENT PUPIL </t>
    </r>
    <r>
      <rPr>
        <b/>
        <vertAlign val="superscript"/>
        <sz val="9"/>
        <rFont val="Arial"/>
        <family val="2"/>
      </rPr>
      <t>(1)</t>
    </r>
  </si>
  <si>
    <t>EDUCATION
 SUPPORT
 LEVY</t>
  </si>
  <si>
    <t>(1)  Assessment per resident pupil is based on total portioned assessment adjusted for allocations to the DSFM and corresponds to data provided
       in the calculation of support to school divisions. Assessment per resident pupil for Flin Flon, Frontier and Mystery Lake reflects non-assessed
       mining properties. DSFM assessment per resident pupil is derived on a pro rata basis according to enrolment within DSFM boundaries.</t>
  </si>
  <si>
    <r>
      <t>INSTRUCTIONAL SUPPORT</t>
    </r>
    <r>
      <rPr>
        <b/>
        <vertAlign val="superscript"/>
        <sz val="9"/>
        <rFont val="Arial"/>
        <family val="2"/>
      </rPr>
      <t xml:space="preserve"> (1)</t>
    </r>
  </si>
  <si>
    <t>ADD'N  INST. SUPPORT FOR SMALL SCHOOLS</t>
  </si>
  <si>
    <r>
      <t xml:space="preserve">SPARSITY SUPPORT </t>
    </r>
    <r>
      <rPr>
        <b/>
        <vertAlign val="superscript"/>
        <sz val="9"/>
        <rFont val="Arial"/>
        <family val="2"/>
      </rPr>
      <t>(2)</t>
    </r>
  </si>
  <si>
    <t>CURRICULAR MATERIALS</t>
  </si>
  <si>
    <t>INFORMATION TECHNOLOGY</t>
  </si>
  <si>
    <t>LIBRARY SERVICES</t>
  </si>
  <si>
    <t>PROFESSIONAL DEVELOPMENT</t>
  </si>
  <si>
    <t>PHYSICAL EDUCATION</t>
  </si>
  <si>
    <t>TOTAL
BASE
 SUPPORT</t>
  </si>
  <si>
    <r>
      <t xml:space="preserve">TRANSPORTATION </t>
    </r>
    <r>
      <rPr>
        <b/>
        <vertAlign val="superscript"/>
        <sz val="9"/>
        <rFont val="Arial"/>
        <family val="2"/>
      </rPr>
      <t>(1)</t>
    </r>
  </si>
  <si>
    <r>
      <t>SPECIAL
 NEEDS</t>
    </r>
    <r>
      <rPr>
        <b/>
        <vertAlign val="superscript"/>
        <sz val="9"/>
        <rFont val="Arial"/>
        <family val="2"/>
      </rPr>
      <t xml:space="preserve"> (2)</t>
    </r>
  </si>
  <si>
    <t>SENIOR YEARS TECHNOLOGY EDUCATION</t>
  </si>
  <si>
    <t>ABORIGINAL ACADEMIC ACHIEVEMENT</t>
  </si>
  <si>
    <t>FRENCH LANGUAGE PROGRAMS</t>
  </si>
  <si>
    <r>
      <t xml:space="preserve">OTHER CATEGORICAL </t>
    </r>
    <r>
      <rPr>
        <b/>
        <vertAlign val="superscript"/>
        <sz val="9"/>
        <rFont val="Arial"/>
        <family val="2"/>
      </rPr>
      <t>(1)</t>
    </r>
  </si>
  <si>
    <t>TOTAL CATEGORICAL SUPPORT</t>
  </si>
  <si>
    <r>
      <t>EQUALIZATION SUPPORT</t>
    </r>
    <r>
      <rPr>
        <b/>
        <vertAlign val="superscript"/>
        <sz val="9"/>
        <rFont val="Arial"/>
        <family val="2"/>
      </rPr>
      <t xml:space="preserve"> (1)</t>
    </r>
  </si>
  <si>
    <r>
      <t xml:space="preserve">ADDITIONAL EQUALIZATION SUPPORT </t>
    </r>
    <r>
      <rPr>
        <b/>
        <vertAlign val="superscript"/>
        <sz val="9"/>
        <rFont val="Arial"/>
        <family val="2"/>
      </rPr>
      <t>(2)</t>
    </r>
  </si>
  <si>
    <r>
      <t xml:space="preserve">FORMULA GUARANTEE </t>
    </r>
    <r>
      <rPr>
        <b/>
        <vertAlign val="superscript"/>
        <sz val="9"/>
        <rFont val="Arial"/>
        <family val="2"/>
      </rPr>
      <t>(3)</t>
    </r>
  </si>
  <si>
    <r>
      <t xml:space="preserve">OTHER 
PROGRAM 
SUPPORT </t>
    </r>
    <r>
      <rPr>
        <b/>
        <vertAlign val="superscript"/>
        <sz val="9"/>
        <rFont val="Arial"/>
        <family val="2"/>
      </rPr>
      <t>(4)</t>
    </r>
  </si>
  <si>
    <t>TOTAL FUNDING
 OF SCHOOLS
 PROGRAM</t>
  </si>
  <si>
    <t>(1)  Equalization is provided to recognize the varying ability of school divisions to meet the cost of unsupported program requirements through the
       property tax base of the school division.</t>
  </si>
  <si>
    <t>(1)  For a definition of Adult Learning Centres, see expense definitions, page iii. Expenditures shown here may differ from those shown for Adult
       Learning Centres on page 15 owing to the inclusion of operating transfers for the purpose of calculating administration costs.</t>
  </si>
  <si>
    <t>TOTAL OPERATING EXPENSES
 (from page 3)</t>
  </si>
  <si>
    <t>PLUS 
TRANSFERS
 TO 
CAPITAL</t>
  </si>
  <si>
    <r>
      <t xml:space="preserve">LESS ADULT LEARNING CENTRES FUNCTION 300 </t>
    </r>
    <r>
      <rPr>
        <b/>
        <vertAlign val="superscript"/>
        <sz val="9"/>
        <rFont val="Arial"/>
        <family val="2"/>
      </rPr>
      <t>(1)</t>
    </r>
  </si>
  <si>
    <t>ADJUSTED EXPENDITURE BASE</t>
  </si>
  <si>
    <t>(1)  Excludes personnel in Function 300 (Adult Learning Centres) and Function 400 (Community Education and Services) who do not provide 
       educational services to K-12 pupils.</t>
  </si>
  <si>
    <t>FULL TIME EQUIVALENT (FTE) PERSONNEL EMPLOYED (1)</t>
  </si>
  <si>
    <t>PERSONNEL EMPLOYÉ – ÉQUIVALENT TEMPS PLEIN (ETP) (1)</t>
  </si>
  <si>
    <t>(1) Total of Regular Instruction, Student Support Services and Instructional and Other Support Services. See pages 15 and
      16 for details.</t>
  </si>
  <si>
    <t>SOUTIEN DIRECT AUX ÉLÈVES</t>
  </si>
  <si>
    <t>SOMMAIRE STATISTIQUE</t>
  </si>
  <si>
    <t>SPECIAL LEVY
 MILL RATE</t>
  </si>
  <si>
    <t>ASSESSMENT 
PER RESIDENT 
PUPIL</t>
  </si>
  <si>
    <t>PUPIL / EDUCATOR
 RATIO</t>
  </si>
  <si>
    <r>
      <t>OPERATING
 EXPENDITURE 
PER PUPIL</t>
    </r>
    <r>
      <rPr>
        <b/>
        <vertAlign val="superscript"/>
        <sz val="9"/>
        <rFont val="Arial"/>
        <family val="2"/>
      </rPr>
      <t xml:space="preserve"> (1)</t>
    </r>
  </si>
  <si>
    <t>2015/2016 BUDGET</t>
  </si>
  <si>
    <t>2015/16</t>
  </si>
  <si>
    <t xml:space="preserve"> MITT </t>
  </si>
  <si>
    <t>ACTUAL 
SEP. 30, 2014</t>
  </si>
  <si>
    <t>Waywayseecapo Included</t>
  </si>
  <si>
    <t>EARLY
 CHILDHOOD
 DEVELOPMENT INITIATIVE</t>
  </si>
  <si>
    <t xml:space="preserve"> LITERACY
AND
 NUMERACY</t>
  </si>
  <si>
    <t>2015 TSA</t>
  </si>
  <si>
    <t>ASSESSMENT POR RESIDENT PUPIL</t>
  </si>
  <si>
    <t>PAGE Scdatabase COLUMN AC</t>
  </si>
  <si>
    <t>W:\Edusfb\Support\YYYY-YY\Support Files Frozen\DSFYY</t>
  </si>
  <si>
    <t>(1) Special Placement students are not reported separately. They are included in Regular Instruction Enrolment. 
      As a result, total enrolment in Regular Instruction is equal to Total K-12 F.T.E. enrolment.</t>
  </si>
  <si>
    <t>(2)  Based on total instructional-teaching (excluding Community Education and Adult Learning Centres) as well as school-based administrative
       staff - eg. department heads, coordinators, principals and vice-principals - and K-12 F.T.E. enrolment. Division administrators (Function 500)
       are excluded.</t>
  </si>
  <si>
    <t>PAGE 1 OF 16</t>
  </si>
  <si>
    <t>PAGE 2 OF 16</t>
  </si>
  <si>
    <t>PAGE 3 OF 16</t>
  </si>
  <si>
    <t>PAGE 4 OF 16</t>
  </si>
  <si>
    <t>PAGE 5 OF 16</t>
  </si>
  <si>
    <t>PAGE 7 OF 16</t>
  </si>
  <si>
    <t>PAGE 8 OF 16</t>
  </si>
  <si>
    <t>PAGE 9 OF 16</t>
  </si>
  <si>
    <t>PAGE 10 OF 16</t>
  </si>
  <si>
    <t>PAGE 11 OF 16</t>
  </si>
  <si>
    <t>PAGE 12 OF 16</t>
  </si>
  <si>
    <t>PAGE 13 OF 16</t>
  </si>
  <si>
    <t>PAGE 14 OF 16</t>
  </si>
  <si>
    <t>PAGE 15 OF 16</t>
  </si>
  <si>
    <t>PAGE 16 OF 16</t>
  </si>
  <si>
    <t>PAGE 6 OF 16</t>
  </si>
  <si>
    <t>(1)  Excludes information technology expenses in Function 300 (Adult Learning Centres) and Function 400 (Community Education and Services)
       and Management Information Services in Function 500. Total expenses for Management Information Services are included on page 38 and
       form part of total Information Technology Expenses.</t>
  </si>
  <si>
    <t>(2)  Total Management Information Services expenses in Function 500 (from page 26).</t>
  </si>
  <si>
    <r>
      <t xml:space="preserve">FULL TIME EQUIVALENT (FTE) PERSONNEL EMPLOYED </t>
    </r>
    <r>
      <rPr>
        <b/>
        <vertAlign val="superscript"/>
        <sz val="9"/>
        <rFont val="Arial"/>
        <family val="2"/>
      </rPr>
      <t>(1)</t>
    </r>
  </si>
  <si>
    <t>(3)  From page 50 (for more information, see page 50).</t>
  </si>
  <si>
    <t>(4)  From page 47 (for more information, see page 47).</t>
  </si>
  <si>
    <t>Incremental administration costs related to Waywayseecappo</t>
  </si>
  <si>
    <r>
      <t>DIVISIONAL ADMINISTRATION FUNCTION 500</t>
    </r>
    <r>
      <rPr>
        <b/>
        <vertAlign val="superscript"/>
        <sz val="9"/>
        <rFont val="Arial"/>
        <family val="2"/>
      </rPr>
      <t xml:space="preserve"> (2)</t>
    </r>
  </si>
  <si>
    <t>LESS:   LIABILITY INSURANCE, ADMIN. PORTION OF SELF-FUNDED EXPENSES &amp; TRUSTEE ELECTION COSTS</t>
  </si>
  <si>
    <t>DEFINED ADMINISTRATION EXPENSES</t>
  </si>
  <si>
    <t>DEFINED
ADMINISTRATION
EXPENSES</t>
  </si>
  <si>
    <t>DEFINED 
ADMIN.
EXPENSES 
AS % OF
 EXPENDITURE
 BASE</t>
  </si>
  <si>
    <t xml:space="preserve">
ADMIN.
LIMIT</t>
  </si>
  <si>
    <r>
      <t xml:space="preserve">PORTIONED ASSESSMENT - OTHER AND EDUCATION SUPPORT LEVY  </t>
    </r>
    <r>
      <rPr>
        <b/>
        <vertAlign val="superscript"/>
        <sz val="9"/>
        <rFont val="Arial"/>
        <family val="2"/>
      </rPr>
      <t xml:space="preserve"> (1)</t>
    </r>
  </si>
  <si>
    <t>DEFINED
 ADMIN.
EXPENSES
 (from page 56)</t>
  </si>
  <si>
    <t>Update=&gt;</t>
  </si>
  <si>
    <t>TOTAL OTHER</t>
  </si>
  <si>
    <t>DEPARTMENT OF</t>
  </si>
  <si>
    <t>tig</t>
  </si>
  <si>
    <t>tig dsfm</t>
  </si>
  <si>
    <t>CATEGORICAL</t>
  </si>
  <si>
    <t>SUPPORT</t>
  </si>
  <si>
    <t>Page</t>
  </si>
  <si>
    <t xml:space="preserve"> Function's check</t>
  </si>
  <si>
    <t>Function</t>
  </si>
  <si>
    <t>2016/2017 BUDGET</t>
  </si>
  <si>
    <t>(3)  Provincially supported pupils (actual September 30, 2015 for 2016/17 and actual September 30, 2014 for 2015/16).</t>
  </si>
  <si>
    <t>(1)  Based on area (square footage) of active school buildings as at September 30, 2015. Includes rented and leased space.</t>
  </si>
  <si>
    <t>Sep 30, 15</t>
  </si>
  <si>
    <t>(1) Effective 2006, the Education Support Levy is no longer raised on residential property. The mill rate for other property in 2016 is 10.50.</t>
  </si>
  <si>
    <t>(1)  Special levy requisitioned by school divisions for the 2016 tax year. Actual remittance to school divisions by municipalities is reduced by the
       Education Property Tax Credit. See pages 41 and 42 for more detail.</t>
  </si>
  <si>
    <t>(1)  The Tax Incentive Grant was offered to school divisions that maintained their prior year Special Levy amount adjusted for real growth in
       property assessment. The 2016 grant is unchanged from the amount provided in 2011. Amounts shown here are the portions by 
       division before the allocation to the DSFM.</t>
  </si>
  <si>
    <t>POUR L'ANNÉE D'IMPOSITION 2016 (2016 EST UNE ANNÉE DE RÉÉVALUATION)</t>
  </si>
  <si>
    <t>(1)  Based on a grant per eligible pupil at September 30, 2015.</t>
  </si>
  <si>
    <t>(2)  Additional Equalization is provided to specifically assist school divisions or districts that have both higher than average tax effort and lower
       than average assessment per pupil. Please see 2016/17 Funding of Schools Booklet for more information.</t>
  </si>
  <si>
    <t>(3)  Formula Guarantee is provided to ensure that every school division receives at least the same level of funding as provided in 2015/16.</t>
  </si>
  <si>
    <r>
      <t xml:space="preserve">ADMINISTRATION EXPENSES </t>
    </r>
    <r>
      <rPr>
        <b/>
        <vertAlign val="superscript"/>
        <sz val="9"/>
        <rFont val="Arial"/>
        <family val="2"/>
      </rPr>
      <t>(1)</t>
    </r>
    <r>
      <rPr>
        <b/>
        <sz val="9"/>
        <rFont val="Arial"/>
        <family val="2"/>
      </rPr>
      <t xml:space="preserve"> 2016/2017 BUDGET</t>
    </r>
  </si>
  <si>
    <t>ADMINISTRATION EXPENSES 2016/2017 BUDGET</t>
  </si>
  <si>
    <t>2015/16 AND 2016/17 BUDGET</t>
  </si>
  <si>
    <t>2016/17</t>
  </si>
  <si>
    <r>
      <t xml:space="preserve">2016/17 </t>
    </r>
    <r>
      <rPr>
        <b/>
        <vertAlign val="superscript"/>
        <sz val="9"/>
        <rFont val="Arial"/>
        <family val="2"/>
      </rPr>
      <t>(2)</t>
    </r>
  </si>
  <si>
    <t>2015</t>
  </si>
  <si>
    <r>
      <t xml:space="preserve">2016 </t>
    </r>
    <r>
      <rPr>
        <b/>
        <vertAlign val="superscript"/>
        <sz val="9"/>
        <rFont val="Arial"/>
        <family val="2"/>
      </rPr>
      <t>(3)</t>
    </r>
  </si>
  <si>
    <r>
      <t xml:space="preserve">2016 </t>
    </r>
    <r>
      <rPr>
        <b/>
        <vertAlign val="superscript"/>
        <sz val="9"/>
        <rFont val="Arial"/>
        <family val="2"/>
      </rPr>
      <t>(4)</t>
    </r>
  </si>
  <si>
    <t>TRUSTEE</t>
  </si>
  <si>
    <t>ELECTION</t>
  </si>
  <si>
    <t>ACTUAL
 SEP. 30, 2015</t>
  </si>
  <si>
    <t>ESTIMATE 
SEP. 30, 2016</t>
  </si>
  <si>
    <t>ACTUAL 
SEP. 30, 2015</t>
  </si>
  <si>
    <t>(1)  Operating fund transfers (i.e. payments to other school divisions, organizations and individuals) are excluded to provide more accurate per 
       pupil costs. Also excluded are expenditures on educational services not provided to K-12 pupils: Function 300 (Adult Learning Centres) and 
       Function  400 (Community Education and Services).</t>
  </si>
  <si>
    <t>DIRECT SUPPORT
 PER PUPIL</t>
  </si>
  <si>
    <r>
      <t xml:space="preserve">
  DIRECT SUPPORT TO PUPILS
 FUNCTIONS 100 + 200 + 600 </t>
    </r>
    <r>
      <rPr>
        <b/>
        <vertAlign val="superscript"/>
        <sz val="9"/>
        <rFont val="Arial"/>
        <family val="2"/>
      </rPr>
      <t>(1)</t>
    </r>
  </si>
  <si>
    <t>(1)  This appendix provides an analysis of divisional administration expenses as a percentage of the adjusted operating expense base. Frontier
       School Division, DSFM, Whiteshell and Manitoba Institute of Trades and Technology are exempt from these limits and are not reflected in the
       above totals.  Expenses shown for Function 500 may differ from corresponding  amounts shown on page 16 owing to the inclusion of 
       operating transfers for the purpose of calculating administration costs. Effective with fiscal year 2015/16, school divisions are required to limit
       the proportion of the budget spent on divisional administration to 3.5% (for school divisions with F.T.E enrolment of 5,000 of greater), 4.25% 
      (for school divisions with F.T.E enrolment of 1,000 or less) and between 3.5% and 4.25% for school divisions with F.T.E enrolment between
      1,000 and 5,000. Northern school divisions are subject  to a 5% limit.</t>
  </si>
  <si>
    <t>Health and Education Levy.</t>
  </si>
  <si>
    <t>(1)  Support for Function 200 Student Support Services expenses less Counselling and Guidance and Categorical support for Special Needs.</t>
  </si>
  <si>
    <r>
      <t xml:space="preserve">STUDENT SERVICES </t>
    </r>
    <r>
      <rPr>
        <b/>
        <vertAlign val="superscript"/>
        <sz val="9"/>
        <rFont val="Arial"/>
        <family val="2"/>
      </rPr>
      <t>(1)</t>
    </r>
  </si>
  <si>
    <t>All pages of the FRAME report containing the tables of financial and statistical data are included in this file.</t>
  </si>
  <si>
    <t>In most cases, formulas have been left intact to show how statistics such as percentages and average costs per pupil are derived.</t>
  </si>
  <si>
    <t>Each worksheet tab is numbered to match the corresponding page found in the published document so for example to see page 15, click the worksheet tab  - 15 - .</t>
  </si>
  <si>
    <t>This file is unprotected for data analysis by the user.  Data can also be copied to other files or additional data copied to this one.  In cases of dispute however, the published FRAME reports and the corresponding files located on the Manitoba Govenment web site remain the final authority.</t>
  </si>
  <si>
    <t>The cover page, table of contents, forward and introduction as well as the graphs (pie charts, bar charts) are not included in this file. The full report is available in a PDF version on the same site as this file at:</t>
  </si>
  <si>
    <t>http://www.edu.gov.mb.ca/k12/finance/frame_report/index.html</t>
  </si>
  <si>
    <t>FRAME Report: 2016/17 Budget</t>
  </si>
</sst>
</file>

<file path=xl/styles.xml><?xml version="1.0" encoding="utf-8"?>
<styleSheet xmlns="http://schemas.openxmlformats.org/spreadsheetml/2006/main">
  <numFmts count="14">
    <numFmt numFmtId="164" formatCode="_(* #,##0.00_);_(* \(#,##0.00\);_(* &quot;-&quot;??_);_(@_)"/>
    <numFmt numFmtId="165" formatCode=";;;"/>
    <numFmt numFmtId="166" formatCode="0.0%"/>
    <numFmt numFmtId="167" formatCode="#,##0.0_);\(#,##0.0\)"/>
    <numFmt numFmtId="168" formatCode="0.0_)"/>
    <numFmt numFmtId="169" formatCode="0.00_)"/>
    <numFmt numFmtId="170" formatCode="#,##0_ ;\(#,##0\)"/>
    <numFmt numFmtId="171" formatCode="#,##0\ ;\(#,##0\ \)"/>
    <numFmt numFmtId="172" formatCode="#,##0.0000;\-#,##0.0000"/>
    <numFmt numFmtId="173" formatCode="#,##0.0_ ;\(#,##0.0\)"/>
    <numFmt numFmtId="174" formatCode="#,##0.0_);[Red]\(#,##0.0\)"/>
    <numFmt numFmtId="175" formatCode="dd\-mmm\-yy_)"/>
    <numFmt numFmtId="176" formatCode="#,##0;\(#,##0\)"/>
    <numFmt numFmtId="177" formatCode="0_)"/>
  </numFmts>
  <fonts count="38">
    <font>
      <sz val="9"/>
      <name val="Times New Roman"/>
    </font>
    <font>
      <sz val="10"/>
      <name val="Times New Roman"/>
      <family val="1"/>
    </font>
    <font>
      <sz val="10"/>
      <name val="Courier"/>
      <family val="3"/>
    </font>
    <font>
      <b/>
      <sz val="9"/>
      <name val="Arial"/>
      <family val="2"/>
    </font>
    <font>
      <sz val="8"/>
      <color indexed="81"/>
      <name val="Tahoma"/>
      <family val="2"/>
    </font>
    <font>
      <sz val="9"/>
      <name val="Arial"/>
      <family val="2"/>
    </font>
    <font>
      <sz val="9"/>
      <color indexed="12"/>
      <name val="Arial"/>
      <family val="2"/>
    </font>
    <font>
      <b/>
      <vertAlign val="superscript"/>
      <sz val="9"/>
      <name val="Arial"/>
      <family val="2"/>
    </font>
    <font>
      <sz val="8"/>
      <name val="Arial"/>
      <family val="2"/>
    </font>
    <font>
      <vertAlign val="superscript"/>
      <sz val="9"/>
      <name val="Arial"/>
      <family val="2"/>
    </font>
    <font>
      <b/>
      <sz val="10"/>
      <name val="Arial"/>
      <family val="2"/>
    </font>
    <font>
      <u/>
      <sz val="9"/>
      <name val="Arial"/>
      <family val="2"/>
    </font>
    <font>
      <b/>
      <sz val="12"/>
      <name val="Arial"/>
      <family val="2"/>
    </font>
    <font>
      <sz val="10"/>
      <name val="Arial"/>
      <family val="2"/>
    </font>
    <font>
      <b/>
      <vertAlign val="superscript"/>
      <sz val="10"/>
      <name val="Arial"/>
      <family val="2"/>
    </font>
    <font>
      <sz val="10"/>
      <name val="Arial"/>
      <family val="2"/>
    </font>
    <font>
      <sz val="8"/>
      <name val="Arial"/>
      <family val="2"/>
    </font>
    <font>
      <sz val="11"/>
      <name val="Arial"/>
      <family val="2"/>
    </font>
    <font>
      <sz val="12"/>
      <name val="Arial"/>
      <family val="2"/>
    </font>
    <font>
      <b/>
      <sz val="8"/>
      <color indexed="81"/>
      <name val="Tahoma"/>
      <family val="2"/>
    </font>
    <font>
      <sz val="9"/>
      <name val="Times New Roman"/>
      <family val="1"/>
    </font>
    <font>
      <sz val="8"/>
      <name val="Times New Roman"/>
      <family val="1"/>
    </font>
    <font>
      <b/>
      <sz val="16"/>
      <name val="Arial"/>
      <family val="2"/>
    </font>
    <font>
      <b/>
      <sz val="9"/>
      <color indexed="10"/>
      <name val="Arial"/>
      <family val="2"/>
    </font>
    <font>
      <b/>
      <vertAlign val="superscript"/>
      <sz val="11"/>
      <name val="Arial"/>
      <family val="2"/>
    </font>
    <font>
      <sz val="9"/>
      <color indexed="10"/>
      <name val="Arial"/>
      <family val="2"/>
    </font>
    <font>
      <b/>
      <sz val="9"/>
      <color rgb="FFFF0000"/>
      <name val="Arial"/>
      <family val="2"/>
    </font>
    <font>
      <sz val="9"/>
      <color rgb="FFFF0000"/>
      <name val="Arial"/>
      <family val="2"/>
    </font>
    <font>
      <sz val="9"/>
      <color rgb="FF0070C0"/>
      <name val="Arial"/>
      <family val="2"/>
    </font>
    <font>
      <sz val="10"/>
      <color rgb="FF000000"/>
      <name val="Tahoma"/>
      <family val="2"/>
    </font>
    <font>
      <b/>
      <sz val="12"/>
      <color theme="0"/>
      <name val="Arial"/>
      <family val="2"/>
    </font>
    <font>
      <sz val="9"/>
      <color theme="0"/>
      <name val="Arial"/>
      <family val="2"/>
    </font>
    <font>
      <b/>
      <sz val="9"/>
      <color theme="0"/>
      <name val="Arial"/>
      <family val="2"/>
    </font>
    <font>
      <sz val="11"/>
      <color rgb="FF1F497D"/>
      <name val="Calibri"/>
      <family val="2"/>
    </font>
    <font>
      <b/>
      <sz val="12"/>
      <color indexed="9"/>
      <name val="Arial"/>
      <family val="2"/>
    </font>
    <font>
      <sz val="12"/>
      <color indexed="9"/>
      <name val="Arial"/>
      <family val="2"/>
    </font>
    <font>
      <u/>
      <sz val="9"/>
      <color theme="10"/>
      <name val="Times New Roman"/>
      <family val="1"/>
    </font>
    <font>
      <u/>
      <sz val="12"/>
      <color theme="0"/>
      <name val="Arial"/>
      <family val="2"/>
    </font>
  </fonts>
  <fills count="16">
    <fill>
      <patternFill patternType="none"/>
    </fill>
    <fill>
      <patternFill patternType="gray125"/>
    </fill>
    <fill>
      <patternFill patternType="solid">
        <fgColor indexed="22"/>
        <bgColor indexed="22"/>
      </patternFill>
    </fill>
    <fill>
      <patternFill patternType="solid">
        <fgColor indexed="9"/>
        <bgColor indexed="9"/>
      </patternFill>
    </fill>
    <fill>
      <patternFill patternType="solid">
        <fgColor indexed="65"/>
        <bgColor indexed="64"/>
      </patternFill>
    </fill>
    <fill>
      <patternFill patternType="solid">
        <fgColor indexed="9"/>
        <bgColor indexed="8"/>
      </patternFill>
    </fill>
    <fill>
      <patternFill patternType="solid">
        <fgColor indexed="42"/>
        <bgColor indexed="8"/>
      </patternFill>
    </fill>
    <fill>
      <patternFill patternType="solid">
        <fgColor indexed="42"/>
        <bgColor indexed="64"/>
      </patternFill>
    </fill>
    <fill>
      <patternFill patternType="solid">
        <fgColor indexed="42"/>
        <bgColor indexed="42"/>
      </patternFill>
    </fill>
    <fill>
      <patternFill patternType="solid">
        <fgColor indexed="42"/>
        <bgColor indexed="9"/>
      </patternFill>
    </fill>
    <fill>
      <patternFill patternType="solid">
        <fgColor rgb="FFFFFF00"/>
        <bgColor indexed="64"/>
      </patternFill>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theme="0" tint="-0.499984740745262"/>
        <bgColor indexed="64"/>
      </patternFill>
    </fill>
    <fill>
      <patternFill patternType="solid">
        <fgColor indexed="57"/>
        <bgColor indexed="64"/>
      </patternFill>
    </fill>
  </fills>
  <borders count="64">
    <border>
      <left/>
      <right/>
      <top/>
      <bottom/>
      <diagonal/>
    </border>
    <border>
      <left style="thin">
        <color indexed="8"/>
      </left>
      <right style="thin">
        <color indexed="8"/>
      </right>
      <top/>
      <bottom/>
      <diagonal/>
    </border>
    <border>
      <left/>
      <right/>
      <top style="thin">
        <color indexed="8"/>
      </top>
      <bottom/>
      <diagonal/>
    </border>
    <border>
      <left/>
      <right/>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64"/>
      </bottom>
      <diagonal/>
    </border>
    <border>
      <left style="thin">
        <color indexed="8"/>
      </left>
      <right/>
      <top/>
      <bottom style="thin">
        <color indexed="8"/>
      </bottom>
      <diagonal/>
    </border>
    <border>
      <left style="thin">
        <color indexed="8"/>
      </left>
      <right/>
      <top/>
      <bottom/>
      <diagonal/>
    </border>
    <border>
      <left style="thin">
        <color indexed="8"/>
      </left>
      <right style="double">
        <color indexed="8"/>
      </right>
      <top/>
      <bottom/>
      <diagonal/>
    </border>
    <border>
      <left/>
      <right/>
      <top style="thin">
        <color indexed="8"/>
      </top>
      <bottom style="thin">
        <color indexed="8"/>
      </bottom>
      <diagonal/>
    </border>
    <border>
      <left style="thin">
        <color indexed="8"/>
      </left>
      <right/>
      <top style="thin">
        <color indexed="8"/>
      </top>
      <bottom/>
      <diagonal/>
    </border>
    <border>
      <left style="thin">
        <color indexed="64"/>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double">
        <color indexed="8"/>
      </left>
      <right style="thin">
        <color indexed="8"/>
      </right>
      <top/>
      <bottom/>
      <diagonal/>
    </border>
    <border>
      <left style="double">
        <color indexed="8"/>
      </left>
      <right style="thin">
        <color indexed="8"/>
      </right>
      <top/>
      <bottom style="thin">
        <color indexed="8"/>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8"/>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8"/>
      </top>
      <bottom style="thin">
        <color indexed="8"/>
      </bottom>
      <diagonal/>
    </border>
    <border>
      <left style="thin">
        <color indexed="8"/>
      </left>
      <right style="thin">
        <color indexed="64"/>
      </right>
      <top style="thin">
        <color indexed="64"/>
      </top>
      <bottom style="thin">
        <color indexed="64"/>
      </bottom>
      <diagonal/>
    </border>
    <border>
      <left style="thin">
        <color indexed="64"/>
      </left>
      <right/>
      <top style="thin">
        <color indexed="8"/>
      </top>
      <bottom style="thin">
        <color indexed="8"/>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style="thin">
        <color indexed="8"/>
      </right>
      <top style="thin">
        <color indexed="8"/>
      </top>
      <bottom/>
      <diagonal/>
    </border>
    <border>
      <left style="thin">
        <color indexed="8"/>
      </left>
      <right style="double">
        <color indexed="8"/>
      </right>
      <top style="thin">
        <color indexed="8"/>
      </top>
      <bottom style="thin">
        <color indexed="8"/>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right style="thin">
        <color indexed="64"/>
      </right>
      <top/>
      <bottom style="thin">
        <color indexed="8"/>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double">
        <color indexed="8"/>
      </left>
      <right style="thin">
        <color indexed="64"/>
      </right>
      <top style="thin">
        <color indexed="64"/>
      </top>
      <bottom style="thin">
        <color indexed="64"/>
      </bottom>
      <diagonal/>
    </border>
    <border>
      <left style="thin">
        <color indexed="8"/>
      </left>
      <right style="double">
        <color indexed="8"/>
      </right>
      <top style="thin">
        <color indexed="8"/>
      </top>
      <bottom/>
      <diagonal/>
    </border>
    <border>
      <left style="thin">
        <color indexed="8"/>
      </left>
      <right style="double">
        <color indexed="8"/>
      </right>
      <top/>
      <bottom style="thin">
        <color indexed="8"/>
      </bottom>
      <diagonal/>
    </border>
    <border>
      <left style="double">
        <color indexed="8"/>
      </left>
      <right style="thin">
        <color indexed="8"/>
      </right>
      <top style="thin">
        <color indexed="8"/>
      </top>
      <bottom/>
      <diagonal/>
    </border>
    <border>
      <left style="double">
        <color indexed="8"/>
      </left>
      <right/>
      <top style="thin">
        <color indexed="8"/>
      </top>
      <bottom style="thin">
        <color indexed="8"/>
      </bottom>
      <diagonal/>
    </border>
    <border>
      <left/>
      <right style="double">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top style="thin">
        <color indexed="8"/>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style="thin">
        <color indexed="8"/>
      </right>
      <top/>
      <bottom/>
      <diagonal/>
    </border>
    <border>
      <left style="thick">
        <color theme="0"/>
      </left>
      <right style="thick">
        <color theme="0"/>
      </right>
      <top style="thick">
        <color theme="0"/>
      </top>
      <bottom style="thick">
        <color theme="0"/>
      </bottom>
      <diagonal/>
    </border>
  </borders>
  <cellStyleXfs count="9">
    <xf numFmtId="37" fontId="0" fillId="0" borderId="0"/>
    <xf numFmtId="0" fontId="2" fillId="2" borderId="1"/>
    <xf numFmtId="164" fontId="1" fillId="0" borderId="0" applyFont="0" applyFill="0" applyBorder="0" applyAlignment="0" applyProtection="0"/>
    <xf numFmtId="164" fontId="15" fillId="0" borderId="0" applyFont="0" applyFill="0" applyBorder="0" applyAlignment="0" applyProtection="0"/>
    <xf numFmtId="0" fontId="15" fillId="0" borderId="0"/>
    <xf numFmtId="39" fontId="20" fillId="0" borderId="0"/>
    <xf numFmtId="9" fontId="1" fillId="0" borderId="0" applyFont="0" applyFill="0" applyBorder="0" applyAlignment="0" applyProtection="0"/>
    <xf numFmtId="37" fontId="20" fillId="0" borderId="0"/>
    <xf numFmtId="0" fontId="36" fillId="0" borderId="0" applyNumberFormat="0" applyFill="0" applyBorder="0" applyAlignment="0" applyProtection="0">
      <alignment vertical="top"/>
      <protection locked="0"/>
    </xf>
  </cellStyleXfs>
  <cellXfs count="841">
    <xf numFmtId="37" fontId="0" fillId="0" borderId="0" xfId="0"/>
    <xf numFmtId="37" fontId="5" fillId="0" borderId="0" xfId="0" applyFont="1"/>
    <xf numFmtId="49" fontId="5" fillId="0" borderId="0" xfId="0" applyNumberFormat="1" applyFont="1" applyAlignment="1"/>
    <xf numFmtId="165" fontId="5" fillId="0" borderId="0" xfId="0" applyNumberFormat="1" applyFont="1" applyProtection="1"/>
    <xf numFmtId="37" fontId="5" fillId="3" borderId="0" xfId="0" applyFont="1" applyFill="1"/>
    <xf numFmtId="37" fontId="3" fillId="3" borderId="2" xfId="0" applyFont="1" applyFill="1" applyBorder="1" applyAlignment="1">
      <alignment horizontal="centerContinuous" vertical="center"/>
    </xf>
    <xf numFmtId="37" fontId="5" fillId="3" borderId="2" xfId="0" applyFont="1" applyFill="1" applyBorder="1" applyAlignment="1">
      <alignment horizontal="centerContinuous"/>
    </xf>
    <xf numFmtId="37" fontId="3" fillId="3" borderId="3" xfId="0" applyFont="1" applyFill="1" applyBorder="1" applyAlignment="1">
      <alignment horizontal="centerContinuous" vertical="center"/>
    </xf>
    <xf numFmtId="37" fontId="5" fillId="3" borderId="3" xfId="0" applyFont="1" applyFill="1" applyBorder="1" applyAlignment="1">
      <alignment horizontal="centerContinuous"/>
    </xf>
    <xf numFmtId="37" fontId="6" fillId="3" borderId="3" xfId="0" applyFont="1" applyFill="1" applyBorder="1" applyAlignment="1">
      <alignment horizontal="centerContinuous"/>
    </xf>
    <xf numFmtId="37" fontId="5" fillId="3" borderId="0" xfId="0" applyFont="1" applyFill="1" applyAlignment="1">
      <alignment horizontal="center"/>
    </xf>
    <xf numFmtId="37" fontId="3" fillId="3" borderId="1" xfId="0" applyFont="1" applyFill="1" applyBorder="1" applyAlignment="1">
      <alignment horizontal="center"/>
    </xf>
    <xf numFmtId="49" fontId="3" fillId="0" borderId="7" xfId="0" applyNumberFormat="1" applyFont="1" applyBorder="1"/>
    <xf numFmtId="49" fontId="3" fillId="0" borderId="8" xfId="0" applyNumberFormat="1" applyFont="1" applyBorder="1"/>
    <xf numFmtId="49" fontId="3" fillId="0" borderId="0" xfId="0" applyNumberFormat="1" applyFont="1"/>
    <xf numFmtId="49" fontId="5" fillId="0" borderId="1" xfId="0" applyNumberFormat="1" applyFont="1" applyBorder="1" applyAlignment="1">
      <alignment vertical="center"/>
    </xf>
    <xf numFmtId="170" fontId="5" fillId="0" borderId="1" xfId="0" applyNumberFormat="1" applyFont="1" applyBorder="1" applyAlignment="1">
      <alignment vertical="center"/>
    </xf>
    <xf numFmtId="49" fontId="5" fillId="0" borderId="0" xfId="0" applyNumberFormat="1" applyFont="1" applyAlignment="1">
      <alignment vertical="center"/>
    </xf>
    <xf numFmtId="171" fontId="5" fillId="0" borderId="0" xfId="0" applyNumberFormat="1" applyFont="1" applyAlignment="1">
      <alignment vertical="center"/>
    </xf>
    <xf numFmtId="37" fontId="5" fillId="0" borderId="11" xfId="0" applyFont="1" applyBorder="1"/>
    <xf numFmtId="37" fontId="5" fillId="0" borderId="0" xfId="0" applyFont="1" applyAlignment="1">
      <alignment horizontal="left"/>
    </xf>
    <xf numFmtId="49" fontId="5" fillId="0" borderId="0" xfId="0" applyNumberFormat="1" applyFont="1" applyAlignment="1">
      <alignment horizontal="left"/>
    </xf>
    <xf numFmtId="37" fontId="5" fillId="3" borderId="0" xfId="0" applyFont="1" applyFill="1" applyBorder="1"/>
    <xf numFmtId="37" fontId="5" fillId="0" borderId="0" xfId="0" applyNumberFormat="1" applyFont="1" applyBorder="1" applyProtection="1"/>
    <xf numFmtId="37" fontId="3" fillId="0" borderId="4" xfId="0" applyFont="1" applyBorder="1"/>
    <xf numFmtId="37" fontId="3" fillId="3" borderId="5" xfId="0" applyFont="1" applyFill="1" applyBorder="1" applyAlignment="1">
      <alignment horizontal="right"/>
    </xf>
    <xf numFmtId="37" fontId="3" fillId="3" borderId="5" xfId="0" applyFont="1" applyFill="1" applyBorder="1"/>
    <xf numFmtId="37" fontId="3" fillId="0" borderId="8" xfId="0" applyFont="1" applyBorder="1"/>
    <xf numFmtId="37" fontId="3" fillId="0" borderId="10" xfId="0" applyFont="1" applyBorder="1" applyAlignment="1">
      <alignment horizontal="right"/>
    </xf>
    <xf numFmtId="37" fontId="3" fillId="0" borderId="0" xfId="0" applyFont="1"/>
    <xf numFmtId="170" fontId="5" fillId="0" borderId="1" xfId="0" applyNumberFormat="1" applyFont="1" applyBorder="1" applyAlignment="1">
      <alignment horizontal="right" vertical="center"/>
    </xf>
    <xf numFmtId="37" fontId="5" fillId="0" borderId="0" xfId="0" applyFont="1" applyAlignment="1"/>
    <xf numFmtId="37" fontId="5" fillId="3" borderId="0" xfId="0" applyFont="1" applyFill="1" applyProtection="1"/>
    <xf numFmtId="165" fontId="5" fillId="0" borderId="2" xfId="0" applyNumberFormat="1" applyFont="1" applyBorder="1" applyProtection="1"/>
    <xf numFmtId="37" fontId="3" fillId="3" borderId="2" xfId="0" applyFont="1" applyFill="1" applyBorder="1" applyAlignment="1" applyProtection="1">
      <alignment horizontal="centerContinuous" vertical="center"/>
    </xf>
    <xf numFmtId="37" fontId="5" fillId="3" borderId="2" xfId="0" applyFont="1" applyFill="1" applyBorder="1" applyAlignment="1" applyProtection="1">
      <alignment horizontal="centerContinuous"/>
    </xf>
    <xf numFmtId="37" fontId="5" fillId="3" borderId="2" xfId="0" applyFont="1" applyFill="1" applyBorder="1" applyAlignment="1" applyProtection="1">
      <alignment horizontal="right"/>
    </xf>
    <xf numFmtId="165" fontId="5" fillId="0" borderId="3" xfId="0" applyNumberFormat="1" applyFont="1" applyBorder="1" applyProtection="1"/>
    <xf numFmtId="37" fontId="3" fillId="3" borderId="3" xfId="0" quotePrefix="1" applyFont="1" applyFill="1" applyBorder="1" applyAlignment="1" applyProtection="1">
      <alignment horizontal="centerContinuous" vertical="center"/>
    </xf>
    <xf numFmtId="37" fontId="5" fillId="3" borderId="3" xfId="0" applyFont="1" applyFill="1" applyBorder="1" applyAlignment="1" applyProtection="1">
      <alignment horizontal="centerContinuous"/>
    </xf>
    <xf numFmtId="37" fontId="5" fillId="3" borderId="3" xfId="0" quotePrefix="1" applyFont="1" applyFill="1" applyBorder="1" applyAlignment="1" applyProtection="1">
      <alignment horizontal="centerContinuous"/>
    </xf>
    <xf numFmtId="37" fontId="5" fillId="3" borderId="3" xfId="0" applyFont="1" applyFill="1" applyBorder="1" applyProtection="1"/>
    <xf numFmtId="169" fontId="5" fillId="3" borderId="0" xfId="0" applyNumberFormat="1" applyFont="1" applyFill="1" applyProtection="1"/>
    <xf numFmtId="37" fontId="3" fillId="0" borderId="10" xfId="0" applyFont="1" applyBorder="1" applyAlignment="1" applyProtection="1">
      <alignment horizontal="centerContinuous"/>
    </xf>
    <xf numFmtId="37" fontId="3" fillId="0" borderId="7" xfId="0" applyFont="1" applyBorder="1" applyAlignment="1">
      <alignment vertical="center"/>
    </xf>
    <xf numFmtId="37" fontId="3" fillId="0" borderId="8" xfId="0" applyFont="1" applyBorder="1" applyAlignment="1">
      <alignment vertical="center"/>
    </xf>
    <xf numFmtId="37" fontId="5" fillId="0" borderId="0" xfId="0" applyFont="1" applyProtection="1"/>
    <xf numFmtId="173" fontId="5" fillId="0" borderId="1" xfId="0" applyNumberFormat="1" applyFont="1" applyBorder="1" applyAlignment="1">
      <alignment vertical="center"/>
    </xf>
    <xf numFmtId="173" fontId="5" fillId="0" borderId="14" xfId="0" applyNumberFormat="1" applyFont="1" applyBorder="1" applyAlignment="1">
      <alignment vertical="center"/>
    </xf>
    <xf numFmtId="173" fontId="5" fillId="0" borderId="6" xfId="0" applyNumberFormat="1" applyFont="1" applyBorder="1" applyAlignment="1">
      <alignment vertical="center"/>
    </xf>
    <xf numFmtId="173" fontId="5" fillId="0" borderId="0" xfId="0" applyNumberFormat="1" applyFont="1" applyAlignment="1">
      <alignment vertical="center"/>
    </xf>
    <xf numFmtId="37" fontId="5" fillId="0" borderId="11" xfId="0" applyFont="1" applyBorder="1" applyProtection="1"/>
    <xf numFmtId="37" fontId="5" fillId="0" borderId="15" xfId="0" applyFont="1" applyBorder="1"/>
    <xf numFmtId="37" fontId="3" fillId="0" borderId="15" xfId="0" applyFont="1" applyBorder="1" applyAlignment="1">
      <alignment horizontal="centerContinuous" vertical="center"/>
    </xf>
    <xf numFmtId="37" fontId="3" fillId="3" borderId="0" xfId="0" applyFont="1" applyFill="1" applyAlignment="1">
      <alignment horizontal="centerContinuous"/>
    </xf>
    <xf numFmtId="37" fontId="5" fillId="3" borderId="0" xfId="0" applyFont="1" applyFill="1" applyAlignment="1">
      <alignment horizontal="centerContinuous"/>
    </xf>
    <xf numFmtId="37" fontId="5" fillId="0" borderId="16" xfId="0" applyFont="1" applyBorder="1"/>
    <xf numFmtId="37" fontId="5" fillId="0" borderId="5" xfId="0" applyFont="1" applyBorder="1"/>
    <xf numFmtId="37" fontId="3" fillId="0" borderId="17" xfId="0" applyFont="1" applyBorder="1"/>
    <xf numFmtId="170" fontId="5" fillId="0" borderId="1" xfId="0" applyNumberFormat="1" applyFont="1" applyBorder="1" applyProtection="1"/>
    <xf numFmtId="170" fontId="5" fillId="0" borderId="6" xfId="0" applyNumberFormat="1" applyFont="1" applyBorder="1" applyProtection="1"/>
    <xf numFmtId="37" fontId="5" fillId="0" borderId="6" xfId="0" applyFont="1" applyBorder="1"/>
    <xf numFmtId="165" fontId="5" fillId="0" borderId="13" xfId="0" applyNumberFormat="1" applyFont="1" applyBorder="1" applyProtection="1"/>
    <xf numFmtId="170" fontId="5" fillId="0" borderId="13" xfId="0" applyNumberFormat="1" applyFont="1" applyBorder="1" applyProtection="1"/>
    <xf numFmtId="49" fontId="9" fillId="0" borderId="6" xfId="0" applyNumberFormat="1" applyFont="1" applyBorder="1"/>
    <xf numFmtId="37" fontId="5" fillId="0" borderId="1" xfId="0" applyNumberFormat="1" applyFont="1" applyBorder="1" applyProtection="1"/>
    <xf numFmtId="37" fontId="5" fillId="0" borderId="6" xfId="0" applyNumberFormat="1" applyFont="1" applyBorder="1" applyProtection="1"/>
    <xf numFmtId="37" fontId="3" fillId="0" borderId="17" xfId="0" applyFont="1" applyBorder="1" applyAlignment="1">
      <alignment vertical="top"/>
    </xf>
    <xf numFmtId="37" fontId="5" fillId="0" borderId="13" xfId="0" applyFont="1" applyBorder="1" applyAlignment="1">
      <alignment horizontal="right" textRotation="180"/>
    </xf>
    <xf numFmtId="170" fontId="5" fillId="0" borderId="0" xfId="0" applyNumberFormat="1" applyFont="1" applyProtection="1"/>
    <xf numFmtId="49" fontId="9" fillId="0" borderId="0" xfId="0" applyNumberFormat="1" applyFont="1"/>
    <xf numFmtId="37" fontId="5" fillId="0" borderId="13" xfId="0" applyNumberFormat="1" applyFont="1" applyBorder="1" applyProtection="1"/>
    <xf numFmtId="37" fontId="5" fillId="0" borderId="0" xfId="0" applyNumberFormat="1" applyFont="1" applyProtection="1"/>
    <xf numFmtId="37" fontId="5" fillId="0" borderId="18" xfId="0" applyFont="1" applyBorder="1"/>
    <xf numFmtId="37" fontId="3" fillId="0" borderId="19" xfId="0" applyFont="1" applyBorder="1"/>
    <xf numFmtId="170" fontId="3" fillId="0" borderId="20" xfId="0" applyNumberFormat="1" applyFont="1" applyBorder="1" applyProtection="1"/>
    <xf numFmtId="170" fontId="3" fillId="0" borderId="19" xfId="0" applyNumberFormat="1" applyFont="1" applyBorder="1" applyProtection="1"/>
    <xf numFmtId="170" fontId="3" fillId="0" borderId="15" xfId="0" applyNumberFormat="1" applyFont="1" applyBorder="1" applyProtection="1"/>
    <xf numFmtId="170" fontId="5" fillId="0" borderId="15" xfId="0" applyNumberFormat="1" applyFont="1" applyBorder="1"/>
    <xf numFmtId="39" fontId="5" fillId="0" borderId="0" xfId="0" applyNumberFormat="1" applyFont="1"/>
    <xf numFmtId="37" fontId="5" fillId="3" borderId="2" xfId="0" applyFont="1" applyFill="1" applyBorder="1" applyAlignment="1">
      <alignment horizontal="center"/>
    </xf>
    <xf numFmtId="37" fontId="5" fillId="3" borderId="3" xfId="0" applyFont="1" applyFill="1" applyBorder="1"/>
    <xf numFmtId="37" fontId="3" fillId="0" borderId="7" xfId="0" applyFont="1" applyBorder="1"/>
    <xf numFmtId="37" fontId="3" fillId="3" borderId="1" xfId="0" applyFont="1" applyFill="1" applyBorder="1"/>
    <xf numFmtId="37" fontId="3" fillId="3" borderId="0" xfId="0" applyFont="1" applyFill="1"/>
    <xf numFmtId="37" fontId="5" fillId="3" borderId="2" xfId="0" applyFont="1" applyFill="1" applyBorder="1" applyAlignment="1"/>
    <xf numFmtId="37" fontId="3" fillId="3" borderId="3" xfId="0" applyFont="1" applyFill="1" applyBorder="1" applyAlignment="1" applyProtection="1">
      <alignment horizontal="centerContinuous" vertical="center"/>
    </xf>
    <xf numFmtId="37" fontId="5" fillId="3" borderId="3" xfId="0" applyFont="1" applyFill="1" applyBorder="1" applyAlignment="1"/>
    <xf numFmtId="37" fontId="3" fillId="3" borderId="5" xfId="0" applyFont="1" applyFill="1" applyBorder="1" applyAlignment="1">
      <alignment horizontal="centerContinuous"/>
    </xf>
    <xf numFmtId="37" fontId="3" fillId="0" borderId="10" xfId="0" applyFont="1" applyBorder="1" applyAlignment="1">
      <alignment horizontal="centerContinuous"/>
    </xf>
    <xf numFmtId="37" fontId="5" fillId="0" borderId="0" xfId="0" applyFont="1" applyAlignment="1">
      <alignment horizontal="centerContinuous"/>
    </xf>
    <xf numFmtId="167" fontId="5" fillId="0" borderId="0" xfId="0" applyNumberFormat="1" applyFont="1" applyAlignment="1" applyProtection="1">
      <alignment horizontal="centerContinuous"/>
    </xf>
    <xf numFmtId="37" fontId="5" fillId="3" borderId="2" xfId="0" applyFont="1" applyFill="1" applyBorder="1" applyAlignment="1">
      <alignment horizontal="right"/>
    </xf>
    <xf numFmtId="37" fontId="3" fillId="0" borderId="9" xfId="0" applyFont="1" applyBorder="1"/>
    <xf numFmtId="37" fontId="3" fillId="0" borderId="9" xfId="0" applyFont="1" applyBorder="1" applyAlignment="1">
      <alignment horizontal="center"/>
    </xf>
    <xf numFmtId="37" fontId="3" fillId="4" borderId="1" xfId="0" applyFont="1" applyFill="1" applyBorder="1" applyAlignment="1">
      <alignment horizontal="center"/>
    </xf>
    <xf numFmtId="37" fontId="5" fillId="4" borderId="0" xfId="0" applyFont="1" applyFill="1" applyBorder="1"/>
    <xf numFmtId="167" fontId="5" fillId="5" borderId="0" xfId="0" applyNumberFormat="1" applyFont="1" applyFill="1" applyBorder="1" applyProtection="1"/>
    <xf numFmtId="167" fontId="3" fillId="5" borderId="0" xfId="0" applyNumberFormat="1" applyFont="1" applyFill="1" applyBorder="1" applyProtection="1"/>
    <xf numFmtId="167" fontId="5" fillId="0" borderId="11" xfId="0" applyNumberFormat="1" applyFont="1" applyBorder="1" applyAlignment="1" applyProtection="1">
      <alignment horizontal="right"/>
    </xf>
    <xf numFmtId="37" fontId="3" fillId="0" borderId="15" xfId="0" applyFont="1" applyBorder="1" applyAlignment="1">
      <alignment horizontal="centerContinuous"/>
    </xf>
    <xf numFmtId="37" fontId="5" fillId="0" borderId="15" xfId="0" applyFont="1" applyBorder="1" applyAlignment="1">
      <alignment horizontal="centerContinuous"/>
    </xf>
    <xf numFmtId="37" fontId="5" fillId="0" borderId="15" xfId="0" applyFont="1" applyBorder="1" applyAlignment="1"/>
    <xf numFmtId="37" fontId="5" fillId="0" borderId="15" xfId="0" applyFont="1" applyBorder="1" applyAlignment="1">
      <alignment horizontal="right"/>
    </xf>
    <xf numFmtId="37" fontId="3" fillId="0" borderId="0" xfId="0" applyFont="1" applyAlignment="1">
      <alignment horizontal="centerContinuous"/>
    </xf>
    <xf numFmtId="37" fontId="3" fillId="0" borderId="18" xfId="0" applyFont="1" applyBorder="1" applyAlignment="1">
      <alignment horizontal="centerContinuous"/>
    </xf>
    <xf numFmtId="37" fontId="5" fillId="0" borderId="19" xfId="0" applyFont="1" applyBorder="1" applyAlignment="1">
      <alignment horizontal="centerContinuous"/>
    </xf>
    <xf numFmtId="37" fontId="3" fillId="3" borderId="23" xfId="0" applyFont="1" applyFill="1" applyBorder="1" applyAlignment="1">
      <alignment horizontal="center"/>
    </xf>
    <xf numFmtId="37" fontId="3" fillId="3" borderId="12" xfId="0" applyFont="1" applyFill="1" applyBorder="1" applyAlignment="1">
      <alignment horizontal="centerContinuous"/>
    </xf>
    <xf numFmtId="37" fontId="3" fillId="3" borderId="9" xfId="0" applyFont="1" applyFill="1" applyBorder="1" applyAlignment="1">
      <alignment horizontal="centerContinuous"/>
    </xf>
    <xf numFmtId="37" fontId="5" fillId="0" borderId="2" xfId="0" applyFont="1" applyBorder="1"/>
    <xf numFmtId="170" fontId="5" fillId="3" borderId="7" xfId="0" applyNumberFormat="1" applyFont="1" applyFill="1" applyBorder="1" applyProtection="1"/>
    <xf numFmtId="37" fontId="5" fillId="3" borderId="21" xfId="0" applyFont="1" applyFill="1" applyBorder="1"/>
    <xf numFmtId="170" fontId="5" fillId="3" borderId="21" xfId="0" applyNumberFormat="1" applyFont="1" applyFill="1" applyBorder="1" applyProtection="1"/>
    <xf numFmtId="37" fontId="5" fillId="0" borderId="21" xfId="0" applyFont="1" applyBorder="1"/>
    <xf numFmtId="170" fontId="5" fillId="0" borderId="21" xfId="0" applyNumberFormat="1" applyFont="1" applyBorder="1" applyProtection="1"/>
    <xf numFmtId="170" fontId="5" fillId="0" borderId="21" xfId="0" applyNumberFormat="1" applyFont="1" applyBorder="1"/>
    <xf numFmtId="37" fontId="5" fillId="0" borderId="8" xfId="0" applyFont="1" applyBorder="1" applyAlignment="1">
      <alignment horizontal="left"/>
    </xf>
    <xf numFmtId="170" fontId="5" fillId="0" borderId="8" xfId="0" applyNumberFormat="1" applyFont="1" applyBorder="1" applyProtection="1"/>
    <xf numFmtId="37" fontId="3" fillId="0" borderId="23" xfId="0" applyFont="1" applyFill="1" applyBorder="1"/>
    <xf numFmtId="37" fontId="5" fillId="0" borderId="21" xfId="0" applyNumberFormat="1" applyFont="1" applyBorder="1" applyProtection="1"/>
    <xf numFmtId="37" fontId="5" fillId="0" borderId="21" xfId="0" quotePrefix="1" applyFont="1" applyBorder="1" applyAlignment="1">
      <alignment horizontal="left"/>
    </xf>
    <xf numFmtId="37" fontId="5" fillId="0" borderId="8" xfId="0" applyFont="1" applyBorder="1"/>
    <xf numFmtId="37" fontId="3" fillId="0" borderId="7" xfId="0" applyFont="1" applyFill="1" applyBorder="1"/>
    <xf numFmtId="37" fontId="5" fillId="0" borderId="8" xfId="0" applyNumberFormat="1" applyFont="1" applyBorder="1" applyProtection="1"/>
    <xf numFmtId="170" fontId="3" fillId="0" borderId="23" xfId="0" applyNumberFormat="1" applyFont="1" applyFill="1" applyBorder="1"/>
    <xf numFmtId="166" fontId="5" fillId="0" borderId="0" xfId="0" applyNumberFormat="1" applyFont="1" applyProtection="1"/>
    <xf numFmtId="49" fontId="5" fillId="0" borderId="0" xfId="0" applyNumberFormat="1" applyFont="1"/>
    <xf numFmtId="37" fontId="5" fillId="0" borderId="0" xfId="0" applyFont="1" applyAlignment="1">
      <alignment horizontal="right"/>
    </xf>
    <xf numFmtId="37" fontId="5" fillId="0" borderId="0" xfId="0" applyNumberFormat="1" applyFont="1" applyAlignment="1" applyProtection="1">
      <alignment horizontal="right"/>
    </xf>
    <xf numFmtId="49" fontId="5" fillId="0" borderId="0" xfId="0" quotePrefix="1" applyNumberFormat="1" applyFont="1" applyBorder="1" applyAlignment="1">
      <alignment horizontal="left"/>
    </xf>
    <xf numFmtId="37" fontId="5" fillId="0" borderId="0" xfId="0" quotePrefix="1" applyFont="1" applyAlignment="1">
      <alignment horizontal="left"/>
    </xf>
    <xf numFmtId="165" fontId="5" fillId="0" borderId="2" xfId="0" applyNumberFormat="1" applyFont="1" applyBorder="1" applyAlignment="1" applyProtection="1">
      <alignment vertical="center"/>
    </xf>
    <xf numFmtId="37" fontId="5" fillId="0" borderId="24" xfId="0" applyFont="1" applyBorder="1" applyAlignment="1">
      <alignment horizontal="centerContinuous"/>
    </xf>
    <xf numFmtId="37" fontId="6" fillId="0" borderId="2" xfId="0" applyFont="1" applyBorder="1" applyProtection="1">
      <protection locked="0"/>
    </xf>
    <xf numFmtId="165" fontId="5" fillId="0" borderId="3" xfId="0" applyNumberFormat="1" applyFont="1" applyBorder="1" applyAlignment="1" applyProtection="1">
      <alignment vertical="center"/>
    </xf>
    <xf numFmtId="37" fontId="6" fillId="0" borderId="3" xfId="0" applyFont="1" applyBorder="1" applyProtection="1">
      <protection locked="0"/>
    </xf>
    <xf numFmtId="37" fontId="3" fillId="3" borderId="6" xfId="0" applyFont="1" applyFill="1" applyBorder="1" applyAlignment="1">
      <alignment horizontal="centerContinuous"/>
    </xf>
    <xf numFmtId="37" fontId="3" fillId="3" borderId="6" xfId="0" applyFont="1" applyFill="1" applyBorder="1"/>
    <xf numFmtId="170" fontId="5" fillId="0" borderId="1" xfId="0" applyNumberFormat="1" applyFont="1" applyBorder="1"/>
    <xf numFmtId="170" fontId="5" fillId="0" borderId="0" xfId="0" applyNumberFormat="1" applyFont="1"/>
    <xf numFmtId="37" fontId="5" fillId="0" borderId="24" xfId="0" applyFont="1" applyBorder="1" applyAlignment="1"/>
    <xf numFmtId="37" fontId="5" fillId="3" borderId="2" xfId="0" applyFont="1" applyFill="1" applyBorder="1" applyAlignment="1">
      <alignment horizontal="centerContinuous" vertical="center"/>
    </xf>
    <xf numFmtId="37" fontId="5" fillId="3" borderId="3" xfId="0" applyFont="1" applyFill="1" applyBorder="1" applyAlignment="1">
      <alignment horizontal="centerContinuous" vertical="center"/>
    </xf>
    <xf numFmtId="37" fontId="5" fillId="0" borderId="11" xfId="0" applyFont="1" applyBorder="1" applyAlignment="1">
      <alignment horizontal="centerContinuous"/>
    </xf>
    <xf numFmtId="39" fontId="5" fillId="0" borderId="1" xfId="0" applyNumberFormat="1" applyFont="1" applyBorder="1"/>
    <xf numFmtId="0" fontId="5" fillId="3" borderId="2" xfId="0" applyNumberFormat="1" applyFont="1" applyFill="1" applyBorder="1" applyAlignment="1"/>
    <xf numFmtId="0" fontId="5" fillId="3" borderId="3" xfId="0" applyNumberFormat="1" applyFont="1" applyFill="1" applyBorder="1" applyAlignment="1"/>
    <xf numFmtId="37" fontId="5" fillId="3" borderId="6" xfId="0" applyFont="1" applyFill="1" applyBorder="1"/>
    <xf numFmtId="39" fontId="5" fillId="0" borderId="0" xfId="0" applyNumberFormat="1" applyFont="1" applyProtection="1"/>
    <xf numFmtId="37" fontId="5" fillId="3" borderId="2" xfId="0" applyFont="1" applyFill="1" applyBorder="1" applyAlignment="1">
      <alignment horizontal="right" vertical="center"/>
    </xf>
    <xf numFmtId="37" fontId="3" fillId="0" borderId="19" xfId="0" applyFont="1" applyBorder="1" applyAlignment="1">
      <alignment horizontal="centerContinuous"/>
    </xf>
    <xf numFmtId="165" fontId="5" fillId="0" borderId="2" xfId="0" applyNumberFormat="1" applyFont="1" applyBorder="1" applyAlignment="1" applyProtection="1">
      <alignment horizontal="centerContinuous"/>
    </xf>
    <xf numFmtId="165" fontId="5" fillId="0" borderId="3" xfId="0" applyNumberFormat="1" applyFont="1" applyBorder="1" applyAlignment="1" applyProtection="1">
      <alignment horizontal="centerContinuous"/>
    </xf>
    <xf numFmtId="37" fontId="3" fillId="0" borderId="20" xfId="0" applyFont="1" applyBorder="1" applyAlignment="1">
      <alignment horizontal="centerContinuous"/>
    </xf>
    <xf numFmtId="10" fontId="5" fillId="3" borderId="2" xfId="0" applyNumberFormat="1" applyFont="1" applyFill="1" applyBorder="1" applyAlignment="1" applyProtection="1">
      <alignment horizontal="centerContinuous"/>
    </xf>
    <xf numFmtId="37" fontId="5" fillId="3" borderId="3" xfId="0" applyFont="1" applyFill="1" applyBorder="1" applyAlignment="1" applyProtection="1">
      <alignment horizontal="centerContinuous"/>
      <protection locked="0"/>
    </xf>
    <xf numFmtId="37" fontId="3" fillId="3" borderId="15" xfId="0" applyFont="1" applyFill="1" applyBorder="1" applyProtection="1"/>
    <xf numFmtId="37" fontId="5" fillId="3" borderId="15" xfId="0" applyFont="1" applyFill="1" applyBorder="1" applyProtection="1"/>
    <xf numFmtId="37" fontId="5" fillId="3" borderId="19" xfId="0" applyFont="1" applyFill="1" applyBorder="1" applyProtection="1"/>
    <xf numFmtId="37" fontId="3" fillId="3" borderId="5" xfId="0" applyFont="1" applyFill="1" applyBorder="1" applyProtection="1"/>
    <xf numFmtId="37" fontId="3" fillId="3" borderId="1" xfId="0" applyFont="1" applyFill="1" applyBorder="1" applyProtection="1"/>
    <xf numFmtId="37" fontId="3" fillId="3" borderId="1" xfId="0" applyFont="1" applyFill="1" applyBorder="1" applyAlignment="1" applyProtection="1">
      <alignment horizontal="centerContinuous"/>
    </xf>
    <xf numFmtId="37" fontId="3" fillId="0" borderId="9" xfId="0" applyFont="1" applyBorder="1" applyAlignment="1" applyProtection="1">
      <alignment horizontal="centerContinuous"/>
    </xf>
    <xf numFmtId="37" fontId="5" fillId="0" borderId="0" xfId="0" applyFont="1" applyBorder="1"/>
    <xf numFmtId="37" fontId="5" fillId="0" borderId="0" xfId="0" applyNumberFormat="1" applyFont="1" applyAlignment="1" applyProtection="1">
      <alignment horizontal="centerContinuous"/>
    </xf>
    <xf numFmtId="37" fontId="5" fillId="3" borderId="2" xfId="0" applyFont="1" applyFill="1" applyBorder="1" applyAlignment="1" applyProtection="1"/>
    <xf numFmtId="37" fontId="5" fillId="3" borderId="3" xfId="0" applyFont="1" applyFill="1" applyBorder="1" applyAlignment="1" applyProtection="1"/>
    <xf numFmtId="37" fontId="5" fillId="3" borderId="3" xfId="0" applyFont="1" applyFill="1" applyBorder="1" applyAlignment="1" applyProtection="1">
      <alignment horizontal="center"/>
    </xf>
    <xf numFmtId="37" fontId="3" fillId="3" borderId="6" xfId="0" applyFont="1" applyFill="1" applyBorder="1" applyProtection="1"/>
    <xf numFmtId="37" fontId="5" fillId="0" borderId="6" xfId="0" applyFont="1" applyBorder="1" applyProtection="1"/>
    <xf numFmtId="170" fontId="5" fillId="0" borderId="13" xfId="0" applyNumberFormat="1" applyFont="1" applyBorder="1" applyAlignment="1">
      <alignment vertical="center"/>
    </xf>
    <xf numFmtId="174" fontId="5" fillId="0" borderId="25" xfId="0" applyNumberFormat="1" applyFont="1" applyBorder="1" applyAlignment="1">
      <alignment vertical="center"/>
    </xf>
    <xf numFmtId="174" fontId="5" fillId="0" borderId="0" xfId="0" applyNumberFormat="1" applyFont="1" applyAlignment="1">
      <alignment vertical="center"/>
    </xf>
    <xf numFmtId="37" fontId="3" fillId="3" borderId="6" xfId="0" applyFont="1" applyFill="1" applyBorder="1" applyAlignment="1" applyProtection="1">
      <alignment horizontal="centerContinuous"/>
    </xf>
    <xf numFmtId="37" fontId="3" fillId="3" borderId="3" xfId="0" applyFont="1" applyFill="1" applyBorder="1" applyAlignment="1" applyProtection="1">
      <alignment horizontal="centerContinuous" vertical="center"/>
      <protection locked="0"/>
    </xf>
    <xf numFmtId="37" fontId="3" fillId="3" borderId="1" xfId="0" applyFont="1" applyFill="1" applyBorder="1" applyAlignment="1">
      <alignment horizontal="centerContinuous"/>
    </xf>
    <xf numFmtId="165" fontId="5" fillId="0" borderId="2" xfId="0" applyNumberFormat="1" applyFont="1" applyBorder="1" applyAlignment="1" applyProtection="1">
      <alignment horizontal="centerContinuous" vertical="center"/>
    </xf>
    <xf numFmtId="37" fontId="5" fillId="0" borderId="24" xfId="0" applyFont="1" applyBorder="1" applyAlignment="1">
      <alignment horizontal="centerContinuous" vertical="center"/>
    </xf>
    <xf numFmtId="165" fontId="5" fillId="0" borderId="3" xfId="0" applyNumberFormat="1" applyFont="1" applyBorder="1" applyAlignment="1" applyProtection="1">
      <alignment horizontal="centerContinuous" vertical="center"/>
    </xf>
    <xf numFmtId="165" fontId="5" fillId="0" borderId="0" xfId="0" applyNumberFormat="1" applyFont="1" applyBorder="1" applyProtection="1"/>
    <xf numFmtId="37" fontId="3" fillId="3" borderId="18" xfId="0" applyFont="1" applyFill="1" applyBorder="1" applyAlignment="1">
      <alignment horizontal="centerContinuous"/>
    </xf>
    <xf numFmtId="165" fontId="6" fillId="0" borderId="0" xfId="0" applyNumberFormat="1" applyFont="1" applyProtection="1">
      <protection locked="0"/>
    </xf>
    <xf numFmtId="165" fontId="5" fillId="0" borderId="15" xfId="0" applyNumberFormat="1" applyFont="1" applyBorder="1" applyAlignment="1" applyProtection="1">
      <alignment vertical="center"/>
    </xf>
    <xf numFmtId="37" fontId="3" fillId="3" borderId="15" xfId="0" quotePrefix="1" applyFont="1" applyFill="1" applyBorder="1" applyAlignment="1" applyProtection="1">
      <alignment horizontal="centerContinuous" vertical="center"/>
    </xf>
    <xf numFmtId="37" fontId="5" fillId="0" borderId="15" xfId="0" applyFont="1" applyBorder="1" applyAlignment="1">
      <alignment horizontal="right" vertical="center"/>
    </xf>
    <xf numFmtId="37" fontId="3" fillId="0" borderId="4" xfId="0" applyFont="1" applyBorder="1" applyAlignment="1">
      <alignment horizontal="center"/>
    </xf>
    <xf numFmtId="37" fontId="5" fillId="0" borderId="0" xfId="0" applyFont="1" applyAlignment="1">
      <alignment wrapText="1"/>
    </xf>
    <xf numFmtId="37" fontId="5" fillId="0" borderId="15" xfId="0" applyFont="1" applyBorder="1" applyAlignment="1">
      <alignment vertical="center"/>
    </xf>
    <xf numFmtId="37" fontId="3" fillId="3" borderId="20" xfId="0" applyFont="1" applyFill="1" applyBorder="1" applyAlignment="1">
      <alignment horizontal="centerContinuous"/>
    </xf>
    <xf numFmtId="37" fontId="5" fillId="0" borderId="15" xfId="0" applyFont="1" applyBorder="1" applyAlignment="1">
      <alignment horizontal="left" vertical="center"/>
    </xf>
    <xf numFmtId="37" fontId="5" fillId="0" borderId="15" xfId="0" applyFont="1" applyBorder="1" applyAlignment="1">
      <alignment horizontal="left"/>
    </xf>
    <xf numFmtId="49" fontId="5" fillId="0" borderId="0" xfId="2" applyNumberFormat="1" applyFont="1"/>
    <xf numFmtId="37" fontId="3" fillId="0" borderId="2" xfId="0" applyFont="1" applyBorder="1" applyAlignment="1">
      <alignment horizontal="centerContinuous" vertical="center"/>
    </xf>
    <xf numFmtId="37" fontId="5" fillId="0" borderId="2" xfId="0" applyFont="1" applyBorder="1" applyAlignment="1">
      <alignment horizontal="centerContinuous" vertical="center"/>
    </xf>
    <xf numFmtId="37" fontId="3" fillId="0" borderId="3" xfId="0" applyFont="1" applyBorder="1" applyAlignment="1">
      <alignment horizontal="centerContinuous" vertical="center"/>
    </xf>
    <xf numFmtId="37" fontId="5" fillId="0" borderId="3" xfId="0" applyFont="1" applyBorder="1" applyAlignment="1">
      <alignment horizontal="centerContinuous" vertical="center"/>
    </xf>
    <xf numFmtId="37" fontId="11" fillId="0" borderId="3" xfId="0" applyFont="1" applyBorder="1" applyAlignment="1">
      <alignment horizontal="centerContinuous" vertical="center"/>
    </xf>
    <xf numFmtId="49" fontId="3" fillId="0" borderId="9" xfId="0" applyNumberFormat="1" applyFont="1" applyBorder="1"/>
    <xf numFmtId="167" fontId="5" fillId="0" borderId="0" xfId="0" applyNumberFormat="1" applyFont="1"/>
    <xf numFmtId="173" fontId="5" fillId="0" borderId="1" xfId="0" applyNumberFormat="1" applyFont="1" applyBorder="1"/>
    <xf numFmtId="172" fontId="5" fillId="0" borderId="0" xfId="0" applyNumberFormat="1" applyFont="1"/>
    <xf numFmtId="173" fontId="5" fillId="0" borderId="0" xfId="0" applyNumberFormat="1" applyFont="1"/>
    <xf numFmtId="165" fontId="5" fillId="0" borderId="0" xfId="0" applyNumberFormat="1" applyFont="1" applyAlignment="1" applyProtection="1">
      <alignment horizontal="right"/>
    </xf>
    <xf numFmtId="37" fontId="5" fillId="0" borderId="0" xfId="0" applyFont="1" applyAlignment="1">
      <alignment horizontal="center"/>
    </xf>
    <xf numFmtId="37" fontId="5" fillId="0" borderId="30" xfId="0" applyFont="1" applyBorder="1"/>
    <xf numFmtId="37" fontId="5" fillId="0" borderId="27" xfId="0" applyFont="1" applyBorder="1"/>
    <xf numFmtId="0" fontId="5" fillId="0" borderId="0" xfId="0" applyNumberFormat="1" applyFont="1" applyAlignment="1">
      <alignment horizontal="center"/>
    </xf>
    <xf numFmtId="37" fontId="5" fillId="3" borderId="0" xfId="0" applyFont="1" applyFill="1" applyAlignment="1">
      <alignment horizontal="left"/>
    </xf>
    <xf numFmtId="37" fontId="5" fillId="0" borderId="0" xfId="0" quotePrefix="1" applyFont="1" applyAlignment="1">
      <alignment horizontal="center"/>
    </xf>
    <xf numFmtId="37" fontId="3" fillId="0" borderId="21" xfId="0" applyFont="1" applyBorder="1" applyAlignment="1">
      <alignment horizontal="center" vertical="center"/>
    </xf>
    <xf numFmtId="164" fontId="5" fillId="0" borderId="0" xfId="2" applyFont="1" applyAlignment="1">
      <alignment horizontal="left"/>
    </xf>
    <xf numFmtId="37" fontId="5" fillId="0" borderId="2" xfId="0" applyFont="1" applyBorder="1" applyAlignment="1">
      <alignment horizontal="centerContinuous"/>
    </xf>
    <xf numFmtId="37" fontId="5" fillId="0" borderId="2" xfId="0" applyFont="1" applyBorder="1" applyAlignment="1"/>
    <xf numFmtId="37" fontId="5" fillId="0" borderId="3" xfId="0" applyFont="1" applyBorder="1" applyAlignment="1">
      <alignment horizontal="centerContinuous"/>
    </xf>
    <xf numFmtId="37" fontId="5" fillId="0" borderId="3" xfId="0" applyFont="1" applyBorder="1" applyAlignment="1"/>
    <xf numFmtId="37" fontId="5" fillId="0" borderId="11" xfId="0" applyFont="1" applyBorder="1" applyAlignment="1">
      <alignment vertical="center"/>
    </xf>
    <xf numFmtId="37" fontId="5" fillId="0" borderId="0" xfId="0" quotePrefix="1" applyFont="1" applyBorder="1" applyAlignment="1">
      <alignment horizontal="centerContinuous"/>
    </xf>
    <xf numFmtId="49" fontId="3" fillId="5" borderId="20" xfId="0" applyNumberFormat="1" applyFont="1" applyFill="1" applyBorder="1" applyAlignment="1">
      <alignment horizontal="center"/>
    </xf>
    <xf numFmtId="37" fontId="3" fillId="3" borderId="15" xfId="0" applyFont="1" applyFill="1" applyBorder="1" applyAlignment="1">
      <alignment horizontal="centerContinuous" vertical="center"/>
    </xf>
    <xf numFmtId="37" fontId="3" fillId="3" borderId="0" xfId="0" applyFont="1" applyFill="1" applyBorder="1" applyAlignment="1">
      <alignment horizontal="centerContinuous" vertical="center"/>
    </xf>
    <xf numFmtId="37" fontId="5" fillId="3" borderId="0" xfId="0" applyFont="1" applyFill="1" applyBorder="1" applyAlignment="1">
      <alignment horizontal="centerContinuous"/>
    </xf>
    <xf numFmtId="37" fontId="5" fillId="3" borderId="0" xfId="0" quotePrefix="1" applyFont="1" applyFill="1" applyBorder="1" applyAlignment="1">
      <alignment horizontal="right"/>
    </xf>
    <xf numFmtId="37" fontId="5" fillId="0" borderId="0" xfId="0" applyFont="1" applyBorder="1" applyAlignment="1">
      <alignment vertical="center"/>
    </xf>
    <xf numFmtId="37" fontId="3" fillId="0" borderId="31" xfId="0" applyFont="1" applyBorder="1" applyAlignment="1">
      <alignment horizontal="center"/>
    </xf>
    <xf numFmtId="37" fontId="5" fillId="0" borderId="7" xfId="0" applyFont="1" applyBorder="1"/>
    <xf numFmtId="37" fontId="3" fillId="0" borderId="21" xfId="0" applyFont="1" applyBorder="1" applyAlignment="1">
      <alignment horizontal="center"/>
    </xf>
    <xf numFmtId="49" fontId="5" fillId="0" borderId="0" xfId="0" applyNumberFormat="1" applyFont="1" applyBorder="1" applyAlignment="1">
      <alignment horizontal="left"/>
    </xf>
    <xf numFmtId="37" fontId="5" fillId="3" borderId="0" xfId="0" applyFont="1" applyFill="1" applyBorder="1" applyAlignment="1">
      <alignment horizontal="right"/>
    </xf>
    <xf numFmtId="165" fontId="5" fillId="0" borderId="15" xfId="0" applyNumberFormat="1" applyFont="1" applyBorder="1" applyProtection="1"/>
    <xf numFmtId="37" fontId="5" fillId="0" borderId="15" xfId="0" applyFont="1" applyBorder="1" applyAlignment="1">
      <alignment horizontal="centerContinuous" vertical="center"/>
    </xf>
    <xf numFmtId="165" fontId="5" fillId="0" borderId="0" xfId="0" applyNumberFormat="1" applyFont="1" applyAlignment="1" applyProtection="1">
      <alignment horizontal="centerContinuous"/>
    </xf>
    <xf numFmtId="37" fontId="6" fillId="0" borderId="15" xfId="0" applyFont="1" applyBorder="1" applyAlignment="1" applyProtection="1">
      <alignment horizontal="centerContinuous" vertical="center"/>
      <protection locked="0"/>
    </xf>
    <xf numFmtId="0" fontId="5" fillId="0" borderId="0" xfId="2" applyNumberFormat="1" applyFont="1" applyAlignment="1"/>
    <xf numFmtId="37" fontId="5" fillId="0" borderId="0" xfId="0" quotePrefix="1" applyFont="1" applyAlignment="1"/>
    <xf numFmtId="37" fontId="3" fillId="0" borderId="27" xfId="0" applyFont="1" applyBorder="1" applyAlignment="1">
      <alignment horizontal="centerContinuous" vertical="center"/>
    </xf>
    <xf numFmtId="37" fontId="5" fillId="0" borderId="27" xfId="0" applyFont="1" applyBorder="1" applyAlignment="1">
      <alignment horizontal="centerContinuous" vertical="center"/>
    </xf>
    <xf numFmtId="37" fontId="6" fillId="0" borderId="15" xfId="0" applyFont="1" applyBorder="1" applyAlignment="1" applyProtection="1">
      <alignment vertical="center"/>
      <protection locked="0"/>
    </xf>
    <xf numFmtId="37" fontId="3" fillId="0" borderId="1" xfId="0" applyFont="1" applyBorder="1"/>
    <xf numFmtId="49" fontId="5" fillId="0" borderId="0" xfId="0" applyNumberFormat="1" applyFont="1" applyBorder="1" applyAlignment="1">
      <alignment vertical="center"/>
    </xf>
    <xf numFmtId="170" fontId="5" fillId="0" borderId="0" xfId="0" applyNumberFormat="1" applyFont="1" applyBorder="1"/>
    <xf numFmtId="165" fontId="5" fillId="0" borderId="24" xfId="0" applyNumberFormat="1" applyFont="1" applyBorder="1" applyAlignment="1" applyProtection="1">
      <alignment vertical="center"/>
    </xf>
    <xf numFmtId="37" fontId="3" fillId="0" borderId="24" xfId="0" applyFont="1" applyBorder="1" applyAlignment="1">
      <alignment horizontal="centerContinuous" vertical="center"/>
    </xf>
    <xf numFmtId="165" fontId="5" fillId="0" borderId="11" xfId="0" applyNumberFormat="1" applyFont="1" applyBorder="1" applyAlignment="1" applyProtection="1">
      <alignment vertical="center"/>
    </xf>
    <xf numFmtId="37" fontId="5" fillId="0" borderId="11" xfId="0" applyFont="1" applyBorder="1" applyAlignment="1"/>
    <xf numFmtId="37" fontId="5" fillId="0" borderId="32" xfId="0" applyFont="1" applyBorder="1"/>
    <xf numFmtId="166" fontId="5" fillId="0" borderId="0" xfId="6" applyNumberFormat="1" applyFont="1" applyBorder="1"/>
    <xf numFmtId="37" fontId="5" fillId="0" borderId="0" xfId="0" applyNumberFormat="1" applyFont="1"/>
    <xf numFmtId="170" fontId="5" fillId="0" borderId="1" xfId="0" applyNumberFormat="1" applyFont="1" applyBorder="1" applyAlignment="1">
      <alignment horizontal="right"/>
    </xf>
    <xf numFmtId="37" fontId="3" fillId="0" borderId="33" xfId="0" applyFont="1" applyBorder="1"/>
    <xf numFmtId="37" fontId="3" fillId="0" borderId="34" xfId="0" applyFont="1" applyBorder="1"/>
    <xf numFmtId="37" fontId="3" fillId="0" borderId="7" xfId="0" applyFont="1" applyFill="1" applyBorder="1" applyAlignment="1">
      <alignment horizontal="centerContinuous" vertical="center"/>
    </xf>
    <xf numFmtId="37" fontId="3" fillId="0" borderId="8" xfId="0" applyFont="1" applyFill="1" applyBorder="1" applyAlignment="1">
      <alignment horizontal="centerContinuous"/>
    </xf>
    <xf numFmtId="37" fontId="3" fillId="0" borderId="7" xfId="0" applyFont="1" applyFill="1" applyBorder="1" applyAlignment="1">
      <alignment vertical="center"/>
    </xf>
    <xf numFmtId="37" fontId="3" fillId="0" borderId="21" xfId="0" applyFont="1" applyFill="1" applyBorder="1" applyAlignment="1"/>
    <xf numFmtId="37" fontId="12" fillId="3" borderId="0" xfId="0" applyFont="1" applyFill="1" applyAlignment="1">
      <alignment horizontal="centerContinuous"/>
    </xf>
    <xf numFmtId="49" fontId="8" fillId="0" borderId="0" xfId="0" applyNumberFormat="1" applyFont="1" applyAlignment="1">
      <alignment horizontal="right"/>
    </xf>
    <xf numFmtId="37" fontId="12" fillId="0" borderId="0" xfId="0" applyFont="1" applyAlignment="1">
      <alignment horizontal="centerContinuous"/>
    </xf>
    <xf numFmtId="37" fontId="13" fillId="0" borderId="17" xfId="0" applyFont="1" applyBorder="1" applyAlignment="1">
      <alignment horizontal="right" vertical="top" textRotation="180"/>
    </xf>
    <xf numFmtId="168" fontId="5" fillId="3" borderId="21" xfId="0" applyNumberFormat="1" applyFont="1" applyFill="1" applyBorder="1" applyProtection="1"/>
    <xf numFmtId="168" fontId="5" fillId="0" borderId="21" xfId="0" applyNumberFormat="1" applyFont="1" applyBorder="1" applyProtection="1"/>
    <xf numFmtId="168" fontId="5" fillId="0" borderId="8" xfId="0" applyNumberFormat="1" applyFont="1" applyBorder="1" applyProtection="1"/>
    <xf numFmtId="168" fontId="5" fillId="3" borderId="7" xfId="0" applyNumberFormat="1" applyFont="1" applyFill="1" applyBorder="1" applyProtection="1"/>
    <xf numFmtId="168" fontId="3" fillId="0" borderId="23" xfId="6" applyNumberFormat="1" applyFont="1" applyFill="1" applyBorder="1"/>
    <xf numFmtId="168" fontId="3" fillId="0" borderId="7" xfId="6" applyNumberFormat="1" applyFont="1" applyFill="1" applyBorder="1"/>
    <xf numFmtId="168" fontId="5" fillId="0" borderId="0" xfId="0" applyNumberFormat="1" applyFont="1" applyProtection="1"/>
    <xf numFmtId="168" fontId="5" fillId="0" borderId="0" xfId="6" applyNumberFormat="1" applyFont="1"/>
    <xf numFmtId="168" fontId="5" fillId="0" borderId="1" xfId="6" applyNumberFormat="1" applyFont="1" applyBorder="1"/>
    <xf numFmtId="37" fontId="3" fillId="6" borderId="16" xfId="0" applyFont="1" applyFill="1" applyBorder="1" applyAlignment="1">
      <alignment horizontal="centerContinuous"/>
    </xf>
    <xf numFmtId="37" fontId="3" fillId="6" borderId="2" xfId="0" applyFont="1" applyFill="1" applyBorder="1" applyAlignment="1">
      <alignment horizontal="centerContinuous"/>
    </xf>
    <xf numFmtId="37" fontId="3" fillId="6" borderId="5" xfId="0" applyFont="1" applyFill="1" applyBorder="1" applyAlignment="1">
      <alignment horizontal="centerContinuous"/>
    </xf>
    <xf numFmtId="49" fontId="5" fillId="6" borderId="1" xfId="0" applyNumberFormat="1" applyFont="1" applyFill="1" applyBorder="1" applyAlignment="1">
      <alignment vertical="center"/>
    </xf>
    <xf numFmtId="170" fontId="5" fillId="6" borderId="1" xfId="0" applyNumberFormat="1" applyFont="1" applyFill="1" applyBorder="1" applyAlignment="1">
      <alignment vertical="center"/>
    </xf>
    <xf numFmtId="168" fontId="5" fillId="6" borderId="1" xfId="6" applyNumberFormat="1" applyFont="1" applyFill="1" applyBorder="1"/>
    <xf numFmtId="49" fontId="3" fillId="6" borderId="20" xfId="2" applyNumberFormat="1" applyFont="1" applyFill="1" applyBorder="1" applyAlignment="1">
      <alignment vertical="center"/>
    </xf>
    <xf numFmtId="170" fontId="3" fillId="6" borderId="20" xfId="0" applyNumberFormat="1" applyFont="1" applyFill="1" applyBorder="1" applyAlignment="1">
      <alignment vertical="center"/>
    </xf>
    <xf numFmtId="168" fontId="3" fillId="6" borderId="20" xfId="6" applyNumberFormat="1" applyFont="1" applyFill="1" applyBorder="1"/>
    <xf numFmtId="37" fontId="5" fillId="6" borderId="16" xfId="0" applyFont="1" applyFill="1" applyBorder="1"/>
    <xf numFmtId="37" fontId="3" fillId="6" borderId="2" xfId="0" applyFont="1" applyFill="1" applyBorder="1"/>
    <xf numFmtId="37" fontId="5" fillId="6" borderId="5" xfId="0" applyFont="1" applyFill="1" applyBorder="1" applyAlignment="1">
      <alignment horizontal="centerContinuous"/>
    </xf>
    <xf numFmtId="37" fontId="5" fillId="6" borderId="2" xfId="0" applyFont="1" applyFill="1" applyBorder="1" applyAlignment="1">
      <alignment horizontal="centerContinuous"/>
    </xf>
    <xf numFmtId="37" fontId="3" fillId="7" borderId="23" xfId="0" applyFont="1" applyFill="1" applyBorder="1"/>
    <xf numFmtId="37" fontId="3" fillId="7" borderId="35" xfId="0" applyFont="1" applyFill="1" applyBorder="1"/>
    <xf numFmtId="37" fontId="3" fillId="6" borderId="18" xfId="0" applyFont="1" applyFill="1" applyBorder="1" applyAlignment="1">
      <alignment horizontal="centerContinuous"/>
    </xf>
    <xf numFmtId="37" fontId="3" fillId="6" borderId="4" xfId="0" applyFont="1" applyFill="1" applyBorder="1" applyAlignment="1">
      <alignment horizontal="centerContinuous"/>
    </xf>
    <xf numFmtId="37" fontId="3" fillId="6" borderId="9" xfId="0" applyFont="1" applyFill="1" applyBorder="1" applyAlignment="1">
      <alignment horizontal="centerContinuous"/>
    </xf>
    <xf numFmtId="37" fontId="3" fillId="6" borderId="30" xfId="0" applyFont="1" applyFill="1" applyBorder="1" applyAlignment="1">
      <alignment horizontal="centerContinuous"/>
    </xf>
    <xf numFmtId="37" fontId="3" fillId="6" borderId="27" xfId="0" applyFont="1" applyFill="1" applyBorder="1" applyAlignment="1">
      <alignment horizontal="centerContinuous"/>
    </xf>
    <xf numFmtId="37" fontId="3" fillId="6" borderId="28" xfId="0" applyFont="1" applyFill="1" applyBorder="1" applyAlignment="1">
      <alignment horizontal="centerContinuous"/>
    </xf>
    <xf numFmtId="37" fontId="3" fillId="6" borderId="36" xfId="0" applyFont="1" applyFill="1" applyBorder="1" applyAlignment="1">
      <alignment horizontal="center"/>
    </xf>
    <xf numFmtId="37" fontId="3" fillId="6" borderId="19" xfId="0" applyFont="1" applyFill="1" applyBorder="1" applyAlignment="1">
      <alignment horizontal="center"/>
    </xf>
    <xf numFmtId="37" fontId="3" fillId="6" borderId="20" xfId="0" applyFont="1" applyFill="1" applyBorder="1" applyAlignment="1">
      <alignment horizontal="center"/>
    </xf>
    <xf numFmtId="173" fontId="5" fillId="6" borderId="1" xfId="0" applyNumberFormat="1" applyFont="1" applyFill="1" applyBorder="1" applyAlignment="1">
      <alignment vertical="center"/>
    </xf>
    <xf numFmtId="173" fontId="3" fillId="6" borderId="20" xfId="0" applyNumberFormat="1" applyFont="1" applyFill="1" applyBorder="1" applyAlignment="1">
      <alignment vertical="center"/>
    </xf>
    <xf numFmtId="37" fontId="3" fillId="6" borderId="19" xfId="0" applyFont="1" applyFill="1" applyBorder="1" applyAlignment="1">
      <alignment horizontal="centerContinuous"/>
    </xf>
    <xf numFmtId="173" fontId="5" fillId="6" borderId="14" xfId="0" applyNumberFormat="1" applyFont="1" applyFill="1" applyBorder="1" applyAlignment="1">
      <alignment vertical="center"/>
    </xf>
    <xf numFmtId="173" fontId="5" fillId="6" borderId="6" xfId="0" applyNumberFormat="1" applyFont="1" applyFill="1" applyBorder="1" applyAlignment="1">
      <alignment vertical="center"/>
    </xf>
    <xf numFmtId="37" fontId="3" fillId="6" borderId="19" xfId="0" applyFont="1" applyFill="1" applyBorder="1" applyAlignment="1">
      <alignment horizontal="centerContinuous" vertical="center"/>
    </xf>
    <xf numFmtId="170" fontId="5" fillId="6" borderId="13" xfId="0" applyNumberFormat="1" applyFont="1" applyFill="1" applyBorder="1" applyAlignment="1">
      <alignment vertical="center"/>
    </xf>
    <xf numFmtId="174" fontId="5" fillId="6" borderId="25" xfId="0" applyNumberFormat="1" applyFont="1" applyFill="1" applyBorder="1" applyAlignment="1">
      <alignment vertical="center"/>
    </xf>
    <xf numFmtId="168" fontId="3" fillId="6" borderId="19" xfId="6" applyNumberFormat="1" applyFont="1" applyFill="1" applyBorder="1"/>
    <xf numFmtId="37" fontId="3" fillId="6" borderId="16" xfId="0" applyFont="1" applyFill="1" applyBorder="1" applyAlignment="1"/>
    <xf numFmtId="37" fontId="3" fillId="6" borderId="5" xfId="0" applyFont="1" applyFill="1" applyBorder="1" applyAlignment="1"/>
    <xf numFmtId="170" fontId="5" fillId="6" borderId="1" xfId="0" applyNumberFormat="1" applyFont="1" applyFill="1" applyBorder="1"/>
    <xf numFmtId="39" fontId="5" fillId="6" borderId="1" xfId="0" applyNumberFormat="1" applyFont="1" applyFill="1" applyBorder="1"/>
    <xf numFmtId="170" fontId="3" fillId="6" borderId="20" xfId="0" applyNumberFormat="1" applyFont="1" applyFill="1" applyBorder="1"/>
    <xf numFmtId="39" fontId="3" fillId="6" borderId="20" xfId="0" applyNumberFormat="1" applyFont="1" applyFill="1" applyBorder="1"/>
    <xf numFmtId="170" fontId="5" fillId="6" borderId="1" xfId="0" applyNumberFormat="1" applyFont="1" applyFill="1" applyBorder="1" applyAlignment="1">
      <alignment horizontal="right"/>
    </xf>
    <xf numFmtId="39" fontId="5" fillId="6" borderId="1" xfId="0" applyNumberFormat="1" applyFont="1" applyFill="1" applyBorder="1" applyAlignment="1">
      <alignment horizontal="right"/>
    </xf>
    <xf numFmtId="37" fontId="5" fillId="6" borderId="2" xfId="0" applyFont="1" applyFill="1" applyBorder="1"/>
    <xf numFmtId="37" fontId="3" fillId="6" borderId="33" xfId="0" applyFont="1" applyFill="1" applyBorder="1" applyAlignment="1">
      <alignment horizontal="left"/>
    </xf>
    <xf numFmtId="37" fontId="3" fillId="6" borderId="24" xfId="0" applyFont="1" applyFill="1" applyBorder="1" applyAlignment="1">
      <alignment horizontal="left"/>
    </xf>
    <xf numFmtId="37" fontId="3" fillId="6" borderId="38" xfId="0" applyFont="1" applyFill="1" applyBorder="1" applyAlignment="1">
      <alignment horizontal="left"/>
    </xf>
    <xf numFmtId="37" fontId="3" fillId="6" borderId="1" xfId="0" applyFont="1" applyFill="1" applyBorder="1" applyAlignment="1">
      <alignment horizontal="centerContinuous"/>
    </xf>
    <xf numFmtId="37" fontId="3" fillId="6" borderId="16" xfId="0" applyFont="1" applyFill="1" applyBorder="1"/>
    <xf numFmtId="37" fontId="3" fillId="6" borderId="0" xfId="0" applyFont="1" applyFill="1"/>
    <xf numFmtId="37" fontId="3" fillId="6" borderId="4" xfId="0" applyFont="1" applyFill="1" applyBorder="1" applyAlignment="1">
      <alignment horizontal="center"/>
    </xf>
    <xf numFmtId="37" fontId="3" fillId="6" borderId="4" xfId="0" applyFont="1" applyFill="1" applyBorder="1"/>
    <xf numFmtId="37" fontId="3" fillId="6" borderId="4" xfId="0" applyNumberFormat="1" applyFont="1" applyFill="1" applyBorder="1" applyAlignment="1" applyProtection="1">
      <alignment horizontal="center"/>
    </xf>
    <xf numFmtId="37" fontId="3" fillId="6" borderId="9" xfId="0" applyNumberFormat="1" applyFont="1" applyFill="1" applyBorder="1" applyAlignment="1" applyProtection="1">
      <alignment horizontal="centerContinuous"/>
    </xf>
    <xf numFmtId="37" fontId="3" fillId="6" borderId="1" xfId="0" applyNumberFormat="1" applyFont="1" applyFill="1" applyBorder="1" applyAlignment="1" applyProtection="1"/>
    <xf numFmtId="37" fontId="3" fillId="6" borderId="1" xfId="0" applyFont="1" applyFill="1" applyBorder="1" applyAlignment="1"/>
    <xf numFmtId="37" fontId="3" fillId="8" borderId="4" xfId="0" applyFont="1" applyFill="1" applyBorder="1" applyAlignment="1">
      <alignment horizontal="centerContinuous"/>
    </xf>
    <xf numFmtId="37" fontId="3" fillId="8" borderId="4" xfId="0" applyFont="1" applyFill="1" applyBorder="1" applyAlignment="1">
      <alignment horizontal="center"/>
    </xf>
    <xf numFmtId="37" fontId="3" fillId="8" borderId="1" xfId="0" applyFont="1" applyFill="1" applyBorder="1" applyAlignment="1">
      <alignment horizontal="center"/>
    </xf>
    <xf numFmtId="37" fontId="3" fillId="8" borderId="10" xfId="0" applyFont="1" applyFill="1" applyBorder="1" applyAlignment="1">
      <alignment horizontal="centerContinuous"/>
    </xf>
    <xf numFmtId="37" fontId="3" fillId="8" borderId="9" xfId="0" applyFont="1" applyFill="1" applyBorder="1" applyAlignment="1">
      <alignment horizontal="centerContinuous"/>
    </xf>
    <xf numFmtId="37" fontId="3" fillId="7" borderId="16" xfId="0" applyFont="1" applyFill="1" applyBorder="1" applyAlignment="1"/>
    <xf numFmtId="37" fontId="3" fillId="7" borderId="5" xfId="0" applyFont="1" applyFill="1" applyBorder="1" applyAlignment="1"/>
    <xf numFmtId="170" fontId="5" fillId="5" borderId="1" xfId="0" applyNumberFormat="1" applyFont="1" applyFill="1" applyBorder="1"/>
    <xf numFmtId="170" fontId="5" fillId="4" borderId="1" xfId="0" applyNumberFormat="1" applyFont="1" applyFill="1" applyBorder="1"/>
    <xf numFmtId="37" fontId="5" fillId="4" borderId="0" xfId="0" applyFont="1" applyFill="1"/>
    <xf numFmtId="170" fontId="3" fillId="5" borderId="20" xfId="0" applyNumberFormat="1" applyFont="1" applyFill="1" applyBorder="1"/>
    <xf numFmtId="170" fontId="5" fillId="4" borderId="0" xfId="0" applyNumberFormat="1" applyFont="1" applyFill="1"/>
    <xf numFmtId="168" fontId="5" fillId="0" borderId="1" xfId="6" applyNumberFormat="1" applyFont="1" applyBorder="1" applyAlignment="1">
      <alignment horizontal="right"/>
    </xf>
    <xf numFmtId="168" fontId="5" fillId="6" borderId="1" xfId="6" applyNumberFormat="1" applyFont="1" applyFill="1" applyBorder="1" applyAlignment="1">
      <alignment horizontal="right"/>
    </xf>
    <xf numFmtId="173" fontId="3" fillId="6" borderId="23" xfId="0" applyNumberFormat="1" applyFont="1" applyFill="1" applyBorder="1"/>
    <xf numFmtId="168" fontId="5" fillId="0" borderId="0" xfId="6" applyNumberFormat="1" applyFont="1" applyBorder="1"/>
    <xf numFmtId="166" fontId="5" fillId="5" borderId="1" xfId="6" applyNumberFormat="1" applyFont="1" applyFill="1" applyBorder="1"/>
    <xf numFmtId="166" fontId="5" fillId="4" borderId="1" xfId="6" applyNumberFormat="1" applyFont="1" applyFill="1" applyBorder="1"/>
    <xf numFmtId="166" fontId="5" fillId="4" borderId="1" xfId="6" quotePrefix="1" applyNumberFormat="1" applyFont="1" applyFill="1" applyBorder="1" applyAlignment="1">
      <alignment horizontal="right"/>
    </xf>
    <xf numFmtId="166" fontId="5" fillId="4" borderId="0" xfId="6" applyNumberFormat="1" applyFont="1" applyFill="1"/>
    <xf numFmtId="166" fontId="3" fillId="5" borderId="23" xfId="6" applyNumberFormat="1" applyFont="1" applyFill="1" applyBorder="1"/>
    <xf numFmtId="170" fontId="5" fillId="5" borderId="20" xfId="0" applyNumberFormat="1" applyFont="1" applyFill="1" applyBorder="1"/>
    <xf numFmtId="170" fontId="3" fillId="7" borderId="23" xfId="0" applyNumberFormat="1" applyFont="1" applyFill="1" applyBorder="1"/>
    <xf numFmtId="168" fontId="3" fillId="7" borderId="23" xfId="6" applyNumberFormat="1" applyFont="1" applyFill="1" applyBorder="1"/>
    <xf numFmtId="37" fontId="3" fillId="6" borderId="16" xfId="0" applyFont="1" applyFill="1" applyBorder="1" applyAlignment="1" applyProtection="1"/>
    <xf numFmtId="37" fontId="5" fillId="6" borderId="2" xfId="0" applyFont="1" applyFill="1" applyBorder="1" applyAlignment="1" applyProtection="1"/>
    <xf numFmtId="37" fontId="5" fillId="6" borderId="5" xfId="0" applyFont="1" applyFill="1" applyBorder="1" applyAlignment="1" applyProtection="1"/>
    <xf numFmtId="170" fontId="5" fillId="6" borderId="1" xfId="0" applyNumberFormat="1" applyFont="1" applyFill="1" applyBorder="1" applyAlignment="1"/>
    <xf numFmtId="49" fontId="3" fillId="6" borderId="18" xfId="2" applyNumberFormat="1" applyFont="1" applyFill="1" applyBorder="1" applyAlignment="1">
      <alignment vertical="center"/>
    </xf>
    <xf numFmtId="173" fontId="3" fillId="6" borderId="40" xfId="0" applyNumberFormat="1" applyFont="1" applyFill="1" applyBorder="1" applyAlignment="1">
      <alignment vertical="center"/>
    </xf>
    <xf numFmtId="173" fontId="3" fillId="6" borderId="36" xfId="0" applyNumberFormat="1" applyFont="1" applyFill="1" applyBorder="1" applyAlignment="1">
      <alignment vertical="center"/>
    </xf>
    <xf numFmtId="170" fontId="5" fillId="6" borderId="1" xfId="0" applyNumberFormat="1" applyFont="1" applyFill="1" applyBorder="1" applyAlignment="1">
      <alignment horizontal="right" vertical="center"/>
    </xf>
    <xf numFmtId="37" fontId="3" fillId="0" borderId="21" xfId="0" applyFont="1" applyFill="1" applyBorder="1"/>
    <xf numFmtId="168" fontId="3" fillId="0" borderId="21" xfId="6" applyNumberFormat="1" applyFont="1" applyFill="1" applyBorder="1"/>
    <xf numFmtId="49" fontId="5" fillId="0" borderId="0" xfId="0" quotePrefix="1" applyNumberFormat="1" applyFont="1" applyAlignment="1">
      <alignment horizontal="left"/>
    </xf>
    <xf numFmtId="173" fontId="3" fillId="6" borderId="19" xfId="0" applyNumberFormat="1" applyFont="1" applyFill="1" applyBorder="1" applyAlignment="1">
      <alignment vertical="center"/>
    </xf>
    <xf numFmtId="173" fontId="3" fillId="6" borderId="42" xfId="0" applyNumberFormat="1" applyFont="1" applyFill="1" applyBorder="1" applyAlignment="1">
      <alignment vertical="center"/>
    </xf>
    <xf numFmtId="37" fontId="5" fillId="0" borderId="0" xfId="0" quotePrefix="1" applyFont="1" applyAlignment="1">
      <alignment horizontal="right"/>
    </xf>
    <xf numFmtId="49" fontId="5" fillId="6" borderId="1" xfId="0" quotePrefix="1" applyNumberFormat="1" applyFont="1" applyFill="1" applyBorder="1" applyAlignment="1">
      <alignment horizontal="left" vertical="center"/>
    </xf>
    <xf numFmtId="170" fontId="5" fillId="0" borderId="1" xfId="0" quotePrefix="1" applyNumberFormat="1" applyFont="1" applyBorder="1" applyAlignment="1">
      <alignment horizontal="right"/>
    </xf>
    <xf numFmtId="37" fontId="5" fillId="0" borderId="21" xfId="0" quotePrefix="1" applyNumberFormat="1" applyFont="1" applyBorder="1" applyAlignment="1" applyProtection="1">
      <alignment horizontal="left"/>
    </xf>
    <xf numFmtId="37" fontId="5" fillId="3" borderId="15" xfId="0" applyFont="1" applyFill="1" applyBorder="1" applyAlignment="1">
      <alignment horizontal="centerContinuous" vertical="center"/>
    </xf>
    <xf numFmtId="37" fontId="5" fillId="3" borderId="15" xfId="0" applyFont="1" applyFill="1" applyBorder="1" applyAlignment="1">
      <alignment horizontal="right" vertical="center"/>
    </xf>
    <xf numFmtId="37" fontId="5" fillId="3" borderId="15" xfId="0" quotePrefix="1" applyFont="1" applyFill="1" applyBorder="1" applyAlignment="1">
      <alignment horizontal="right" vertical="center"/>
    </xf>
    <xf numFmtId="37" fontId="3" fillId="0" borderId="0" xfId="0" quotePrefix="1" applyFont="1" applyAlignment="1">
      <alignment horizontal="left" wrapText="1"/>
    </xf>
    <xf numFmtId="37" fontId="3" fillId="3" borderId="18" xfId="0" quotePrefix="1" applyFont="1" applyFill="1" applyBorder="1" applyAlignment="1" applyProtection="1">
      <alignment horizontal="left"/>
    </xf>
    <xf numFmtId="37" fontId="0" fillId="0" borderId="0" xfId="0" applyAlignment="1">
      <alignment horizontal="right" indent="1"/>
    </xf>
    <xf numFmtId="171" fontId="5" fillId="0" borderId="0" xfId="0" applyNumberFormat="1" applyFont="1" applyAlignment="1">
      <alignment horizontal="right" indent="1"/>
    </xf>
    <xf numFmtId="37" fontId="0" fillId="0" borderId="11" xfId="0" applyBorder="1"/>
    <xf numFmtId="37" fontId="3" fillId="6" borderId="4" xfId="0" quotePrefix="1" applyFont="1" applyFill="1" applyBorder="1" applyAlignment="1">
      <alignment horizontal="center"/>
    </xf>
    <xf numFmtId="49" fontId="5" fillId="0" borderId="11" xfId="0" applyNumberFormat="1" applyFont="1" applyBorder="1"/>
    <xf numFmtId="37" fontId="5" fillId="0" borderId="0" xfId="0" applyFont="1" applyFill="1"/>
    <xf numFmtId="168" fontId="5" fillId="0" borderId="1" xfId="6" applyNumberFormat="1" applyFont="1" applyFill="1" applyBorder="1"/>
    <xf numFmtId="37" fontId="5" fillId="0" borderId="0" xfId="0" applyFont="1" applyFill="1" applyAlignment="1">
      <alignment horizontal="right"/>
    </xf>
    <xf numFmtId="175" fontId="5" fillId="0" borderId="0" xfId="5" applyNumberFormat="1" applyFont="1" applyBorder="1" applyProtection="1"/>
    <xf numFmtId="37" fontId="22" fillId="0" borderId="0" xfId="5" applyNumberFormat="1" applyFont="1" applyBorder="1" applyAlignment="1" applyProtection="1">
      <alignment horizontal="centerContinuous"/>
    </xf>
    <xf numFmtId="39" fontId="5" fillId="0" borderId="0" xfId="5" applyFont="1"/>
    <xf numFmtId="165" fontId="5" fillId="0" borderId="2" xfId="5" applyNumberFormat="1" applyFont="1" applyBorder="1" applyAlignment="1" applyProtection="1">
      <alignment horizontal="left"/>
    </xf>
    <xf numFmtId="39" fontId="5" fillId="0" borderId="0" xfId="5" applyFont="1" applyAlignment="1">
      <alignment horizontal="left"/>
    </xf>
    <xf numFmtId="165" fontId="5" fillId="0" borderId="3" xfId="5" applyNumberFormat="1" applyFont="1" applyBorder="1" applyAlignment="1" applyProtection="1">
      <alignment horizontal="left"/>
    </xf>
    <xf numFmtId="37" fontId="5" fillId="0" borderId="0" xfId="5" applyNumberFormat="1" applyFont="1" applyProtection="1"/>
    <xf numFmtId="39" fontId="3" fillId="0" borderId="16" xfId="5" applyFont="1" applyBorder="1" applyProtection="1"/>
    <xf numFmtId="39" fontId="3" fillId="3" borderId="12" xfId="5" applyFont="1" applyFill="1" applyBorder="1" applyProtection="1"/>
    <xf numFmtId="39" fontId="5" fillId="3" borderId="0" xfId="5" applyFont="1" applyFill="1" applyProtection="1"/>
    <xf numFmtId="39" fontId="5" fillId="6" borderId="1" xfId="5" applyFont="1" applyFill="1" applyBorder="1" applyProtection="1"/>
    <xf numFmtId="167" fontId="5" fillId="6" borderId="1" xfId="5" applyNumberFormat="1" applyFont="1" applyFill="1" applyBorder="1"/>
    <xf numFmtId="39" fontId="5" fillId="0" borderId="1" xfId="5" applyFont="1" applyBorder="1" applyProtection="1"/>
    <xf numFmtId="167" fontId="5" fillId="3" borderId="1" xfId="5" applyNumberFormat="1" applyFont="1" applyFill="1" applyBorder="1"/>
    <xf numFmtId="39" fontId="3" fillId="6" borderId="20" xfId="5" applyFont="1" applyFill="1" applyBorder="1" applyProtection="1"/>
    <xf numFmtId="167" fontId="3" fillId="6" borderId="20" xfId="5" applyNumberFormat="1" applyFont="1" applyFill="1" applyBorder="1"/>
    <xf numFmtId="167" fontId="5" fillId="0" borderId="0" xfId="5" applyNumberFormat="1" applyFont="1"/>
    <xf numFmtId="39" fontId="5" fillId="0" borderId="3" xfId="5" applyFont="1" applyBorder="1"/>
    <xf numFmtId="174" fontId="8" fillId="0" borderId="3" xfId="5" applyNumberFormat="1" applyFont="1" applyBorder="1" applyProtection="1"/>
    <xf numFmtId="37" fontId="5" fillId="0" borderId="0" xfId="5" applyNumberFormat="1" applyFont="1"/>
    <xf numFmtId="37" fontId="23" fillId="0" borderId="0" xfId="0" applyFont="1"/>
    <xf numFmtId="165" fontId="5" fillId="0" borderId="0" xfId="4" applyNumberFormat="1" applyFont="1" applyProtection="1"/>
    <xf numFmtId="0" fontId="5" fillId="3" borderId="0" xfId="4" applyFont="1" applyFill="1"/>
    <xf numFmtId="0" fontId="5" fillId="0" borderId="0" xfId="4" applyFont="1"/>
    <xf numFmtId="0" fontId="3" fillId="0" borderId="2" xfId="4" applyFont="1" applyFill="1" applyBorder="1" applyAlignment="1">
      <alignment horizontal="centerContinuous"/>
    </xf>
    <xf numFmtId="0" fontId="5" fillId="3" borderId="2" xfId="4" applyFont="1" applyFill="1" applyBorder="1" applyAlignment="1">
      <alignment horizontal="centerContinuous"/>
    </xf>
    <xf numFmtId="0" fontId="5" fillId="3" borderId="3" xfId="4" applyFont="1" applyFill="1" applyBorder="1" applyAlignment="1">
      <alignment horizontal="centerContinuous"/>
    </xf>
    <xf numFmtId="0" fontId="3" fillId="0" borderId="8" xfId="4" applyFont="1" applyBorder="1"/>
    <xf numFmtId="0" fontId="3" fillId="0" borderId="0" xfId="4" applyFont="1"/>
    <xf numFmtId="165" fontId="6" fillId="0" borderId="0" xfId="4" applyNumberFormat="1" applyFont="1" applyProtection="1">
      <protection locked="0"/>
    </xf>
    <xf numFmtId="49" fontId="5" fillId="6" borderId="1" xfId="4" applyNumberFormat="1" applyFont="1" applyFill="1" applyBorder="1" applyAlignment="1">
      <alignment vertical="center"/>
    </xf>
    <xf numFmtId="170" fontId="5" fillId="6" borderId="1" xfId="4" applyNumberFormat="1" applyFont="1" applyFill="1" applyBorder="1" applyAlignment="1">
      <alignment vertical="center"/>
    </xf>
    <xf numFmtId="173" fontId="5" fillId="6" borderId="1" xfId="4" applyNumberFormat="1" applyFont="1" applyFill="1" applyBorder="1" applyAlignment="1">
      <alignment vertical="center"/>
    </xf>
    <xf numFmtId="49" fontId="5" fillId="0" borderId="1" xfId="4" applyNumberFormat="1" applyFont="1" applyBorder="1" applyAlignment="1">
      <alignment vertical="center"/>
    </xf>
    <xf numFmtId="170" fontId="5" fillId="0" borderId="1" xfId="4" applyNumberFormat="1" applyFont="1" applyBorder="1" applyAlignment="1">
      <alignment vertical="center"/>
    </xf>
    <xf numFmtId="173" fontId="5" fillId="0" borderId="1" xfId="4" applyNumberFormat="1" applyFont="1" applyBorder="1" applyAlignment="1">
      <alignment vertical="center"/>
    </xf>
    <xf numFmtId="170" fontId="5" fillId="0" borderId="0" xfId="4" applyNumberFormat="1" applyFont="1"/>
    <xf numFmtId="49" fontId="3" fillId="6" borderId="20" xfId="3" applyNumberFormat="1" applyFont="1" applyFill="1" applyBorder="1" applyAlignment="1">
      <alignment vertical="center"/>
    </xf>
    <xf numFmtId="170" fontId="3" fillId="6" borderId="23" xfId="4" applyNumberFormat="1" applyFont="1" applyFill="1" applyBorder="1"/>
    <xf numFmtId="173" fontId="3" fillId="6" borderId="23" xfId="4" applyNumberFormat="1" applyFont="1" applyFill="1" applyBorder="1"/>
    <xf numFmtId="0" fontId="5" fillId="0" borderId="0" xfId="4" applyFont="1" applyAlignment="1"/>
    <xf numFmtId="37" fontId="3" fillId="3" borderId="3" xfId="4" quotePrefix="1" applyNumberFormat="1" applyFont="1" applyFill="1" applyBorder="1" applyAlignment="1" applyProtection="1">
      <alignment horizontal="centerContinuous" vertical="center"/>
    </xf>
    <xf numFmtId="0" fontId="5" fillId="0" borderId="11" xfId="4" applyFont="1" applyBorder="1"/>
    <xf numFmtId="170" fontId="5" fillId="0" borderId="11" xfId="4" applyNumberFormat="1" applyFont="1" applyBorder="1"/>
    <xf numFmtId="0" fontId="25" fillId="0" borderId="0" xfId="4" applyFont="1"/>
    <xf numFmtId="170" fontId="25" fillId="0" borderId="0" xfId="4" applyNumberFormat="1" applyFont="1"/>
    <xf numFmtId="165" fontId="5" fillId="0" borderId="0" xfId="0" applyNumberFormat="1" applyFont="1" applyFill="1"/>
    <xf numFmtId="37" fontId="26" fillId="0" borderId="0" xfId="0" applyFont="1"/>
    <xf numFmtId="37" fontId="5" fillId="0" borderId="23" xfId="0" applyFont="1" applyBorder="1"/>
    <xf numFmtId="37" fontId="26" fillId="0" borderId="23" xfId="0" applyFont="1" applyBorder="1"/>
    <xf numFmtId="37" fontId="3" fillId="7" borderId="9" xfId="0" applyFont="1" applyFill="1" applyBorder="1" applyAlignment="1">
      <alignment horizontal="center" wrapText="1"/>
    </xf>
    <xf numFmtId="49" fontId="5" fillId="0" borderId="0" xfId="0" quotePrefix="1" applyNumberFormat="1" applyFont="1" applyAlignment="1"/>
    <xf numFmtId="37" fontId="20" fillId="0" borderId="0" xfId="0" applyFont="1"/>
    <xf numFmtId="37" fontId="20" fillId="0" borderId="11" xfId="0" applyFont="1" applyBorder="1"/>
    <xf numFmtId="37" fontId="5" fillId="9" borderId="23" xfId="0" applyNumberFormat="1" applyFont="1" applyFill="1" applyBorder="1" applyProtection="1"/>
    <xf numFmtId="37" fontId="27" fillId="0" borderId="0" xfId="0" applyNumberFormat="1" applyFont="1"/>
    <xf numFmtId="37" fontId="5" fillId="0" borderId="0" xfId="0" applyNumberFormat="1" applyFont="1" applyAlignment="1">
      <alignment horizontal="right"/>
    </xf>
    <xf numFmtId="176" fontId="0" fillId="0" borderId="0" xfId="0" quotePrefix="1" applyNumberFormat="1" applyBorder="1" applyAlignment="1" applyProtection="1">
      <alignment horizontal="right"/>
    </xf>
    <xf numFmtId="176" fontId="0" fillId="0" borderId="0" xfId="0" applyNumberFormat="1" applyBorder="1" applyAlignment="1" applyProtection="1">
      <alignment horizontal="right"/>
    </xf>
    <xf numFmtId="176" fontId="0" fillId="0" borderId="3" xfId="0" quotePrefix="1" applyNumberFormat="1" applyBorder="1" applyAlignment="1" applyProtection="1">
      <alignment horizontal="right"/>
    </xf>
    <xf numFmtId="37" fontId="0" fillId="0" borderId="0" xfId="0" applyNumberFormat="1" applyProtection="1"/>
    <xf numFmtId="176" fontId="0" fillId="0" borderId="0" xfId="0" applyNumberFormat="1" applyAlignment="1" applyProtection="1">
      <alignment horizontal="right"/>
    </xf>
    <xf numFmtId="176" fontId="20" fillId="0" borderId="0" xfId="0" quotePrefix="1" applyNumberFormat="1" applyFont="1" applyBorder="1" applyAlignment="1" applyProtection="1">
      <alignment horizontal="right"/>
    </xf>
    <xf numFmtId="168" fontId="3" fillId="6" borderId="18" xfId="6" applyNumberFormat="1" applyFont="1" applyFill="1" applyBorder="1"/>
    <xf numFmtId="170" fontId="3" fillId="6" borderId="30" xfId="0" applyNumberFormat="1" applyFont="1" applyFill="1" applyBorder="1" applyAlignment="1">
      <alignment vertical="center"/>
    </xf>
    <xf numFmtId="174" fontId="3" fillId="6" borderId="48" xfId="0" applyNumberFormat="1" applyFont="1" applyFill="1" applyBorder="1" applyAlignment="1">
      <alignment vertical="center"/>
    </xf>
    <xf numFmtId="37" fontId="29" fillId="0" borderId="0" xfId="0" applyFont="1"/>
    <xf numFmtId="0" fontId="5" fillId="0" borderId="0" xfId="0" applyNumberFormat="1" applyFont="1" applyAlignment="1">
      <alignment horizontal="left"/>
    </xf>
    <xf numFmtId="37" fontId="28" fillId="0" borderId="23" xfId="0" quotePrefix="1" applyNumberFormat="1" applyFont="1" applyBorder="1" applyAlignment="1">
      <alignment horizontal="left"/>
    </xf>
    <xf numFmtId="0" fontId="26" fillId="0" borderId="0" xfId="0" applyNumberFormat="1" applyFont="1" applyAlignment="1">
      <alignment horizontal="center"/>
    </xf>
    <xf numFmtId="37" fontId="5" fillId="10" borderId="0" xfId="0" applyFont="1" applyFill="1"/>
    <xf numFmtId="49" fontId="3" fillId="5" borderId="20" xfId="0" quotePrefix="1" applyNumberFormat="1" applyFont="1" applyFill="1" applyBorder="1" applyAlignment="1">
      <alignment horizontal="center"/>
    </xf>
    <xf numFmtId="0" fontId="3" fillId="5" borderId="20" xfId="0" quotePrefix="1" applyNumberFormat="1" applyFont="1" applyFill="1" applyBorder="1" applyAlignment="1">
      <alignment horizontal="center"/>
    </xf>
    <xf numFmtId="49" fontId="8" fillId="0" borderId="0" xfId="0" quotePrefix="1" applyNumberFormat="1" applyFont="1" applyAlignment="1">
      <alignment horizontal="left"/>
    </xf>
    <xf numFmtId="169" fontId="5" fillId="0" borderId="0" xfId="6" applyNumberFormat="1" applyFont="1"/>
    <xf numFmtId="169" fontId="5" fillId="0" borderId="0" xfId="0" applyNumberFormat="1" applyFont="1"/>
    <xf numFmtId="37" fontId="3" fillId="0" borderId="10" xfId="0" applyFont="1" applyBorder="1" applyAlignment="1">
      <alignment horizontal="center"/>
    </xf>
    <xf numFmtId="37" fontId="3" fillId="11" borderId="7" xfId="0" applyFont="1" applyFill="1" applyBorder="1"/>
    <xf numFmtId="37" fontId="3" fillId="11" borderId="21" xfId="0" applyFont="1" applyFill="1" applyBorder="1"/>
    <xf numFmtId="37" fontId="3" fillId="11" borderId="8" xfId="0" applyFont="1" applyFill="1" applyBorder="1"/>
    <xf numFmtId="37" fontId="31" fillId="0" borderId="0" xfId="0" applyFont="1"/>
    <xf numFmtId="37" fontId="31" fillId="0" borderId="0" xfId="0" applyFont="1" applyBorder="1"/>
    <xf numFmtId="37" fontId="32" fillId="3" borderId="0" xfId="0" applyFont="1" applyFill="1" applyBorder="1" applyAlignment="1">
      <alignment horizontal="centerContinuous" vertical="center"/>
    </xf>
    <xf numFmtId="37" fontId="31" fillId="0" borderId="0" xfId="0" quotePrefix="1" applyFont="1" applyAlignment="1">
      <alignment horizontal="center"/>
    </xf>
    <xf numFmtId="37" fontId="31" fillId="0" borderId="0" xfId="0" applyFont="1" applyAlignment="1">
      <alignment horizontal="center"/>
    </xf>
    <xf numFmtId="37" fontId="32" fillId="3" borderId="0" xfId="0" applyFont="1" applyFill="1" applyBorder="1" applyAlignment="1" applyProtection="1">
      <alignment horizontal="centerContinuous" vertical="center"/>
    </xf>
    <xf numFmtId="37" fontId="32" fillId="3" borderId="0" xfId="0" quotePrefix="1" applyFont="1" applyFill="1" applyBorder="1" applyAlignment="1" applyProtection="1">
      <alignment horizontal="centerContinuous" vertical="center"/>
    </xf>
    <xf numFmtId="37" fontId="32" fillId="3" borderId="0" xfId="0" applyFont="1" applyFill="1" applyBorder="1" applyAlignment="1">
      <alignment horizontal="centerContinuous"/>
    </xf>
    <xf numFmtId="37" fontId="3" fillId="6" borderId="4" xfId="0" applyFont="1" applyFill="1" applyBorder="1" applyAlignment="1">
      <alignment horizontal="center"/>
    </xf>
    <xf numFmtId="37" fontId="30" fillId="0" borderId="0" xfId="0" applyFont="1" applyAlignment="1">
      <alignment horizontal="centerContinuous"/>
    </xf>
    <xf numFmtId="37" fontId="3" fillId="3" borderId="18" xfId="0" applyFont="1" applyFill="1" applyBorder="1" applyAlignment="1" applyProtection="1">
      <alignment horizontal="left"/>
    </xf>
    <xf numFmtId="0" fontId="3" fillId="3" borderId="15" xfId="0" applyNumberFormat="1" applyFont="1" applyFill="1" applyBorder="1" applyAlignment="1" applyProtection="1">
      <alignment horizontal="left"/>
    </xf>
    <xf numFmtId="0" fontId="5" fillId="3" borderId="19" xfId="0" applyNumberFormat="1" applyFont="1" applyFill="1" applyBorder="1" applyAlignment="1" applyProtection="1">
      <alignment horizontal="left"/>
    </xf>
    <xf numFmtId="37" fontId="3" fillId="0" borderId="16" xfId="0" applyFont="1" applyBorder="1"/>
    <xf numFmtId="37" fontId="3" fillId="0" borderId="33" xfId="0" applyFont="1" applyFill="1" applyBorder="1" applyAlignment="1">
      <alignment horizontal="centerContinuous" vertical="center"/>
    </xf>
    <xf numFmtId="37" fontId="31" fillId="0" borderId="15" xfId="0" applyFont="1" applyBorder="1" applyAlignment="1">
      <alignment horizontal="centerContinuous" vertical="center"/>
    </xf>
    <xf numFmtId="37" fontId="31" fillId="3" borderId="0" xfId="0" quotePrefix="1" applyFont="1" applyFill="1" applyBorder="1" applyAlignment="1" applyProtection="1">
      <alignment horizontal="centerContinuous" vertical="center"/>
    </xf>
    <xf numFmtId="37" fontId="3" fillId="3" borderId="3" xfId="0" applyFont="1" applyFill="1" applyBorder="1" applyAlignment="1">
      <alignment horizontal="centerContinuous"/>
    </xf>
    <xf numFmtId="37" fontId="31" fillId="12" borderId="0" xfId="0" applyFont="1" applyFill="1" applyBorder="1" applyAlignment="1">
      <alignment horizontal="centerContinuous" vertical="center"/>
    </xf>
    <xf numFmtId="37" fontId="31" fillId="0" borderId="0" xfId="0" applyFont="1" applyBorder="1" applyAlignment="1">
      <alignment horizontal="left" vertical="center"/>
    </xf>
    <xf numFmtId="37" fontId="3" fillId="6" borderId="5" xfId="0" applyNumberFormat="1" applyFont="1" applyFill="1" applyBorder="1" applyAlignment="1" applyProtection="1">
      <alignment horizontal="center"/>
    </xf>
    <xf numFmtId="37" fontId="3" fillId="8" borderId="6" xfId="0" applyFont="1" applyFill="1" applyBorder="1" applyAlignment="1">
      <alignment horizontal="center"/>
    </xf>
    <xf numFmtId="37" fontId="5" fillId="0" borderId="0" xfId="0" applyFont="1" applyAlignment="1">
      <alignment vertical="center"/>
    </xf>
    <xf numFmtId="49" fontId="3" fillId="0" borderId="33" xfId="0" applyNumberFormat="1" applyFont="1" applyBorder="1"/>
    <xf numFmtId="49" fontId="3" fillId="0" borderId="34" xfId="0" applyNumberFormat="1" applyFont="1" applyBorder="1"/>
    <xf numFmtId="37" fontId="3" fillId="8" borderId="5" xfId="0" applyFont="1" applyFill="1" applyBorder="1" applyAlignment="1">
      <alignment horizontal="center"/>
    </xf>
    <xf numFmtId="37" fontId="31" fillId="0" borderId="0" xfId="0" quotePrefix="1" applyFont="1" applyAlignment="1">
      <alignment horizontal="left"/>
    </xf>
    <xf numFmtId="39" fontId="31" fillId="0" borderId="0" xfId="5" applyFont="1" applyAlignment="1">
      <alignment horizontal="left"/>
    </xf>
    <xf numFmtId="0" fontId="31" fillId="0" borderId="0" xfId="5" applyNumberFormat="1" applyFont="1" applyAlignment="1">
      <alignment horizontal="left"/>
    </xf>
    <xf numFmtId="49" fontId="3" fillId="5" borderId="9" xfId="4" applyNumberFormat="1" applyFont="1" applyFill="1" applyBorder="1" applyAlignment="1">
      <alignment horizontal="center"/>
    </xf>
    <xf numFmtId="0" fontId="3" fillId="5" borderId="9" xfId="4" applyNumberFormat="1" applyFont="1" applyFill="1" applyBorder="1" applyAlignment="1">
      <alignment horizontal="center" wrapText="1"/>
    </xf>
    <xf numFmtId="0" fontId="31" fillId="0" borderId="0" xfId="4" applyFont="1"/>
    <xf numFmtId="37" fontId="3" fillId="7" borderId="2" xfId="0" applyFont="1" applyFill="1" applyBorder="1" applyAlignment="1"/>
    <xf numFmtId="49" fontId="3" fillId="5" borderId="9" xfId="0" quotePrefix="1" applyNumberFormat="1" applyFont="1" applyFill="1" applyBorder="1" applyAlignment="1">
      <alignment horizontal="center" wrapText="1"/>
    </xf>
    <xf numFmtId="49" fontId="3" fillId="5" borderId="9" xfId="0" quotePrefix="1" applyNumberFormat="1" applyFont="1" applyFill="1" applyBorder="1" applyAlignment="1">
      <alignment horizontal="center"/>
    </xf>
    <xf numFmtId="173" fontId="5" fillId="0" borderId="1" xfId="0" applyNumberFormat="1" applyFont="1" applyFill="1" applyBorder="1" applyAlignment="1">
      <alignment vertical="center"/>
    </xf>
    <xf numFmtId="168" fontId="5" fillId="0" borderId="1" xfId="0" applyNumberFormat="1" applyFont="1" applyBorder="1" applyAlignment="1">
      <alignment vertical="center"/>
    </xf>
    <xf numFmtId="168" fontId="5" fillId="6" borderId="1" xfId="0" applyNumberFormat="1" applyFont="1" applyFill="1" applyBorder="1" applyAlignment="1">
      <alignment vertical="center"/>
    </xf>
    <xf numFmtId="177" fontId="5" fillId="6" borderId="1" xfId="0" applyNumberFormat="1" applyFont="1" applyFill="1" applyBorder="1" applyAlignment="1">
      <alignment vertical="center"/>
    </xf>
    <xf numFmtId="177" fontId="5" fillId="0" borderId="1" xfId="6" applyNumberFormat="1" applyFont="1" applyBorder="1"/>
    <xf numFmtId="177" fontId="5" fillId="6" borderId="1" xfId="6" applyNumberFormat="1" applyFont="1" applyFill="1" applyBorder="1"/>
    <xf numFmtId="177" fontId="0" fillId="0" borderId="0" xfId="0" applyNumberFormat="1"/>
    <xf numFmtId="177" fontId="3" fillId="6" borderId="20" xfId="6" applyNumberFormat="1" applyFont="1" applyFill="1" applyBorder="1"/>
    <xf numFmtId="177" fontId="5" fillId="0" borderId="0" xfId="6" applyNumberFormat="1" applyFont="1"/>
    <xf numFmtId="168" fontId="0" fillId="0" borderId="0" xfId="0" applyNumberFormat="1"/>
    <xf numFmtId="168" fontId="3" fillId="6" borderId="20" xfId="0" applyNumberFormat="1" applyFont="1" applyFill="1" applyBorder="1" applyAlignment="1">
      <alignment vertical="center"/>
    </xf>
    <xf numFmtId="168" fontId="5" fillId="0" borderId="0" xfId="0" applyNumberFormat="1" applyFont="1" applyAlignment="1">
      <alignment vertical="center"/>
    </xf>
    <xf numFmtId="37" fontId="5" fillId="3" borderId="2" xfId="0" quotePrefix="1" applyFont="1" applyFill="1" applyBorder="1" applyAlignment="1">
      <alignment horizontal="right" vertical="center"/>
    </xf>
    <xf numFmtId="37" fontId="3" fillId="6" borderId="33" xfId="0" applyFont="1" applyFill="1" applyBorder="1" applyAlignment="1">
      <alignment horizontal="centerContinuous"/>
    </xf>
    <xf numFmtId="37" fontId="3" fillId="6" borderId="38" xfId="0" applyFont="1" applyFill="1" applyBorder="1" applyAlignment="1">
      <alignment horizontal="centerContinuous"/>
    </xf>
    <xf numFmtId="37" fontId="0" fillId="0" borderId="0" xfId="0"/>
    <xf numFmtId="168" fontId="3" fillId="6" borderId="20" xfId="6" applyNumberFormat="1" applyFont="1" applyFill="1" applyBorder="1" applyAlignment="1">
      <alignment horizontal="right"/>
    </xf>
    <xf numFmtId="37" fontId="0" fillId="0" borderId="0" xfId="0"/>
    <xf numFmtId="37" fontId="27" fillId="10" borderId="0" xfId="0" applyFont="1" applyFill="1" applyBorder="1"/>
    <xf numFmtId="37" fontId="8" fillId="0" borderId="0" xfId="0" applyFont="1" applyAlignment="1">
      <alignment horizontal="center" wrapText="1"/>
    </xf>
    <xf numFmtId="37" fontId="5" fillId="0" borderId="0" xfId="0" quotePrefix="1" applyFont="1" applyBorder="1" applyAlignment="1">
      <alignment horizontal="left"/>
    </xf>
    <xf numFmtId="37" fontId="5" fillId="13" borderId="0" xfId="0" applyFont="1" applyFill="1" applyBorder="1"/>
    <xf numFmtId="37" fontId="5" fillId="0" borderId="0" xfId="0" applyFont="1" applyAlignment="1">
      <alignment horizontal="center" wrapText="1"/>
    </xf>
    <xf numFmtId="37" fontId="5" fillId="11" borderId="30" xfId="0" applyFont="1" applyFill="1" applyBorder="1" applyAlignment="1">
      <alignment horizontal="right"/>
    </xf>
    <xf numFmtId="37" fontId="5" fillId="11" borderId="23" xfId="0" applyFont="1" applyFill="1" applyBorder="1"/>
    <xf numFmtId="37" fontId="27" fillId="0" borderId="0" xfId="0" applyFont="1"/>
    <xf numFmtId="37" fontId="27" fillId="0" borderId="0" xfId="0" quotePrefix="1" applyFont="1" applyAlignment="1">
      <alignment horizontal="left"/>
    </xf>
    <xf numFmtId="37" fontId="33" fillId="0" borderId="0" xfId="0" applyFont="1"/>
    <xf numFmtId="49" fontId="3" fillId="5" borderId="10" xfId="4" applyNumberFormat="1" applyFont="1" applyFill="1" applyBorder="1" applyAlignment="1">
      <alignment horizontal="center"/>
    </xf>
    <xf numFmtId="0" fontId="3" fillId="0" borderId="7" xfId="4" applyFont="1" applyBorder="1"/>
    <xf numFmtId="0" fontId="5" fillId="0" borderId="21" xfId="4" applyFont="1" applyBorder="1"/>
    <xf numFmtId="37" fontId="0" fillId="0" borderId="0" xfId="0" applyBorder="1"/>
    <xf numFmtId="37" fontId="20" fillId="0" borderId="0" xfId="0" applyFont="1" applyBorder="1"/>
    <xf numFmtId="37" fontId="5" fillId="0" borderId="24" xfId="0" applyFont="1" applyBorder="1"/>
    <xf numFmtId="37" fontId="20" fillId="0" borderId="24" xfId="0" applyFont="1" applyBorder="1"/>
    <xf numFmtId="37" fontId="17" fillId="15" borderId="0" xfId="7" applyFont="1" applyFill="1"/>
    <xf numFmtId="37" fontId="17" fillId="0" borderId="0" xfId="7" applyFont="1"/>
    <xf numFmtId="37" fontId="34" fillId="15" borderId="63" xfId="7" quotePrefix="1" applyFont="1" applyFill="1" applyBorder="1" applyAlignment="1">
      <alignment horizontal="center"/>
    </xf>
    <xf numFmtId="37" fontId="18" fillId="15" borderId="0" xfId="7" applyFont="1" applyFill="1"/>
    <xf numFmtId="37" fontId="35" fillId="15" borderId="0" xfId="7" applyFont="1" applyFill="1" applyAlignment="1"/>
    <xf numFmtId="37" fontId="17" fillId="15" borderId="0" xfId="7" applyFont="1" applyFill="1" applyAlignment="1"/>
    <xf numFmtId="37" fontId="35" fillId="15" borderId="0" xfId="7" applyFont="1" applyFill="1" applyAlignment="1">
      <alignment wrapText="1"/>
    </xf>
    <xf numFmtId="37" fontId="37" fillId="15" borderId="0" xfId="8" applyNumberFormat="1" applyFont="1" applyFill="1" applyAlignment="1" applyProtection="1">
      <alignment horizontal="center" wrapText="1"/>
    </xf>
    <xf numFmtId="37" fontId="35" fillId="15" borderId="0" xfId="7" applyFont="1" applyFill="1" applyAlignment="1">
      <alignment wrapText="1"/>
    </xf>
    <xf numFmtId="37" fontId="35" fillId="15" borderId="0" xfId="7" quotePrefix="1" applyFont="1" applyFill="1" applyAlignment="1">
      <alignment horizontal="left" wrapText="1"/>
    </xf>
    <xf numFmtId="37" fontId="3" fillId="3" borderId="4" xfId="0" quotePrefix="1" applyFont="1" applyFill="1" applyBorder="1" applyAlignment="1">
      <alignment horizontal="center" wrapText="1"/>
    </xf>
    <xf numFmtId="37" fontId="3" fillId="3" borderId="1" xfId="0" quotePrefix="1" applyFont="1" applyFill="1" applyBorder="1" applyAlignment="1">
      <alignment horizontal="center" wrapText="1"/>
    </xf>
    <xf numFmtId="37" fontId="3" fillId="3" borderId="9" xfId="0" quotePrefix="1" applyFont="1" applyFill="1" applyBorder="1" applyAlignment="1">
      <alignment horizontal="center" wrapText="1"/>
    </xf>
    <xf numFmtId="0" fontId="3" fillId="3" borderId="4" xfId="0" quotePrefix="1" applyNumberFormat="1" applyFont="1" applyFill="1" applyBorder="1" applyAlignment="1">
      <alignment horizontal="center" wrapText="1"/>
    </xf>
    <xf numFmtId="0" fontId="3" fillId="3" borderId="1" xfId="0" quotePrefix="1" applyNumberFormat="1" applyFont="1" applyFill="1" applyBorder="1" applyAlignment="1">
      <alignment horizontal="center" wrapText="1"/>
    </xf>
    <xf numFmtId="0" fontId="3" fillId="3" borderId="9" xfId="0" quotePrefix="1" applyNumberFormat="1" applyFont="1" applyFill="1" applyBorder="1" applyAlignment="1">
      <alignment horizontal="center" wrapText="1"/>
    </xf>
    <xf numFmtId="37" fontId="3" fillId="3" borderId="41" xfId="0" quotePrefix="1" applyFont="1" applyFill="1" applyBorder="1" applyAlignment="1">
      <alignment horizontal="center" vertical="center" wrapText="1"/>
    </xf>
    <xf numFmtId="37" fontId="3" fillId="3" borderId="43" xfId="0" quotePrefix="1" applyFont="1" applyFill="1" applyBorder="1" applyAlignment="1">
      <alignment horizontal="center" vertical="center" wrapText="1"/>
    </xf>
    <xf numFmtId="37" fontId="3" fillId="3" borderId="24" xfId="0" applyFont="1" applyFill="1" applyBorder="1" applyAlignment="1">
      <alignment horizontal="center" vertical="center"/>
    </xf>
    <xf numFmtId="37" fontId="3" fillId="3" borderId="11" xfId="0" applyFont="1" applyFill="1" applyBorder="1" applyAlignment="1">
      <alignment horizontal="center" vertical="center"/>
    </xf>
    <xf numFmtId="0" fontId="5" fillId="0" borderId="24" xfId="0" quotePrefix="1" applyNumberFormat="1" applyFont="1" applyBorder="1" applyAlignment="1">
      <alignment horizontal="left" vertical="top" wrapText="1"/>
    </xf>
    <xf numFmtId="0" fontId="5" fillId="0" borderId="0" xfId="0" quotePrefix="1" applyNumberFormat="1" applyFont="1" applyAlignment="1">
      <alignment horizontal="left" vertical="top" wrapText="1"/>
    </xf>
    <xf numFmtId="37" fontId="3" fillId="0" borderId="4" xfId="0" quotePrefix="1" applyFont="1" applyBorder="1" applyAlignment="1" applyProtection="1">
      <alignment horizontal="center" wrapText="1"/>
    </xf>
    <xf numFmtId="37" fontId="3" fillId="0" borderId="9" xfId="0" quotePrefix="1" applyFont="1" applyBorder="1" applyAlignment="1" applyProtection="1">
      <alignment horizontal="center" wrapText="1"/>
    </xf>
    <xf numFmtId="37" fontId="3" fillId="0" borderId="52" xfId="0" applyFont="1" applyBorder="1" applyAlignment="1" applyProtection="1">
      <alignment horizontal="center" vertical="center"/>
    </xf>
    <xf numFmtId="37" fontId="3" fillId="0" borderId="15" xfId="0" applyFont="1" applyBorder="1" applyAlignment="1" applyProtection="1">
      <alignment horizontal="center" vertical="center"/>
    </xf>
    <xf numFmtId="37" fontId="3" fillId="0" borderId="19" xfId="0" applyFont="1" applyBorder="1" applyAlignment="1" applyProtection="1">
      <alignment horizontal="center" vertical="center"/>
    </xf>
    <xf numFmtId="37" fontId="3" fillId="0" borderId="18" xfId="0" applyFont="1" applyBorder="1" applyAlignment="1" applyProtection="1">
      <alignment horizontal="center" vertical="center"/>
    </xf>
    <xf numFmtId="37" fontId="3" fillId="0" borderId="53" xfId="0" applyFont="1" applyBorder="1" applyAlignment="1" applyProtection="1">
      <alignment horizontal="center" vertical="center"/>
    </xf>
    <xf numFmtId="37" fontId="3" fillId="6" borderId="18" xfId="0" applyFont="1" applyFill="1" applyBorder="1" applyAlignment="1" applyProtection="1">
      <alignment horizontal="center" vertical="center"/>
    </xf>
    <xf numFmtId="37" fontId="3" fillId="6" borderId="15" xfId="0" applyFont="1" applyFill="1" applyBorder="1" applyAlignment="1" applyProtection="1">
      <alignment horizontal="center" vertical="center"/>
    </xf>
    <xf numFmtId="37" fontId="3" fillId="6" borderId="19" xfId="0" applyFont="1" applyFill="1" applyBorder="1" applyAlignment="1" applyProtection="1">
      <alignment horizontal="center" vertical="center"/>
    </xf>
    <xf numFmtId="37" fontId="3" fillId="0" borderId="41" xfId="0" quotePrefix="1" applyFont="1" applyBorder="1" applyAlignment="1" applyProtection="1">
      <alignment horizontal="center" wrapText="1"/>
    </xf>
    <xf numFmtId="37" fontId="3" fillId="0" borderId="43" xfId="0" quotePrefix="1" applyFont="1" applyBorder="1" applyAlignment="1" applyProtection="1">
      <alignment horizontal="center" wrapText="1"/>
    </xf>
    <xf numFmtId="37" fontId="3" fillId="0" borderId="49" xfId="0" quotePrefix="1" applyFont="1" applyBorder="1" applyAlignment="1" applyProtection="1">
      <alignment horizontal="center" wrapText="1"/>
    </xf>
    <xf numFmtId="37" fontId="3" fillId="0" borderId="50" xfId="0" quotePrefix="1" applyFont="1" applyBorder="1" applyAlignment="1" applyProtection="1">
      <alignment horizontal="center" wrapText="1"/>
    </xf>
    <xf numFmtId="37" fontId="3" fillId="0" borderId="51" xfId="0" quotePrefix="1" applyFont="1" applyBorder="1" applyAlignment="1" applyProtection="1">
      <alignment horizontal="center" wrapText="1"/>
    </xf>
    <xf numFmtId="37" fontId="3" fillId="0" borderId="26" xfId="0" quotePrefix="1" applyFont="1" applyBorder="1" applyAlignment="1" applyProtection="1">
      <alignment horizontal="center" wrapText="1"/>
    </xf>
    <xf numFmtId="37" fontId="5" fillId="0" borderId="24" xfId="0" quotePrefix="1" applyFont="1" applyBorder="1" applyAlignment="1">
      <alignment horizontal="left" vertical="top" wrapText="1"/>
    </xf>
    <xf numFmtId="37" fontId="5" fillId="0" borderId="0" xfId="0" quotePrefix="1" applyFont="1" applyAlignment="1">
      <alignment horizontal="left" vertical="top" wrapText="1"/>
    </xf>
    <xf numFmtId="37" fontId="3" fillId="6" borderId="4" xfId="0" applyFont="1" applyFill="1" applyBorder="1" applyAlignment="1" applyProtection="1">
      <alignment horizontal="center"/>
    </xf>
    <xf numFmtId="37" fontId="3" fillId="6" borderId="9" xfId="0" applyFont="1" applyFill="1" applyBorder="1" applyAlignment="1" applyProtection="1">
      <alignment horizontal="center"/>
    </xf>
    <xf numFmtId="37" fontId="3" fillId="6" borderId="33" xfId="0" applyFont="1" applyFill="1" applyBorder="1" applyAlignment="1" applyProtection="1">
      <alignment horizontal="center"/>
    </xf>
    <xf numFmtId="37" fontId="3" fillId="6" borderId="38" xfId="0" applyFont="1" applyFill="1" applyBorder="1" applyAlignment="1" applyProtection="1">
      <alignment horizontal="center"/>
    </xf>
    <xf numFmtId="37" fontId="3" fillId="6" borderId="34" xfId="0" applyFont="1" applyFill="1" applyBorder="1" applyAlignment="1" applyProtection="1">
      <alignment horizontal="center"/>
    </xf>
    <xf numFmtId="37" fontId="3" fillId="6" borderId="39" xfId="0" applyFont="1" applyFill="1" applyBorder="1" applyAlignment="1" applyProtection="1">
      <alignment horizontal="center"/>
    </xf>
    <xf numFmtId="37" fontId="3" fillId="3" borderId="54" xfId="0" quotePrefix="1" applyFont="1" applyFill="1" applyBorder="1" applyAlignment="1">
      <alignment horizontal="center" wrapText="1"/>
    </xf>
    <xf numFmtId="37" fontId="3" fillId="3" borderId="54" xfId="0" applyFont="1" applyFill="1" applyBorder="1" applyAlignment="1">
      <alignment horizontal="center"/>
    </xf>
    <xf numFmtId="37" fontId="3" fillId="3" borderId="9" xfId="0" applyFont="1" applyFill="1" applyBorder="1" applyAlignment="1">
      <alignment horizontal="center"/>
    </xf>
    <xf numFmtId="37" fontId="3" fillId="3" borderId="4" xfId="0" applyFont="1" applyFill="1" applyBorder="1" applyAlignment="1">
      <alignment horizontal="center" wrapText="1"/>
    </xf>
    <xf numFmtId="37" fontId="3" fillId="3" borderId="9" xfId="0" applyFont="1" applyFill="1" applyBorder="1" applyAlignment="1">
      <alignment horizontal="center" wrapText="1"/>
    </xf>
    <xf numFmtId="49" fontId="3" fillId="0" borderId="33" xfId="0" quotePrefix="1" applyNumberFormat="1" applyFont="1" applyFill="1" applyBorder="1" applyAlignment="1">
      <alignment horizontal="center" wrapText="1"/>
    </xf>
    <xf numFmtId="49" fontId="3" fillId="0" borderId="24" xfId="0" quotePrefix="1" applyNumberFormat="1" applyFont="1" applyFill="1" applyBorder="1" applyAlignment="1">
      <alignment horizontal="center" wrapText="1"/>
    </xf>
    <xf numFmtId="49" fontId="3" fillId="0" borderId="38" xfId="0" quotePrefix="1" applyNumberFormat="1" applyFont="1" applyFill="1" applyBorder="1" applyAlignment="1">
      <alignment horizontal="center" wrapText="1"/>
    </xf>
    <xf numFmtId="49" fontId="3" fillId="0" borderId="44" xfId="0" quotePrefix="1" applyNumberFormat="1" applyFont="1" applyFill="1" applyBorder="1" applyAlignment="1">
      <alignment horizontal="center" wrapText="1"/>
    </xf>
    <xf numFmtId="49" fontId="3" fillId="0" borderId="3" xfId="0" quotePrefix="1" applyNumberFormat="1" applyFont="1" applyFill="1" applyBorder="1" applyAlignment="1">
      <alignment horizontal="center" wrapText="1"/>
    </xf>
    <xf numFmtId="49" fontId="3" fillId="0" borderId="45" xfId="0" quotePrefix="1" applyNumberFormat="1" applyFont="1" applyFill="1" applyBorder="1" applyAlignment="1">
      <alignment horizontal="center" wrapText="1"/>
    </xf>
    <xf numFmtId="49" fontId="3" fillId="0" borderId="7" xfId="0" quotePrefix="1" applyNumberFormat="1" applyFont="1" applyFill="1" applyBorder="1" applyAlignment="1">
      <alignment horizontal="center" wrapText="1"/>
    </xf>
    <xf numFmtId="49" fontId="3" fillId="0" borderId="22" xfId="0" quotePrefix="1" applyNumberFormat="1" applyFont="1" applyFill="1" applyBorder="1" applyAlignment="1">
      <alignment horizontal="center" wrapText="1"/>
    </xf>
    <xf numFmtId="37" fontId="5" fillId="0" borderId="0" xfId="0" quotePrefix="1" applyFont="1" applyAlignment="1">
      <alignment horizontal="left" vertical="top"/>
    </xf>
    <xf numFmtId="37" fontId="3" fillId="0" borderId="41" xfId="0" quotePrefix="1" applyFont="1" applyFill="1" applyBorder="1" applyAlignment="1">
      <alignment horizontal="center" wrapText="1"/>
    </xf>
    <xf numFmtId="37" fontId="3" fillId="0" borderId="43" xfId="0" quotePrefix="1" applyFont="1" applyFill="1" applyBorder="1" applyAlignment="1">
      <alignment horizontal="center" wrapText="1"/>
    </xf>
    <xf numFmtId="37" fontId="3" fillId="0" borderId="4" xfId="0" quotePrefix="1" applyFont="1" applyFill="1" applyBorder="1" applyAlignment="1">
      <alignment horizontal="center" wrapText="1"/>
    </xf>
    <xf numFmtId="37" fontId="3" fillId="0" borderId="9" xfId="0" quotePrefix="1" applyFont="1" applyFill="1" applyBorder="1" applyAlignment="1">
      <alignment horizontal="center" wrapText="1"/>
    </xf>
    <xf numFmtId="37" fontId="3" fillId="3" borderId="41" xfId="0" quotePrefix="1" applyFont="1" applyFill="1" applyBorder="1" applyAlignment="1">
      <alignment horizontal="center" wrapText="1"/>
    </xf>
    <xf numFmtId="37" fontId="3" fillId="3" borderId="43" xfId="0" quotePrefix="1" applyFont="1" applyFill="1" applyBorder="1" applyAlignment="1">
      <alignment horizontal="center"/>
    </xf>
    <xf numFmtId="37" fontId="3" fillId="3" borderId="4" xfId="0" quotePrefix="1" applyFont="1" applyFill="1" applyBorder="1" applyAlignment="1">
      <alignment horizontal="center"/>
    </xf>
    <xf numFmtId="37" fontId="3" fillId="6" borderId="18" xfId="0" applyFont="1" applyFill="1" applyBorder="1" applyAlignment="1">
      <alignment horizontal="center" vertical="center"/>
    </xf>
    <xf numFmtId="37" fontId="3" fillId="6" borderId="19" xfId="0" applyFont="1" applyFill="1" applyBorder="1" applyAlignment="1">
      <alignment horizontal="center" vertical="center"/>
    </xf>
    <xf numFmtId="37" fontId="5" fillId="0" borderId="24" xfId="0" quotePrefix="1" applyFont="1" applyBorder="1" applyAlignment="1">
      <alignment horizontal="left" vertical="top"/>
    </xf>
    <xf numFmtId="49" fontId="10" fillId="0" borderId="13" xfId="0" applyNumberFormat="1" applyFont="1" applyBorder="1" applyAlignment="1">
      <alignment horizontal="right" vertical="center" textRotation="180"/>
    </xf>
    <xf numFmtId="37" fontId="3" fillId="0" borderId="12" xfId="0" applyFont="1" applyBorder="1" applyAlignment="1">
      <alignment horizontal="center"/>
    </xf>
    <xf numFmtId="37" fontId="3" fillId="0" borderId="10" xfId="0" applyFont="1" applyBorder="1" applyAlignment="1">
      <alignment horizontal="center"/>
    </xf>
    <xf numFmtId="37" fontId="3" fillId="6" borderId="18" xfId="0" applyFont="1" applyFill="1" applyBorder="1" applyAlignment="1">
      <alignment horizontal="center"/>
    </xf>
    <xf numFmtId="37" fontId="3" fillId="6" borderId="15" xfId="0" applyFont="1" applyFill="1" applyBorder="1" applyAlignment="1">
      <alignment horizontal="center"/>
    </xf>
    <xf numFmtId="37" fontId="3" fillId="6" borderId="19" xfId="0" applyFont="1" applyFill="1" applyBorder="1" applyAlignment="1">
      <alignment horizontal="center"/>
    </xf>
    <xf numFmtId="37" fontId="3" fillId="6" borderId="4" xfId="0" applyFont="1" applyFill="1" applyBorder="1" applyAlignment="1">
      <alignment horizontal="center"/>
    </xf>
    <xf numFmtId="37" fontId="3" fillId="6" borderId="9" xfId="0" applyFont="1" applyFill="1" applyBorder="1" applyAlignment="1">
      <alignment horizontal="center"/>
    </xf>
    <xf numFmtId="37" fontId="3" fillId="6" borderId="4" xfId="0" applyFont="1" applyFill="1" applyBorder="1" applyAlignment="1">
      <alignment horizontal="center" wrapText="1"/>
    </xf>
    <xf numFmtId="37" fontId="3" fillId="6" borderId="9" xfId="0" applyFont="1" applyFill="1" applyBorder="1" applyAlignment="1">
      <alignment horizontal="center" wrapText="1"/>
    </xf>
    <xf numFmtId="37" fontId="3" fillId="6" borderId="55" xfId="0" applyFont="1" applyFill="1" applyBorder="1" applyAlignment="1">
      <alignment horizontal="center" wrapText="1"/>
    </xf>
    <xf numFmtId="37" fontId="3" fillId="6" borderId="56" xfId="0" applyFont="1" applyFill="1" applyBorder="1" applyAlignment="1">
      <alignment horizontal="center" wrapText="1"/>
    </xf>
    <xf numFmtId="37" fontId="3" fillId="6" borderId="7" xfId="0" applyFont="1" applyFill="1" applyBorder="1" applyAlignment="1">
      <alignment horizontal="center" wrapText="1"/>
    </xf>
    <xf numFmtId="37" fontId="3" fillId="6" borderId="8" xfId="0" applyFont="1" applyFill="1" applyBorder="1" applyAlignment="1">
      <alignment horizontal="center" wrapText="1"/>
    </xf>
    <xf numFmtId="37" fontId="3" fillId="6" borderId="57" xfId="0" applyFont="1" applyFill="1" applyBorder="1" applyAlignment="1">
      <alignment horizontal="center"/>
    </xf>
    <xf numFmtId="37" fontId="3" fillId="6" borderId="5" xfId="0" applyFont="1" applyFill="1" applyBorder="1" applyAlignment="1">
      <alignment horizontal="center"/>
    </xf>
    <xf numFmtId="37" fontId="3" fillId="6" borderId="44" xfId="0" applyFont="1" applyFill="1" applyBorder="1" applyAlignment="1">
      <alignment horizontal="center"/>
    </xf>
    <xf numFmtId="37" fontId="3" fillId="6" borderId="10" xfId="0" applyFont="1" applyFill="1" applyBorder="1" applyAlignment="1">
      <alignment horizontal="center"/>
    </xf>
    <xf numFmtId="37" fontId="3" fillId="0" borderId="18" xfId="0" applyFont="1" applyBorder="1" applyAlignment="1">
      <alignment horizontal="center"/>
    </xf>
    <xf numFmtId="37" fontId="3" fillId="0" borderId="15" xfId="0" applyFont="1" applyBorder="1" applyAlignment="1">
      <alignment horizontal="center"/>
    </xf>
    <xf numFmtId="37" fontId="3" fillId="0" borderId="19" xfId="0" applyFont="1" applyBorder="1" applyAlignment="1">
      <alignment horizontal="center"/>
    </xf>
    <xf numFmtId="49" fontId="10" fillId="0" borderId="17" xfId="0" applyNumberFormat="1" applyFont="1" applyBorder="1" applyAlignment="1">
      <alignment horizontal="right" vertical="center" textRotation="180"/>
    </xf>
    <xf numFmtId="37" fontId="3" fillId="6" borderId="16" xfId="0" quotePrefix="1" applyFont="1" applyFill="1" applyBorder="1" applyAlignment="1">
      <alignment horizontal="center" wrapText="1"/>
    </xf>
    <xf numFmtId="37" fontId="3" fillId="6" borderId="5" xfId="0" applyFont="1" applyFill="1" applyBorder="1" applyAlignment="1">
      <alignment horizontal="center" wrapText="1"/>
    </xf>
    <xf numFmtId="37" fontId="3" fillId="6" borderId="12" xfId="0" applyFont="1" applyFill="1" applyBorder="1" applyAlignment="1">
      <alignment horizontal="center" wrapText="1"/>
    </xf>
    <xf numFmtId="37" fontId="3" fillId="6" borderId="10" xfId="0" applyFont="1" applyFill="1" applyBorder="1" applyAlignment="1">
      <alignment horizontal="center" wrapText="1"/>
    </xf>
    <xf numFmtId="37" fontId="3" fillId="6" borderId="16" xfId="0" applyFont="1" applyFill="1" applyBorder="1" applyAlignment="1">
      <alignment horizontal="center" wrapText="1"/>
    </xf>
    <xf numFmtId="37" fontId="0" fillId="0" borderId="17" xfId="0" applyBorder="1" applyAlignment="1">
      <alignment horizontal="right" vertical="center" textRotation="180"/>
    </xf>
    <xf numFmtId="37" fontId="3" fillId="6" borderId="16" xfId="0" applyFont="1" applyFill="1" applyBorder="1" applyAlignment="1">
      <alignment horizontal="center"/>
    </xf>
    <xf numFmtId="37" fontId="3" fillId="6" borderId="12" xfId="0" applyFont="1" applyFill="1" applyBorder="1" applyAlignment="1">
      <alignment horizontal="center"/>
    </xf>
    <xf numFmtId="37" fontId="3" fillId="6" borderId="2" xfId="0" applyFont="1" applyFill="1" applyBorder="1" applyAlignment="1">
      <alignment horizontal="center"/>
    </xf>
    <xf numFmtId="37" fontId="3" fillId="6" borderId="3" xfId="0" applyFont="1" applyFill="1" applyBorder="1" applyAlignment="1">
      <alignment horizontal="center"/>
    </xf>
    <xf numFmtId="37" fontId="3" fillId="6" borderId="2" xfId="0" applyFont="1" applyFill="1" applyBorder="1" applyAlignment="1">
      <alignment horizontal="center" wrapText="1"/>
    </xf>
    <xf numFmtId="37" fontId="3" fillId="6" borderId="3" xfId="0" applyFont="1" applyFill="1" applyBorder="1" applyAlignment="1">
      <alignment horizontal="center" wrapText="1"/>
    </xf>
    <xf numFmtId="37" fontId="3" fillId="6" borderId="2" xfId="0" quotePrefix="1" applyFont="1" applyFill="1" applyBorder="1" applyAlignment="1">
      <alignment horizontal="center"/>
    </xf>
    <xf numFmtId="37" fontId="3" fillId="6" borderId="5" xfId="0" quotePrefix="1" applyFont="1" applyFill="1" applyBorder="1" applyAlignment="1">
      <alignment horizontal="center"/>
    </xf>
    <xf numFmtId="37" fontId="3" fillId="6" borderId="12" xfId="0" quotePrefix="1" applyFont="1" applyFill="1" applyBorder="1" applyAlignment="1">
      <alignment horizontal="center"/>
    </xf>
    <xf numFmtId="37" fontId="3" fillId="6" borderId="3" xfId="0" quotePrefix="1" applyFont="1" applyFill="1" applyBorder="1" applyAlignment="1">
      <alignment horizontal="center"/>
    </xf>
    <xf numFmtId="37" fontId="3" fillId="6" borderId="10" xfId="0" quotePrefix="1" applyFont="1" applyFill="1" applyBorder="1" applyAlignment="1">
      <alignment horizontal="center"/>
    </xf>
    <xf numFmtId="37" fontId="3" fillId="3" borderId="18" xfId="0" applyFont="1" applyFill="1" applyBorder="1" applyAlignment="1" applyProtection="1">
      <alignment horizontal="left"/>
    </xf>
    <xf numFmtId="37" fontId="3" fillId="3" borderId="15" xfId="0" applyFont="1" applyFill="1" applyBorder="1" applyAlignment="1" applyProtection="1">
      <alignment horizontal="left"/>
    </xf>
    <xf numFmtId="37" fontId="3" fillId="3" borderId="19" xfId="0" applyFont="1" applyFill="1" applyBorder="1" applyAlignment="1" applyProtection="1">
      <alignment horizontal="left"/>
    </xf>
    <xf numFmtId="37" fontId="3" fillId="6" borderId="16" xfId="0" applyFont="1" applyFill="1" applyBorder="1" applyAlignment="1" applyProtection="1">
      <alignment horizontal="center"/>
    </xf>
    <xf numFmtId="37" fontId="3" fillId="6" borderId="2" xfId="0" applyFont="1" applyFill="1" applyBorder="1" applyAlignment="1" applyProtection="1">
      <alignment horizontal="center"/>
    </xf>
    <xf numFmtId="37" fontId="3" fillId="6" borderId="5" xfId="0" applyFont="1" applyFill="1" applyBorder="1" applyAlignment="1" applyProtection="1">
      <alignment horizontal="center"/>
    </xf>
    <xf numFmtId="37" fontId="3" fillId="6" borderId="12" xfId="0" applyFont="1" applyFill="1" applyBorder="1" applyAlignment="1" applyProtection="1">
      <alignment horizontal="center"/>
    </xf>
    <xf numFmtId="37" fontId="3" fillId="6" borderId="3" xfId="0" applyFont="1" applyFill="1" applyBorder="1" applyAlignment="1" applyProtection="1">
      <alignment horizontal="center"/>
    </xf>
    <xf numFmtId="37" fontId="3" fillId="6" borderId="10" xfId="0" applyFont="1" applyFill="1" applyBorder="1" applyAlignment="1" applyProtection="1">
      <alignment horizontal="center"/>
    </xf>
    <xf numFmtId="37" fontId="3" fillId="6" borderId="16" xfId="0" quotePrefix="1" applyFont="1" applyFill="1" applyBorder="1" applyAlignment="1" applyProtection="1">
      <alignment horizontal="center" wrapText="1"/>
    </xf>
    <xf numFmtId="37" fontId="3" fillId="6" borderId="2" xfId="0" applyFont="1" applyFill="1" applyBorder="1" applyAlignment="1" applyProtection="1">
      <alignment horizontal="center" wrapText="1"/>
    </xf>
    <xf numFmtId="37" fontId="3" fillId="6" borderId="5" xfId="0" applyFont="1" applyFill="1" applyBorder="1" applyAlignment="1" applyProtection="1">
      <alignment horizontal="center" wrapText="1"/>
    </xf>
    <xf numFmtId="37" fontId="3" fillId="6" borderId="12" xfId="0" applyFont="1" applyFill="1" applyBorder="1" applyAlignment="1" applyProtection="1">
      <alignment horizontal="center" wrapText="1"/>
    </xf>
    <xf numFmtId="37" fontId="3" fillId="6" borderId="3" xfId="0" applyFont="1" applyFill="1" applyBorder="1" applyAlignment="1" applyProtection="1">
      <alignment horizontal="center" wrapText="1"/>
    </xf>
    <xf numFmtId="37" fontId="3" fillId="6" borderId="10" xfId="0" applyFont="1" applyFill="1" applyBorder="1" applyAlignment="1" applyProtection="1">
      <alignment horizontal="center" wrapText="1"/>
    </xf>
    <xf numFmtId="37" fontId="3" fillId="6" borderId="37" xfId="0" applyFont="1" applyFill="1" applyBorder="1" applyAlignment="1" applyProtection="1">
      <alignment horizontal="center"/>
    </xf>
    <xf numFmtId="37" fontId="3" fillId="6" borderId="15" xfId="0" applyFont="1" applyFill="1" applyBorder="1" applyAlignment="1" applyProtection="1">
      <alignment horizontal="center"/>
    </xf>
    <xf numFmtId="37" fontId="3" fillId="6" borderId="19" xfId="0" applyFont="1" applyFill="1" applyBorder="1" applyAlignment="1" applyProtection="1">
      <alignment horizontal="center"/>
    </xf>
    <xf numFmtId="37" fontId="3" fillId="6" borderId="18" xfId="0" applyFont="1" applyFill="1" applyBorder="1" applyAlignment="1" applyProtection="1">
      <alignment horizontal="center"/>
    </xf>
    <xf numFmtId="37" fontId="3" fillId="3" borderId="49" xfId="0" quotePrefix="1" applyFont="1" applyFill="1" applyBorder="1" applyAlignment="1">
      <alignment horizontal="center" wrapText="1"/>
    </xf>
    <xf numFmtId="37" fontId="3" fillId="3" borderId="14" xfId="0" quotePrefix="1" applyFont="1" applyFill="1" applyBorder="1" applyAlignment="1">
      <alignment horizontal="center" wrapText="1"/>
    </xf>
    <xf numFmtId="37" fontId="3" fillId="3" borderId="50" xfId="0" quotePrefix="1" applyFont="1" applyFill="1" applyBorder="1" applyAlignment="1">
      <alignment horizontal="center" wrapText="1"/>
    </xf>
    <xf numFmtId="37" fontId="3" fillId="3" borderId="51" xfId="0" quotePrefix="1" applyFont="1" applyFill="1" applyBorder="1" applyAlignment="1" applyProtection="1">
      <alignment horizontal="center" wrapText="1"/>
    </xf>
    <xf numFmtId="37" fontId="3" fillId="3" borderId="25" xfId="0" quotePrefix="1" applyFont="1" applyFill="1" applyBorder="1" applyAlignment="1" applyProtection="1">
      <alignment horizontal="center" wrapText="1"/>
    </xf>
    <xf numFmtId="37" fontId="3" fillId="3" borderId="26" xfId="0" quotePrefix="1" applyFont="1" applyFill="1" applyBorder="1" applyAlignment="1" applyProtection="1">
      <alignment horizontal="center" wrapText="1"/>
    </xf>
    <xf numFmtId="37" fontId="3" fillId="0" borderId="4" xfId="0" applyFont="1" applyBorder="1" applyAlignment="1" applyProtection="1">
      <alignment horizontal="center"/>
    </xf>
    <xf numFmtId="37" fontId="3" fillId="0" borderId="9" xfId="0" applyFont="1" applyBorder="1" applyAlignment="1" applyProtection="1">
      <alignment horizontal="center"/>
    </xf>
    <xf numFmtId="37" fontId="3" fillId="3" borderId="18" xfId="0" applyFont="1" applyFill="1" applyBorder="1" applyAlignment="1" applyProtection="1">
      <alignment horizontal="center"/>
    </xf>
    <xf numFmtId="37" fontId="3" fillId="3" borderId="15" xfId="0" applyFont="1" applyFill="1" applyBorder="1" applyAlignment="1" applyProtection="1">
      <alignment horizontal="center"/>
    </xf>
    <xf numFmtId="37" fontId="3" fillId="3" borderId="19" xfId="0" applyFont="1" applyFill="1" applyBorder="1" applyAlignment="1" applyProtection="1">
      <alignment horizontal="center"/>
    </xf>
    <xf numFmtId="37" fontId="5" fillId="0" borderId="0" xfId="0" quotePrefix="1" applyFont="1" applyFill="1" applyBorder="1" applyAlignment="1">
      <alignment horizontal="left" vertical="top" wrapText="1"/>
    </xf>
    <xf numFmtId="37" fontId="3" fillId="3" borderId="18" xfId="0" applyFont="1" applyFill="1" applyBorder="1" applyAlignment="1">
      <alignment horizontal="left"/>
    </xf>
    <xf numFmtId="37" fontId="3" fillId="3" borderId="15" xfId="0" applyFont="1" applyFill="1" applyBorder="1" applyAlignment="1">
      <alignment horizontal="left"/>
    </xf>
    <xf numFmtId="37" fontId="3" fillId="3" borderId="19" xfId="0" applyFont="1" applyFill="1" applyBorder="1" applyAlignment="1">
      <alignment horizontal="left"/>
    </xf>
    <xf numFmtId="49" fontId="5" fillId="0" borderId="24" xfId="0" quotePrefix="1" applyNumberFormat="1" applyFont="1" applyBorder="1" applyAlignment="1">
      <alignment horizontal="left" vertical="top" wrapText="1"/>
    </xf>
    <xf numFmtId="49" fontId="5" fillId="0" borderId="24" xfId="0" quotePrefix="1" applyNumberFormat="1" applyFont="1" applyBorder="1" applyAlignment="1">
      <alignment horizontal="left" vertical="top"/>
    </xf>
    <xf numFmtId="49" fontId="5" fillId="0" borderId="0" xfId="0" quotePrefix="1" applyNumberFormat="1" applyFont="1" applyAlignment="1">
      <alignment horizontal="left" vertical="top"/>
    </xf>
    <xf numFmtId="37" fontId="3" fillId="6" borderId="2" xfId="0" quotePrefix="1" applyFont="1" applyFill="1" applyBorder="1" applyAlignment="1">
      <alignment horizontal="center" wrapText="1"/>
    </xf>
    <xf numFmtId="37" fontId="3" fillId="6" borderId="5" xfId="0" quotePrefix="1" applyFont="1" applyFill="1" applyBorder="1" applyAlignment="1">
      <alignment horizontal="center" wrapText="1"/>
    </xf>
    <xf numFmtId="37" fontId="3" fillId="6" borderId="12" xfId="0" quotePrefix="1" applyFont="1" applyFill="1" applyBorder="1" applyAlignment="1">
      <alignment horizontal="center" wrapText="1"/>
    </xf>
    <xf numFmtId="37" fontId="3" fillId="6" borderId="3" xfId="0" quotePrefix="1" applyFont="1" applyFill="1" applyBorder="1" applyAlignment="1">
      <alignment horizontal="center" wrapText="1"/>
    </xf>
    <xf numFmtId="37" fontId="3" fillId="6" borderId="10" xfId="0" quotePrefix="1" applyFont="1" applyFill="1" applyBorder="1" applyAlignment="1">
      <alignment horizontal="center" wrapText="1"/>
    </xf>
    <xf numFmtId="37" fontId="3" fillId="3" borderId="16" xfId="0" applyFont="1" applyFill="1" applyBorder="1" applyAlignment="1">
      <alignment horizontal="left"/>
    </xf>
    <xf numFmtId="37" fontId="3" fillId="3" borderId="2" xfId="0" applyFont="1" applyFill="1" applyBorder="1" applyAlignment="1">
      <alignment horizontal="left"/>
    </xf>
    <xf numFmtId="37" fontId="3" fillId="6" borderId="17" xfId="0" applyFont="1" applyFill="1" applyBorder="1" applyAlignment="1">
      <alignment horizontal="center" wrapText="1"/>
    </xf>
    <xf numFmtId="37" fontId="3" fillId="6" borderId="31" xfId="0" applyFont="1" applyFill="1" applyBorder="1" applyAlignment="1">
      <alignment horizontal="center" wrapText="1"/>
    </xf>
    <xf numFmtId="37" fontId="3" fillId="6" borderId="34" xfId="0" applyFont="1" applyFill="1" applyBorder="1" applyAlignment="1">
      <alignment horizontal="center" wrapText="1"/>
    </xf>
    <xf numFmtId="37" fontId="3" fillId="6" borderId="39" xfId="0" applyFont="1" applyFill="1" applyBorder="1" applyAlignment="1">
      <alignment horizontal="center" wrapText="1"/>
    </xf>
    <xf numFmtId="37" fontId="3" fillId="6" borderId="0" xfId="0" applyFont="1" applyFill="1" applyBorder="1" applyAlignment="1">
      <alignment horizontal="center" wrapText="1"/>
    </xf>
    <xf numFmtId="37" fontId="3" fillId="6" borderId="6" xfId="0" applyFont="1" applyFill="1" applyBorder="1" applyAlignment="1">
      <alignment horizontal="center" wrapText="1"/>
    </xf>
    <xf numFmtId="37" fontId="3" fillId="6" borderId="13" xfId="0" applyFont="1" applyFill="1" applyBorder="1" applyAlignment="1">
      <alignment horizontal="center" wrapText="1"/>
    </xf>
    <xf numFmtId="37" fontId="3" fillId="3" borderId="18" xfId="0" quotePrefix="1" applyFont="1" applyFill="1" applyBorder="1" applyAlignment="1">
      <alignment horizontal="left"/>
    </xf>
    <xf numFmtId="37" fontId="3" fillId="3" borderId="15" xfId="0" quotePrefix="1" applyFont="1" applyFill="1" applyBorder="1" applyAlignment="1">
      <alignment horizontal="left"/>
    </xf>
    <xf numFmtId="37" fontId="3" fillId="3" borderId="19" xfId="0" quotePrefix="1" applyFont="1" applyFill="1" applyBorder="1" applyAlignment="1">
      <alignment horizontal="left"/>
    </xf>
    <xf numFmtId="37" fontId="3" fillId="6" borderId="33" xfId="0" quotePrefix="1" applyFont="1" applyFill="1" applyBorder="1" applyAlignment="1">
      <alignment horizontal="center" wrapText="1"/>
    </xf>
    <xf numFmtId="37" fontId="3" fillId="6" borderId="38" xfId="0" applyFont="1" applyFill="1" applyBorder="1" applyAlignment="1">
      <alignment horizontal="center"/>
    </xf>
    <xf numFmtId="37" fontId="3" fillId="6" borderId="34" xfId="0" applyFont="1" applyFill="1" applyBorder="1" applyAlignment="1">
      <alignment horizontal="center"/>
    </xf>
    <xf numFmtId="37" fontId="3" fillId="6" borderId="39" xfId="0" applyFont="1" applyFill="1" applyBorder="1" applyAlignment="1">
      <alignment horizontal="center"/>
    </xf>
    <xf numFmtId="37" fontId="3" fillId="6" borderId="58" xfId="0" applyFont="1" applyFill="1" applyBorder="1" applyAlignment="1">
      <alignment horizontal="center"/>
    </xf>
    <xf numFmtId="37" fontId="3" fillId="6" borderId="32" xfId="0" applyFont="1" applyFill="1" applyBorder="1" applyAlignment="1">
      <alignment horizontal="center"/>
    </xf>
    <xf numFmtId="37" fontId="3" fillId="6" borderId="59" xfId="0" applyFont="1" applyFill="1" applyBorder="1" applyAlignment="1">
      <alignment horizontal="center"/>
    </xf>
    <xf numFmtId="37" fontId="3" fillId="6" borderId="60" xfId="0" applyFont="1" applyFill="1" applyBorder="1" applyAlignment="1">
      <alignment horizontal="center"/>
    </xf>
    <xf numFmtId="37" fontId="3" fillId="6" borderId="61" xfId="0" applyFont="1" applyFill="1" applyBorder="1" applyAlignment="1">
      <alignment horizontal="center"/>
    </xf>
    <xf numFmtId="37" fontId="3" fillId="0" borderId="4" xfId="0" applyFont="1" applyBorder="1" applyAlignment="1">
      <alignment horizontal="center" wrapText="1"/>
    </xf>
    <xf numFmtId="37" fontId="3" fillId="0" borderId="9" xfId="0" applyFont="1" applyBorder="1" applyAlignment="1">
      <alignment horizontal="center" wrapText="1"/>
    </xf>
    <xf numFmtId="37" fontId="3" fillId="0" borderId="4" xfId="0" quotePrefix="1" applyFont="1" applyBorder="1" applyAlignment="1">
      <alignment horizontal="center" wrapText="1"/>
    </xf>
    <xf numFmtId="37" fontId="3" fillId="0" borderId="9" xfId="0" applyFont="1" applyBorder="1" applyAlignment="1">
      <alignment horizontal="center"/>
    </xf>
    <xf numFmtId="37" fontId="3" fillId="3" borderId="30" xfId="0" applyFont="1" applyFill="1" applyBorder="1" applyAlignment="1">
      <alignment horizontal="left"/>
    </xf>
    <xf numFmtId="37" fontId="3" fillId="3" borderId="27" xfId="0" applyFont="1" applyFill="1" applyBorder="1" applyAlignment="1">
      <alignment horizontal="left"/>
    </xf>
    <xf numFmtId="37" fontId="3" fillId="3" borderId="29" xfId="0" applyFont="1" applyFill="1" applyBorder="1" applyAlignment="1">
      <alignment horizontal="left"/>
    </xf>
    <xf numFmtId="37" fontId="3" fillId="6" borderId="11" xfId="0" applyFont="1" applyFill="1" applyBorder="1" applyAlignment="1">
      <alignment horizontal="center"/>
    </xf>
    <xf numFmtId="37" fontId="3" fillId="6" borderId="24" xfId="0" applyFont="1" applyFill="1" applyBorder="1" applyAlignment="1">
      <alignment horizontal="center" wrapText="1"/>
    </xf>
    <xf numFmtId="37" fontId="3" fillId="6" borderId="38" xfId="0" applyFont="1" applyFill="1" applyBorder="1" applyAlignment="1">
      <alignment horizontal="center" wrapText="1"/>
    </xf>
    <xf numFmtId="37" fontId="3" fillId="6" borderId="11" xfId="0" applyFont="1" applyFill="1" applyBorder="1" applyAlignment="1">
      <alignment horizontal="center" wrapText="1"/>
    </xf>
    <xf numFmtId="37" fontId="5" fillId="0" borderId="24" xfId="0" applyFont="1" applyBorder="1" applyAlignment="1">
      <alignment horizontal="left" vertical="top" wrapText="1"/>
    </xf>
    <xf numFmtId="37" fontId="5" fillId="0" borderId="0" xfId="0" applyFont="1" applyAlignment="1">
      <alignment horizontal="left" vertical="top" wrapText="1"/>
    </xf>
    <xf numFmtId="37" fontId="3" fillId="3" borderId="16" xfId="0" applyFont="1" applyFill="1" applyBorder="1" applyAlignment="1">
      <alignment horizontal="center"/>
    </xf>
    <xf numFmtId="37" fontId="3" fillId="3" borderId="2" xfId="0" applyFont="1" applyFill="1" applyBorder="1" applyAlignment="1">
      <alignment horizontal="center"/>
    </xf>
    <xf numFmtId="37" fontId="3" fillId="3" borderId="15" xfId="0" applyFont="1" applyFill="1" applyBorder="1" applyAlignment="1">
      <alignment horizontal="center"/>
    </xf>
    <xf numFmtId="37" fontId="3" fillId="3" borderId="19" xfId="0" applyFont="1" applyFill="1" applyBorder="1" applyAlignment="1">
      <alignment horizontal="center"/>
    </xf>
    <xf numFmtId="37" fontId="3" fillId="6" borderId="33" xfId="0" applyFont="1" applyFill="1" applyBorder="1" applyAlignment="1">
      <alignment horizontal="center" vertical="center"/>
    </xf>
    <xf numFmtId="37" fontId="3" fillId="6" borderId="24" xfId="0" applyFont="1" applyFill="1" applyBorder="1" applyAlignment="1">
      <alignment horizontal="center" vertical="center"/>
    </xf>
    <xf numFmtId="37" fontId="3" fillId="6" borderId="38" xfId="0" applyFont="1" applyFill="1" applyBorder="1" applyAlignment="1">
      <alignment horizontal="center" vertical="center"/>
    </xf>
    <xf numFmtId="37" fontId="3" fillId="6" borderId="34" xfId="0" applyFont="1" applyFill="1" applyBorder="1" applyAlignment="1">
      <alignment horizontal="center" vertical="center"/>
    </xf>
    <xf numFmtId="37" fontId="3" fillId="6" borderId="11" xfId="0" applyFont="1" applyFill="1" applyBorder="1" applyAlignment="1">
      <alignment horizontal="center" vertical="center"/>
    </xf>
    <xf numFmtId="37" fontId="3" fillId="6" borderId="39" xfId="0" applyFont="1" applyFill="1" applyBorder="1" applyAlignment="1">
      <alignment horizontal="center" vertical="center"/>
    </xf>
    <xf numFmtId="37" fontId="3" fillId="6" borderId="1" xfId="0" applyFont="1" applyFill="1" applyBorder="1" applyAlignment="1">
      <alignment horizontal="center" wrapText="1"/>
    </xf>
    <xf numFmtId="37" fontId="0" fillId="0" borderId="9" xfId="0" applyBorder="1"/>
    <xf numFmtId="49" fontId="5" fillId="0" borderId="0" xfId="0" quotePrefix="1" applyNumberFormat="1" applyFont="1" applyFill="1" applyAlignment="1">
      <alignment horizontal="left" vertical="top" wrapText="1"/>
    </xf>
    <xf numFmtId="37" fontId="3" fillId="6" borderId="58" xfId="0" applyFont="1" applyFill="1" applyBorder="1" applyAlignment="1">
      <alignment horizontal="center" vertical="center"/>
    </xf>
    <xf numFmtId="37" fontId="3" fillId="6" borderId="32" xfId="0" applyFont="1" applyFill="1" applyBorder="1" applyAlignment="1">
      <alignment horizontal="center" vertical="center"/>
    </xf>
    <xf numFmtId="37" fontId="3" fillId="6" borderId="59" xfId="0" applyFont="1" applyFill="1" applyBorder="1" applyAlignment="1">
      <alignment horizontal="center" vertical="center"/>
    </xf>
    <xf numFmtId="37" fontId="3" fillId="6" borderId="15" xfId="0" applyFont="1" applyFill="1" applyBorder="1" applyAlignment="1">
      <alignment horizontal="center" vertical="center"/>
    </xf>
    <xf numFmtId="37" fontId="3" fillId="0" borderId="21" xfId="0" quotePrefix="1" applyFont="1" applyFill="1" applyBorder="1" applyAlignment="1">
      <alignment horizontal="center" wrapText="1"/>
    </xf>
    <xf numFmtId="37" fontId="3" fillId="0" borderId="21" xfId="0" applyFont="1" applyFill="1" applyBorder="1" applyAlignment="1">
      <alignment horizontal="center" wrapText="1"/>
    </xf>
    <xf numFmtId="37" fontId="3" fillId="0" borderId="8" xfId="0" applyFont="1" applyFill="1" applyBorder="1" applyAlignment="1">
      <alignment horizontal="center" wrapText="1"/>
    </xf>
    <xf numFmtId="37" fontId="3" fillId="0" borderId="8" xfId="0" quotePrefix="1" applyFont="1" applyFill="1" applyBorder="1" applyAlignment="1">
      <alignment horizontal="center" wrapText="1"/>
    </xf>
    <xf numFmtId="37" fontId="3" fillId="0" borderId="17" xfId="0" applyFont="1" applyFill="1" applyBorder="1" applyAlignment="1">
      <alignment horizontal="center" wrapText="1"/>
    </xf>
    <xf numFmtId="37" fontId="3" fillId="0" borderId="34" xfId="0" applyFont="1" applyFill="1" applyBorder="1" applyAlignment="1">
      <alignment horizontal="center" wrapText="1"/>
    </xf>
    <xf numFmtId="37" fontId="3" fillId="0" borderId="7" xfId="0" quotePrefix="1" applyFont="1" applyBorder="1" applyAlignment="1">
      <alignment horizontal="center" wrapText="1"/>
    </xf>
    <xf numFmtId="37" fontId="3" fillId="0" borderId="21" xfId="0" applyFont="1" applyBorder="1" applyAlignment="1">
      <alignment horizontal="center" wrapText="1"/>
    </xf>
    <xf numFmtId="37" fontId="3" fillId="0" borderId="8" xfId="0" applyFont="1" applyBorder="1" applyAlignment="1">
      <alignment horizontal="center" wrapText="1"/>
    </xf>
    <xf numFmtId="37" fontId="3" fillId="6" borderId="57" xfId="0" quotePrefix="1" applyFont="1" applyFill="1" applyBorder="1" applyAlignment="1">
      <alignment horizontal="center" wrapText="1"/>
    </xf>
    <xf numFmtId="37" fontId="3" fillId="6" borderId="44" xfId="0" applyFont="1" applyFill="1" applyBorder="1" applyAlignment="1">
      <alignment horizontal="center" wrapText="1"/>
    </xf>
    <xf numFmtId="0" fontId="5" fillId="0" borderId="24" xfId="0" applyNumberFormat="1" applyFont="1" applyBorder="1" applyAlignment="1">
      <alignment horizontal="left" vertical="top" wrapText="1"/>
    </xf>
    <xf numFmtId="0" fontId="5" fillId="0" borderId="0" xfId="0" applyNumberFormat="1" applyFont="1" applyAlignment="1">
      <alignment horizontal="left" vertical="top" wrapText="1"/>
    </xf>
    <xf numFmtId="37" fontId="3" fillId="6" borderId="4" xfId="0" quotePrefix="1" applyFont="1" applyFill="1" applyBorder="1" applyAlignment="1">
      <alignment horizontal="center" wrapText="1"/>
    </xf>
    <xf numFmtId="37" fontId="3" fillId="6" borderId="1" xfId="0" quotePrefix="1" applyFont="1" applyFill="1" applyBorder="1" applyAlignment="1">
      <alignment horizontal="center" wrapText="1"/>
    </xf>
    <xf numFmtId="37" fontId="3" fillId="6" borderId="9" xfId="0" quotePrefix="1" applyFont="1" applyFill="1" applyBorder="1" applyAlignment="1">
      <alignment horizontal="center" wrapText="1"/>
    </xf>
    <xf numFmtId="37" fontId="3" fillId="6" borderId="7" xfId="0" quotePrefix="1" applyNumberFormat="1" applyFont="1" applyFill="1" applyBorder="1" applyAlignment="1" applyProtection="1">
      <alignment horizontal="center" wrapText="1"/>
    </xf>
    <xf numFmtId="37" fontId="3" fillId="6" borderId="21" xfId="0" quotePrefix="1" applyNumberFormat="1" applyFont="1" applyFill="1" applyBorder="1" applyAlignment="1" applyProtection="1">
      <alignment horizontal="center" wrapText="1"/>
    </xf>
    <xf numFmtId="37" fontId="3" fillId="6" borderId="8" xfId="0" quotePrefix="1" applyNumberFormat="1" applyFont="1" applyFill="1" applyBorder="1" applyAlignment="1" applyProtection="1">
      <alignment horizontal="center" wrapText="1"/>
    </xf>
    <xf numFmtId="37" fontId="3" fillId="6" borderId="62" xfId="0" quotePrefix="1" applyNumberFormat="1" applyFont="1" applyFill="1" applyBorder="1" applyAlignment="1" applyProtection="1">
      <alignment horizontal="center" wrapText="1"/>
    </xf>
    <xf numFmtId="37" fontId="3" fillId="6" borderId="43" xfId="0" quotePrefix="1" applyNumberFormat="1" applyFont="1" applyFill="1" applyBorder="1" applyAlignment="1" applyProtection="1">
      <alignment horizontal="center" wrapText="1"/>
    </xf>
    <xf numFmtId="37" fontId="5" fillId="0" borderId="24" xfId="0" quotePrefix="1" applyFont="1" applyBorder="1" applyAlignment="1">
      <alignment horizontal="left" wrapText="1"/>
    </xf>
    <xf numFmtId="37" fontId="0" fillId="0" borderId="24" xfId="0" applyBorder="1"/>
    <xf numFmtId="37" fontId="0" fillId="0" borderId="0" xfId="0"/>
    <xf numFmtId="37" fontId="3" fillId="3" borderId="18" xfId="0" applyFont="1" applyFill="1" applyBorder="1" applyAlignment="1">
      <alignment horizontal="center"/>
    </xf>
    <xf numFmtId="37" fontId="3" fillId="6" borderId="4" xfId="0" quotePrefix="1" applyNumberFormat="1" applyFont="1" applyFill="1" applyBorder="1" applyAlignment="1" applyProtection="1">
      <alignment horizontal="center" wrapText="1"/>
    </xf>
    <xf numFmtId="37" fontId="3" fillId="6" borderId="1" xfId="0" applyNumberFormat="1" applyFont="1" applyFill="1" applyBorder="1" applyAlignment="1" applyProtection="1">
      <alignment horizontal="center" wrapText="1"/>
    </xf>
    <xf numFmtId="37" fontId="3" fillId="6" borderId="9" xfId="0" applyNumberFormat="1" applyFont="1" applyFill="1" applyBorder="1" applyAlignment="1" applyProtection="1">
      <alignment horizontal="center" wrapText="1"/>
    </xf>
    <xf numFmtId="37" fontId="3" fillId="6" borderId="1" xfId="0" applyNumberFormat="1" applyFont="1" applyFill="1" applyBorder="1" applyAlignment="1" applyProtection="1">
      <alignment horizontal="center"/>
    </xf>
    <xf numFmtId="37" fontId="3" fillId="6" borderId="9" xfId="0" applyNumberFormat="1" applyFont="1" applyFill="1" applyBorder="1" applyAlignment="1" applyProtection="1">
      <alignment horizontal="center"/>
    </xf>
    <xf numFmtId="0" fontId="5" fillId="0" borderId="24" xfId="0" quotePrefix="1" applyNumberFormat="1" applyFont="1" applyBorder="1" applyAlignment="1">
      <alignment horizontal="left" vertical="center" wrapText="1"/>
    </xf>
    <xf numFmtId="0" fontId="5" fillId="0" borderId="0" xfId="0" quotePrefix="1" applyNumberFormat="1" applyFont="1" applyAlignment="1">
      <alignment horizontal="left" vertical="center" wrapText="1"/>
    </xf>
    <xf numFmtId="37" fontId="3" fillId="0" borderId="24" xfId="0" applyFont="1" applyBorder="1" applyAlignment="1">
      <alignment horizontal="center" vertical="center"/>
    </xf>
    <xf numFmtId="37" fontId="3" fillId="0" borderId="11" xfId="0" applyFont="1" applyBorder="1" applyAlignment="1">
      <alignment horizontal="center" vertical="center"/>
    </xf>
    <xf numFmtId="37" fontId="3" fillId="8" borderId="62" xfId="0" quotePrefix="1" applyFont="1" applyFill="1" applyBorder="1" applyAlignment="1">
      <alignment horizontal="center" wrapText="1"/>
    </xf>
    <xf numFmtId="37" fontId="3" fillId="8" borderId="43" xfId="0" applyFont="1" applyFill="1" applyBorder="1" applyAlignment="1">
      <alignment horizontal="center" wrapText="1"/>
    </xf>
    <xf numFmtId="37" fontId="3" fillId="8" borderId="7" xfId="0" quotePrefix="1" applyFont="1" applyFill="1" applyBorder="1" applyAlignment="1">
      <alignment horizontal="center" wrapText="1"/>
    </xf>
    <xf numFmtId="37" fontId="3" fillId="8" borderId="21" xfId="0" applyFont="1" applyFill="1" applyBorder="1" applyAlignment="1">
      <alignment horizontal="center" wrapText="1"/>
    </xf>
    <xf numFmtId="37" fontId="3" fillId="8" borderId="8" xfId="0" applyFont="1" applyFill="1" applyBorder="1" applyAlignment="1">
      <alignment horizontal="center" wrapText="1"/>
    </xf>
    <xf numFmtId="37" fontId="3" fillId="6" borderId="16" xfId="0" applyFont="1" applyFill="1" applyBorder="1" applyAlignment="1">
      <alignment horizontal="center" vertical="center"/>
    </xf>
    <xf numFmtId="37" fontId="3" fillId="6" borderId="2" xfId="0" applyFont="1" applyFill="1" applyBorder="1" applyAlignment="1">
      <alignment horizontal="center" vertical="center"/>
    </xf>
    <xf numFmtId="37" fontId="3" fillId="6" borderId="5" xfId="0" applyFont="1" applyFill="1" applyBorder="1" applyAlignment="1">
      <alignment horizontal="center" vertical="center"/>
    </xf>
    <xf numFmtId="37" fontId="3" fillId="6" borderId="12" xfId="0" applyFont="1" applyFill="1" applyBorder="1" applyAlignment="1">
      <alignment horizontal="center" vertical="center"/>
    </xf>
    <xf numFmtId="37" fontId="3" fillId="6" borderId="3" xfId="0" applyFont="1" applyFill="1" applyBorder="1" applyAlignment="1">
      <alignment horizontal="center" vertical="center"/>
    </xf>
    <xf numFmtId="37" fontId="3" fillId="6" borderId="10" xfId="0" applyFont="1" applyFill="1" applyBorder="1" applyAlignment="1">
      <alignment horizontal="center" vertical="center"/>
    </xf>
    <xf numFmtId="37" fontId="3" fillId="0" borderId="62" xfId="0" quotePrefix="1" applyFont="1" applyBorder="1" applyAlignment="1">
      <alignment horizontal="center" wrapText="1"/>
    </xf>
    <xf numFmtId="37" fontId="3" fillId="0" borderId="43" xfId="0" quotePrefix="1" applyFont="1" applyBorder="1" applyAlignment="1">
      <alignment horizontal="center" wrapText="1"/>
    </xf>
    <xf numFmtId="37" fontId="3" fillId="0" borderId="1" xfId="0" quotePrefix="1" applyFont="1" applyBorder="1" applyAlignment="1">
      <alignment horizontal="center" wrapText="1"/>
    </xf>
    <xf numFmtId="37" fontId="3" fillId="0" borderId="9" xfId="0" quotePrefix="1" applyFont="1" applyBorder="1" applyAlignment="1">
      <alignment horizontal="center" wrapText="1"/>
    </xf>
    <xf numFmtId="37" fontId="3" fillId="0" borderId="18" xfId="0" applyFont="1" applyBorder="1" applyAlignment="1">
      <alignment horizontal="center" vertical="center"/>
    </xf>
    <xf numFmtId="37" fontId="3" fillId="0" borderId="15" xfId="0" applyFont="1" applyBorder="1" applyAlignment="1">
      <alignment horizontal="center" vertical="center"/>
    </xf>
    <xf numFmtId="37" fontId="3" fillId="0" borderId="19" xfId="0" applyFont="1" applyBorder="1" applyAlignment="1">
      <alignment horizontal="center" vertical="center"/>
    </xf>
    <xf numFmtId="37" fontId="5" fillId="0" borderId="0" xfId="0" applyFont="1" applyAlignment="1">
      <alignment horizontal="left" wrapText="1"/>
    </xf>
    <xf numFmtId="37" fontId="3" fillId="0" borderId="16" xfId="0" applyFont="1" applyBorder="1" applyAlignment="1">
      <alignment horizontal="center" vertical="center"/>
    </xf>
    <xf numFmtId="37" fontId="3" fillId="0" borderId="21" xfId="0" quotePrefix="1" applyFont="1" applyBorder="1" applyAlignment="1">
      <alignment horizontal="center" wrapText="1"/>
    </xf>
    <xf numFmtId="37" fontId="3" fillId="0" borderId="8" xfId="0" quotePrefix="1" applyFont="1" applyBorder="1" applyAlignment="1">
      <alignment horizontal="center" wrapText="1"/>
    </xf>
    <xf numFmtId="37" fontId="3" fillId="0" borderId="5" xfId="0" quotePrefix="1" applyFont="1" applyBorder="1" applyAlignment="1">
      <alignment horizontal="center" wrapText="1"/>
    </xf>
    <xf numFmtId="37" fontId="3" fillId="0" borderId="6" xfId="0" quotePrefix="1" applyFont="1" applyBorder="1" applyAlignment="1">
      <alignment horizontal="center" wrapText="1"/>
    </xf>
    <xf numFmtId="37" fontId="3" fillId="0" borderId="10" xfId="0" quotePrefix="1" applyFont="1" applyBorder="1" applyAlignment="1">
      <alignment horizontal="center" wrapText="1"/>
    </xf>
    <xf numFmtId="49" fontId="5" fillId="0" borderId="24" xfId="0" quotePrefix="1" applyNumberFormat="1" applyFont="1" applyBorder="1" applyAlignment="1">
      <alignment horizontal="left" wrapText="1"/>
    </xf>
    <xf numFmtId="49" fontId="5" fillId="0" borderId="0" xfId="0" quotePrefix="1" applyNumberFormat="1" applyFont="1" applyAlignment="1">
      <alignment horizontal="left" wrapText="1"/>
    </xf>
    <xf numFmtId="0" fontId="5" fillId="0" borderId="0" xfId="0" quotePrefix="1" applyNumberFormat="1" applyFont="1" applyAlignment="1">
      <alignment horizontal="left" wrapText="1"/>
    </xf>
    <xf numFmtId="37" fontId="3" fillId="0" borderId="1" xfId="0" applyFont="1" applyBorder="1" applyAlignment="1">
      <alignment horizontal="center" wrapText="1"/>
    </xf>
    <xf numFmtId="0" fontId="5" fillId="0" borderId="0" xfId="0" quotePrefix="1" applyNumberFormat="1" applyFont="1" applyBorder="1" applyAlignment="1">
      <alignment horizontal="left" vertical="center" wrapText="1"/>
    </xf>
    <xf numFmtId="37" fontId="3" fillId="3" borderId="15" xfId="0" quotePrefix="1" applyFont="1" applyFill="1" applyBorder="1" applyAlignment="1">
      <alignment horizontal="center" vertical="center"/>
    </xf>
    <xf numFmtId="37" fontId="3" fillId="3" borderId="15" xfId="0" applyFont="1" applyFill="1" applyBorder="1" applyAlignment="1">
      <alignment horizontal="center" vertical="center"/>
    </xf>
    <xf numFmtId="37" fontId="3" fillId="6" borderId="30" xfId="6" quotePrefix="1" applyNumberFormat="1" applyFont="1" applyFill="1" applyBorder="1" applyAlignment="1">
      <alignment horizontal="center" vertical="center"/>
    </xf>
    <xf numFmtId="37" fontId="3" fillId="6" borderId="27" xfId="6" applyNumberFormat="1" applyFont="1" applyFill="1" applyBorder="1" applyAlignment="1">
      <alignment horizontal="center" vertical="center"/>
    </xf>
    <xf numFmtId="37" fontId="3" fillId="6" borderId="29" xfId="6" applyNumberFormat="1" applyFont="1" applyFill="1" applyBorder="1" applyAlignment="1">
      <alignment horizontal="center" vertical="center"/>
    </xf>
    <xf numFmtId="37" fontId="3" fillId="3" borderId="30" xfId="0" quotePrefix="1" applyFont="1" applyFill="1" applyBorder="1" applyAlignment="1">
      <alignment horizontal="center" vertical="center"/>
    </xf>
    <xf numFmtId="37" fontId="3" fillId="3" borderId="27" xfId="0" quotePrefix="1" applyFont="1" applyFill="1" applyBorder="1" applyAlignment="1">
      <alignment horizontal="center" vertical="center"/>
    </xf>
    <xf numFmtId="37" fontId="3" fillId="3" borderId="29" xfId="0" quotePrefix="1" applyFont="1" applyFill="1" applyBorder="1" applyAlignment="1">
      <alignment horizontal="center" vertical="center"/>
    </xf>
    <xf numFmtId="37" fontId="5" fillId="0" borderId="2" xfId="7" quotePrefix="1" applyFont="1" applyBorder="1" applyAlignment="1">
      <alignment horizontal="left" vertical="center" wrapText="1"/>
    </xf>
    <xf numFmtId="37" fontId="5" fillId="0" borderId="0" xfId="7" quotePrefix="1" applyFont="1" applyAlignment="1">
      <alignment horizontal="left" vertical="center" wrapText="1"/>
    </xf>
    <xf numFmtId="37" fontId="3" fillId="7" borderId="46" xfId="0" applyFont="1" applyFill="1" applyBorder="1" applyAlignment="1">
      <alignment horizontal="center" vertical="center" wrapText="1"/>
    </xf>
    <xf numFmtId="37" fontId="3" fillId="7" borderId="47" xfId="0" applyFont="1" applyFill="1" applyBorder="1" applyAlignment="1">
      <alignment horizontal="center" vertical="center" wrapText="1"/>
    </xf>
    <xf numFmtId="37" fontId="3" fillId="7" borderId="4" xfId="0" applyFont="1" applyFill="1" applyBorder="1" applyAlignment="1">
      <alignment horizontal="center" wrapText="1"/>
    </xf>
    <xf numFmtId="37" fontId="3" fillId="7" borderId="9" xfId="0" applyFont="1" applyFill="1" applyBorder="1" applyAlignment="1">
      <alignment horizontal="center" wrapText="1"/>
    </xf>
    <xf numFmtId="49" fontId="3" fillId="0" borderId="0" xfId="5" applyNumberFormat="1" applyFont="1" applyFill="1" applyBorder="1" applyAlignment="1" applyProtection="1">
      <alignment horizontal="center"/>
    </xf>
    <xf numFmtId="39" fontId="3" fillId="0" borderId="2" xfId="5" quotePrefix="1" applyFont="1" applyBorder="1" applyAlignment="1">
      <alignment horizontal="center" vertical="center"/>
    </xf>
    <xf numFmtId="39" fontId="3" fillId="0" borderId="2" xfId="5" applyFont="1" applyBorder="1" applyAlignment="1">
      <alignment horizontal="center" vertical="center"/>
    </xf>
    <xf numFmtId="0" fontId="3" fillId="0" borderId="3" xfId="5" quotePrefix="1" applyNumberFormat="1" applyFont="1" applyBorder="1" applyAlignment="1">
      <alignment horizontal="center" vertical="center"/>
    </xf>
    <xf numFmtId="0" fontId="3" fillId="0" borderId="3" xfId="5" applyNumberFormat="1" applyFont="1" applyBorder="1" applyAlignment="1">
      <alignment horizontal="center" vertical="center"/>
    </xf>
    <xf numFmtId="37" fontId="3" fillId="7" borderId="16" xfId="0" quotePrefix="1" applyFont="1" applyFill="1" applyBorder="1" applyAlignment="1">
      <alignment horizontal="center" wrapText="1"/>
    </xf>
    <xf numFmtId="37" fontId="3" fillId="7" borderId="5" xfId="0" applyFont="1" applyFill="1" applyBorder="1" applyAlignment="1">
      <alignment horizontal="center" wrapText="1"/>
    </xf>
    <xf numFmtId="0" fontId="5" fillId="0" borderId="24" xfId="4" quotePrefix="1" applyFont="1" applyBorder="1" applyAlignment="1">
      <alignment horizontal="left" vertical="center" wrapText="1"/>
    </xf>
    <xf numFmtId="0" fontId="5" fillId="0" borderId="0" xfId="4" quotePrefix="1" applyFont="1" applyAlignment="1">
      <alignment horizontal="left" vertical="center" wrapText="1"/>
    </xf>
    <xf numFmtId="0" fontId="3" fillId="7" borderId="33" xfId="4" quotePrefix="1" applyFont="1" applyFill="1" applyBorder="1" applyAlignment="1">
      <alignment horizontal="center" wrapText="1"/>
    </xf>
    <xf numFmtId="0" fontId="3" fillId="7" borderId="38" xfId="4" quotePrefix="1" applyFont="1" applyFill="1" applyBorder="1" applyAlignment="1">
      <alignment horizontal="center" wrapText="1"/>
    </xf>
    <xf numFmtId="0" fontId="3" fillId="7" borderId="34" xfId="4" quotePrefix="1" applyFont="1" applyFill="1" applyBorder="1" applyAlignment="1">
      <alignment horizontal="center" wrapText="1"/>
    </xf>
    <xf numFmtId="0" fontId="3" fillId="7" borderId="39" xfId="4" quotePrefix="1" applyFont="1" applyFill="1" applyBorder="1" applyAlignment="1">
      <alignment horizontal="center" wrapText="1"/>
    </xf>
    <xf numFmtId="0" fontId="3" fillId="7" borderId="24" xfId="4" quotePrefix="1" applyFont="1" applyFill="1" applyBorder="1" applyAlignment="1">
      <alignment horizontal="center" wrapText="1"/>
    </xf>
    <xf numFmtId="0" fontId="3" fillId="7" borderId="24" xfId="4" applyFont="1" applyFill="1" applyBorder="1" applyAlignment="1">
      <alignment horizontal="center" wrapText="1"/>
    </xf>
    <xf numFmtId="0" fontId="3" fillId="7" borderId="38" xfId="4" applyFont="1" applyFill="1" applyBorder="1" applyAlignment="1">
      <alignment horizontal="center" wrapText="1"/>
    </xf>
    <xf numFmtId="0" fontId="3" fillId="7" borderId="11" xfId="4" applyFont="1" applyFill="1" applyBorder="1" applyAlignment="1">
      <alignment horizontal="center" wrapText="1"/>
    </xf>
    <xf numFmtId="0" fontId="3" fillId="7" borderId="39" xfId="4" applyFont="1" applyFill="1" applyBorder="1" applyAlignment="1">
      <alignment horizontal="center" wrapText="1"/>
    </xf>
    <xf numFmtId="37" fontId="3" fillId="7" borderId="13" xfId="0" quotePrefix="1" applyFont="1" applyFill="1" applyBorder="1" applyAlignment="1">
      <alignment horizontal="center" wrapText="1"/>
    </xf>
    <xf numFmtId="37" fontId="3" fillId="7" borderId="6" xfId="0" applyFont="1" applyFill="1" applyBorder="1" applyAlignment="1">
      <alignment horizontal="center" wrapText="1"/>
    </xf>
    <xf numFmtId="37" fontId="3" fillId="7" borderId="12" xfId="0" applyFont="1" applyFill="1" applyBorder="1" applyAlignment="1">
      <alignment horizontal="center" wrapText="1"/>
    </xf>
    <xf numFmtId="37" fontId="3" fillId="7" borderId="10" xfId="0" applyFont="1" applyFill="1" applyBorder="1" applyAlignment="1">
      <alignment horizontal="center" wrapText="1"/>
    </xf>
    <xf numFmtId="37" fontId="3" fillId="7" borderId="13" xfId="0" applyFont="1" applyFill="1" applyBorder="1" applyAlignment="1">
      <alignment horizontal="center" wrapText="1"/>
    </xf>
    <xf numFmtId="37" fontId="3" fillId="7" borderId="0" xfId="0" quotePrefix="1" applyFont="1" applyFill="1" applyBorder="1" applyAlignment="1">
      <alignment horizontal="center" wrapText="1"/>
    </xf>
    <xf numFmtId="37" fontId="3" fillId="7" borderId="3" xfId="0" applyFont="1" applyFill="1" applyBorder="1" applyAlignment="1">
      <alignment horizontal="center" wrapText="1"/>
    </xf>
    <xf numFmtId="37" fontId="3" fillId="7" borderId="33" xfId="0" quotePrefix="1" applyFont="1" applyFill="1" applyBorder="1" applyAlignment="1">
      <alignment horizontal="center" wrapText="1"/>
    </xf>
    <xf numFmtId="37" fontId="3" fillId="7" borderId="38" xfId="0" applyFont="1" applyFill="1" applyBorder="1" applyAlignment="1">
      <alignment horizontal="center" wrapText="1"/>
    </xf>
    <xf numFmtId="37" fontId="3" fillId="7" borderId="17" xfId="0" applyFont="1" applyFill="1" applyBorder="1" applyAlignment="1">
      <alignment horizontal="center" wrapText="1"/>
    </xf>
    <xf numFmtId="37" fontId="3" fillId="7" borderId="31" xfId="0" applyFont="1" applyFill="1" applyBorder="1" applyAlignment="1">
      <alignment horizontal="center" wrapText="1"/>
    </xf>
    <xf numFmtId="37" fontId="3" fillId="7" borderId="34" xfId="0" applyFont="1" applyFill="1" applyBorder="1" applyAlignment="1">
      <alignment horizontal="center" wrapText="1"/>
    </xf>
    <xf numFmtId="37" fontId="3" fillId="7" borderId="39" xfId="0" applyFont="1" applyFill="1" applyBorder="1" applyAlignment="1">
      <alignment horizontal="center" wrapText="1"/>
    </xf>
    <xf numFmtId="37" fontId="5" fillId="0" borderId="0" xfId="0" applyFont="1" applyAlignment="1">
      <alignment horizontal="center" wrapText="1"/>
    </xf>
    <xf numFmtId="37" fontId="31" fillId="14" borderId="34" xfId="0" quotePrefix="1" applyFont="1" applyFill="1" applyBorder="1" applyAlignment="1">
      <alignment horizontal="center"/>
    </xf>
    <xf numFmtId="37" fontId="31" fillId="14" borderId="11" xfId="0" applyFont="1" applyFill="1" applyBorder="1" applyAlignment="1">
      <alignment horizontal="center"/>
    </xf>
    <xf numFmtId="37" fontId="31" fillId="14" borderId="39" xfId="0" applyFont="1" applyFill="1" applyBorder="1" applyAlignment="1">
      <alignment horizontal="center"/>
    </xf>
  </cellXfs>
  <cellStyles count="9">
    <cellStyle name="BODY" xfId="1"/>
    <cellStyle name="Comma" xfId="2" builtinId="3"/>
    <cellStyle name="Comma_Direct Support" xfId="3"/>
    <cellStyle name="Hyperlink" xfId="8" builtinId="8"/>
    <cellStyle name="Normal" xfId="0" builtinId="0"/>
    <cellStyle name="Normal 2" xfId="7"/>
    <cellStyle name="Normal_Direct Support" xfId="4"/>
    <cellStyle name="Normal_Draft Personnel_ 10B" xfId="5"/>
    <cellStyle name="Percent" xfId="6"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1.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3.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5-16%20FRAME%20Budg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dusfb/Age%20and%20Area/Age%20and%20Area%202006-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dusfb/Internet%20Projects/Forms/_Web%20Site/FB115A_Fe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08-09%20FRAME%20Budge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onzalo\financial%20report%20French%20Dept\13-14-257%20-%202013-14%20FRAME%20Budget_FR(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ADME"/>
      <sheetName val="- 3 -"/>
      <sheetName val="- 4 -"/>
      <sheetName val="- 6 -"/>
      <sheetName val="- 7 -"/>
      <sheetName val="- 8 -"/>
      <sheetName val="- 9 -"/>
      <sheetName val="- 10 -"/>
      <sheetName val="- 12 -"/>
      <sheetName val="- 13 -"/>
      <sheetName val="- 15 -"/>
      <sheetName val="- 16 -"/>
      <sheetName val="- 17 -"/>
      <sheetName val="- 18 -"/>
      <sheetName val="- 19 -"/>
      <sheetName val="- 20 -"/>
      <sheetName val="- 21 -"/>
      <sheetName val="- 22 -"/>
      <sheetName val="- 23 -"/>
      <sheetName val="- 24 -"/>
      <sheetName val="- 25 -"/>
      <sheetName val="- 26 -"/>
      <sheetName val="- 27 -"/>
      <sheetName val="- 28 -"/>
      <sheetName val="- 29 -"/>
      <sheetName val="- 30 -"/>
      <sheetName val="- 31 -"/>
      <sheetName val="- 32 -"/>
      <sheetName val="- 33 -"/>
      <sheetName val="- 34 -"/>
      <sheetName val="- 35 -"/>
      <sheetName val="- 36 -"/>
      <sheetName val="- 37 -"/>
      <sheetName val="- 38 -"/>
      <sheetName val="- 40 -"/>
      <sheetName val="- 41 -"/>
      <sheetName val="- 42 -"/>
      <sheetName val="- 43 -"/>
      <sheetName val="- 44 -"/>
      <sheetName val="- 45 -"/>
      <sheetName val="- 47 -"/>
      <sheetName val="- 48 - "/>
      <sheetName val="- 50 -"/>
      <sheetName val="- 51 -"/>
      <sheetName val="- 52 -"/>
      <sheetName val="- 53 -"/>
      <sheetName val="- 54 -"/>
      <sheetName val="- 55 -"/>
      <sheetName val="- 56 -"/>
      <sheetName val="- 57 -"/>
      <sheetName val="- 58 -"/>
      <sheetName val="- 59 -"/>
      <sheetName val="- 60 -"/>
      <sheetName val="Data"/>
    </sheetNames>
    <sheetDataSet>
      <sheetData sheetId="0"/>
      <sheetData sheetId="1"/>
      <sheetData sheetId="2"/>
      <sheetData sheetId="3"/>
      <sheetData sheetId="4"/>
      <sheetData sheetId="5"/>
      <sheetData sheetId="6"/>
      <sheetData sheetId="7"/>
      <sheetData sheetId="8"/>
      <sheetData sheetId="9"/>
      <sheetData sheetId="10">
        <row r="2">
          <cell r="B2" t="str">
            <v>ANALYSIS OF EXPENSE BY FUNCTION</v>
          </cell>
        </row>
      </sheetData>
      <sheetData sheetId="11"/>
      <sheetData sheetId="12"/>
      <sheetData sheetId="13">
        <row r="2">
          <cell r="B2" t="str">
            <v>ANALYSIS OF EXPENSE BY PROGRAM</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4">
          <cell r="V4">
            <v>1</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apital-D"/>
      <sheetName val="Data"/>
      <sheetName val="Form"/>
      <sheetName val="WI"/>
      <sheetName val="List"/>
      <sheetName val="Decades"/>
      <sheetName val="TU's"/>
      <sheetName val="Summary"/>
      <sheetName val="Summary (2)"/>
      <sheetName val="Colony Form"/>
      <sheetName val="Rented Space"/>
    </sheetNames>
    <sheetDataSet>
      <sheetData sheetId="0"/>
      <sheetData sheetId="1">
        <row r="9">
          <cell r="A9" t="str">
            <v>BE</v>
          </cell>
        </row>
        <row r="10">
          <cell r="A10" t="str">
            <v>BE</v>
          </cell>
        </row>
        <row r="11">
          <cell r="A11" t="str">
            <v>BE</v>
          </cell>
        </row>
        <row r="12">
          <cell r="A12" t="str">
            <v>BE</v>
          </cell>
        </row>
        <row r="13">
          <cell r="A13" t="str">
            <v>BE</v>
          </cell>
        </row>
        <row r="14">
          <cell r="A14" t="str">
            <v>BE</v>
          </cell>
        </row>
        <row r="15">
          <cell r="A15" t="str">
            <v>BE</v>
          </cell>
        </row>
        <row r="16">
          <cell r="A16" t="str">
            <v>BE</v>
          </cell>
        </row>
        <row r="17">
          <cell r="A17" t="str">
            <v>BE</v>
          </cell>
        </row>
        <row r="18">
          <cell r="A18" t="str">
            <v>BE</v>
          </cell>
        </row>
        <row r="19">
          <cell r="A19" t="str">
            <v>BE</v>
          </cell>
        </row>
        <row r="20">
          <cell r="A20" t="str">
            <v>BE</v>
          </cell>
        </row>
        <row r="21">
          <cell r="A21" t="str">
            <v>BE</v>
          </cell>
        </row>
        <row r="22">
          <cell r="A22" t="str">
            <v>BE</v>
          </cell>
        </row>
        <row r="23">
          <cell r="A23" t="str">
            <v>BO</v>
          </cell>
        </row>
        <row r="24">
          <cell r="A24" t="str">
            <v>BO</v>
          </cell>
        </row>
        <row r="25">
          <cell r="A25" t="str">
            <v>BO</v>
          </cell>
        </row>
        <row r="26">
          <cell r="A26" t="str">
            <v>BO</v>
          </cell>
        </row>
        <row r="27">
          <cell r="A27" t="str">
            <v>BO</v>
          </cell>
        </row>
        <row r="28">
          <cell r="A28" t="str">
            <v>BO</v>
          </cell>
        </row>
        <row r="29">
          <cell r="A29" t="str">
            <v>BO</v>
          </cell>
        </row>
        <row r="30">
          <cell r="A30" t="str">
            <v>BO</v>
          </cell>
        </row>
        <row r="31">
          <cell r="A31" t="str">
            <v>BO</v>
          </cell>
        </row>
        <row r="32">
          <cell r="A32" t="str">
            <v>BO</v>
          </cell>
        </row>
        <row r="33">
          <cell r="A33" t="str">
            <v>BO</v>
          </cell>
        </row>
        <row r="34">
          <cell r="A34" t="str">
            <v>BO</v>
          </cell>
        </row>
        <row r="35">
          <cell r="A35" t="str">
            <v>BO</v>
          </cell>
        </row>
        <row r="36">
          <cell r="A36" t="str">
            <v>BO</v>
          </cell>
        </row>
        <row r="37">
          <cell r="A37" t="str">
            <v>BO</v>
          </cell>
        </row>
        <row r="38">
          <cell r="A38" t="str">
            <v>BR</v>
          </cell>
        </row>
        <row r="39">
          <cell r="A39" t="str">
            <v>BR</v>
          </cell>
        </row>
        <row r="40">
          <cell r="A40" t="str">
            <v>BR</v>
          </cell>
        </row>
        <row r="41">
          <cell r="A41" t="str">
            <v>BR</v>
          </cell>
        </row>
        <row r="42">
          <cell r="A42" t="str">
            <v>BR</v>
          </cell>
        </row>
        <row r="43">
          <cell r="A43" t="str">
            <v>BR</v>
          </cell>
        </row>
        <row r="44">
          <cell r="A44" t="str">
            <v>BR</v>
          </cell>
        </row>
        <row r="45">
          <cell r="A45" t="str">
            <v>BR</v>
          </cell>
        </row>
        <row r="46">
          <cell r="A46" t="str">
            <v>BR</v>
          </cell>
        </row>
        <row r="47">
          <cell r="A47" t="str">
            <v>BR</v>
          </cell>
        </row>
        <row r="48">
          <cell r="A48" t="str">
            <v>BR</v>
          </cell>
        </row>
        <row r="49">
          <cell r="A49" t="str">
            <v>BR</v>
          </cell>
        </row>
        <row r="50">
          <cell r="A50" t="str">
            <v>BR</v>
          </cell>
        </row>
        <row r="51">
          <cell r="A51" t="str">
            <v>BR</v>
          </cell>
        </row>
        <row r="52">
          <cell r="A52" t="str">
            <v>BR</v>
          </cell>
        </row>
        <row r="53">
          <cell r="A53" t="str">
            <v>BR</v>
          </cell>
        </row>
        <row r="54">
          <cell r="A54" t="str">
            <v>BR</v>
          </cell>
        </row>
        <row r="55">
          <cell r="A55" t="str">
            <v>BR</v>
          </cell>
        </row>
        <row r="56">
          <cell r="A56" t="str">
            <v>BR</v>
          </cell>
        </row>
        <row r="57">
          <cell r="A57" t="str">
            <v>BR</v>
          </cell>
        </row>
        <row r="58">
          <cell r="A58" t="str">
            <v>BR</v>
          </cell>
        </row>
        <row r="59">
          <cell r="A59" t="str">
            <v>BR</v>
          </cell>
        </row>
        <row r="60">
          <cell r="A60" t="str">
            <v>DI</v>
          </cell>
        </row>
        <row r="61">
          <cell r="A61" t="str">
            <v>DI</v>
          </cell>
        </row>
        <row r="62">
          <cell r="A62" t="str">
            <v>DI</v>
          </cell>
        </row>
        <row r="63">
          <cell r="A63" t="str">
            <v>DI</v>
          </cell>
        </row>
        <row r="64">
          <cell r="A64" t="str">
            <v>DI</v>
          </cell>
        </row>
        <row r="65">
          <cell r="A65" t="str">
            <v>DI</v>
          </cell>
        </row>
        <row r="66">
          <cell r="A66" t="str">
            <v>DI</v>
          </cell>
        </row>
        <row r="67">
          <cell r="A67" t="str">
            <v>DI</v>
          </cell>
        </row>
        <row r="68">
          <cell r="A68" t="str">
            <v>DI</v>
          </cell>
        </row>
        <row r="69">
          <cell r="A69" t="str">
            <v>DI</v>
          </cell>
        </row>
        <row r="70">
          <cell r="A70" t="str">
            <v>DI</v>
          </cell>
        </row>
        <row r="71">
          <cell r="A71" t="str">
            <v>DI</v>
          </cell>
        </row>
        <row r="72">
          <cell r="A72" t="str">
            <v>DI</v>
          </cell>
        </row>
        <row r="73">
          <cell r="A73" t="str">
            <v>DI</v>
          </cell>
        </row>
        <row r="74">
          <cell r="A74" t="str">
            <v>DI</v>
          </cell>
        </row>
        <row r="75">
          <cell r="A75" t="str">
            <v>DI</v>
          </cell>
        </row>
        <row r="76">
          <cell r="A76" t="str">
            <v>DI</v>
          </cell>
        </row>
        <row r="77">
          <cell r="A77" t="str">
            <v>DI</v>
          </cell>
        </row>
        <row r="78">
          <cell r="A78" t="str">
            <v>DI</v>
          </cell>
        </row>
        <row r="79">
          <cell r="A79" t="str">
            <v>DI</v>
          </cell>
        </row>
        <row r="80">
          <cell r="A80" t="str">
            <v>DI</v>
          </cell>
        </row>
        <row r="81">
          <cell r="A81" t="str">
            <v>DI</v>
          </cell>
        </row>
        <row r="82">
          <cell r="A82" t="str">
            <v>EV</v>
          </cell>
        </row>
        <row r="83">
          <cell r="A83" t="str">
            <v>EV</v>
          </cell>
        </row>
        <row r="84">
          <cell r="A84" t="str">
            <v>EV</v>
          </cell>
        </row>
        <row r="85">
          <cell r="A85" t="str">
            <v>EV</v>
          </cell>
        </row>
        <row r="86">
          <cell r="A86" t="str">
            <v>EV</v>
          </cell>
        </row>
        <row r="87">
          <cell r="A87" t="str">
            <v>EV</v>
          </cell>
        </row>
        <row r="88">
          <cell r="A88" t="str">
            <v>EV</v>
          </cell>
        </row>
        <row r="89">
          <cell r="A89" t="str">
            <v>EV</v>
          </cell>
        </row>
        <row r="90">
          <cell r="A90" t="str">
            <v>FL</v>
          </cell>
        </row>
        <row r="91">
          <cell r="A91" t="str">
            <v>FL</v>
          </cell>
        </row>
        <row r="92">
          <cell r="A92" t="str">
            <v>FL</v>
          </cell>
        </row>
        <row r="93">
          <cell r="A93" t="str">
            <v>FL</v>
          </cell>
        </row>
        <row r="94">
          <cell r="A94" t="str">
            <v>FO</v>
          </cell>
        </row>
        <row r="95">
          <cell r="A95" t="str">
            <v>FO</v>
          </cell>
        </row>
        <row r="96">
          <cell r="A96" t="str">
            <v>FO</v>
          </cell>
        </row>
        <row r="97">
          <cell r="A97" t="str">
            <v>FO</v>
          </cell>
        </row>
        <row r="98">
          <cell r="A98" t="str">
            <v>FO</v>
          </cell>
        </row>
        <row r="99">
          <cell r="A99" t="str">
            <v>FO</v>
          </cell>
        </row>
        <row r="100">
          <cell r="A100" t="str">
            <v>FO</v>
          </cell>
        </row>
        <row r="101">
          <cell r="A101" t="str">
            <v>FO</v>
          </cell>
        </row>
        <row r="102">
          <cell r="A102" t="str">
            <v>FO</v>
          </cell>
        </row>
        <row r="103">
          <cell r="A103" t="str">
            <v>FO</v>
          </cell>
        </row>
        <row r="104">
          <cell r="A104" t="str">
            <v>FO</v>
          </cell>
        </row>
        <row r="105">
          <cell r="A105" t="str">
            <v>FR</v>
          </cell>
        </row>
        <row r="106">
          <cell r="A106" t="str">
            <v>FR</v>
          </cell>
        </row>
        <row r="107">
          <cell r="A107" t="str">
            <v>FR</v>
          </cell>
        </row>
        <row r="108">
          <cell r="A108" t="str">
            <v>FR</v>
          </cell>
        </row>
        <row r="109">
          <cell r="A109" t="str">
            <v>FR</v>
          </cell>
        </row>
        <row r="110">
          <cell r="A110" t="str">
            <v>FR</v>
          </cell>
        </row>
        <row r="111">
          <cell r="A111" t="str">
            <v>FR</v>
          </cell>
        </row>
        <row r="112">
          <cell r="A112" t="str">
            <v>FR</v>
          </cell>
        </row>
        <row r="113">
          <cell r="A113" t="str">
            <v>FR</v>
          </cell>
        </row>
        <row r="114">
          <cell r="A114" t="str">
            <v>FR</v>
          </cell>
        </row>
        <row r="115">
          <cell r="A115" t="str">
            <v>FR</v>
          </cell>
        </row>
        <row r="116">
          <cell r="A116" t="str">
            <v>FR</v>
          </cell>
        </row>
        <row r="117">
          <cell r="A117" t="str">
            <v>FR</v>
          </cell>
        </row>
        <row r="118">
          <cell r="A118" t="str">
            <v>FR</v>
          </cell>
        </row>
        <row r="119">
          <cell r="A119" t="str">
            <v>FR</v>
          </cell>
        </row>
        <row r="120">
          <cell r="A120" t="str">
            <v>FR</v>
          </cell>
        </row>
        <row r="121">
          <cell r="A121" t="str">
            <v>FR</v>
          </cell>
        </row>
        <row r="122">
          <cell r="A122" t="str">
            <v>FR</v>
          </cell>
        </row>
        <row r="123">
          <cell r="A123" t="str">
            <v>FR</v>
          </cell>
        </row>
        <row r="124">
          <cell r="A124" t="str">
            <v>FR</v>
          </cell>
        </row>
        <row r="125">
          <cell r="A125" t="str">
            <v>FR</v>
          </cell>
        </row>
        <row r="126">
          <cell r="A126" t="str">
            <v>FR</v>
          </cell>
        </row>
        <row r="127">
          <cell r="A127" t="str">
            <v>FR</v>
          </cell>
        </row>
        <row r="128">
          <cell r="A128" t="str">
            <v>FR</v>
          </cell>
        </row>
        <row r="129">
          <cell r="A129" t="str">
            <v>FR</v>
          </cell>
        </row>
        <row r="130">
          <cell r="A130" t="str">
            <v>FR</v>
          </cell>
        </row>
        <row r="131">
          <cell r="A131" t="str">
            <v>FR</v>
          </cell>
        </row>
        <row r="132">
          <cell r="A132" t="str">
            <v>FR</v>
          </cell>
        </row>
        <row r="133">
          <cell r="A133" t="str">
            <v>FR</v>
          </cell>
        </row>
        <row r="134">
          <cell r="A134" t="str">
            <v>FR</v>
          </cell>
        </row>
        <row r="135">
          <cell r="A135" t="str">
            <v>FR</v>
          </cell>
        </row>
        <row r="136">
          <cell r="A136" t="str">
            <v>FR</v>
          </cell>
        </row>
        <row r="137">
          <cell r="A137" t="str">
            <v>FR</v>
          </cell>
        </row>
        <row r="138">
          <cell r="A138" t="str">
            <v>FR</v>
          </cell>
        </row>
        <row r="139">
          <cell r="A139" t="str">
            <v>FR</v>
          </cell>
        </row>
        <row r="140">
          <cell r="A140" t="str">
            <v>FR</v>
          </cell>
        </row>
        <row r="141">
          <cell r="A141" t="str">
            <v>FR</v>
          </cell>
        </row>
        <row r="142">
          <cell r="A142" t="str">
            <v>FR</v>
          </cell>
        </row>
        <row r="143">
          <cell r="A143" t="str">
            <v>FR</v>
          </cell>
        </row>
        <row r="144">
          <cell r="A144" t="str">
            <v>GA</v>
          </cell>
        </row>
        <row r="145">
          <cell r="A145" t="str">
            <v>GA</v>
          </cell>
        </row>
        <row r="146">
          <cell r="A146" t="str">
            <v>GA</v>
          </cell>
        </row>
        <row r="147">
          <cell r="A147" t="str">
            <v>GA</v>
          </cell>
        </row>
        <row r="148">
          <cell r="A148" t="str">
            <v>GA</v>
          </cell>
        </row>
        <row r="149">
          <cell r="A149" t="str">
            <v>GA</v>
          </cell>
        </row>
        <row r="150">
          <cell r="A150" t="str">
            <v>GA</v>
          </cell>
        </row>
        <row r="151">
          <cell r="A151" t="str">
            <v>GA</v>
          </cell>
        </row>
        <row r="152">
          <cell r="A152" t="str">
            <v>GA</v>
          </cell>
        </row>
        <row r="153">
          <cell r="A153" t="str">
            <v>GA</v>
          </cell>
        </row>
        <row r="154">
          <cell r="A154" t="str">
            <v>HA</v>
          </cell>
        </row>
        <row r="155">
          <cell r="A155" t="str">
            <v>HA</v>
          </cell>
        </row>
        <row r="156">
          <cell r="A156" t="str">
            <v>HA</v>
          </cell>
        </row>
        <row r="157">
          <cell r="A157" t="str">
            <v>HA</v>
          </cell>
        </row>
        <row r="158">
          <cell r="A158" t="str">
            <v>HA</v>
          </cell>
        </row>
        <row r="159">
          <cell r="A159" t="str">
            <v>HA</v>
          </cell>
        </row>
        <row r="160">
          <cell r="A160" t="str">
            <v>HA</v>
          </cell>
        </row>
        <row r="161">
          <cell r="A161" t="str">
            <v>HA</v>
          </cell>
        </row>
        <row r="162">
          <cell r="A162" t="str">
            <v>HA</v>
          </cell>
        </row>
        <row r="163">
          <cell r="A163" t="str">
            <v>HA</v>
          </cell>
        </row>
        <row r="164">
          <cell r="A164" t="str">
            <v>HA</v>
          </cell>
        </row>
        <row r="165">
          <cell r="A165" t="str">
            <v>HA</v>
          </cell>
        </row>
        <row r="166">
          <cell r="A166" t="str">
            <v>HA</v>
          </cell>
        </row>
        <row r="167">
          <cell r="A167" t="str">
            <v>HA</v>
          </cell>
        </row>
        <row r="168">
          <cell r="A168" t="str">
            <v>HA</v>
          </cell>
        </row>
        <row r="169">
          <cell r="A169" t="str">
            <v>HA</v>
          </cell>
        </row>
        <row r="170">
          <cell r="A170" t="str">
            <v>HA</v>
          </cell>
        </row>
        <row r="171">
          <cell r="A171" t="str">
            <v>IN</v>
          </cell>
        </row>
        <row r="172">
          <cell r="A172" t="str">
            <v>IN</v>
          </cell>
        </row>
        <row r="173">
          <cell r="A173" t="str">
            <v>IN</v>
          </cell>
        </row>
        <row r="174">
          <cell r="A174" t="str">
            <v>IN</v>
          </cell>
        </row>
        <row r="175">
          <cell r="A175" t="str">
            <v>IN</v>
          </cell>
        </row>
        <row r="176">
          <cell r="A176" t="str">
            <v>IN</v>
          </cell>
        </row>
        <row r="177">
          <cell r="A177" t="str">
            <v>IN</v>
          </cell>
        </row>
        <row r="178">
          <cell r="A178" t="str">
            <v>IN</v>
          </cell>
        </row>
        <row r="179">
          <cell r="A179" t="str">
            <v>IN</v>
          </cell>
        </row>
        <row r="180">
          <cell r="A180" t="str">
            <v>IN</v>
          </cell>
        </row>
        <row r="181">
          <cell r="A181" t="str">
            <v>IN</v>
          </cell>
        </row>
        <row r="182">
          <cell r="A182" t="str">
            <v>IN</v>
          </cell>
        </row>
        <row r="183">
          <cell r="A183" t="str">
            <v>IN</v>
          </cell>
        </row>
        <row r="184">
          <cell r="A184" t="str">
            <v>IN</v>
          </cell>
        </row>
        <row r="185">
          <cell r="A185" t="str">
            <v>IN</v>
          </cell>
        </row>
        <row r="186">
          <cell r="A186" t="str">
            <v>IN</v>
          </cell>
        </row>
        <row r="187">
          <cell r="A187" t="str">
            <v>IN</v>
          </cell>
        </row>
        <row r="188">
          <cell r="A188" t="str">
            <v>IN</v>
          </cell>
        </row>
        <row r="189">
          <cell r="A189" t="str">
            <v>IN</v>
          </cell>
        </row>
        <row r="190">
          <cell r="A190" t="str">
            <v>IN</v>
          </cell>
        </row>
        <row r="191">
          <cell r="A191" t="str">
            <v>IN</v>
          </cell>
        </row>
        <row r="192">
          <cell r="A192" t="str">
            <v>KE</v>
          </cell>
        </row>
        <row r="193">
          <cell r="A193" t="str">
            <v>KE</v>
          </cell>
        </row>
        <row r="194">
          <cell r="A194" t="str">
            <v>KE</v>
          </cell>
        </row>
        <row r="195">
          <cell r="A195" t="str">
            <v>KE</v>
          </cell>
        </row>
        <row r="196">
          <cell r="A196" t="str">
            <v>KE</v>
          </cell>
        </row>
        <row r="197">
          <cell r="A197" t="str">
            <v>LA</v>
          </cell>
        </row>
        <row r="198">
          <cell r="A198" t="str">
            <v>LA</v>
          </cell>
        </row>
        <row r="199">
          <cell r="A199" t="str">
            <v>LA</v>
          </cell>
        </row>
        <row r="200">
          <cell r="A200" t="str">
            <v>LA</v>
          </cell>
        </row>
        <row r="201">
          <cell r="A201" t="str">
            <v>LA</v>
          </cell>
        </row>
        <row r="202">
          <cell r="A202" t="str">
            <v>LA</v>
          </cell>
        </row>
        <row r="203">
          <cell r="A203" t="str">
            <v>LA</v>
          </cell>
        </row>
        <row r="204">
          <cell r="A204" t="str">
            <v>LA</v>
          </cell>
        </row>
        <row r="205">
          <cell r="A205" t="str">
            <v>LA</v>
          </cell>
        </row>
        <row r="206">
          <cell r="A206" t="str">
            <v>LA</v>
          </cell>
        </row>
        <row r="207">
          <cell r="A207" t="str">
            <v>LO</v>
          </cell>
        </row>
        <row r="208">
          <cell r="A208" t="str">
            <v>LO</v>
          </cell>
        </row>
        <row r="209">
          <cell r="A209" t="str">
            <v>LO</v>
          </cell>
        </row>
        <row r="210">
          <cell r="A210" t="str">
            <v>LO</v>
          </cell>
        </row>
        <row r="211">
          <cell r="A211" t="str">
            <v>LO</v>
          </cell>
        </row>
        <row r="212">
          <cell r="A212" t="str">
            <v>LO</v>
          </cell>
        </row>
        <row r="213">
          <cell r="A213" t="str">
            <v>LO</v>
          </cell>
        </row>
        <row r="214">
          <cell r="A214" t="str">
            <v>LO</v>
          </cell>
        </row>
        <row r="215">
          <cell r="A215" t="str">
            <v>LO</v>
          </cell>
        </row>
        <row r="216">
          <cell r="A216" t="str">
            <v>LO</v>
          </cell>
        </row>
        <row r="217">
          <cell r="A217" t="str">
            <v>LO</v>
          </cell>
        </row>
        <row r="218">
          <cell r="A218" t="str">
            <v>LO</v>
          </cell>
        </row>
        <row r="219">
          <cell r="A219" t="str">
            <v>LO</v>
          </cell>
        </row>
        <row r="220">
          <cell r="A220" t="str">
            <v>LO</v>
          </cell>
        </row>
        <row r="221">
          <cell r="A221" t="str">
            <v>LR</v>
          </cell>
        </row>
        <row r="222">
          <cell r="A222" t="str">
            <v>LR</v>
          </cell>
        </row>
        <row r="223">
          <cell r="A223" t="str">
            <v>LR</v>
          </cell>
        </row>
        <row r="224">
          <cell r="A224" t="str">
            <v>LR</v>
          </cell>
        </row>
        <row r="225">
          <cell r="A225" t="str">
            <v>LR</v>
          </cell>
        </row>
        <row r="226">
          <cell r="A226" t="str">
            <v>LR</v>
          </cell>
        </row>
        <row r="227">
          <cell r="A227" t="str">
            <v>LR</v>
          </cell>
        </row>
        <row r="228">
          <cell r="A228" t="str">
            <v>LR</v>
          </cell>
        </row>
        <row r="229">
          <cell r="A229" t="str">
            <v>LR</v>
          </cell>
        </row>
        <row r="230">
          <cell r="A230" t="str">
            <v>LR</v>
          </cell>
        </row>
        <row r="231">
          <cell r="A231" t="str">
            <v>LR</v>
          </cell>
        </row>
        <row r="232">
          <cell r="A232" t="str">
            <v>LR</v>
          </cell>
        </row>
        <row r="233">
          <cell r="A233" t="str">
            <v>LR</v>
          </cell>
        </row>
        <row r="234">
          <cell r="A234" t="str">
            <v>LR</v>
          </cell>
        </row>
        <row r="235">
          <cell r="A235" t="str">
            <v>LR</v>
          </cell>
        </row>
        <row r="236">
          <cell r="A236" t="str">
            <v>LR</v>
          </cell>
        </row>
        <row r="237">
          <cell r="A237" t="str">
            <v>LR</v>
          </cell>
        </row>
        <row r="238">
          <cell r="A238" t="str">
            <v>LR</v>
          </cell>
        </row>
        <row r="239">
          <cell r="A239" t="str">
            <v>LR</v>
          </cell>
        </row>
        <row r="240">
          <cell r="A240" t="str">
            <v>LR</v>
          </cell>
        </row>
        <row r="241">
          <cell r="A241" t="str">
            <v>LR</v>
          </cell>
        </row>
        <row r="242">
          <cell r="A242" t="str">
            <v>LR</v>
          </cell>
        </row>
        <row r="243">
          <cell r="A243" t="str">
            <v>LR</v>
          </cell>
        </row>
        <row r="244">
          <cell r="A244" t="str">
            <v>LR</v>
          </cell>
        </row>
        <row r="245">
          <cell r="A245" t="str">
            <v>LR</v>
          </cell>
        </row>
        <row r="246">
          <cell r="A246" t="str">
            <v>LR</v>
          </cell>
        </row>
        <row r="247">
          <cell r="A247" t="str">
            <v>LR</v>
          </cell>
        </row>
        <row r="248">
          <cell r="A248" t="str">
            <v>LR</v>
          </cell>
        </row>
        <row r="249">
          <cell r="A249" t="str">
            <v>LR</v>
          </cell>
        </row>
        <row r="250">
          <cell r="A250" t="str">
            <v>LR</v>
          </cell>
        </row>
        <row r="251">
          <cell r="A251" t="str">
            <v>LR</v>
          </cell>
        </row>
        <row r="252">
          <cell r="A252" t="str">
            <v>LR</v>
          </cell>
        </row>
        <row r="253">
          <cell r="A253" t="str">
            <v>LR</v>
          </cell>
        </row>
        <row r="254">
          <cell r="A254" t="str">
            <v>LR</v>
          </cell>
        </row>
        <row r="255">
          <cell r="A255" t="str">
            <v>LR</v>
          </cell>
        </row>
        <row r="256">
          <cell r="A256" t="str">
            <v>LR</v>
          </cell>
        </row>
        <row r="257">
          <cell r="A257" t="str">
            <v>LR</v>
          </cell>
        </row>
        <row r="258">
          <cell r="A258" t="str">
            <v>LR</v>
          </cell>
        </row>
        <row r="259">
          <cell r="A259" t="str">
            <v>LR</v>
          </cell>
        </row>
        <row r="260">
          <cell r="A260" t="str">
            <v>MO</v>
          </cell>
        </row>
        <row r="261">
          <cell r="A261" t="str">
            <v>MO</v>
          </cell>
        </row>
        <row r="262">
          <cell r="A262" t="str">
            <v>MO</v>
          </cell>
        </row>
        <row r="263">
          <cell r="A263" t="str">
            <v>MO</v>
          </cell>
        </row>
        <row r="264">
          <cell r="A264" t="str">
            <v>MO</v>
          </cell>
        </row>
        <row r="265">
          <cell r="A265" t="str">
            <v>MO</v>
          </cell>
        </row>
        <row r="266">
          <cell r="A266" t="str">
            <v>MO</v>
          </cell>
        </row>
        <row r="267">
          <cell r="A267" t="str">
            <v>MO</v>
          </cell>
        </row>
        <row r="268">
          <cell r="A268" t="str">
            <v>MO</v>
          </cell>
        </row>
        <row r="269">
          <cell r="A269" t="str">
            <v>MO</v>
          </cell>
        </row>
        <row r="270">
          <cell r="A270" t="str">
            <v>MO</v>
          </cell>
        </row>
        <row r="271">
          <cell r="A271" t="str">
            <v>MO</v>
          </cell>
        </row>
        <row r="272">
          <cell r="A272" t="str">
            <v>MO</v>
          </cell>
        </row>
        <row r="273">
          <cell r="A273" t="str">
            <v>MO</v>
          </cell>
        </row>
        <row r="274">
          <cell r="A274" t="str">
            <v>MO</v>
          </cell>
        </row>
        <row r="275">
          <cell r="A275" t="str">
            <v>MO</v>
          </cell>
        </row>
        <row r="276">
          <cell r="A276" t="str">
            <v>MY</v>
          </cell>
        </row>
        <row r="277">
          <cell r="A277" t="str">
            <v>MY</v>
          </cell>
        </row>
        <row r="278">
          <cell r="A278" t="str">
            <v>MY</v>
          </cell>
        </row>
        <row r="279">
          <cell r="A279" t="str">
            <v>MY</v>
          </cell>
        </row>
        <row r="280">
          <cell r="A280" t="str">
            <v>MY</v>
          </cell>
        </row>
        <row r="281">
          <cell r="A281" t="str">
            <v>MY</v>
          </cell>
        </row>
        <row r="282">
          <cell r="A282" t="str">
            <v>MY</v>
          </cell>
        </row>
        <row r="283">
          <cell r="A283" t="str">
            <v>PA</v>
          </cell>
        </row>
        <row r="284">
          <cell r="A284" t="str">
            <v>PA</v>
          </cell>
        </row>
        <row r="285">
          <cell r="A285" t="str">
            <v>PA</v>
          </cell>
        </row>
        <row r="286">
          <cell r="A286" t="str">
            <v>PA</v>
          </cell>
        </row>
        <row r="287">
          <cell r="A287" t="str">
            <v>PA</v>
          </cell>
        </row>
        <row r="288">
          <cell r="A288" t="str">
            <v>PA</v>
          </cell>
        </row>
        <row r="289">
          <cell r="A289" t="str">
            <v>PA</v>
          </cell>
        </row>
        <row r="290">
          <cell r="A290" t="str">
            <v>PA</v>
          </cell>
        </row>
        <row r="291">
          <cell r="A291" t="str">
            <v>PA</v>
          </cell>
        </row>
        <row r="292">
          <cell r="A292" t="str">
            <v>PA</v>
          </cell>
        </row>
        <row r="293">
          <cell r="A293" t="str">
            <v>PA</v>
          </cell>
        </row>
        <row r="294">
          <cell r="A294" t="str">
            <v>PA</v>
          </cell>
        </row>
        <row r="295">
          <cell r="A295" t="str">
            <v>PA</v>
          </cell>
        </row>
        <row r="296">
          <cell r="A296" t="str">
            <v>PA</v>
          </cell>
        </row>
        <row r="297">
          <cell r="A297" t="str">
            <v>PE</v>
          </cell>
        </row>
        <row r="298">
          <cell r="A298" t="str">
            <v>PE</v>
          </cell>
        </row>
        <row r="299">
          <cell r="A299" t="str">
            <v>PE</v>
          </cell>
        </row>
        <row r="300">
          <cell r="A300" t="str">
            <v>PE</v>
          </cell>
        </row>
        <row r="301">
          <cell r="A301" t="str">
            <v>PE</v>
          </cell>
        </row>
        <row r="302">
          <cell r="A302" t="str">
            <v>PE</v>
          </cell>
        </row>
        <row r="303">
          <cell r="A303" t="str">
            <v>PE</v>
          </cell>
        </row>
        <row r="304">
          <cell r="A304" t="str">
            <v>PE</v>
          </cell>
        </row>
        <row r="305">
          <cell r="A305" t="str">
            <v>PE</v>
          </cell>
        </row>
        <row r="306">
          <cell r="A306" t="str">
            <v>PE</v>
          </cell>
        </row>
        <row r="307">
          <cell r="A307" t="str">
            <v>PE</v>
          </cell>
        </row>
        <row r="308">
          <cell r="A308" t="str">
            <v>PE</v>
          </cell>
        </row>
        <row r="309">
          <cell r="A309" t="str">
            <v>PE</v>
          </cell>
        </row>
        <row r="310">
          <cell r="A310" t="str">
            <v>PE</v>
          </cell>
        </row>
        <row r="311">
          <cell r="A311" t="str">
            <v>PE</v>
          </cell>
        </row>
        <row r="312">
          <cell r="A312" t="str">
            <v>PE</v>
          </cell>
        </row>
        <row r="313">
          <cell r="A313" t="str">
            <v>PE</v>
          </cell>
        </row>
        <row r="314">
          <cell r="A314" t="str">
            <v>PE</v>
          </cell>
        </row>
        <row r="315">
          <cell r="A315" t="str">
            <v>PE</v>
          </cell>
        </row>
        <row r="316">
          <cell r="A316" t="str">
            <v>PE</v>
          </cell>
        </row>
        <row r="317">
          <cell r="A317" t="str">
            <v>PE</v>
          </cell>
        </row>
        <row r="318">
          <cell r="A318" t="str">
            <v>PE</v>
          </cell>
        </row>
        <row r="319">
          <cell r="A319" t="str">
            <v>PE</v>
          </cell>
        </row>
        <row r="320">
          <cell r="A320" t="str">
            <v>PE</v>
          </cell>
        </row>
        <row r="321">
          <cell r="A321" t="str">
            <v>PE</v>
          </cell>
        </row>
        <row r="322">
          <cell r="A322" t="str">
            <v>PE</v>
          </cell>
        </row>
        <row r="323">
          <cell r="A323" t="str">
            <v>PE</v>
          </cell>
        </row>
        <row r="324">
          <cell r="A324" t="str">
            <v>PE</v>
          </cell>
        </row>
        <row r="325">
          <cell r="A325" t="str">
            <v>PE</v>
          </cell>
        </row>
        <row r="326">
          <cell r="A326" t="str">
            <v>PE</v>
          </cell>
        </row>
        <row r="327">
          <cell r="A327" t="str">
            <v>PE</v>
          </cell>
        </row>
        <row r="328">
          <cell r="A328" t="str">
            <v>PE</v>
          </cell>
        </row>
        <row r="329">
          <cell r="A329" t="str">
            <v>PE</v>
          </cell>
        </row>
        <row r="330">
          <cell r="A330" t="str">
            <v>PI</v>
          </cell>
        </row>
        <row r="331">
          <cell r="A331" t="str">
            <v>PI</v>
          </cell>
        </row>
        <row r="332">
          <cell r="A332" t="str">
            <v>PI</v>
          </cell>
        </row>
        <row r="333">
          <cell r="A333" t="str">
            <v>PI</v>
          </cell>
        </row>
        <row r="334">
          <cell r="A334" t="str">
            <v>PI</v>
          </cell>
        </row>
        <row r="335">
          <cell r="A335" t="str">
            <v>PI</v>
          </cell>
        </row>
        <row r="336">
          <cell r="A336" t="str">
            <v>PI</v>
          </cell>
        </row>
        <row r="337">
          <cell r="A337" t="str">
            <v>PI</v>
          </cell>
        </row>
        <row r="338">
          <cell r="A338" t="str">
            <v>PI</v>
          </cell>
        </row>
        <row r="339">
          <cell r="A339" t="str">
            <v>PI</v>
          </cell>
        </row>
        <row r="340">
          <cell r="A340" t="str">
            <v>PI</v>
          </cell>
        </row>
        <row r="341">
          <cell r="A341" t="str">
            <v>PI</v>
          </cell>
        </row>
        <row r="342">
          <cell r="A342" t="str">
            <v>PI</v>
          </cell>
        </row>
        <row r="343">
          <cell r="A343" t="str">
            <v>PO</v>
          </cell>
        </row>
        <row r="344">
          <cell r="A344" t="str">
            <v>PO</v>
          </cell>
        </row>
        <row r="345">
          <cell r="A345" t="str">
            <v>PO</v>
          </cell>
        </row>
        <row r="346">
          <cell r="A346" t="str">
            <v>PO</v>
          </cell>
        </row>
        <row r="347">
          <cell r="A347" t="str">
            <v>PO</v>
          </cell>
        </row>
        <row r="348">
          <cell r="A348" t="str">
            <v>PO</v>
          </cell>
        </row>
        <row r="349">
          <cell r="A349" t="str">
            <v>PO</v>
          </cell>
        </row>
        <row r="350">
          <cell r="A350" t="str">
            <v>PO</v>
          </cell>
        </row>
        <row r="351">
          <cell r="A351" t="str">
            <v>PO</v>
          </cell>
        </row>
        <row r="352">
          <cell r="A352" t="str">
            <v>PO</v>
          </cell>
        </row>
        <row r="353">
          <cell r="A353" t="str">
            <v>PO</v>
          </cell>
        </row>
        <row r="354">
          <cell r="A354" t="str">
            <v>PO</v>
          </cell>
        </row>
        <row r="355">
          <cell r="A355" t="str">
            <v>PO</v>
          </cell>
        </row>
        <row r="356">
          <cell r="A356" t="str">
            <v>PO</v>
          </cell>
        </row>
        <row r="357">
          <cell r="A357" t="str">
            <v>PO</v>
          </cell>
        </row>
        <row r="358">
          <cell r="A358" t="str">
            <v>PO</v>
          </cell>
        </row>
        <row r="359">
          <cell r="A359" t="str">
            <v>PO</v>
          </cell>
        </row>
        <row r="360">
          <cell r="A360" t="str">
            <v>PO</v>
          </cell>
        </row>
        <row r="361">
          <cell r="A361" t="str">
            <v>PO</v>
          </cell>
        </row>
        <row r="362">
          <cell r="A362" t="str">
            <v>PO</v>
          </cell>
        </row>
        <row r="363">
          <cell r="A363" t="str">
            <v>PR</v>
          </cell>
        </row>
        <row r="364">
          <cell r="A364" t="str">
            <v>PR</v>
          </cell>
        </row>
        <row r="365">
          <cell r="A365" t="str">
            <v>PR</v>
          </cell>
        </row>
        <row r="366">
          <cell r="A366" t="str">
            <v>PR</v>
          </cell>
        </row>
        <row r="367">
          <cell r="A367" t="str">
            <v>PR</v>
          </cell>
        </row>
        <row r="368">
          <cell r="A368" t="str">
            <v>PR</v>
          </cell>
        </row>
        <row r="369">
          <cell r="A369" t="str">
            <v>PR</v>
          </cell>
        </row>
        <row r="370">
          <cell r="A370" t="str">
            <v>PR</v>
          </cell>
        </row>
        <row r="371">
          <cell r="A371" t="str">
            <v>PR</v>
          </cell>
        </row>
        <row r="372">
          <cell r="A372" t="str">
            <v>PR</v>
          </cell>
        </row>
        <row r="373">
          <cell r="A373" t="str">
            <v>PR</v>
          </cell>
        </row>
        <row r="374">
          <cell r="A374" t="str">
            <v>PR</v>
          </cell>
        </row>
        <row r="375">
          <cell r="A375" t="str">
            <v>PR</v>
          </cell>
        </row>
        <row r="376">
          <cell r="A376" t="str">
            <v>PR</v>
          </cell>
        </row>
        <row r="377">
          <cell r="A377" t="str">
            <v>PR</v>
          </cell>
        </row>
        <row r="378">
          <cell r="A378" t="str">
            <v>PR</v>
          </cell>
        </row>
        <row r="379">
          <cell r="A379" t="str">
            <v>PR</v>
          </cell>
        </row>
        <row r="380">
          <cell r="A380" t="str">
            <v>PR</v>
          </cell>
        </row>
        <row r="381">
          <cell r="A381" t="str">
            <v>PR</v>
          </cell>
        </row>
        <row r="382">
          <cell r="A382" t="str">
            <v>PR</v>
          </cell>
        </row>
        <row r="383">
          <cell r="A383" t="str">
            <v>PR</v>
          </cell>
        </row>
        <row r="384">
          <cell r="A384" t="str">
            <v>PR</v>
          </cell>
        </row>
        <row r="385">
          <cell r="A385" t="str">
            <v>PR</v>
          </cell>
        </row>
        <row r="386">
          <cell r="A386" t="str">
            <v>PR</v>
          </cell>
        </row>
        <row r="387">
          <cell r="A387" t="str">
            <v>PR</v>
          </cell>
        </row>
        <row r="388">
          <cell r="A388" t="str">
            <v>PS</v>
          </cell>
        </row>
        <row r="389">
          <cell r="A389" t="str">
            <v>PS</v>
          </cell>
        </row>
        <row r="390">
          <cell r="A390" t="str">
            <v>PS</v>
          </cell>
        </row>
        <row r="391">
          <cell r="A391" t="str">
            <v>PS</v>
          </cell>
        </row>
        <row r="392">
          <cell r="A392" t="str">
            <v>PS</v>
          </cell>
        </row>
        <row r="393">
          <cell r="A393" t="str">
            <v>PS</v>
          </cell>
        </row>
        <row r="394">
          <cell r="A394" t="str">
            <v>PS</v>
          </cell>
        </row>
        <row r="395">
          <cell r="A395" t="str">
            <v>PS</v>
          </cell>
        </row>
        <row r="396">
          <cell r="A396" t="str">
            <v>PS</v>
          </cell>
        </row>
        <row r="397">
          <cell r="A397" t="str">
            <v>PS</v>
          </cell>
        </row>
        <row r="398">
          <cell r="A398" t="str">
            <v>PS</v>
          </cell>
        </row>
        <row r="399">
          <cell r="A399" t="str">
            <v>PS</v>
          </cell>
        </row>
        <row r="400">
          <cell r="A400" t="str">
            <v>PS</v>
          </cell>
        </row>
        <row r="401">
          <cell r="A401" t="str">
            <v>PS</v>
          </cell>
        </row>
        <row r="402">
          <cell r="A402" t="str">
            <v>PS</v>
          </cell>
        </row>
        <row r="403">
          <cell r="A403" t="str">
            <v>PS</v>
          </cell>
        </row>
        <row r="404">
          <cell r="A404" t="str">
            <v>PS</v>
          </cell>
        </row>
        <row r="405">
          <cell r="A405" t="str">
            <v>PS</v>
          </cell>
        </row>
        <row r="406">
          <cell r="A406" t="str">
            <v>PS</v>
          </cell>
        </row>
        <row r="407">
          <cell r="A407" t="str">
            <v>PS</v>
          </cell>
        </row>
        <row r="408">
          <cell r="A408" t="str">
            <v>PS</v>
          </cell>
        </row>
        <row r="409">
          <cell r="A409" t="str">
            <v>PS</v>
          </cell>
        </row>
        <row r="410">
          <cell r="A410" t="str">
            <v>PS</v>
          </cell>
        </row>
        <row r="411">
          <cell r="A411" t="str">
            <v>PS</v>
          </cell>
        </row>
        <row r="412">
          <cell r="A412" t="str">
            <v>PS</v>
          </cell>
        </row>
        <row r="413">
          <cell r="A413" t="str">
            <v>PS</v>
          </cell>
        </row>
        <row r="414">
          <cell r="A414" t="str">
            <v>PS</v>
          </cell>
        </row>
        <row r="415">
          <cell r="A415" t="str">
            <v>PS</v>
          </cell>
        </row>
        <row r="416">
          <cell r="A416" t="str">
            <v>PS</v>
          </cell>
        </row>
        <row r="417">
          <cell r="A417" t="str">
            <v>RE</v>
          </cell>
        </row>
        <row r="418">
          <cell r="A418" t="str">
            <v>RE</v>
          </cell>
        </row>
        <row r="419">
          <cell r="A419" t="str">
            <v>RE</v>
          </cell>
        </row>
        <row r="420">
          <cell r="A420" t="str">
            <v>RE</v>
          </cell>
        </row>
        <row r="421">
          <cell r="A421" t="str">
            <v>RE</v>
          </cell>
        </row>
        <row r="422">
          <cell r="A422" t="str">
            <v>RE</v>
          </cell>
        </row>
        <row r="423">
          <cell r="A423" t="str">
            <v>RE</v>
          </cell>
        </row>
        <row r="424">
          <cell r="A424" t="str">
            <v>RE</v>
          </cell>
        </row>
        <row r="425">
          <cell r="A425" t="str">
            <v>RE</v>
          </cell>
        </row>
        <row r="426">
          <cell r="A426" t="str">
            <v>RE</v>
          </cell>
        </row>
        <row r="427">
          <cell r="A427" t="str">
            <v>RE</v>
          </cell>
        </row>
        <row r="428">
          <cell r="A428" t="str">
            <v>RE</v>
          </cell>
        </row>
        <row r="429">
          <cell r="A429" t="str">
            <v>RE</v>
          </cell>
        </row>
        <row r="430">
          <cell r="A430" t="str">
            <v>RE</v>
          </cell>
        </row>
        <row r="431">
          <cell r="A431" t="str">
            <v>RE</v>
          </cell>
        </row>
        <row r="432">
          <cell r="A432" t="str">
            <v>RI</v>
          </cell>
        </row>
        <row r="433">
          <cell r="A433" t="str">
            <v>RI</v>
          </cell>
        </row>
        <row r="434">
          <cell r="A434" t="str">
            <v>RI</v>
          </cell>
        </row>
        <row r="435">
          <cell r="A435" t="str">
            <v>RI</v>
          </cell>
        </row>
        <row r="436">
          <cell r="A436" t="str">
            <v>RI</v>
          </cell>
        </row>
        <row r="437">
          <cell r="A437" t="str">
            <v>RI</v>
          </cell>
        </row>
        <row r="438">
          <cell r="A438" t="str">
            <v>RI</v>
          </cell>
        </row>
        <row r="439">
          <cell r="A439" t="str">
            <v>RI</v>
          </cell>
        </row>
        <row r="440">
          <cell r="A440" t="str">
            <v>RI</v>
          </cell>
        </row>
        <row r="441">
          <cell r="A441" t="str">
            <v>RI</v>
          </cell>
        </row>
        <row r="442">
          <cell r="A442" t="str">
            <v>RI</v>
          </cell>
        </row>
        <row r="443">
          <cell r="A443" t="str">
            <v>RI</v>
          </cell>
        </row>
        <row r="444">
          <cell r="A444" t="str">
            <v>RI</v>
          </cell>
        </row>
        <row r="445">
          <cell r="A445" t="str">
            <v>RI</v>
          </cell>
        </row>
        <row r="446">
          <cell r="A446" t="str">
            <v>RI</v>
          </cell>
        </row>
        <row r="447">
          <cell r="A447" t="str">
            <v>RI</v>
          </cell>
        </row>
        <row r="448">
          <cell r="A448" t="str">
            <v>RI</v>
          </cell>
        </row>
        <row r="449">
          <cell r="A449" t="str">
            <v>RI</v>
          </cell>
        </row>
        <row r="450">
          <cell r="A450" t="str">
            <v>RI</v>
          </cell>
        </row>
        <row r="451">
          <cell r="A451" t="str">
            <v>RI</v>
          </cell>
        </row>
        <row r="452">
          <cell r="A452" t="str">
            <v>RI</v>
          </cell>
        </row>
        <row r="453">
          <cell r="A453" t="str">
            <v>RI</v>
          </cell>
        </row>
        <row r="454">
          <cell r="A454" t="str">
            <v>RI</v>
          </cell>
        </row>
        <row r="455">
          <cell r="A455" t="str">
            <v>RI</v>
          </cell>
        </row>
        <row r="456">
          <cell r="A456" t="str">
            <v>RI</v>
          </cell>
        </row>
        <row r="457">
          <cell r="A457" t="str">
            <v>RI</v>
          </cell>
        </row>
        <row r="458">
          <cell r="A458" t="str">
            <v>RI</v>
          </cell>
        </row>
        <row r="459">
          <cell r="A459" t="str">
            <v>RI</v>
          </cell>
        </row>
        <row r="460">
          <cell r="A460" t="str">
            <v>RI</v>
          </cell>
        </row>
        <row r="461">
          <cell r="A461" t="str">
            <v>RI</v>
          </cell>
        </row>
        <row r="462">
          <cell r="A462" t="str">
            <v>RI</v>
          </cell>
        </row>
        <row r="463">
          <cell r="A463" t="str">
            <v>RI</v>
          </cell>
        </row>
        <row r="464">
          <cell r="A464" t="str">
            <v>RI</v>
          </cell>
        </row>
        <row r="465">
          <cell r="A465" t="str">
            <v>RI</v>
          </cell>
        </row>
        <row r="466">
          <cell r="A466" t="str">
            <v>RI</v>
          </cell>
        </row>
        <row r="467">
          <cell r="A467" t="str">
            <v>RI</v>
          </cell>
        </row>
        <row r="468">
          <cell r="A468" t="str">
            <v>RI</v>
          </cell>
        </row>
        <row r="469">
          <cell r="A469" t="str">
            <v>RI</v>
          </cell>
        </row>
        <row r="470">
          <cell r="A470" t="str">
            <v>RI</v>
          </cell>
        </row>
        <row r="471">
          <cell r="A471" t="str">
            <v>RI</v>
          </cell>
        </row>
        <row r="472">
          <cell r="A472" t="str">
            <v>RI</v>
          </cell>
        </row>
        <row r="473">
          <cell r="A473" t="str">
            <v>RI</v>
          </cell>
        </row>
        <row r="474">
          <cell r="A474" t="str">
            <v>RO</v>
          </cell>
        </row>
        <row r="475">
          <cell r="A475" t="str">
            <v>RO</v>
          </cell>
        </row>
        <row r="476">
          <cell r="A476" t="str">
            <v>RO</v>
          </cell>
        </row>
        <row r="477">
          <cell r="A477" t="str">
            <v>RO</v>
          </cell>
        </row>
        <row r="478">
          <cell r="A478" t="str">
            <v>RO</v>
          </cell>
        </row>
        <row r="479">
          <cell r="A479" t="str">
            <v>RO</v>
          </cell>
        </row>
        <row r="480">
          <cell r="A480" t="str">
            <v>RO</v>
          </cell>
        </row>
        <row r="481">
          <cell r="A481" t="str">
            <v>RO</v>
          </cell>
        </row>
        <row r="482">
          <cell r="A482" t="str">
            <v>RO</v>
          </cell>
        </row>
        <row r="483">
          <cell r="A483" t="str">
            <v>RO</v>
          </cell>
        </row>
        <row r="484">
          <cell r="A484" t="str">
            <v>RO</v>
          </cell>
        </row>
        <row r="485">
          <cell r="A485" t="str">
            <v>RO</v>
          </cell>
        </row>
        <row r="486">
          <cell r="A486" t="str">
            <v>RO</v>
          </cell>
        </row>
        <row r="487">
          <cell r="A487" t="str">
            <v>RO</v>
          </cell>
        </row>
        <row r="488">
          <cell r="A488" t="str">
            <v>RO</v>
          </cell>
        </row>
        <row r="489">
          <cell r="A489" t="str">
            <v>RO</v>
          </cell>
        </row>
        <row r="490">
          <cell r="A490" t="str">
            <v>SE</v>
          </cell>
        </row>
        <row r="491">
          <cell r="A491" t="str">
            <v>SE</v>
          </cell>
        </row>
        <row r="492">
          <cell r="A492" t="str">
            <v>SE</v>
          </cell>
        </row>
        <row r="493">
          <cell r="A493" t="str">
            <v>SE</v>
          </cell>
        </row>
        <row r="494">
          <cell r="A494" t="str">
            <v>SE</v>
          </cell>
        </row>
        <row r="495">
          <cell r="A495" t="str">
            <v>SE</v>
          </cell>
        </row>
        <row r="496">
          <cell r="A496" t="str">
            <v>SE</v>
          </cell>
        </row>
        <row r="497">
          <cell r="A497" t="str">
            <v>SE</v>
          </cell>
        </row>
        <row r="498">
          <cell r="A498" t="str">
            <v>SE</v>
          </cell>
        </row>
        <row r="499">
          <cell r="A499" t="str">
            <v>SE</v>
          </cell>
        </row>
        <row r="500">
          <cell r="A500" t="str">
            <v>SE</v>
          </cell>
        </row>
        <row r="501">
          <cell r="A501" t="str">
            <v>SE</v>
          </cell>
        </row>
        <row r="502">
          <cell r="A502" t="str">
            <v>SE</v>
          </cell>
        </row>
        <row r="503">
          <cell r="A503" t="str">
            <v>SE</v>
          </cell>
        </row>
        <row r="504">
          <cell r="A504" t="str">
            <v>SE</v>
          </cell>
        </row>
        <row r="505">
          <cell r="A505" t="str">
            <v>SO</v>
          </cell>
        </row>
        <row r="506">
          <cell r="A506" t="str">
            <v>SO</v>
          </cell>
        </row>
        <row r="507">
          <cell r="A507" t="str">
            <v>SO</v>
          </cell>
        </row>
        <row r="508">
          <cell r="A508" t="str">
            <v>SO</v>
          </cell>
        </row>
        <row r="509">
          <cell r="A509" t="str">
            <v>SO</v>
          </cell>
        </row>
        <row r="510">
          <cell r="A510" t="str">
            <v>SO</v>
          </cell>
        </row>
        <row r="511">
          <cell r="A511" t="str">
            <v>SO</v>
          </cell>
        </row>
        <row r="512">
          <cell r="A512" t="str">
            <v>SO</v>
          </cell>
        </row>
        <row r="513">
          <cell r="A513" t="str">
            <v>SO</v>
          </cell>
        </row>
        <row r="514">
          <cell r="A514" t="str">
            <v>SO</v>
          </cell>
        </row>
        <row r="515">
          <cell r="A515" t="str">
            <v>SO</v>
          </cell>
        </row>
        <row r="516">
          <cell r="A516" t="str">
            <v>SO</v>
          </cell>
        </row>
        <row r="517">
          <cell r="A517" t="str">
            <v>SO</v>
          </cell>
        </row>
        <row r="518">
          <cell r="A518" t="str">
            <v>SO</v>
          </cell>
        </row>
        <row r="519">
          <cell r="A519" t="str">
            <v>SO</v>
          </cell>
        </row>
        <row r="520">
          <cell r="A520" t="str">
            <v>SO</v>
          </cell>
        </row>
        <row r="521">
          <cell r="A521" t="str">
            <v>SO</v>
          </cell>
        </row>
        <row r="522">
          <cell r="A522" t="str">
            <v>SO</v>
          </cell>
        </row>
        <row r="523">
          <cell r="A523" t="str">
            <v>SO</v>
          </cell>
        </row>
        <row r="524">
          <cell r="A524" t="str">
            <v>SO</v>
          </cell>
        </row>
        <row r="525">
          <cell r="A525" t="str">
            <v>SR</v>
          </cell>
        </row>
        <row r="526">
          <cell r="A526" t="str">
            <v>SR</v>
          </cell>
        </row>
        <row r="527">
          <cell r="A527" t="str">
            <v>SR</v>
          </cell>
        </row>
        <row r="528">
          <cell r="A528" t="str">
            <v>SR</v>
          </cell>
        </row>
        <row r="529">
          <cell r="A529" t="str">
            <v>SR</v>
          </cell>
        </row>
        <row r="530">
          <cell r="A530" t="str">
            <v>SR</v>
          </cell>
        </row>
        <row r="531">
          <cell r="A531" t="str">
            <v>SR</v>
          </cell>
        </row>
        <row r="532">
          <cell r="A532" t="str">
            <v>SR</v>
          </cell>
        </row>
        <row r="533">
          <cell r="A533" t="str">
            <v>SR</v>
          </cell>
        </row>
        <row r="534">
          <cell r="A534" t="str">
            <v>SR</v>
          </cell>
        </row>
        <row r="535">
          <cell r="A535" t="str">
            <v>SR</v>
          </cell>
        </row>
        <row r="536">
          <cell r="A536" t="str">
            <v>SR</v>
          </cell>
        </row>
        <row r="537">
          <cell r="A537" t="str">
            <v>SR</v>
          </cell>
        </row>
        <row r="538">
          <cell r="A538" t="str">
            <v>ST</v>
          </cell>
        </row>
        <row r="539">
          <cell r="A539" t="str">
            <v>ST</v>
          </cell>
        </row>
        <row r="540">
          <cell r="A540" t="str">
            <v>ST</v>
          </cell>
        </row>
        <row r="541">
          <cell r="A541" t="str">
            <v>ST</v>
          </cell>
        </row>
        <row r="542">
          <cell r="A542" t="str">
            <v>ST</v>
          </cell>
        </row>
        <row r="543">
          <cell r="A543" t="str">
            <v>ST</v>
          </cell>
        </row>
        <row r="544">
          <cell r="A544" t="str">
            <v>ST</v>
          </cell>
        </row>
        <row r="545">
          <cell r="A545" t="str">
            <v>ST</v>
          </cell>
        </row>
        <row r="546">
          <cell r="A546" t="str">
            <v>ST</v>
          </cell>
        </row>
        <row r="547">
          <cell r="A547" t="str">
            <v>ST</v>
          </cell>
        </row>
        <row r="548">
          <cell r="A548" t="str">
            <v>ST</v>
          </cell>
        </row>
        <row r="549">
          <cell r="A549" t="str">
            <v>ST</v>
          </cell>
        </row>
        <row r="550">
          <cell r="A550" t="str">
            <v>ST</v>
          </cell>
        </row>
        <row r="551">
          <cell r="A551" t="str">
            <v>ST</v>
          </cell>
        </row>
        <row r="552">
          <cell r="A552" t="str">
            <v>ST</v>
          </cell>
        </row>
        <row r="553">
          <cell r="A553" t="str">
            <v>ST</v>
          </cell>
        </row>
        <row r="554">
          <cell r="A554" t="str">
            <v>ST</v>
          </cell>
        </row>
        <row r="555">
          <cell r="A555" t="str">
            <v>ST</v>
          </cell>
        </row>
        <row r="556">
          <cell r="A556" t="str">
            <v>ST</v>
          </cell>
        </row>
        <row r="557">
          <cell r="A557" t="str">
            <v>ST</v>
          </cell>
        </row>
        <row r="558">
          <cell r="A558" t="str">
            <v>ST</v>
          </cell>
        </row>
        <row r="559">
          <cell r="A559" t="str">
            <v>ST</v>
          </cell>
        </row>
        <row r="560">
          <cell r="A560" t="str">
            <v>ST</v>
          </cell>
        </row>
        <row r="561">
          <cell r="A561" t="str">
            <v>ST</v>
          </cell>
        </row>
        <row r="562">
          <cell r="A562" t="str">
            <v>ST</v>
          </cell>
        </row>
        <row r="563">
          <cell r="A563" t="str">
            <v>ST</v>
          </cell>
        </row>
        <row r="564">
          <cell r="A564" t="str">
            <v>SU</v>
          </cell>
        </row>
        <row r="565">
          <cell r="A565" t="str">
            <v>SU</v>
          </cell>
        </row>
        <row r="566">
          <cell r="A566" t="str">
            <v>SU</v>
          </cell>
        </row>
        <row r="567">
          <cell r="A567" t="str">
            <v>SU</v>
          </cell>
        </row>
        <row r="568">
          <cell r="A568" t="str">
            <v>SU</v>
          </cell>
        </row>
        <row r="569">
          <cell r="A569" t="str">
            <v>SU</v>
          </cell>
        </row>
        <row r="570">
          <cell r="A570" t="str">
            <v>SU</v>
          </cell>
        </row>
        <row r="571">
          <cell r="A571" t="str">
            <v>SU</v>
          </cell>
        </row>
        <row r="572">
          <cell r="A572" t="str">
            <v>SU</v>
          </cell>
        </row>
        <row r="573">
          <cell r="A573" t="str">
            <v>SU</v>
          </cell>
        </row>
        <row r="574">
          <cell r="A574" t="str">
            <v>SU</v>
          </cell>
        </row>
        <row r="575">
          <cell r="A575" t="str">
            <v>SU</v>
          </cell>
        </row>
        <row r="576">
          <cell r="A576" t="str">
            <v>SU</v>
          </cell>
        </row>
        <row r="577">
          <cell r="A577" t="str">
            <v>SU</v>
          </cell>
        </row>
        <row r="578">
          <cell r="A578" t="str">
            <v>SU</v>
          </cell>
        </row>
        <row r="579">
          <cell r="A579" t="str">
            <v>SU</v>
          </cell>
        </row>
        <row r="580">
          <cell r="A580" t="str">
            <v>SU</v>
          </cell>
        </row>
        <row r="581">
          <cell r="A581" t="str">
            <v>SU</v>
          </cell>
        </row>
        <row r="582">
          <cell r="A582" t="str">
            <v>SU</v>
          </cell>
        </row>
        <row r="583">
          <cell r="A583" t="str">
            <v>SU</v>
          </cell>
        </row>
        <row r="584">
          <cell r="A584" t="str">
            <v>SU</v>
          </cell>
        </row>
        <row r="585">
          <cell r="A585" t="str">
            <v>SW</v>
          </cell>
        </row>
        <row r="586">
          <cell r="A586" t="str">
            <v>SW</v>
          </cell>
        </row>
        <row r="587">
          <cell r="A587" t="str">
            <v>SW</v>
          </cell>
        </row>
        <row r="588">
          <cell r="A588" t="str">
            <v>SW</v>
          </cell>
        </row>
        <row r="589">
          <cell r="A589" t="str">
            <v>SW</v>
          </cell>
        </row>
        <row r="590">
          <cell r="A590" t="str">
            <v>SW</v>
          </cell>
        </row>
        <row r="591">
          <cell r="A591" t="str">
            <v>SW</v>
          </cell>
        </row>
        <row r="592">
          <cell r="A592" t="str">
            <v>SW</v>
          </cell>
        </row>
        <row r="593">
          <cell r="A593" t="str">
            <v>SW</v>
          </cell>
        </row>
        <row r="594">
          <cell r="A594" t="str">
            <v>TM</v>
          </cell>
        </row>
        <row r="595">
          <cell r="A595" t="str">
            <v>TM</v>
          </cell>
        </row>
        <row r="596">
          <cell r="A596" t="str">
            <v>TM</v>
          </cell>
        </row>
        <row r="597">
          <cell r="A597" t="str">
            <v>TM</v>
          </cell>
        </row>
        <row r="598">
          <cell r="A598" t="str">
            <v>TM</v>
          </cell>
        </row>
        <row r="599">
          <cell r="A599" t="str">
            <v>TM</v>
          </cell>
        </row>
        <row r="600">
          <cell r="A600" t="str">
            <v>TM</v>
          </cell>
        </row>
        <row r="601">
          <cell r="A601" t="str">
            <v>TM</v>
          </cell>
        </row>
        <row r="602">
          <cell r="A602" t="str">
            <v>TR</v>
          </cell>
        </row>
        <row r="603">
          <cell r="A603" t="str">
            <v>TR</v>
          </cell>
        </row>
        <row r="604">
          <cell r="A604" t="str">
            <v>TR</v>
          </cell>
        </row>
        <row r="605">
          <cell r="A605" t="str">
            <v>TR</v>
          </cell>
        </row>
        <row r="606">
          <cell r="A606" t="str">
            <v>TR</v>
          </cell>
        </row>
        <row r="607">
          <cell r="A607" t="str">
            <v>TR</v>
          </cell>
        </row>
        <row r="608">
          <cell r="A608" t="str">
            <v>TR</v>
          </cell>
        </row>
        <row r="609">
          <cell r="A609" t="str">
            <v>WE</v>
          </cell>
        </row>
        <row r="610">
          <cell r="A610" t="str">
            <v>WE</v>
          </cell>
        </row>
        <row r="611">
          <cell r="A611" t="str">
            <v>WE</v>
          </cell>
        </row>
        <row r="612">
          <cell r="A612" t="str">
            <v>WE</v>
          </cell>
        </row>
        <row r="613">
          <cell r="A613" t="str">
            <v>WI</v>
          </cell>
        </row>
        <row r="614">
          <cell r="A614" t="str">
            <v>WI</v>
          </cell>
        </row>
        <row r="615">
          <cell r="A615" t="str">
            <v>WI</v>
          </cell>
        </row>
        <row r="616">
          <cell r="A616" t="str">
            <v>WI</v>
          </cell>
        </row>
        <row r="617">
          <cell r="A617" t="str">
            <v>WI</v>
          </cell>
        </row>
        <row r="618">
          <cell r="A618" t="str">
            <v>WI</v>
          </cell>
        </row>
        <row r="619">
          <cell r="A619" t="str">
            <v>WI</v>
          </cell>
        </row>
        <row r="620">
          <cell r="A620" t="str">
            <v>WI</v>
          </cell>
        </row>
        <row r="621">
          <cell r="A621" t="str">
            <v>WI</v>
          </cell>
        </row>
        <row r="622">
          <cell r="A622" t="str">
            <v>WI</v>
          </cell>
        </row>
        <row r="623">
          <cell r="A623" t="str">
            <v>WI</v>
          </cell>
        </row>
        <row r="624">
          <cell r="A624" t="str">
            <v>WI</v>
          </cell>
        </row>
        <row r="625">
          <cell r="A625" t="str">
            <v>WI</v>
          </cell>
        </row>
        <row r="626">
          <cell r="A626" t="str">
            <v>WI</v>
          </cell>
        </row>
        <row r="627">
          <cell r="A627" t="str">
            <v>WI</v>
          </cell>
        </row>
        <row r="628">
          <cell r="A628" t="str">
            <v>WI</v>
          </cell>
        </row>
        <row r="629">
          <cell r="A629" t="str">
            <v>WI</v>
          </cell>
        </row>
        <row r="630">
          <cell r="A630" t="str">
            <v>WI</v>
          </cell>
        </row>
        <row r="631">
          <cell r="A631" t="str">
            <v>WI</v>
          </cell>
        </row>
        <row r="632">
          <cell r="A632" t="str">
            <v>WI</v>
          </cell>
        </row>
        <row r="633">
          <cell r="A633" t="str">
            <v>WI</v>
          </cell>
        </row>
        <row r="634">
          <cell r="A634" t="str">
            <v>WI</v>
          </cell>
        </row>
        <row r="635">
          <cell r="A635" t="str">
            <v>WI</v>
          </cell>
        </row>
        <row r="636">
          <cell r="A636" t="str">
            <v>WI</v>
          </cell>
        </row>
        <row r="637">
          <cell r="A637" t="str">
            <v>WI</v>
          </cell>
        </row>
        <row r="638">
          <cell r="A638" t="str">
            <v>WI</v>
          </cell>
        </row>
        <row r="639">
          <cell r="A639" t="str">
            <v>WI</v>
          </cell>
        </row>
        <row r="640">
          <cell r="A640" t="str">
            <v>WI</v>
          </cell>
        </row>
        <row r="641">
          <cell r="A641" t="str">
            <v>WI</v>
          </cell>
        </row>
        <row r="642">
          <cell r="A642" t="str">
            <v>WI</v>
          </cell>
        </row>
        <row r="643">
          <cell r="A643" t="str">
            <v>WI</v>
          </cell>
        </row>
        <row r="644">
          <cell r="A644" t="str">
            <v>WI</v>
          </cell>
        </row>
        <row r="645">
          <cell r="A645" t="str">
            <v>WI</v>
          </cell>
        </row>
        <row r="646">
          <cell r="A646" t="str">
            <v>WI</v>
          </cell>
        </row>
        <row r="647">
          <cell r="A647" t="str">
            <v>WI</v>
          </cell>
        </row>
        <row r="648">
          <cell r="A648" t="str">
            <v>WI</v>
          </cell>
        </row>
        <row r="649">
          <cell r="A649" t="str">
            <v>WI</v>
          </cell>
        </row>
        <row r="650">
          <cell r="A650" t="str">
            <v>WI</v>
          </cell>
        </row>
        <row r="651">
          <cell r="A651" t="str">
            <v>WI</v>
          </cell>
        </row>
        <row r="652">
          <cell r="A652" t="str">
            <v>WI</v>
          </cell>
        </row>
        <row r="653">
          <cell r="A653" t="str">
            <v>WI</v>
          </cell>
        </row>
        <row r="654">
          <cell r="A654" t="str">
            <v>WI</v>
          </cell>
        </row>
        <row r="655">
          <cell r="A655" t="str">
            <v>WI</v>
          </cell>
        </row>
        <row r="656">
          <cell r="A656" t="str">
            <v>WI</v>
          </cell>
        </row>
        <row r="657">
          <cell r="A657" t="str">
            <v>WI</v>
          </cell>
        </row>
        <row r="658">
          <cell r="A658" t="str">
            <v>WI</v>
          </cell>
        </row>
        <row r="659">
          <cell r="A659" t="str">
            <v>WI</v>
          </cell>
        </row>
        <row r="660">
          <cell r="A660" t="str">
            <v>WI</v>
          </cell>
        </row>
        <row r="661">
          <cell r="A661" t="str">
            <v>WI</v>
          </cell>
        </row>
        <row r="662">
          <cell r="A662" t="str">
            <v>WI</v>
          </cell>
        </row>
        <row r="663">
          <cell r="A663" t="str">
            <v>WI</v>
          </cell>
        </row>
        <row r="664">
          <cell r="A664" t="str">
            <v>WI</v>
          </cell>
        </row>
        <row r="665">
          <cell r="A665" t="str">
            <v>WI</v>
          </cell>
        </row>
        <row r="666">
          <cell r="A666" t="str">
            <v>WI</v>
          </cell>
        </row>
        <row r="667">
          <cell r="A667" t="str">
            <v>WI</v>
          </cell>
        </row>
        <row r="668">
          <cell r="A668" t="str">
            <v>WI</v>
          </cell>
        </row>
        <row r="669">
          <cell r="A669" t="str">
            <v>WI</v>
          </cell>
        </row>
        <row r="670">
          <cell r="A670" t="str">
            <v>WI</v>
          </cell>
        </row>
        <row r="671">
          <cell r="A671" t="str">
            <v>WI</v>
          </cell>
        </row>
        <row r="672">
          <cell r="A672" t="str">
            <v>WI</v>
          </cell>
        </row>
        <row r="673">
          <cell r="A673" t="str">
            <v>WI</v>
          </cell>
        </row>
        <row r="674">
          <cell r="A674" t="str">
            <v>WI</v>
          </cell>
        </row>
        <row r="675">
          <cell r="A675" t="str">
            <v>WI</v>
          </cell>
        </row>
        <row r="676">
          <cell r="A676" t="str">
            <v>WI</v>
          </cell>
        </row>
        <row r="677">
          <cell r="A677" t="str">
            <v>WI</v>
          </cell>
        </row>
        <row r="678">
          <cell r="A678" t="str">
            <v>WI</v>
          </cell>
        </row>
        <row r="679">
          <cell r="A679" t="str">
            <v>WI</v>
          </cell>
        </row>
        <row r="680">
          <cell r="A680" t="str">
            <v>WI</v>
          </cell>
        </row>
        <row r="681">
          <cell r="A681" t="str">
            <v>WI</v>
          </cell>
        </row>
        <row r="682">
          <cell r="A682" t="str">
            <v>WI</v>
          </cell>
        </row>
        <row r="683">
          <cell r="A683" t="str">
            <v>WI</v>
          </cell>
        </row>
        <row r="684">
          <cell r="A684" t="str">
            <v>WI</v>
          </cell>
        </row>
        <row r="685">
          <cell r="A685" t="str">
            <v>WI</v>
          </cell>
        </row>
        <row r="686">
          <cell r="A686" t="str">
            <v>WI</v>
          </cell>
        </row>
        <row r="687">
          <cell r="A687" t="str">
            <v>WI</v>
          </cell>
        </row>
        <row r="688">
          <cell r="A688" t="str">
            <v>WI</v>
          </cell>
        </row>
        <row r="689">
          <cell r="A689" t="str">
            <v>WI</v>
          </cell>
        </row>
        <row r="690">
          <cell r="A690" t="str">
            <v>WI</v>
          </cell>
        </row>
        <row r="691">
          <cell r="A691" t="str">
            <v>WI</v>
          </cell>
        </row>
        <row r="692">
          <cell r="A692" t="str">
            <v>XW</v>
          </cell>
        </row>
        <row r="693">
          <cell r="A693" t="str">
            <v>XW</v>
          </cell>
        </row>
        <row r="694">
          <cell r="A694" t="str">
            <v>FR</v>
          </cell>
        </row>
        <row r="695">
          <cell r="A695" t="str">
            <v>WI</v>
          </cell>
        </row>
        <row r="696">
          <cell r="A696" t="str">
            <v>PS</v>
          </cell>
        </row>
      </sheetData>
      <sheetData sheetId="2"/>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NTROL"/>
      <sheetName val="115A 2nd Semester"/>
      <sheetName val="DATA"/>
      <sheetName val="FB115A_Feb"/>
    </sheetNames>
    <sheetDataSet>
      <sheetData sheetId="0" refreshError="1"/>
      <sheetData sheetId="1" refreshError="1"/>
      <sheetData sheetId="2">
        <row r="1">
          <cell r="B1">
            <v>1</v>
          </cell>
          <cell r="D1" t="str">
            <v>Press arrow for your School Division Name -&gt;</v>
          </cell>
        </row>
        <row r="2">
          <cell r="D2" t="str">
            <v>BEAUTIFUL PLAINS</v>
          </cell>
        </row>
        <row r="3">
          <cell r="D3" t="str">
            <v>BORDER LAND</v>
          </cell>
        </row>
        <row r="4">
          <cell r="D4" t="str">
            <v>BRANDON</v>
          </cell>
        </row>
        <row r="5">
          <cell r="D5" t="str">
            <v>EVERGREEN</v>
          </cell>
        </row>
        <row r="6">
          <cell r="D6" t="str">
            <v>FLIN FLON</v>
          </cell>
        </row>
        <row r="7">
          <cell r="D7" t="str">
            <v>FORT LA BOSSE</v>
          </cell>
        </row>
        <row r="8">
          <cell r="D8" t="str">
            <v>FRONTIER</v>
          </cell>
        </row>
        <row r="9">
          <cell r="D9" t="str">
            <v>GARDEN VALLEY</v>
          </cell>
        </row>
        <row r="10">
          <cell r="D10" t="str">
            <v>HANOVER</v>
          </cell>
        </row>
        <row r="11">
          <cell r="D11" t="str">
            <v>INTERLAKE</v>
          </cell>
        </row>
        <row r="12">
          <cell r="D12" t="str">
            <v>KELSEY</v>
          </cell>
        </row>
        <row r="13">
          <cell r="D13" t="str">
            <v>LAKESHORE</v>
          </cell>
        </row>
        <row r="14">
          <cell r="D14" t="str">
            <v>LORD SELKIRK</v>
          </cell>
        </row>
        <row r="15">
          <cell r="D15" t="str">
            <v>LOUIS RIEL</v>
          </cell>
        </row>
        <row r="16">
          <cell r="D16" t="str">
            <v>MOUNTAIN VIEW</v>
          </cell>
        </row>
        <row r="17">
          <cell r="D17" t="str">
            <v>MYSTERY LAKE</v>
          </cell>
        </row>
        <row r="18">
          <cell r="D18" t="str">
            <v>PARK WEST</v>
          </cell>
        </row>
        <row r="19">
          <cell r="D19" t="str">
            <v>PEMBINA TRAILS</v>
          </cell>
        </row>
        <row r="20">
          <cell r="D20" t="str">
            <v>PINE CREEK</v>
          </cell>
        </row>
        <row r="21">
          <cell r="D21" t="str">
            <v>PINE FALLS</v>
          </cell>
        </row>
        <row r="22">
          <cell r="D22" t="str">
            <v>PORTAGE LA PRAIRIE</v>
          </cell>
        </row>
        <row r="23">
          <cell r="D23" t="str">
            <v>PRAIRIE ROSE</v>
          </cell>
        </row>
        <row r="24">
          <cell r="D24" t="str">
            <v>PRAIRIE SPIRIT</v>
          </cell>
        </row>
        <row r="25">
          <cell r="D25" t="str">
            <v>RED RIVER VALLEY</v>
          </cell>
        </row>
        <row r="26">
          <cell r="D26" t="str">
            <v>RIVER EAST TRANSCONA</v>
          </cell>
        </row>
        <row r="27">
          <cell r="D27" t="str">
            <v>ROLLING RIVER</v>
          </cell>
        </row>
        <row r="28">
          <cell r="D28" t="str">
            <v>SEINE RIVER</v>
          </cell>
        </row>
        <row r="29">
          <cell r="D29" t="str">
            <v>SEVEN OAKS</v>
          </cell>
        </row>
        <row r="30">
          <cell r="D30" t="str">
            <v>SOUTHWEST HORIZON</v>
          </cell>
        </row>
        <row r="31">
          <cell r="D31" t="str">
            <v>ST. JAMES-ASSINIBOIA</v>
          </cell>
        </row>
        <row r="32">
          <cell r="D32" t="str">
            <v>SUNRISE</v>
          </cell>
        </row>
        <row r="33">
          <cell r="D33" t="str">
            <v>SWAN VALLEY</v>
          </cell>
        </row>
        <row r="34">
          <cell r="D34" t="str">
            <v>TURTLE MOUNTAIN</v>
          </cell>
        </row>
        <row r="35">
          <cell r="D35" t="str">
            <v>TURTLE RIVER</v>
          </cell>
        </row>
        <row r="36">
          <cell r="D36" t="str">
            <v>WESTERN</v>
          </cell>
        </row>
        <row r="37">
          <cell r="D37" t="str">
            <v>WHITESHELL</v>
          </cell>
        </row>
        <row r="38">
          <cell r="D38" t="str">
            <v>WINNIPEG</v>
          </cell>
        </row>
        <row r="39">
          <cell r="D39" t="str">
            <v>WINNIPEG TECHNICAL COLLEGE</v>
          </cell>
        </row>
      </sheetData>
      <sheetData sheetId="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ADME"/>
      <sheetName val="- 3 -"/>
      <sheetName val="- 4 -"/>
      <sheetName val="- 6 -"/>
      <sheetName val="- 7 -"/>
      <sheetName val="- 8 -"/>
      <sheetName val="- 9 -"/>
      <sheetName val="- 10 -"/>
      <sheetName val="- 12 -"/>
      <sheetName val="- 13 -"/>
      <sheetName val="- 15 -"/>
      <sheetName val="- 16 -"/>
      <sheetName val="- 17 -"/>
      <sheetName val="- 18 -"/>
      <sheetName val="- 19 -"/>
      <sheetName val="- 20 -"/>
      <sheetName val="- 21 -"/>
      <sheetName val="- 22 -"/>
      <sheetName val="- 23 -"/>
      <sheetName val="- 24 -"/>
      <sheetName val="- 25 -"/>
      <sheetName val="- 26 -"/>
      <sheetName val="- 27 -"/>
      <sheetName val="- 28 -"/>
      <sheetName val="- 29 -"/>
      <sheetName val="- 30 -"/>
      <sheetName val="- 31 -"/>
      <sheetName val="- 32 -"/>
      <sheetName val="- 33 -"/>
      <sheetName val="- 34 -"/>
      <sheetName val="- 35 -"/>
      <sheetName val="- 36 -"/>
      <sheetName val="- 37 -"/>
      <sheetName val="- 38 -"/>
      <sheetName val="- 39 -"/>
      <sheetName val="- 41 -"/>
      <sheetName val="- 42 -"/>
      <sheetName val="- 43 -"/>
      <sheetName val="- 44 -"/>
      <sheetName val="- 45 -"/>
      <sheetName val="- 46 -"/>
      <sheetName val="- 48 -"/>
      <sheetName val="- 50 - "/>
      <sheetName val="- 51 -"/>
      <sheetName val="- 52 -"/>
      <sheetName val="- 53 -"/>
      <sheetName val="- 54 -"/>
      <sheetName val="- 55 -"/>
      <sheetName val="- 56 -"/>
      <sheetName val="- 57 -"/>
      <sheetName val="- 58 -"/>
      <sheetName val="- 59 -"/>
      <sheetName val="i"/>
      <sheetName val="- 1 -"/>
      <sheetName val="- 2 -"/>
      <sheetName val="- 5 -"/>
      <sheetName val="- 11 -"/>
      <sheetName val="- 14 -"/>
      <sheetName val="- 40 -"/>
      <sheetName val="- 47 -"/>
      <sheetName val="- 49 -"/>
      <sheetName val="Data"/>
    </sheetNames>
    <sheetDataSet>
      <sheetData sheetId="0"/>
      <sheetData sheetId="1">
        <row r="3">
          <cell r="A3" t="str">
            <v>OPERATING FUND 2008/2009 BUDGET</v>
          </cell>
        </row>
      </sheetData>
      <sheetData sheetId="2"/>
      <sheetData sheetId="3">
        <row r="3">
          <cell r="B3" t="str">
            <v>ESTIMATE SEPTEMBER 30,2008</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
          <cell r="B1" t="str">
            <v xml:space="preserve"> ANALYSIS OF OPERATING FUND REVENUE: 2008/2009 BUDGET</v>
          </cell>
        </row>
      </sheetData>
      <sheetData sheetId="37"/>
      <sheetData sheetId="38"/>
      <sheetData sheetId="39"/>
      <sheetData sheetId="40">
        <row r="3">
          <cell r="B3" t="str">
            <v>FOR THE 2008 TAXATION YEAR</v>
          </cell>
        </row>
      </sheetData>
      <sheetData sheetId="41"/>
      <sheetData sheetId="42"/>
      <sheetData sheetId="43"/>
      <sheetData sheetId="44"/>
      <sheetData sheetId="45"/>
      <sheetData sheetId="46">
        <row r="3">
          <cell r="B3" t="str">
            <v>FOR THE 2008 TAXATION YEAR</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i"/>
      <sheetName val="- 1 -"/>
      <sheetName val="- 2 -"/>
      <sheetName val="- 3 -"/>
      <sheetName val="- 4 -"/>
      <sheetName val="- 5 -"/>
      <sheetName val="- 6 -"/>
      <sheetName val="- 7 -"/>
      <sheetName val="- 8 -"/>
      <sheetName val="- 9 -"/>
      <sheetName val="- 10 -"/>
      <sheetName val="- 11 -"/>
      <sheetName val="- 12 -"/>
      <sheetName val="- 13 -"/>
      <sheetName val="- 14 -"/>
      <sheetName val="- 15 -"/>
      <sheetName val="- 16 -"/>
      <sheetName val="- 17 -"/>
      <sheetName val="- 18 -"/>
      <sheetName val="- 19 -"/>
      <sheetName val="- 20 -"/>
      <sheetName val="- 21 -"/>
      <sheetName val="- 22 -"/>
      <sheetName val="- 23 -"/>
      <sheetName val="- 24 -"/>
      <sheetName val="- 25 -"/>
      <sheetName val="- 26 -"/>
      <sheetName val="- 27 -"/>
      <sheetName val="- 28 -"/>
      <sheetName val="- 29 -"/>
      <sheetName val="- 30 -"/>
      <sheetName val="- 31 -"/>
      <sheetName val="- 32 -"/>
      <sheetName val="- 33 -"/>
      <sheetName val="- 34 -"/>
      <sheetName val="- 35 -"/>
      <sheetName val="- 36 -"/>
      <sheetName val="- 37 -"/>
      <sheetName val="- 38 -"/>
      <sheetName val="- 39 -"/>
      <sheetName val="- 40 -"/>
      <sheetName val="- 41 -"/>
      <sheetName val="- 42 -"/>
      <sheetName val="- 43 -"/>
      <sheetName val="- 44 -"/>
      <sheetName val="- 45 -"/>
      <sheetName val="- 46 -"/>
      <sheetName val="- 47 -"/>
      <sheetName val="- 48 -"/>
      <sheetName val="- 49 - "/>
      <sheetName val="- 50 -"/>
      <sheetName val="- 51 -"/>
      <sheetName val="- 52 -"/>
      <sheetName val="- 53 -"/>
      <sheetName val="- 54 -"/>
      <sheetName val="- 55 -"/>
      <sheetName val="- 56 -"/>
      <sheetName val="- 57 -"/>
      <sheetName val="- 58 -"/>
      <sheetName val="- 59 -"/>
      <sheetName val="- 60 -"/>
      <sheetName val="- 61 -"/>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1">
          <cell r="B1" t="str">
            <v>ANALYSE DES RECETTES DU FONDS DE FONCTIONNEMENT : BUDGET 2013 - 2014</v>
          </cell>
        </row>
      </sheetData>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edu.gov.mb.ca/k12/finance/frame_report/index.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autoPageBreaks="0"/>
  </sheetPr>
  <dimension ref="A1:C25"/>
  <sheetViews>
    <sheetView showGridLines="0" showRowColHeaders="0" tabSelected="1" workbookViewId="0"/>
  </sheetViews>
  <sheetFormatPr defaultColWidth="0" defaultRowHeight="14.25" customHeight="1" zeroHeight="1"/>
  <cols>
    <col min="1" max="1" width="15.83203125" style="527" customWidth="1"/>
    <col min="2" max="2" width="120.83203125" style="527" customWidth="1"/>
    <col min="3" max="3" width="80.83203125" style="527" customWidth="1"/>
    <col min="4" max="16384" width="9.33203125" style="527" hidden="1"/>
  </cols>
  <sheetData>
    <row r="1" spans="1:3" ht="0.95" customHeight="1">
      <c r="A1" s="526"/>
      <c r="B1" s="526"/>
      <c r="C1" s="526"/>
    </row>
    <row r="2" spans="1:3" ht="24.95" customHeight="1" thickBot="1">
      <c r="A2" s="526"/>
      <c r="B2" s="526"/>
      <c r="C2" s="526"/>
    </row>
    <row r="3" spans="1:3" ht="17.25" thickTop="1" thickBot="1">
      <c r="A3" s="526"/>
      <c r="B3" s="528" t="s">
        <v>611</v>
      </c>
      <c r="C3" s="526"/>
    </row>
    <row r="4" spans="1:3" ht="15.75" thickTop="1">
      <c r="A4" s="526"/>
      <c r="B4" s="529"/>
      <c r="C4" s="526"/>
    </row>
    <row r="5" spans="1:3" ht="15">
      <c r="A5" s="526"/>
      <c r="B5" s="530" t="s">
        <v>605</v>
      </c>
      <c r="C5" s="531"/>
    </row>
    <row r="6" spans="1:3" ht="15">
      <c r="A6" s="526"/>
      <c r="B6" s="529"/>
      <c r="C6" s="526"/>
    </row>
    <row r="7" spans="1:3">
      <c r="A7" s="526"/>
      <c r="B7" s="534" t="s">
        <v>606</v>
      </c>
      <c r="C7" s="526"/>
    </row>
    <row r="8" spans="1:3">
      <c r="A8" s="526"/>
      <c r="B8" s="534"/>
      <c r="C8" s="526"/>
    </row>
    <row r="9" spans="1:3" ht="15">
      <c r="A9" s="526"/>
      <c r="B9" s="529"/>
      <c r="C9" s="526"/>
    </row>
    <row r="10" spans="1:3">
      <c r="A10" s="526"/>
      <c r="B10" s="534" t="s">
        <v>607</v>
      </c>
      <c r="C10" s="526"/>
    </row>
    <row r="11" spans="1:3">
      <c r="A11" s="526"/>
      <c r="B11" s="534"/>
      <c r="C11" s="526"/>
    </row>
    <row r="12" spans="1:3" ht="15">
      <c r="A12" s="526"/>
      <c r="B12" s="529"/>
      <c r="C12" s="526"/>
    </row>
    <row r="13" spans="1:3" ht="14.25" customHeight="1">
      <c r="A13" s="526"/>
      <c r="B13" s="535" t="s">
        <v>608</v>
      </c>
      <c r="C13" s="526"/>
    </row>
    <row r="14" spans="1:3">
      <c r="A14" s="526"/>
      <c r="B14" s="534"/>
      <c r="C14" s="526"/>
    </row>
    <row r="15" spans="1:3">
      <c r="A15" s="526"/>
      <c r="B15" s="534"/>
      <c r="C15" s="526"/>
    </row>
    <row r="16" spans="1:3" ht="15">
      <c r="A16" s="526"/>
      <c r="B16" s="532"/>
      <c r="C16" s="526"/>
    </row>
    <row r="17" spans="1:3">
      <c r="A17" s="526"/>
      <c r="B17" s="534" t="s">
        <v>609</v>
      </c>
      <c r="C17" s="526"/>
    </row>
    <row r="18" spans="1:3">
      <c r="A18" s="526"/>
      <c r="B18" s="534"/>
      <c r="C18" s="526"/>
    </row>
    <row r="19" spans="1:3" ht="15">
      <c r="A19" s="526"/>
      <c r="B19" s="532"/>
      <c r="C19" s="526"/>
    </row>
    <row r="20" spans="1:3" ht="15">
      <c r="A20" s="526"/>
      <c r="B20" s="533" t="s">
        <v>610</v>
      </c>
      <c r="C20" s="526"/>
    </row>
    <row r="21" spans="1:3" ht="15">
      <c r="A21" s="526"/>
      <c r="B21" s="532"/>
      <c r="C21" s="526"/>
    </row>
    <row r="22" spans="1:3" ht="15">
      <c r="A22" s="526"/>
      <c r="B22" s="532"/>
      <c r="C22" s="526"/>
    </row>
    <row r="23" spans="1:3" ht="15">
      <c r="A23" s="526"/>
      <c r="B23" s="532"/>
      <c r="C23" s="526"/>
    </row>
    <row r="24" spans="1:3">
      <c r="A24" s="526"/>
      <c r="B24" s="531"/>
      <c r="C24" s="526"/>
    </row>
    <row r="25" spans="1:3" ht="200.1" customHeight="1">
      <c r="A25" s="526"/>
      <c r="B25" s="531"/>
      <c r="C25" s="526"/>
    </row>
  </sheetData>
  <mergeCells count="4">
    <mergeCell ref="B7:B8"/>
    <mergeCell ref="B10:B11"/>
    <mergeCell ref="B13:B15"/>
    <mergeCell ref="B17:B18"/>
  </mergeCells>
  <hyperlinks>
    <hyperlink ref="B20" r:id="rId1"/>
  </hyperlinks>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sheetPr codeName="Sheet9">
    <pageSetUpPr fitToPage="1"/>
  </sheetPr>
  <dimension ref="A2:N55"/>
  <sheetViews>
    <sheetView showGridLines="0" showZeros="0" workbookViewId="0">
      <selection activeCell="S19" sqref="S19"/>
    </sheetView>
  </sheetViews>
  <sheetFormatPr defaultColWidth="14.83203125" defaultRowHeight="12"/>
  <cols>
    <col min="1" max="1" width="46.1640625" style="1" customWidth="1"/>
    <col min="2" max="2" width="21.83203125" style="1" customWidth="1"/>
    <col min="3" max="3" width="7.83203125" style="1" customWidth="1"/>
    <col min="4" max="4" width="16.83203125" style="1" customWidth="1"/>
    <col min="5" max="5" width="7.83203125" style="1" customWidth="1"/>
    <col min="6" max="6" width="16.83203125" style="1" customWidth="1"/>
    <col min="7" max="7" width="7.83203125" style="1" customWidth="1"/>
    <col min="8" max="8" width="12.83203125" style="1" customWidth="1"/>
    <col min="9" max="9" width="7.83203125" style="1" customWidth="1"/>
    <col min="10" max="10" width="16.83203125" style="1" customWidth="1"/>
    <col min="11" max="11" width="8.83203125" style="1" customWidth="1"/>
    <col min="12" max="12" width="5.83203125" style="1" customWidth="1"/>
    <col min="13" max="13" width="45.6640625" style="1" hidden="1" customWidth="1"/>
    <col min="14" max="14" width="0" style="1" hidden="1" customWidth="1"/>
    <col min="15" max="16384" width="14.83203125" style="1"/>
  </cols>
  <sheetData>
    <row r="2" spans="1:14">
      <c r="A2" s="52"/>
      <c r="B2" s="52"/>
      <c r="C2" s="100" t="str">
        <f>OPYEAR</f>
        <v>OPERATING FUND 2016/2017 BUDGET</v>
      </c>
      <c r="D2" s="100"/>
      <c r="E2" s="100"/>
      <c r="F2" s="101"/>
      <c r="G2" s="101"/>
      <c r="H2" s="101"/>
      <c r="I2" s="101"/>
      <c r="J2" s="102"/>
      <c r="K2" s="103" t="s">
        <v>69</v>
      </c>
    </row>
    <row r="3" spans="1:14" ht="9.9499999999999993" customHeight="1">
      <c r="J3" s="90"/>
      <c r="K3" s="90"/>
    </row>
    <row r="4" spans="1:14" ht="15.75">
      <c r="B4" s="257" t="str">
        <f>+'- 12 -'!B4</f>
        <v>EXPENSE BY 2ND LEVEL OBJECT</v>
      </c>
      <c r="C4" s="90"/>
      <c r="D4" s="90"/>
      <c r="E4" s="90"/>
      <c r="F4" s="90"/>
      <c r="G4" s="90"/>
      <c r="H4" s="90"/>
      <c r="I4" s="90"/>
      <c r="J4" s="90"/>
      <c r="K4" s="90"/>
    </row>
    <row r="5" spans="1:14" ht="15.75">
      <c r="B5" s="257" t="str">
        <f>+'- 12 -'!B5</f>
        <v>AS A PERCENTAGE OF TOTAL OPERATING FUND EXPENSES</v>
      </c>
      <c r="C5" s="90"/>
      <c r="D5" s="90"/>
      <c r="E5" s="90"/>
      <c r="F5" s="90"/>
      <c r="G5" s="90"/>
      <c r="H5" s="90"/>
      <c r="I5" s="90"/>
      <c r="J5" s="90"/>
      <c r="K5" s="90"/>
    </row>
    <row r="6" spans="1:14" ht="9.9499999999999993" customHeight="1"/>
    <row r="7" spans="1:14">
      <c r="B7" s="105" t="s">
        <v>70</v>
      </c>
      <c r="C7" s="101"/>
      <c r="D7" s="101"/>
      <c r="E7" s="101"/>
      <c r="F7" s="101"/>
      <c r="G7" s="101"/>
      <c r="H7" s="101"/>
      <c r="I7" s="106"/>
    </row>
    <row r="8" spans="1:14" ht="6" customHeight="1">
      <c r="B8" s="104"/>
    </row>
    <row r="9" spans="1:14">
      <c r="A9" s="4"/>
      <c r="B9" s="622" t="s">
        <v>400</v>
      </c>
      <c r="C9" s="619"/>
      <c r="D9" s="622" t="s">
        <v>67</v>
      </c>
      <c r="E9" s="619"/>
      <c r="F9" s="622" t="s">
        <v>68</v>
      </c>
      <c r="G9" s="619"/>
      <c r="H9" s="624" t="s">
        <v>24</v>
      </c>
      <c r="I9" s="611"/>
      <c r="J9" s="624" t="s">
        <v>25</v>
      </c>
      <c r="K9" s="611"/>
    </row>
    <row r="10" spans="1:14">
      <c r="A10" s="4"/>
      <c r="B10" s="620"/>
      <c r="C10" s="621"/>
      <c r="D10" s="620"/>
      <c r="E10" s="621"/>
      <c r="F10" s="620"/>
      <c r="G10" s="621"/>
      <c r="H10" s="625"/>
      <c r="I10" s="613"/>
      <c r="J10" s="625"/>
      <c r="K10" s="613"/>
    </row>
    <row r="11" spans="1:14">
      <c r="A11" s="107" t="s">
        <v>63</v>
      </c>
      <c r="B11" s="108" t="s">
        <v>38</v>
      </c>
      <c r="C11" s="108" t="s">
        <v>39</v>
      </c>
      <c r="D11" s="108" t="s">
        <v>38</v>
      </c>
      <c r="E11" s="108" t="s">
        <v>39</v>
      </c>
      <c r="F11" s="108" t="s">
        <v>38</v>
      </c>
      <c r="G11" s="108" t="s">
        <v>39</v>
      </c>
      <c r="H11" s="108" t="s">
        <v>38</v>
      </c>
      <c r="I11" s="109" t="s">
        <v>39</v>
      </c>
      <c r="J11" s="108" t="s">
        <v>38</v>
      </c>
      <c r="K11" s="109" t="s">
        <v>39</v>
      </c>
    </row>
    <row r="12" spans="1:14" ht="5.0999999999999996" customHeight="1"/>
    <row r="13" spans="1:14">
      <c r="A13" s="281" t="s">
        <v>64</v>
      </c>
      <c r="B13" s="111"/>
      <c r="C13" s="262"/>
      <c r="D13" s="111"/>
      <c r="E13" s="262"/>
      <c r="F13" s="111"/>
      <c r="G13" s="262"/>
      <c r="H13" s="111"/>
      <c r="I13" s="262"/>
      <c r="J13" s="111"/>
      <c r="K13" s="262"/>
      <c r="M13" s="1" t="s">
        <v>64</v>
      </c>
      <c r="N13" s="450">
        <f>K22</f>
        <v>76.316392183134411</v>
      </c>
    </row>
    <row r="14" spans="1:14">
      <c r="A14" s="112" t="s">
        <v>192</v>
      </c>
      <c r="B14" s="113"/>
      <c r="C14" s="259"/>
      <c r="D14" s="113"/>
      <c r="E14" s="259"/>
      <c r="F14" s="113"/>
      <c r="G14" s="259"/>
      <c r="H14" s="113"/>
      <c r="I14" s="259"/>
      <c r="J14" s="113">
        <f>SUM(F14,D14,B14,'- 12 -'!J14,'- 12 -'!H14,'- 12 -'!F14,'- 12 -'!D14,'- 12 -'!B14)</f>
        <v>4236250</v>
      </c>
      <c r="K14" s="259">
        <f t="shared" ref="K14:K23" si="0">J14/$J$54*100</f>
        <v>0.18328606259045477</v>
      </c>
      <c r="M14" s="1" t="s">
        <v>82</v>
      </c>
      <c r="N14" s="450">
        <f>K23</f>
        <v>6.4714334059405454</v>
      </c>
    </row>
    <row r="15" spans="1:14">
      <c r="A15" s="112" t="s">
        <v>193</v>
      </c>
      <c r="B15" s="113">
        <v>3664696</v>
      </c>
      <c r="C15" s="259">
        <f>B15/$J$54*100</f>
        <v>0.15855714380194494</v>
      </c>
      <c r="D15" s="113">
        <v>2909255</v>
      </c>
      <c r="E15" s="259">
        <f>D15/$J$54*100</f>
        <v>0.12587214966576415</v>
      </c>
      <c r="F15" s="113">
        <v>5037521</v>
      </c>
      <c r="G15" s="259">
        <f>F15/$J$54*100</f>
        <v>0.21795394259232345</v>
      </c>
      <c r="H15" s="113"/>
      <c r="I15" s="259"/>
      <c r="J15" s="113">
        <f>SUM(F15,D15,B15,'- 12 -'!J15,'- 12 -'!H15,'- 12 -'!F15,'- 12 -'!D15,'- 12 -'!B15)</f>
        <v>134391400</v>
      </c>
      <c r="K15" s="259">
        <f t="shared" si="0"/>
        <v>5.8145932256167221</v>
      </c>
      <c r="M15" s="1" t="s">
        <v>58</v>
      </c>
      <c r="N15" s="450">
        <f>K40</f>
        <v>9.1313258295408541</v>
      </c>
    </row>
    <row r="16" spans="1:14">
      <c r="A16" s="112" t="s">
        <v>194</v>
      </c>
      <c r="B16" s="113">
        <v>26530148</v>
      </c>
      <c r="C16" s="259">
        <f>B16/$J$54*100</f>
        <v>1.1478563273796467</v>
      </c>
      <c r="D16" s="113"/>
      <c r="E16" s="259">
        <f>D16/$J$54*100</f>
        <v>0</v>
      </c>
      <c r="F16" s="113"/>
      <c r="G16" s="259">
        <f>F16/$J$54*100</f>
        <v>0</v>
      </c>
      <c r="H16" s="113"/>
      <c r="I16" s="259"/>
      <c r="J16" s="113">
        <f>SUM(F16,D16,B16,'- 12 -'!J16,'- 12 -'!H16,'- 12 -'!F16,'- 12 -'!D16,'- 12 -'!B16)</f>
        <v>1129634807</v>
      </c>
      <c r="K16" s="259">
        <f t="shared" si="0"/>
        <v>48.874904913581183</v>
      </c>
      <c r="M16" s="1" t="s">
        <v>83</v>
      </c>
      <c r="N16" s="450">
        <f>K46</f>
        <v>6.3445002414354992</v>
      </c>
    </row>
    <row r="17" spans="1:14">
      <c r="A17" s="112" t="s">
        <v>195</v>
      </c>
      <c r="B17" s="113">
        <v>14772814</v>
      </c>
      <c r="C17" s="259">
        <f>B17/$J$54*100</f>
        <v>0.63916220984152161</v>
      </c>
      <c r="D17" s="113">
        <v>344737</v>
      </c>
      <c r="E17" s="259">
        <f>D17/$J$54*100</f>
        <v>1.4915429296959718E-2</v>
      </c>
      <c r="F17" s="113"/>
      <c r="G17" s="259">
        <f>F17/$J$54*100</f>
        <v>0</v>
      </c>
      <c r="H17" s="113"/>
      <c r="I17" s="259"/>
      <c r="J17" s="113">
        <f>SUM(F17,D17,B17,'- 12 -'!J17,'- 12 -'!H17,'- 12 -'!F17,'- 12 -'!D17,'- 12 -'!B17)</f>
        <v>204760089</v>
      </c>
      <c r="K17" s="259">
        <f t="shared" si="0"/>
        <v>8.8591727326010243</v>
      </c>
      <c r="M17" s="1" t="s">
        <v>32</v>
      </c>
      <c r="N17" s="450">
        <f>K49</f>
        <v>0.11154609133241782</v>
      </c>
    </row>
    <row r="18" spans="1:14">
      <c r="A18" s="112" t="s">
        <v>196</v>
      </c>
      <c r="B18" s="113">
        <v>3963804</v>
      </c>
      <c r="C18" s="259">
        <f>B18/$J$54*100</f>
        <v>0.17149838372152137</v>
      </c>
      <c r="D18" s="113">
        <v>42570786</v>
      </c>
      <c r="E18" s="259">
        <f>D18/$J$54*100</f>
        <v>1.8418723510937398</v>
      </c>
      <c r="F18" s="113">
        <v>109555624</v>
      </c>
      <c r="G18" s="259">
        <f>F18/$J$54*100</f>
        <v>4.7400457852110538</v>
      </c>
      <c r="H18" s="113"/>
      <c r="I18" s="259"/>
      <c r="J18" s="113">
        <f>SUM(F18,D18,B18,'- 12 -'!J18,'- 12 -'!H18,'- 12 -'!F18,'- 12 -'!D18,'- 12 -'!B18)</f>
        <v>172307538</v>
      </c>
      <c r="K18" s="259">
        <f t="shared" si="0"/>
        <v>7.4550770598229938</v>
      </c>
      <c r="M18" s="1" t="s">
        <v>42</v>
      </c>
      <c r="N18" s="450">
        <f>K52-N17</f>
        <v>1.6248022486162816</v>
      </c>
    </row>
    <row r="19" spans="1:14">
      <c r="A19" s="114" t="s">
        <v>197</v>
      </c>
      <c r="B19" s="115">
        <v>2195204</v>
      </c>
      <c r="C19" s="260">
        <f>B19/$J$54*100</f>
        <v>9.4977939862571054E-2</v>
      </c>
      <c r="D19" s="115">
        <v>1717671</v>
      </c>
      <c r="E19" s="260">
        <f>D19/$J$54*100</f>
        <v>7.4316944093433826E-2</v>
      </c>
      <c r="F19" s="115">
        <v>1792514</v>
      </c>
      <c r="G19" s="260">
        <f>F19/$J$54*100</f>
        <v>7.7555109636651853E-2</v>
      </c>
      <c r="H19" s="115"/>
      <c r="I19" s="260"/>
      <c r="J19" s="115">
        <f>SUM(F19,D19,B19,'- 12 -'!J19,'- 12 -'!H19,'- 12 -'!F19,'- 12 -'!D19,'- 12 -'!B19)</f>
        <v>65822381</v>
      </c>
      <c r="K19" s="260">
        <f t="shared" si="0"/>
        <v>2.8478784405591644</v>
      </c>
      <c r="N19" s="450"/>
    </row>
    <row r="20" spans="1:14">
      <c r="A20" s="114" t="s">
        <v>198</v>
      </c>
      <c r="B20" s="116"/>
      <c r="C20" s="260"/>
      <c r="D20" s="116"/>
      <c r="E20" s="260"/>
      <c r="F20" s="116"/>
      <c r="G20" s="260"/>
      <c r="H20" s="116"/>
      <c r="I20" s="260"/>
      <c r="J20" s="116">
        <f>SUM(F20,D20,B20,'- 12 -'!J20,'- 12 -'!H20,'- 12 -'!F20,'- 12 -'!D20,'- 12 -'!B20)</f>
        <v>36830877</v>
      </c>
      <c r="K20" s="260">
        <f t="shared" si="0"/>
        <v>1.5935288113504493</v>
      </c>
      <c r="N20" s="450">
        <f>SUM(N13:N18)</f>
        <v>100</v>
      </c>
    </row>
    <row r="21" spans="1:14">
      <c r="A21" s="117" t="s">
        <v>199</v>
      </c>
      <c r="B21" s="118">
        <v>397122</v>
      </c>
      <c r="C21" s="261">
        <f>B21/'- 13 -'!$J$54*100</f>
        <v>1.7181924520046403E-2</v>
      </c>
      <c r="D21" s="118">
        <v>0</v>
      </c>
      <c r="E21" s="261">
        <f>D21/'- 13 -'!$J$54*100</f>
        <v>0</v>
      </c>
      <c r="F21" s="118">
        <v>0</v>
      </c>
      <c r="G21" s="261">
        <f>F21/'- 13 -'!$J$54*100</f>
        <v>0</v>
      </c>
      <c r="H21" s="118"/>
      <c r="I21" s="261"/>
      <c r="J21" s="118">
        <f>SUM(F21,D21,B21,'- 12 -'!J21,'- 12 -'!H21,'- 12 -'!F21,'- 12 -'!D21,'- 12 -'!B21)</f>
        <v>15900457</v>
      </c>
      <c r="K21" s="261">
        <f t="shared" si="0"/>
        <v>0.68795093701241294</v>
      </c>
      <c r="N21" s="450"/>
    </row>
    <row r="22" spans="1:14">
      <c r="A22" s="119" t="s">
        <v>200</v>
      </c>
      <c r="B22" s="125">
        <f>SUM(B14:B21)</f>
        <v>51523788</v>
      </c>
      <c r="C22" s="263">
        <f>B22/$J$54*100</f>
        <v>2.2292339291272523</v>
      </c>
      <c r="D22" s="125">
        <f>SUM(D14:D21)</f>
        <v>47542449</v>
      </c>
      <c r="E22" s="263">
        <f>D22/$J$54*100</f>
        <v>2.0569768741498975</v>
      </c>
      <c r="F22" s="125">
        <f>SUM(F14:F21)</f>
        <v>116385659</v>
      </c>
      <c r="G22" s="263">
        <f>F22/$J$54*100</f>
        <v>5.0355548374400296</v>
      </c>
      <c r="H22" s="125"/>
      <c r="I22" s="263"/>
      <c r="J22" s="125">
        <f>SUM(F22,D22,B22,'- 12 -'!J22,'- 12 -'!H22,'- 12 -'!F22,'- 12 -'!D22,'- 12 -'!B22)</f>
        <v>1763883799</v>
      </c>
      <c r="K22" s="263">
        <f t="shared" si="0"/>
        <v>76.316392183134411</v>
      </c>
      <c r="N22" s="450"/>
    </row>
    <row r="23" spans="1:14">
      <c r="A23" s="281" t="s">
        <v>72</v>
      </c>
      <c r="B23" s="125">
        <v>4970027</v>
      </c>
      <c r="C23" s="263">
        <f>B23/$J$54*100</f>
        <v>0.2150337396986132</v>
      </c>
      <c r="D23" s="125">
        <v>7201850</v>
      </c>
      <c r="E23" s="263">
        <f>D23/$J$54*100</f>
        <v>0.31159604127874102</v>
      </c>
      <c r="F23" s="125">
        <v>19456908</v>
      </c>
      <c r="G23" s="263">
        <f>F23/$J$54*100</f>
        <v>0.84182474063256885</v>
      </c>
      <c r="H23" s="125"/>
      <c r="I23" s="263"/>
      <c r="J23" s="125">
        <f>SUM(F23,D23,B23,'- 12 -'!J23,'- 12 -'!H23,'- 12 -'!F23,'- 12 -'!D23,'- 12 -'!B23)</f>
        <v>149572801</v>
      </c>
      <c r="K23" s="263">
        <f t="shared" si="0"/>
        <v>6.4714334059405454</v>
      </c>
      <c r="N23" s="451"/>
    </row>
    <row r="24" spans="1:14">
      <c r="A24" s="281" t="s">
        <v>58</v>
      </c>
      <c r="B24" s="113"/>
      <c r="C24" s="259"/>
      <c r="D24" s="113"/>
      <c r="E24" s="259"/>
      <c r="F24" s="113"/>
      <c r="G24" s="259"/>
      <c r="H24" s="113"/>
      <c r="I24" s="259"/>
      <c r="J24" s="113"/>
      <c r="K24" s="259"/>
      <c r="M24" s="1" t="s">
        <v>21</v>
      </c>
      <c r="N24" s="450">
        <f>'- 12 -'!C51</f>
        <v>55.79451924280815</v>
      </c>
    </row>
    <row r="25" spans="1:14">
      <c r="A25" s="114" t="s">
        <v>201</v>
      </c>
      <c r="B25" s="115">
        <v>1880815</v>
      </c>
      <c r="C25" s="260">
        <f t="shared" ref="C25:C35" si="1">B25/$J$54*100</f>
        <v>8.1375550501284422E-2</v>
      </c>
      <c r="D25" s="115">
        <v>336750</v>
      </c>
      <c r="E25" s="260">
        <f t="shared" ref="E25:E35" si="2">D25/$J$54*100</f>
        <v>1.4569862868654032E-2</v>
      </c>
      <c r="F25" s="115">
        <v>6351970</v>
      </c>
      <c r="G25" s="260">
        <f t="shared" ref="G25:G35" si="3">F25/$J$54*100</f>
        <v>0.27482503888880278</v>
      </c>
      <c r="H25" s="115"/>
      <c r="I25" s="260"/>
      <c r="J25" s="115">
        <f>SUM(F25,D25,B25,'- 12 -'!J25,'- 12 -'!H25,'- 12 -'!F25,'- 12 -'!D25,'- 12 -'!B25)</f>
        <v>29022549</v>
      </c>
      <c r="K25" s="260">
        <f t="shared" ref="K25:K40" si="4">J25/$J$54*100</f>
        <v>1.2556928256237332</v>
      </c>
      <c r="L25" s="617" t="s">
        <v>102</v>
      </c>
      <c r="M25" s="1" t="s">
        <v>245</v>
      </c>
      <c r="N25" s="450">
        <f>'- 12 -'!E51</f>
        <v>18.27112567304378</v>
      </c>
    </row>
    <row r="26" spans="1:14">
      <c r="A26" s="114" t="s">
        <v>202</v>
      </c>
      <c r="B26" s="115">
        <v>132300</v>
      </c>
      <c r="C26" s="260">
        <f t="shared" si="1"/>
        <v>5.7241064811371289E-3</v>
      </c>
      <c r="D26" s="115">
        <v>300096</v>
      </c>
      <c r="E26" s="260">
        <f t="shared" si="2"/>
        <v>1.2983986837213364E-2</v>
      </c>
      <c r="F26" s="115">
        <v>814957</v>
      </c>
      <c r="G26" s="260">
        <f t="shared" si="3"/>
        <v>3.5260019996584062E-2</v>
      </c>
      <c r="H26" s="115"/>
      <c r="I26" s="260"/>
      <c r="J26" s="115">
        <f>SUM(F26,D26,B26,'- 12 -'!J26,'- 12 -'!H26,'- 12 -'!F26,'- 12 -'!D26,'- 12 -'!B26)</f>
        <v>7035805</v>
      </c>
      <c r="K26" s="260">
        <f t="shared" si="4"/>
        <v>0.30441191988297067</v>
      </c>
      <c r="L26" s="623"/>
      <c r="M26" s="1" t="s">
        <v>101</v>
      </c>
      <c r="N26" s="450">
        <f>'- 12 -'!G51</f>
        <v>0.36839137861491444</v>
      </c>
    </row>
    <row r="27" spans="1:14">
      <c r="A27" s="114" t="s">
        <v>203</v>
      </c>
      <c r="B27" s="115"/>
      <c r="C27" s="260">
        <f t="shared" si="1"/>
        <v>0</v>
      </c>
      <c r="D27" s="115"/>
      <c r="E27" s="260">
        <f t="shared" si="2"/>
        <v>0</v>
      </c>
      <c r="F27" s="115">
        <v>47313792</v>
      </c>
      <c r="G27" s="260">
        <f t="shared" si="3"/>
        <v>2.0470837750141651</v>
      </c>
      <c r="H27" s="115"/>
      <c r="I27" s="260"/>
      <c r="J27" s="115">
        <f>SUM(F27,D27,B27,'- 12 -'!J27,'- 12 -'!H27,'- 12 -'!F27,'- 12 -'!D27,'- 12 -'!B27)</f>
        <v>47346797</v>
      </c>
      <c r="K27" s="260">
        <f t="shared" si="4"/>
        <v>2.0485117730066817</v>
      </c>
      <c r="L27" s="623"/>
      <c r="M27" s="1" t="s">
        <v>22</v>
      </c>
      <c r="N27" s="450">
        <f>'- 12 -'!I51</f>
        <v>1.0013415267757959</v>
      </c>
    </row>
    <row r="28" spans="1:14" ht="12.75" customHeight="1">
      <c r="A28" s="114" t="s">
        <v>242</v>
      </c>
      <c r="B28" s="115">
        <v>1085138</v>
      </c>
      <c r="C28" s="260">
        <f t="shared" si="1"/>
        <v>4.6949701124173709E-2</v>
      </c>
      <c r="D28" s="115">
        <v>1319160</v>
      </c>
      <c r="E28" s="260">
        <f t="shared" si="2"/>
        <v>5.707492294525212E-2</v>
      </c>
      <c r="F28" s="115">
        <v>927115</v>
      </c>
      <c r="G28" s="260">
        <f t="shared" si="3"/>
        <v>4.0112660470592969E-2</v>
      </c>
      <c r="H28" s="115"/>
      <c r="I28" s="260"/>
      <c r="J28" s="115">
        <f>SUM(F28,D28,B28,'- 12 -'!J28,'- 12 -'!H28,'- 12 -'!F28,'- 12 -'!D28,'- 12 -'!B28)</f>
        <v>11719800</v>
      </c>
      <c r="K28" s="260">
        <f t="shared" si="4"/>
        <v>0.50707016732903198</v>
      </c>
      <c r="L28" s="623"/>
      <c r="M28" s="1" t="s">
        <v>86</v>
      </c>
      <c r="N28" s="450">
        <f>'- 12 -'!K51</f>
        <v>3.4915527433152613</v>
      </c>
    </row>
    <row r="29" spans="1:14" ht="12.75" customHeight="1">
      <c r="A29" s="114" t="s">
        <v>204</v>
      </c>
      <c r="B29" s="115"/>
      <c r="C29" s="260">
        <f t="shared" si="1"/>
        <v>0</v>
      </c>
      <c r="D29" s="115">
        <v>19611371</v>
      </c>
      <c r="E29" s="260">
        <f t="shared" si="2"/>
        <v>0.84850775393110167</v>
      </c>
      <c r="F29" s="115"/>
      <c r="G29" s="260">
        <f t="shared" si="3"/>
        <v>0</v>
      </c>
      <c r="H29" s="115"/>
      <c r="I29" s="260"/>
      <c r="J29" s="115">
        <f>SUM(F29,D29,B29,'- 12 -'!J29,'- 12 -'!H29,'- 12 -'!F29,'- 12 -'!D29,'- 12 -'!B29)</f>
        <v>19611371</v>
      </c>
      <c r="K29" s="260">
        <f t="shared" si="4"/>
        <v>0.84850775393110167</v>
      </c>
      <c r="L29" s="623"/>
      <c r="M29" s="1" t="s">
        <v>85</v>
      </c>
      <c r="N29" s="450">
        <f>C54</f>
        <v>3.4269691598758643</v>
      </c>
    </row>
    <row r="30" spans="1:14" ht="12.75" customHeight="1">
      <c r="A30" s="114" t="s">
        <v>205</v>
      </c>
      <c r="B30" s="115">
        <v>0</v>
      </c>
      <c r="C30" s="260">
        <f t="shared" si="1"/>
        <v>0</v>
      </c>
      <c r="D30" s="115"/>
      <c r="E30" s="260">
        <f t="shared" si="2"/>
        <v>0</v>
      </c>
      <c r="F30" s="115"/>
      <c r="G30" s="260">
        <f t="shared" si="3"/>
        <v>0</v>
      </c>
      <c r="H30" s="115"/>
      <c r="I30" s="260"/>
      <c r="J30" s="115">
        <f>SUM(F30,D30,B30,'- 12 -'!J30,'- 12 -'!H30,'- 12 -'!F30,'- 12 -'!D30,'- 12 -'!B30)</f>
        <v>1558250</v>
      </c>
      <c r="K30" s="260">
        <f t="shared" si="4"/>
        <v>6.7419417416719057E-2</v>
      </c>
      <c r="M30" s="1" t="s">
        <v>67</v>
      </c>
      <c r="N30" s="450">
        <f>E54</f>
        <v>4.3873809024093147</v>
      </c>
    </row>
    <row r="31" spans="1:14" ht="12.75" customHeight="1">
      <c r="A31" s="114" t="s">
        <v>206</v>
      </c>
      <c r="B31" s="115">
        <v>40010</v>
      </c>
      <c r="C31" s="260">
        <f t="shared" si="1"/>
        <v>1.73107709985107E-3</v>
      </c>
      <c r="D31" s="115">
        <v>9500</v>
      </c>
      <c r="E31" s="260">
        <f t="shared" si="2"/>
        <v>4.1102805420107881E-4</v>
      </c>
      <c r="F31" s="115">
        <v>4100</v>
      </c>
      <c r="G31" s="260">
        <f t="shared" si="3"/>
        <v>1.7739105497099192E-4</v>
      </c>
      <c r="H31" s="115"/>
      <c r="I31" s="260"/>
      <c r="J31" s="115">
        <f>SUM(F31,D31,B31,'- 12 -'!J31,'- 12 -'!H31,'- 12 -'!F31,'- 12 -'!D31,'- 12 -'!B31)</f>
        <v>1025008</v>
      </c>
      <c r="K31" s="260">
        <f t="shared" si="4"/>
        <v>4.4348109871635726E-2</v>
      </c>
      <c r="M31" s="1" t="s">
        <v>84</v>
      </c>
      <c r="N31" s="450">
        <f>G54</f>
        <v>11.522371033208216</v>
      </c>
    </row>
    <row r="32" spans="1:14" ht="12.75" customHeight="1">
      <c r="A32" s="114" t="s">
        <v>207</v>
      </c>
      <c r="B32" s="115">
        <v>75043</v>
      </c>
      <c r="C32" s="260">
        <f t="shared" si="1"/>
        <v>3.2468187654117434E-3</v>
      </c>
      <c r="D32" s="115">
        <v>1157653</v>
      </c>
      <c r="E32" s="260">
        <f t="shared" si="2"/>
        <v>5.0087143161057002E-2</v>
      </c>
      <c r="F32" s="115">
        <v>8358936</v>
      </c>
      <c r="G32" s="260">
        <f t="shared" si="3"/>
        <v>0.36165865255487883</v>
      </c>
      <c r="H32" s="115"/>
      <c r="I32" s="260"/>
      <c r="J32" s="115">
        <f>SUM(F32,D32,B32,'- 12 -'!J32,'- 12 -'!H32,'- 12 -'!F32,'- 12 -'!D32,'- 12 -'!B32)</f>
        <v>11285045</v>
      </c>
      <c r="K32" s="260">
        <f t="shared" si="4"/>
        <v>0.48826000925490676</v>
      </c>
      <c r="M32" s="1" t="s">
        <v>24</v>
      </c>
      <c r="N32" s="450">
        <f>I54</f>
        <v>1.7363483399486994</v>
      </c>
    </row>
    <row r="33" spans="1:14">
      <c r="A33" s="114" t="s">
        <v>208</v>
      </c>
      <c r="B33" s="115">
        <v>129160</v>
      </c>
      <c r="C33" s="260">
        <f t="shared" si="1"/>
        <v>5.5882508926959305E-3</v>
      </c>
      <c r="D33" s="115">
        <v>2484504</v>
      </c>
      <c r="E33" s="260">
        <f t="shared" si="2"/>
        <v>0.10749482576576813</v>
      </c>
      <c r="F33" s="115">
        <v>31108246</v>
      </c>
      <c r="G33" s="260">
        <f t="shared" si="3"/>
        <v>1.345932823472473</v>
      </c>
      <c r="H33" s="115"/>
      <c r="I33" s="260"/>
      <c r="J33" s="115">
        <f>SUM(F33,D33,B33,'- 12 -'!J33,'- 12 -'!H33,'- 12 -'!F33,'- 12 -'!D33,'- 12 -'!B33)</f>
        <v>37091038</v>
      </c>
      <c r="K33" s="260">
        <f t="shared" si="4"/>
        <v>1.6047849660461342</v>
      </c>
      <c r="N33" s="450"/>
    </row>
    <row r="34" spans="1:14">
      <c r="A34" s="114" t="s">
        <v>209</v>
      </c>
      <c r="B34" s="115">
        <v>163655</v>
      </c>
      <c r="C34" s="260">
        <f t="shared" si="1"/>
        <v>7.0807153905555319E-3</v>
      </c>
      <c r="D34" s="115">
        <v>987847</v>
      </c>
      <c r="E34" s="260">
        <f t="shared" si="2"/>
        <v>4.2740297921934012E-2</v>
      </c>
      <c r="F34" s="115">
        <v>2646117</v>
      </c>
      <c r="G34" s="260">
        <f t="shared" si="3"/>
        <v>0.1144871917577259</v>
      </c>
      <c r="H34" s="115"/>
      <c r="I34" s="260"/>
      <c r="J34" s="115">
        <f>SUM(F34,D34,B34,'- 12 -'!J34,'- 12 -'!H34,'- 12 -'!F34,'- 12 -'!D34,'- 12 -'!B34)</f>
        <v>7750169</v>
      </c>
      <c r="K34" s="260">
        <f t="shared" si="4"/>
        <v>0.33531967197889695</v>
      </c>
      <c r="N34" s="450">
        <f>SUM(N24:N32)</f>
        <v>100.00000000000001</v>
      </c>
    </row>
    <row r="35" spans="1:14">
      <c r="A35" s="362" t="s">
        <v>248</v>
      </c>
      <c r="B35" s="115"/>
      <c r="C35" s="260">
        <f t="shared" si="1"/>
        <v>0</v>
      </c>
      <c r="D35" s="115"/>
      <c r="E35" s="260">
        <f t="shared" si="2"/>
        <v>0</v>
      </c>
      <c r="F35" s="115">
        <v>5504418</v>
      </c>
      <c r="G35" s="260">
        <f t="shared" si="3"/>
        <v>0.23815476000519936</v>
      </c>
      <c r="H35" s="115"/>
      <c r="I35" s="260"/>
      <c r="J35" s="115">
        <f>SUM(F35,D35,B35,'- 12 -'!J35,'- 12 -'!H35,'- 12 -'!F35,'- 12 -'!D35,'- 12 -'!B35)</f>
        <v>5537533</v>
      </c>
      <c r="K35" s="260">
        <f t="shared" si="4"/>
        <v>0.23958751726992239</v>
      </c>
    </row>
    <row r="36" spans="1:14">
      <c r="A36" s="114" t="s">
        <v>210</v>
      </c>
      <c r="B36" s="115">
        <v>18650</v>
      </c>
      <c r="C36" s="260">
        <f>B36/J54</f>
        <v>8.0691296956317047E-6</v>
      </c>
      <c r="D36" s="115">
        <v>38600</v>
      </c>
      <c r="E36" s="260">
        <f>D36/J54</f>
        <v>1.6700718833854362E-5</v>
      </c>
      <c r="F36" s="115">
        <v>101550</v>
      </c>
      <c r="G36" s="260">
        <f>F36/J54</f>
        <v>4.3936735688546901E-5</v>
      </c>
      <c r="H36" s="115"/>
      <c r="I36" s="260"/>
      <c r="J36" s="115">
        <f>SUM(F36,D36,B36,'- 12 -'!J36,'- 12 -'!H36,'- 12 -'!F36,'- 12 -'!D36,'- 12 -'!B36)</f>
        <v>1369482</v>
      </c>
      <c r="K36" s="260">
        <f t="shared" si="4"/>
        <v>5.9252160181410718E-2</v>
      </c>
    </row>
    <row r="37" spans="1:14">
      <c r="A37" s="114" t="s">
        <v>211</v>
      </c>
      <c r="B37" s="115">
        <v>185751</v>
      </c>
      <c r="C37" s="260">
        <f>B37/$J$54*100</f>
        <v>8.036723378516273E-3</v>
      </c>
      <c r="D37" s="115">
        <v>60540</v>
      </c>
      <c r="E37" s="260">
        <f>D37/$J$54*100</f>
        <v>2.6193303580350855E-3</v>
      </c>
      <c r="F37" s="115">
        <v>99972</v>
      </c>
      <c r="G37" s="260">
        <f>F37/$J$54*100</f>
        <v>4.3253996457463424E-3</v>
      </c>
      <c r="H37" s="115"/>
      <c r="I37" s="260"/>
      <c r="J37" s="115">
        <f>SUM(F37,D37,B37,'- 12 -'!J37,'- 12 -'!H37,'- 12 -'!F37,'- 12 -'!D37,'- 12 -'!B37)</f>
        <v>4244042</v>
      </c>
      <c r="K37" s="260">
        <f t="shared" si="4"/>
        <v>0.18362319212712158</v>
      </c>
    </row>
    <row r="38" spans="1:14">
      <c r="A38" s="121" t="s">
        <v>212</v>
      </c>
      <c r="B38" s="115">
        <v>10019239</v>
      </c>
      <c r="C38" s="260">
        <f>B38/'- 13 -'!$J$54*100</f>
        <v>0.43349350639426976</v>
      </c>
      <c r="D38" s="115">
        <v>274763</v>
      </c>
      <c r="E38" s="260">
        <f>D38/'- 13 -'!$J$54*100</f>
        <v>1.1887926448047476E-2</v>
      </c>
      <c r="F38" s="115">
        <v>464745</v>
      </c>
      <c r="G38" s="260">
        <f>F38/'- 13 -'!$J$54*100</f>
        <v>2.0107708742071621E-2</v>
      </c>
      <c r="H38" s="115"/>
      <c r="I38" s="260"/>
      <c r="J38" s="115">
        <f>SUM(F38,D38,B38,'- 12 -'!J38,'- 12 -'!H38,'- 12 -'!F38,'- 12 -'!D38,'- 12 -'!B38)</f>
        <v>13319331</v>
      </c>
      <c r="K38" s="260">
        <f t="shared" si="4"/>
        <v>0.57627565307264306</v>
      </c>
    </row>
    <row r="39" spans="1:14">
      <c r="A39" s="122" t="s">
        <v>213</v>
      </c>
      <c r="B39" s="118">
        <v>749928</v>
      </c>
      <c r="C39" s="261">
        <f>B39/$J$54*100</f>
        <v>3.2446468066411223E-2</v>
      </c>
      <c r="D39" s="118">
        <v>157241</v>
      </c>
      <c r="E39" s="261">
        <f>D39/$J$54*100</f>
        <v>6.8032065548033517E-3</v>
      </c>
      <c r="F39" s="118">
        <v>142883</v>
      </c>
      <c r="G39" s="261">
        <f>F39/$J$54*100</f>
        <v>6.1819917335171311E-3</v>
      </c>
      <c r="H39" s="118"/>
      <c r="I39" s="261"/>
      <c r="J39" s="118">
        <f>SUM(F39,D39,B39,'- 12 -'!J39,'- 12 -'!H39,'- 12 -'!F39,'- 12 -'!D39,'- 12 -'!B39)</f>
        <v>13134083</v>
      </c>
      <c r="K39" s="261">
        <f t="shared" si="4"/>
        <v>0.56826069254794398</v>
      </c>
    </row>
    <row r="40" spans="1:14">
      <c r="A40" s="119" t="s">
        <v>214</v>
      </c>
      <c r="B40" s="125">
        <f>SUM(B25:B39)</f>
        <v>14479689</v>
      </c>
      <c r="C40" s="263">
        <f>B40/$J$54*100</f>
        <v>0.62647983106386995</v>
      </c>
      <c r="D40" s="125">
        <f>SUM(D25:D39)</f>
        <v>26738025</v>
      </c>
      <c r="E40" s="263">
        <f>D40/$J$54*100</f>
        <v>1.1568503567294526</v>
      </c>
      <c r="F40" s="125">
        <f>SUM(F25:F39)</f>
        <v>103838801</v>
      </c>
      <c r="G40" s="263">
        <f>F40/$J$54*100</f>
        <v>4.4927010869055835</v>
      </c>
      <c r="H40" s="125"/>
      <c r="I40" s="263"/>
      <c r="J40" s="125">
        <f>SUM(F40,D40,B40,'- 12 -'!J40,'- 12 -'!H40,'- 12 -'!F40,'- 12 -'!D40,'- 12 -'!B40)</f>
        <v>211050303</v>
      </c>
      <c r="K40" s="263">
        <f t="shared" si="4"/>
        <v>9.1313258295408541</v>
      </c>
    </row>
    <row r="41" spans="1:14">
      <c r="A41" s="281" t="s">
        <v>215</v>
      </c>
      <c r="B41" s="123"/>
      <c r="C41" s="264"/>
      <c r="D41" s="123"/>
      <c r="E41" s="264"/>
      <c r="F41" s="123"/>
      <c r="G41" s="264"/>
      <c r="H41" s="123"/>
      <c r="I41" s="264"/>
      <c r="J41" s="123"/>
      <c r="K41" s="264"/>
    </row>
    <row r="42" spans="1:14">
      <c r="A42" s="114" t="s">
        <v>216</v>
      </c>
      <c r="B42" s="115">
        <v>4424788</v>
      </c>
      <c r="C42" s="260">
        <f>B42/$J$54*100</f>
        <v>0.19144336862024033</v>
      </c>
      <c r="D42" s="115">
        <v>19481855</v>
      </c>
      <c r="E42" s="260">
        <f>D42/$J$54*100</f>
        <v>0.84290410030290097</v>
      </c>
      <c r="F42" s="115">
        <v>22886903</v>
      </c>
      <c r="G42" s="260">
        <f>F42/$J$54*100</f>
        <v>0.99022728492408774</v>
      </c>
      <c r="H42" s="115"/>
      <c r="I42" s="260"/>
      <c r="J42" s="115">
        <f>SUM(F42,D42,B42,'- 12 -'!J42,'- 12 -'!H42,'- 12 -'!F42,'- 12 -'!D42,'- 12 -'!B42)</f>
        <v>90388041</v>
      </c>
      <c r="K42" s="260">
        <f>J42/$J$54*100</f>
        <v>3.9107390121344565</v>
      </c>
    </row>
    <row r="43" spans="1:14">
      <c r="A43" s="114" t="s">
        <v>217</v>
      </c>
      <c r="B43" s="115">
        <v>3318519</v>
      </c>
      <c r="C43" s="260">
        <f>B43/$J$54*100</f>
        <v>0.1435794113051905</v>
      </c>
      <c r="D43" s="115">
        <v>7850</v>
      </c>
      <c r="E43" s="260">
        <f>D43/$J$54*100</f>
        <v>3.396389711029967E-4</v>
      </c>
      <c r="F43" s="115">
        <v>302400</v>
      </c>
      <c r="G43" s="260">
        <f>F43/$J$54*100</f>
        <v>1.3083671956884866E-2</v>
      </c>
      <c r="H43" s="115"/>
      <c r="I43" s="260"/>
      <c r="J43" s="115">
        <f>SUM(F43,D43,B43,'- 12 -'!J43,'- 12 -'!H43,'- 12 -'!F43,'- 12 -'!D43,'- 12 -'!B43)</f>
        <v>16886039</v>
      </c>
      <c r="K43" s="260">
        <f>J43/$J$54*100</f>
        <v>0.73059323719300318</v>
      </c>
    </row>
    <row r="44" spans="1:14">
      <c r="A44" s="114" t="s">
        <v>218</v>
      </c>
      <c r="B44" s="115">
        <v>129773</v>
      </c>
      <c r="C44" s="260">
        <f>B44/$J$54*100</f>
        <v>5.6147730187196421E-3</v>
      </c>
      <c r="D44" s="115">
        <v>359980</v>
      </c>
      <c r="E44" s="260">
        <f>D44/$J$54*100</f>
        <v>1.5574934626453091E-2</v>
      </c>
      <c r="F44" s="115">
        <v>3321178</v>
      </c>
      <c r="G44" s="260">
        <f>F44/$J$54*100</f>
        <v>0.14369445589425586</v>
      </c>
      <c r="H44" s="115"/>
      <c r="I44" s="260"/>
      <c r="J44" s="115">
        <f>SUM(F44,D44,B44,'- 12 -'!J44,'- 12 -'!H44,'- 12 -'!F44,'- 12 -'!D44,'- 12 -'!B44)</f>
        <v>15911962</v>
      </c>
      <c r="K44" s="260">
        <f>J44/$J$54*100</f>
        <v>0.68844871361910587</v>
      </c>
    </row>
    <row r="45" spans="1:14">
      <c r="A45" s="122" t="s">
        <v>219</v>
      </c>
      <c r="B45" s="118">
        <v>360192</v>
      </c>
      <c r="C45" s="261">
        <f>B45/$J$54*100</f>
        <v>1.5584107041978419E-2</v>
      </c>
      <c r="D45" s="118">
        <v>72550</v>
      </c>
      <c r="E45" s="261">
        <f>D45/$J$54*100</f>
        <v>3.1389563507671862E-3</v>
      </c>
      <c r="F45" s="118">
        <v>122150</v>
      </c>
      <c r="G45" s="261">
        <f>F45/$J$54*100</f>
        <v>5.2849554548065033E-3</v>
      </c>
      <c r="H45" s="118"/>
      <c r="I45" s="261"/>
      <c r="J45" s="118">
        <f>SUM(F45,D45,B45,'- 12 -'!J45,'- 12 -'!H45,'- 12 -'!F45,'- 12 -'!D45,'- 12 -'!B45)</f>
        <v>23452981</v>
      </c>
      <c r="K45" s="261">
        <f>J45/$J$54*100</f>
        <v>1.0147192784889338</v>
      </c>
    </row>
    <row r="46" spans="1:14">
      <c r="A46" s="119" t="s">
        <v>220</v>
      </c>
      <c r="B46" s="125">
        <f>SUM(B42:B45)</f>
        <v>8233272</v>
      </c>
      <c r="C46" s="263">
        <f>B46/$J$54*100</f>
        <v>0.35622165998612892</v>
      </c>
      <c r="D46" s="125">
        <f>SUM(D42:D45)</f>
        <v>19922235</v>
      </c>
      <c r="E46" s="263">
        <f>D46/$J$54*100</f>
        <v>0.86195763025122418</v>
      </c>
      <c r="F46" s="125">
        <f>SUM(F42:F45)</f>
        <v>26632631</v>
      </c>
      <c r="G46" s="263">
        <f>F46/$J$54*100</f>
        <v>1.1522903682300349</v>
      </c>
      <c r="H46" s="125"/>
      <c r="I46" s="263"/>
      <c r="J46" s="125">
        <f>SUM(F46,D46,B46,'- 12 -'!J46,'- 12 -'!H46,'- 12 -'!F46,'- 12 -'!D46,'- 12 -'!B46)</f>
        <v>146639023</v>
      </c>
      <c r="K46" s="263">
        <f>J46/$J$54*100</f>
        <v>6.3445002414354992</v>
      </c>
    </row>
    <row r="47" spans="1:14">
      <c r="A47" s="281" t="s">
        <v>42</v>
      </c>
      <c r="B47" s="123"/>
      <c r="C47" s="264"/>
      <c r="D47" s="123"/>
      <c r="E47" s="264"/>
      <c r="F47" s="123"/>
      <c r="G47" s="264"/>
      <c r="H47" s="123"/>
      <c r="I47" s="264"/>
      <c r="J47" s="123"/>
      <c r="K47" s="264"/>
    </row>
    <row r="48" spans="1:14" hidden="1">
      <c r="A48" s="225" t="s">
        <v>297</v>
      </c>
      <c r="B48" s="354"/>
      <c r="C48" s="355"/>
      <c r="D48" s="354"/>
      <c r="E48" s="355"/>
      <c r="F48" s="115">
        <v>0</v>
      </c>
      <c r="G48" s="355"/>
      <c r="H48" s="354"/>
      <c r="I48" s="355"/>
      <c r="J48" s="354">
        <f>'- 12 -'!F48+'- 12 -'!J48+'- 13 -'!F48</f>
        <v>0</v>
      </c>
      <c r="K48" s="355"/>
    </row>
    <row r="49" spans="1:11">
      <c r="A49" s="114" t="s">
        <v>221</v>
      </c>
      <c r="B49" s="120"/>
      <c r="C49" s="260"/>
      <c r="D49" s="120"/>
      <c r="E49" s="260"/>
      <c r="F49" s="120"/>
      <c r="G49" s="260"/>
      <c r="H49" s="115">
        <f>'- 10 -'!G24</f>
        <v>2578140</v>
      </c>
      <c r="I49" s="260">
        <f>H49/$J$54*100</f>
        <v>0.11154609133241782</v>
      </c>
      <c r="J49" s="115">
        <f>H49</f>
        <v>2578140</v>
      </c>
      <c r="K49" s="260">
        <f>J49/$J$54*100</f>
        <v>0.11154609133241782</v>
      </c>
    </row>
    <row r="50" spans="1:11">
      <c r="A50" s="114" t="s">
        <v>256</v>
      </c>
      <c r="B50" s="120"/>
      <c r="C50" s="260"/>
      <c r="D50" s="120"/>
      <c r="E50" s="260"/>
      <c r="F50" s="120"/>
      <c r="G50" s="260"/>
      <c r="H50" s="115">
        <f>'- 10 -'!H24</f>
        <v>13000</v>
      </c>
      <c r="I50" s="260"/>
      <c r="J50" s="115">
        <f>H50</f>
        <v>13000</v>
      </c>
      <c r="K50" s="260"/>
    </row>
    <row r="51" spans="1:11">
      <c r="A51" s="114" t="s">
        <v>222</v>
      </c>
      <c r="B51" s="120"/>
      <c r="C51" s="260"/>
      <c r="D51" s="120"/>
      <c r="E51" s="260"/>
      <c r="F51" s="120"/>
      <c r="G51" s="260"/>
      <c r="H51" s="118">
        <f>'- 10 -'!I24</f>
        <v>37540693</v>
      </c>
      <c r="I51" s="261">
        <f>H51/$J$54*100</f>
        <v>1.6242397891736906</v>
      </c>
      <c r="J51" s="118">
        <f>H51</f>
        <v>37540693</v>
      </c>
      <c r="K51" s="261">
        <f>J51/$J$54*100</f>
        <v>1.6242397891736906</v>
      </c>
    </row>
    <row r="52" spans="1:11">
      <c r="A52" s="119" t="s">
        <v>223</v>
      </c>
      <c r="B52" s="119"/>
      <c r="C52" s="263"/>
      <c r="D52" s="119"/>
      <c r="E52" s="263"/>
      <c r="F52" s="125">
        <f>F48</f>
        <v>0</v>
      </c>
      <c r="G52" s="263"/>
      <c r="H52" s="125">
        <f>SUM(H49:H51)</f>
        <v>40131833</v>
      </c>
      <c r="I52" s="263">
        <f>H52/$J$54*100</f>
        <v>1.7363483399486994</v>
      </c>
      <c r="J52" s="125">
        <f>SUM(J48:J51)</f>
        <v>40131833</v>
      </c>
      <c r="K52" s="263">
        <f>J52/$J$54*100</f>
        <v>1.7363483399486994</v>
      </c>
    </row>
    <row r="53" spans="1:11" ht="5.0999999999999996" customHeight="1">
      <c r="A53" s="19"/>
      <c r="B53" s="23"/>
      <c r="C53" s="265"/>
      <c r="D53" s="72"/>
      <c r="E53" s="265"/>
      <c r="F53" s="72"/>
      <c r="G53" s="265"/>
      <c r="H53" s="72"/>
      <c r="I53" s="265"/>
      <c r="J53" s="72"/>
      <c r="K53" s="265"/>
    </row>
    <row r="54" spans="1:11">
      <c r="A54" s="282" t="s">
        <v>224</v>
      </c>
      <c r="B54" s="344">
        <f>SUM(B52,B46,B40,B23,B22)</f>
        <v>79206776</v>
      </c>
      <c r="C54" s="345">
        <f>B54/$J$54*100</f>
        <v>3.4269691598758643</v>
      </c>
      <c r="D54" s="344">
        <f>SUM(D52,D46,D40,D23,D22)</f>
        <v>101404559</v>
      </c>
      <c r="E54" s="345">
        <f>D54/$J$54*100</f>
        <v>4.3873809024093147</v>
      </c>
      <c r="F54" s="344">
        <f>SUM(F52,F46,F40,F23,F22)</f>
        <v>266313999</v>
      </c>
      <c r="G54" s="345">
        <f>F54/$J$54*100</f>
        <v>11.522371033208216</v>
      </c>
      <c r="H54" s="344">
        <f>SUM(H52,H46,H40,H23,H22)</f>
        <v>40131833</v>
      </c>
      <c r="I54" s="345">
        <f>H54/$J$54*100</f>
        <v>1.7363483399486994</v>
      </c>
      <c r="J54" s="344">
        <f>SUM(J52,J46,J40,J23,J22)</f>
        <v>2311277759</v>
      </c>
      <c r="K54" s="345">
        <f>J54/$J$54*100</f>
        <v>100</v>
      </c>
    </row>
    <row r="55" spans="1:11" ht="20.100000000000001" customHeight="1">
      <c r="A55" s="127"/>
    </row>
  </sheetData>
  <mergeCells count="6">
    <mergeCell ref="L25:L29"/>
    <mergeCell ref="B9:C10"/>
    <mergeCell ref="D9:E10"/>
    <mergeCell ref="F9:G10"/>
    <mergeCell ref="H9:I10"/>
    <mergeCell ref="J9:K10"/>
  </mergeCells>
  <phoneticPr fontId="0" type="noConversion"/>
  <printOptions verticalCentered="1"/>
  <pageMargins left="0.75" right="0" top="0.3" bottom="0.3" header="0" footer="0"/>
  <pageSetup scale="89" orientation="landscape" r:id="rId1"/>
  <headerFooter alignWithMargins="0"/>
</worksheet>
</file>

<file path=xl/worksheets/sheet11.xml><?xml version="1.0" encoding="utf-8"?>
<worksheet xmlns="http://schemas.openxmlformats.org/spreadsheetml/2006/main" xmlns:r="http://schemas.openxmlformats.org/officeDocument/2006/relationships">
  <sheetPr codeName="Sheet10">
    <pageSetUpPr fitToPage="1"/>
  </sheetPr>
  <dimension ref="A1:BB59"/>
  <sheetViews>
    <sheetView showGridLines="0" showZeros="0" workbookViewId="0"/>
  </sheetViews>
  <sheetFormatPr defaultColWidth="15.83203125" defaultRowHeight="12"/>
  <cols>
    <col min="1" max="1" width="31.6640625" style="1" customWidth="1"/>
    <col min="2" max="2" width="15" style="1" bestFit="1" customWidth="1"/>
    <col min="3" max="3" width="7" style="1" customWidth="1"/>
    <col min="4" max="4" width="9.33203125" style="1" customWidth="1"/>
    <col min="5" max="5" width="13.33203125" style="1" bestFit="1" customWidth="1"/>
    <col min="6" max="6" width="6.33203125" style="1" customWidth="1"/>
    <col min="7" max="7" width="9.5" style="1" customWidth="1"/>
    <col min="8" max="8" width="11.5" style="1" customWidth="1"/>
    <col min="9" max="9" width="8.83203125" style="1" customWidth="1"/>
    <col min="10" max="16384" width="15.83203125" style="1"/>
  </cols>
  <sheetData>
    <row r="1" spans="1:54" ht="6.95" customHeight="1">
      <c r="A1" s="3"/>
      <c r="B1" s="4"/>
      <c r="C1" s="4"/>
      <c r="D1" s="4"/>
      <c r="E1" s="4"/>
      <c r="F1" s="4"/>
      <c r="G1" s="4"/>
      <c r="H1" s="4"/>
      <c r="I1" s="4"/>
    </row>
    <row r="2" spans="1:54" ht="15.95" customHeight="1">
      <c r="A2" s="132"/>
      <c r="B2" s="5" t="str">
        <f>IF(Lang=1,BA2,BB2)</f>
        <v>ANALYSIS OF EXPENSE BY FUNCTION</v>
      </c>
      <c r="C2" s="6"/>
      <c r="D2" s="6"/>
      <c r="E2" s="6"/>
      <c r="F2" s="6"/>
      <c r="G2" s="6"/>
      <c r="H2" s="85"/>
      <c r="I2" s="150" t="s">
        <v>0</v>
      </c>
      <c r="BA2" s="456" t="s">
        <v>262</v>
      </c>
      <c r="BB2" s="456" t="s">
        <v>403</v>
      </c>
    </row>
    <row r="3" spans="1:54" ht="15.95" customHeight="1">
      <c r="A3" s="135"/>
      <c r="B3" s="7" t="str">
        <f>OPYEAR</f>
        <v>OPERATING FUND 2016/2017 BUDGET</v>
      </c>
      <c r="C3" s="8"/>
      <c r="D3" s="8"/>
      <c r="E3" s="8"/>
      <c r="F3" s="8"/>
      <c r="G3" s="8"/>
      <c r="H3" s="87"/>
      <c r="I3" s="81"/>
    </row>
    <row r="4" spans="1:54" ht="15.95" customHeight="1">
      <c r="B4" s="4"/>
      <c r="C4" s="4"/>
      <c r="D4" s="4"/>
      <c r="E4" s="4"/>
      <c r="F4" s="4"/>
      <c r="G4" s="4"/>
      <c r="H4" s="4"/>
      <c r="I4" s="4"/>
    </row>
    <row r="5" spans="1:54" ht="15.95" customHeight="1">
      <c r="B5" s="4"/>
      <c r="C5" s="4"/>
      <c r="D5" s="4"/>
      <c r="E5" s="4"/>
      <c r="F5" s="4"/>
      <c r="G5" s="4"/>
      <c r="H5" s="4"/>
      <c r="I5" s="4"/>
    </row>
    <row r="6" spans="1:54" ht="15.95" customHeight="1">
      <c r="B6" s="624" t="s">
        <v>21</v>
      </c>
      <c r="C6" s="626"/>
      <c r="D6" s="611"/>
      <c r="E6" s="618" t="s">
        <v>402</v>
      </c>
      <c r="F6" s="626"/>
      <c r="G6" s="611"/>
      <c r="H6" s="622" t="s">
        <v>101</v>
      </c>
      <c r="I6" s="619"/>
    </row>
    <row r="7" spans="1:54" ht="15.95" customHeight="1">
      <c r="B7" s="625"/>
      <c r="C7" s="627"/>
      <c r="D7" s="613"/>
      <c r="E7" s="625"/>
      <c r="F7" s="627"/>
      <c r="G7" s="613"/>
      <c r="H7" s="620"/>
      <c r="I7" s="621"/>
    </row>
    <row r="8" spans="1:54" ht="15.95" customHeight="1">
      <c r="A8" s="82"/>
      <c r="B8" s="138" t="s">
        <v>1</v>
      </c>
      <c r="C8" s="176"/>
      <c r="D8" s="575" t="s">
        <v>308</v>
      </c>
      <c r="E8" s="138"/>
      <c r="F8" s="137"/>
      <c r="G8" s="536" t="s">
        <v>401</v>
      </c>
      <c r="H8" s="138"/>
      <c r="I8" s="137"/>
    </row>
    <row r="9" spans="1:54" ht="15.95" customHeight="1">
      <c r="A9" s="27" t="s">
        <v>37</v>
      </c>
      <c r="B9" s="452" t="s">
        <v>38</v>
      </c>
      <c r="C9" s="89" t="s">
        <v>39</v>
      </c>
      <c r="D9" s="576"/>
      <c r="E9" s="89" t="s">
        <v>38</v>
      </c>
      <c r="F9" s="89" t="s">
        <v>39</v>
      </c>
      <c r="G9" s="576"/>
      <c r="H9" s="89" t="s">
        <v>38</v>
      </c>
      <c r="I9" s="89" t="s">
        <v>39</v>
      </c>
    </row>
    <row r="10" spans="1:54" ht="5.0999999999999996" customHeight="1">
      <c r="A10" s="29"/>
    </row>
    <row r="11" spans="1:54" ht="14.1" customHeight="1">
      <c r="A11" s="271" t="s">
        <v>108</v>
      </c>
      <c r="B11" s="272">
        <f>SUM('- 18 -'!B11,'- 18 -'!E11,'- 19 -'!B11,'- 19 -'!E11,'- 19 -'!H11,'- 20 -'!B11)</f>
        <v>12346985</v>
      </c>
      <c r="C11" s="273">
        <f>B11/'- 3 -'!D11*100</f>
        <v>63.116520384610986</v>
      </c>
      <c r="D11" s="272">
        <f>B11/'- 7 -'!C11</f>
        <v>7043.3456930975472</v>
      </c>
      <c r="E11" s="272">
        <f>SUM('- 21 -'!B11,'- 21 -'!E11,'- 21 -'!H11,'- 22 -'!B11,'- 22 -'!E11,'- 22 -'!H11)</f>
        <v>2456350</v>
      </c>
      <c r="F11" s="273">
        <f>E11/'- 3 -'!D11*100</f>
        <v>12.556609151686763</v>
      </c>
      <c r="G11" s="272">
        <f>E11/'- 7 -'!E11</f>
        <v>1401.2264689104393</v>
      </c>
      <c r="H11" s="272">
        <f>SUM('- 23 -'!D11,'- 23 -'!B11)</f>
        <v>0</v>
      </c>
      <c r="I11" s="273">
        <f>H11/'- 3 -'!D11*100</f>
        <v>0</v>
      </c>
    </row>
    <row r="12" spans="1:54" ht="14.1" customHeight="1">
      <c r="A12" s="15" t="s">
        <v>109</v>
      </c>
      <c r="B12" s="16">
        <f>SUM('- 18 -'!B12,'- 18 -'!E12,'- 19 -'!B12,'- 19 -'!E12,'- 19 -'!H12,'- 20 -'!B12)</f>
        <v>19673457</v>
      </c>
      <c r="C12" s="267">
        <f>B12/'- 3 -'!D12*100</f>
        <v>56.339349797779569</v>
      </c>
      <c r="D12" s="16">
        <f>B12/'- 7 -'!C12</f>
        <v>9150.4451162790701</v>
      </c>
      <c r="E12" s="16">
        <f>SUM('- 21 -'!B12,'- 21 -'!E12,'- 21 -'!H12,'- 22 -'!B12,'- 22 -'!E12,'- 22 -'!H12)</f>
        <v>5779076</v>
      </c>
      <c r="F12" s="267">
        <f>E12/'- 3 -'!D12*100</f>
        <v>16.549678293548141</v>
      </c>
      <c r="G12" s="16">
        <f>E12/'- 7 -'!E12</f>
        <v>2687.9423255813954</v>
      </c>
      <c r="H12" s="16">
        <f>SUM('- 23 -'!D12,'- 23 -'!B12)</f>
        <v>640068</v>
      </c>
      <c r="I12" s="267">
        <f>H12/'- 3 -'!D12*100</f>
        <v>1.8329780549684365</v>
      </c>
    </row>
    <row r="13" spans="1:54" ht="14.1" customHeight="1">
      <c r="A13" s="271" t="s">
        <v>110</v>
      </c>
      <c r="B13" s="272">
        <f>SUM('- 18 -'!B13,'- 18 -'!E13,'- 19 -'!B13,'- 19 -'!E13,'- 19 -'!H13,'- 20 -'!B13)</f>
        <v>58059600</v>
      </c>
      <c r="C13" s="273">
        <f>B13/'- 3 -'!D13*100</f>
        <v>59.263478298148584</v>
      </c>
      <c r="D13" s="272">
        <f>B13/'- 7 -'!C13</f>
        <v>6955.7445788906198</v>
      </c>
      <c r="E13" s="272">
        <f>SUM('- 21 -'!B13,'- 21 -'!E13,'- 21 -'!H13,'- 22 -'!B13,'- 22 -'!E13,'- 22 -'!H13)</f>
        <v>20789300</v>
      </c>
      <c r="F13" s="273">
        <f>E13/'- 3 -'!D13*100</f>
        <v>21.220370608541923</v>
      </c>
      <c r="G13" s="272">
        <f>E13/'- 7 -'!E13</f>
        <v>2490.6313645621181</v>
      </c>
      <c r="H13" s="272">
        <f>SUM('- 23 -'!D13,'- 23 -'!B13)</f>
        <v>0</v>
      </c>
      <c r="I13" s="273">
        <f>H13/'- 3 -'!D13*100</f>
        <v>0</v>
      </c>
    </row>
    <row r="14" spans="1:54" ht="14.1" customHeight="1">
      <c r="A14" s="15" t="s">
        <v>319</v>
      </c>
      <c r="B14" s="16">
        <f>SUM('- 18 -'!B14,'- 18 -'!E14,'- 19 -'!B14,'- 19 -'!E14,'- 19 -'!H14,'- 20 -'!B14)</f>
        <v>48681131</v>
      </c>
      <c r="C14" s="267">
        <f>B14/'- 3 -'!D14*100</f>
        <v>56.464977825426246</v>
      </c>
      <c r="D14" s="16">
        <f>B14/'- 7 -'!C14</f>
        <v>8870.4684766763839</v>
      </c>
      <c r="E14" s="16">
        <f>SUM('- 21 -'!B14,'- 21 -'!E14,'- 21 -'!H14,'- 22 -'!B14,'- 22 -'!E14,'- 22 -'!H14)</f>
        <v>10019952</v>
      </c>
      <c r="F14" s="267">
        <f>E14/'- 3 -'!D14*100</f>
        <v>11.622087570065604</v>
      </c>
      <c r="G14" s="16">
        <f>E14/'- 7 -'!E14</f>
        <v>1825.793002915452</v>
      </c>
      <c r="H14" s="16">
        <f>SUM('- 23 -'!D14,'- 23 -'!B14)</f>
        <v>254240</v>
      </c>
      <c r="I14" s="267">
        <f>H14/'- 3 -'!D14*100</f>
        <v>0.29489158668758886</v>
      </c>
    </row>
    <row r="15" spans="1:54" ht="14.1" customHeight="1">
      <c r="A15" s="271" t="s">
        <v>111</v>
      </c>
      <c r="B15" s="272">
        <f>SUM('- 18 -'!B15,'- 18 -'!E15,'- 19 -'!B15,'- 19 -'!E15,'- 19 -'!H15,'- 20 -'!B15)</f>
        <v>10768033</v>
      </c>
      <c r="C15" s="273">
        <f>B15/'- 3 -'!D15*100</f>
        <v>52.759766332963473</v>
      </c>
      <c r="D15" s="272">
        <f>B15/'- 7 -'!C15</f>
        <v>7862.7477181453087</v>
      </c>
      <c r="E15" s="272">
        <f>SUM('- 21 -'!B15,'- 21 -'!E15,'- 21 -'!H15,'- 22 -'!B15,'- 22 -'!E15,'- 22 -'!H15)</f>
        <v>3436400</v>
      </c>
      <c r="F15" s="273">
        <f>E15/'- 3 -'!D15*100</f>
        <v>16.83721261130939</v>
      </c>
      <c r="G15" s="272">
        <f>E15/'- 7 -'!E15</f>
        <v>2509.2369477911648</v>
      </c>
      <c r="H15" s="272">
        <f>SUM('- 23 -'!D15,'- 23 -'!B15)</f>
        <v>0</v>
      </c>
      <c r="I15" s="273">
        <f>H15/'- 3 -'!D15*100</f>
        <v>0</v>
      </c>
    </row>
    <row r="16" spans="1:54" ht="14.1" customHeight="1">
      <c r="A16" s="15" t="s">
        <v>112</v>
      </c>
      <c r="B16" s="16">
        <f>SUM('- 18 -'!B16,'- 18 -'!E16,'- 19 -'!B16,'- 19 -'!E16,'- 19 -'!H16,'- 20 -'!B16)</f>
        <v>7883609</v>
      </c>
      <c r="C16" s="267">
        <f>B16/'- 3 -'!D16*100</f>
        <v>53.92750795699348</v>
      </c>
      <c r="D16" s="16">
        <f>B16/'- 7 -'!C16</f>
        <v>8233.534203655352</v>
      </c>
      <c r="E16" s="16">
        <f>SUM('- 21 -'!B16,'- 21 -'!E16,'- 21 -'!H16,'- 22 -'!B16,'- 22 -'!E16,'- 22 -'!H16)</f>
        <v>2665685</v>
      </c>
      <c r="F16" s="267">
        <f>E16/'- 3 -'!D16*100</f>
        <v>18.234510241228119</v>
      </c>
      <c r="G16" s="16">
        <f>E16/'- 7 -'!E16</f>
        <v>2784.0052219321151</v>
      </c>
      <c r="H16" s="16">
        <f>SUM('- 23 -'!D16,'- 23 -'!B16)</f>
        <v>92300</v>
      </c>
      <c r="I16" s="267">
        <f>H16/'- 3 -'!D16*100</f>
        <v>0.63137441042934761</v>
      </c>
    </row>
    <row r="17" spans="1:9" ht="14.1" customHeight="1">
      <c r="A17" s="271" t="s">
        <v>113</v>
      </c>
      <c r="B17" s="272">
        <f>SUM('- 18 -'!B17,'- 18 -'!E17,'- 19 -'!B17,'- 19 -'!E17,'- 19 -'!H17,'- 20 -'!B17)</f>
        <v>10353012</v>
      </c>
      <c r="C17" s="273">
        <f>B17/'- 3 -'!D17*100</f>
        <v>56.832897805257986</v>
      </c>
      <c r="D17" s="272">
        <f>B17/'- 7 -'!C17</f>
        <v>7615.3085693269586</v>
      </c>
      <c r="E17" s="272">
        <f>SUM('- 21 -'!B17,'- 21 -'!E17,'- 21 -'!H17,'- 22 -'!B17,'- 22 -'!E17,'- 22 -'!H17)</f>
        <v>2423272</v>
      </c>
      <c r="F17" s="273">
        <f>E17/'- 3 -'!D17*100</f>
        <v>13.302560639391043</v>
      </c>
      <c r="G17" s="272">
        <f>E17/'- 7 -'!E17</f>
        <v>1782.4729680029423</v>
      </c>
      <c r="H17" s="272">
        <f>SUM('- 23 -'!D17,'- 23 -'!B17)</f>
        <v>0</v>
      </c>
      <c r="I17" s="273">
        <f>H17/'- 3 -'!D17*100</f>
        <v>0</v>
      </c>
    </row>
    <row r="18" spans="1:9" ht="14.1" customHeight="1">
      <c r="A18" s="15" t="s">
        <v>114</v>
      </c>
      <c r="B18" s="16">
        <f>SUM('- 18 -'!B18,'- 18 -'!E18,'- 19 -'!B18,'- 19 -'!E18,'- 19 -'!H18,'- 20 -'!B18)</f>
        <v>55582985</v>
      </c>
      <c r="C18" s="267">
        <f>B18/'- 3 -'!D18*100</f>
        <v>42.127849504543825</v>
      </c>
      <c r="D18" s="16">
        <f>B18/'- 7 -'!C18</f>
        <v>8929.5673617581851</v>
      </c>
      <c r="E18" s="16">
        <f>SUM('- 21 -'!B18,'- 21 -'!E18,'- 21 -'!H18,'- 22 -'!B18,'- 22 -'!E18,'- 22 -'!H18)</f>
        <v>20853351</v>
      </c>
      <c r="F18" s="267">
        <f>E18/'- 3 -'!D18*100</f>
        <v>15.805319426321354</v>
      </c>
      <c r="G18" s="16">
        <f>E18/'- 7 -'!E18</f>
        <v>3350.1511743726501</v>
      </c>
      <c r="H18" s="16">
        <f>SUM('- 23 -'!D18,'- 23 -'!B18)</f>
        <v>2086070</v>
      </c>
      <c r="I18" s="267">
        <f>H18/'- 3 -'!D18*100</f>
        <v>1.5810889432430399</v>
      </c>
    </row>
    <row r="19" spans="1:9" ht="14.1" customHeight="1">
      <c r="A19" s="271" t="s">
        <v>115</v>
      </c>
      <c r="B19" s="272">
        <f>SUM('- 18 -'!B19,'- 18 -'!E19,'- 19 -'!B19,'- 19 -'!E19,'- 19 -'!H19,'- 20 -'!B19)</f>
        <v>26464750</v>
      </c>
      <c r="C19" s="273">
        <f>B19/'- 3 -'!D19*100</f>
        <v>56.97664204724294</v>
      </c>
      <c r="D19" s="272">
        <f>B19/'- 7 -'!C19</f>
        <v>6274.2413466097678</v>
      </c>
      <c r="E19" s="272">
        <f>SUM('- 21 -'!B19,'- 21 -'!E19,'- 21 -'!H19,'- 22 -'!B19,'- 22 -'!E19,'- 22 -'!H19)</f>
        <v>8658300</v>
      </c>
      <c r="F19" s="273">
        <f>E19/'- 3 -'!D19*100</f>
        <v>18.64067712098711</v>
      </c>
      <c r="G19" s="272">
        <f>E19/'- 7 -'!E19</f>
        <v>2052.7027027027025</v>
      </c>
      <c r="H19" s="272">
        <f>SUM('- 23 -'!D19,'- 23 -'!B19)</f>
        <v>0</v>
      </c>
      <c r="I19" s="273">
        <f>H19/'- 3 -'!D19*100</f>
        <v>0</v>
      </c>
    </row>
    <row r="20" spans="1:9" ht="14.1" customHeight="1">
      <c r="A20" s="15" t="s">
        <v>116</v>
      </c>
      <c r="B20" s="16">
        <f>SUM('- 18 -'!B20,'- 18 -'!E20,'- 19 -'!B20,'- 19 -'!E20,'- 19 -'!H20,'- 20 -'!B20)</f>
        <v>49709400</v>
      </c>
      <c r="C20" s="267">
        <f>B20/'- 3 -'!D20*100</f>
        <v>60.407582938388629</v>
      </c>
      <c r="D20" s="16">
        <f>B20/'- 7 -'!C20</f>
        <v>6557.5357826000927</v>
      </c>
      <c r="E20" s="16">
        <f>SUM('- 21 -'!B20,'- 21 -'!E20,'- 21 -'!H20,'- 22 -'!B20,'- 22 -'!E20,'- 22 -'!H20)</f>
        <v>12281300</v>
      </c>
      <c r="F20" s="267">
        <f>E20/'- 3 -'!D20*100</f>
        <v>14.924413659010815</v>
      </c>
      <c r="G20" s="16">
        <f>E20/'- 7 -'!E20</f>
        <v>1620.1174065035289</v>
      </c>
      <c r="H20" s="16">
        <f>SUM('- 23 -'!D20,'- 23 -'!B20)</f>
        <v>0</v>
      </c>
      <c r="I20" s="267">
        <f>H20/'- 3 -'!D20*100</f>
        <v>0</v>
      </c>
    </row>
    <row r="21" spans="1:9" ht="14.1" customHeight="1">
      <c r="A21" s="271" t="s">
        <v>117</v>
      </c>
      <c r="B21" s="272">
        <f>SUM('- 18 -'!B21,'- 18 -'!E21,'- 19 -'!B21,'- 19 -'!E21,'- 19 -'!H21,'- 20 -'!B21)</f>
        <v>20968290</v>
      </c>
      <c r="C21" s="273">
        <f>B21/'- 3 -'!D21*100</f>
        <v>57.650037384850329</v>
      </c>
      <c r="D21" s="272">
        <f>B21/'- 7 -'!C21</f>
        <v>7748.8137472283815</v>
      </c>
      <c r="E21" s="272">
        <f>SUM('- 21 -'!B21,'- 21 -'!E21,'- 21 -'!H21,'- 22 -'!B21,'- 22 -'!E21,'- 22 -'!H21)</f>
        <v>5901000</v>
      </c>
      <c r="F21" s="273">
        <f>E21/'- 3 -'!D21*100</f>
        <v>16.224158985210611</v>
      </c>
      <c r="G21" s="272">
        <f>E21/'- 7 -'!E21</f>
        <v>2180.7095343680708</v>
      </c>
      <c r="H21" s="272">
        <f>SUM('- 23 -'!D21,'- 23 -'!B21)</f>
        <v>0</v>
      </c>
      <c r="I21" s="273">
        <f>H21/'- 3 -'!D21*100</f>
        <v>0</v>
      </c>
    </row>
    <row r="22" spans="1:9" ht="14.1" customHeight="1">
      <c r="A22" s="15" t="s">
        <v>118</v>
      </c>
      <c r="B22" s="16">
        <f>SUM('- 18 -'!B22,'- 18 -'!E22,'- 19 -'!B22,'- 19 -'!E22,'- 19 -'!H22,'- 20 -'!B22)</f>
        <v>10110399</v>
      </c>
      <c r="C22" s="267">
        <f>B22/'- 3 -'!D22*100</f>
        <v>48.909226992841731</v>
      </c>
      <c r="D22" s="16">
        <f>B22/'- 7 -'!C22</f>
        <v>6488.5117443203699</v>
      </c>
      <c r="E22" s="16">
        <f>SUM('- 21 -'!B22,'- 21 -'!E22,'- 21 -'!H22,'- 22 -'!B22,'- 22 -'!E22,'- 22 -'!H22)</f>
        <v>4870251</v>
      </c>
      <c r="F22" s="267">
        <f>E22/'- 3 -'!D22*100</f>
        <v>23.559921984395913</v>
      </c>
      <c r="G22" s="16">
        <f>E22/'- 7 -'!E22</f>
        <v>3125.5621871390063</v>
      </c>
      <c r="H22" s="16">
        <f>SUM('- 23 -'!D22,'- 23 -'!B22)</f>
        <v>608075</v>
      </c>
      <c r="I22" s="267">
        <f>H22/'- 3 -'!D22*100</f>
        <v>2.9415731469818587</v>
      </c>
    </row>
    <row r="23" spans="1:9" ht="14.1" customHeight="1">
      <c r="A23" s="271" t="s">
        <v>119</v>
      </c>
      <c r="B23" s="272">
        <f>SUM('- 18 -'!B23,'- 18 -'!E23,'- 19 -'!B23,'- 19 -'!E23,'- 19 -'!H23,'- 20 -'!B23)</f>
        <v>8925749</v>
      </c>
      <c r="C23" s="273">
        <f>B23/'- 3 -'!D23*100</f>
        <v>53.152392958128182</v>
      </c>
      <c r="D23" s="272">
        <f>B23/'- 7 -'!C23</f>
        <v>8012.342010771993</v>
      </c>
      <c r="E23" s="272">
        <f>SUM('- 21 -'!B23,'- 21 -'!E23,'- 21 -'!H23,'- 22 -'!B23,'- 22 -'!E23,'- 22 -'!H23)</f>
        <v>2928950</v>
      </c>
      <c r="F23" s="273">
        <f>E23/'- 3 -'!D23*100</f>
        <v>17.441752098866946</v>
      </c>
      <c r="G23" s="272">
        <f>E23/'- 7 -'!E23</f>
        <v>2629.2190305206464</v>
      </c>
      <c r="H23" s="272">
        <f>SUM('- 23 -'!D23,'- 23 -'!B23)</f>
        <v>239300</v>
      </c>
      <c r="I23" s="273">
        <f>H23/'- 3 -'!D23*100</f>
        <v>1.4250196409152973</v>
      </c>
    </row>
    <row r="24" spans="1:9" ht="14.1" customHeight="1">
      <c r="A24" s="15" t="s">
        <v>120</v>
      </c>
      <c r="B24" s="16">
        <f>SUM('- 18 -'!B24,'- 18 -'!E24,'- 19 -'!B24,'- 19 -'!E24,'- 19 -'!H24,'- 20 -'!B24)</f>
        <v>33778319</v>
      </c>
      <c r="C24" s="267">
        <f>B24/'- 3 -'!D24*100</f>
        <v>58.131061848005452</v>
      </c>
      <c r="D24" s="16">
        <f>B24/'- 7 -'!C24</f>
        <v>8550.3908366029609</v>
      </c>
      <c r="E24" s="16">
        <f>SUM('- 21 -'!B24,'- 21 -'!E24,'- 21 -'!H24,'- 22 -'!B24,'- 22 -'!E24,'- 22 -'!H24)</f>
        <v>9476368</v>
      </c>
      <c r="F24" s="267">
        <f>E24/'- 3 -'!D24*100</f>
        <v>16.308429507769752</v>
      </c>
      <c r="G24" s="16">
        <f>E24/'- 7 -'!E24</f>
        <v>2398.7768636881406</v>
      </c>
      <c r="H24" s="16">
        <f>SUM('- 23 -'!D24,'- 23 -'!B24)</f>
        <v>337880</v>
      </c>
      <c r="I24" s="267">
        <f>H24/'- 3 -'!D24*100</f>
        <v>0.58147722440551541</v>
      </c>
    </row>
    <row r="25" spans="1:9" ht="14.1" customHeight="1">
      <c r="A25" s="271" t="s">
        <v>121</v>
      </c>
      <c r="B25" s="272">
        <f>SUM('- 18 -'!B25,'- 18 -'!E25,'- 19 -'!B25,'- 19 -'!E25,'- 19 -'!H25,'- 20 -'!B25)</f>
        <v>101520843</v>
      </c>
      <c r="C25" s="273">
        <f>B25/'- 3 -'!D25*100</f>
        <v>58.1104134135213</v>
      </c>
      <c r="D25" s="272">
        <f>B25/'- 7 -'!C25</f>
        <v>7109.0538146423442</v>
      </c>
      <c r="E25" s="272">
        <f>SUM('- 21 -'!B25,'- 21 -'!E25,'- 21 -'!H25,'- 22 -'!B25,'- 22 -'!E25,'- 22 -'!H25)</f>
        <v>32452575</v>
      </c>
      <c r="F25" s="273">
        <f>E25/'- 3 -'!D25*100</f>
        <v>18.575816491036289</v>
      </c>
      <c r="G25" s="272">
        <f>E25/'- 7 -'!E25</f>
        <v>2272.509716046357</v>
      </c>
      <c r="H25" s="272">
        <f>SUM('- 23 -'!D25,'- 23 -'!B25)</f>
        <v>545977</v>
      </c>
      <c r="I25" s="273">
        <f>H25/'- 3 -'!D25*100</f>
        <v>0.31251660493278333</v>
      </c>
    </row>
    <row r="26" spans="1:9" ht="14.1" customHeight="1">
      <c r="A26" s="15" t="s">
        <v>122</v>
      </c>
      <c r="B26" s="16">
        <f>SUM('- 18 -'!B26,'- 18 -'!E26,'- 19 -'!B26,'- 19 -'!E26,'- 19 -'!H26,'- 20 -'!B26)</f>
        <v>23142241</v>
      </c>
      <c r="C26" s="267">
        <f>B26/'- 3 -'!D26*100</f>
        <v>56.694503324011983</v>
      </c>
      <c r="D26" s="16">
        <f>B26/'- 7 -'!C26</f>
        <v>7323.2622385367558</v>
      </c>
      <c r="E26" s="16">
        <f>SUM('- 21 -'!B26,'- 21 -'!E26,'- 21 -'!H26,'- 22 -'!B26,'- 22 -'!E26,'- 22 -'!H26)</f>
        <v>5742749</v>
      </c>
      <c r="F26" s="267">
        <f>E26/'- 3 -'!D26*100</f>
        <v>14.068745644359442</v>
      </c>
      <c r="G26" s="16">
        <f>E26/'- 7 -'!E26</f>
        <v>1817.2681244264422</v>
      </c>
      <c r="H26" s="16">
        <f>SUM('- 23 -'!D26,'- 23 -'!B26)</f>
        <v>0</v>
      </c>
      <c r="I26" s="267">
        <f>H26/'- 3 -'!D26*100</f>
        <v>0</v>
      </c>
    </row>
    <row r="27" spans="1:9" ht="14.1" customHeight="1">
      <c r="A27" s="271" t="s">
        <v>123</v>
      </c>
      <c r="B27" s="272">
        <f>SUM('- 18 -'!B27,'- 18 -'!E27,'- 19 -'!B27,'- 19 -'!E27,'- 19 -'!H27,'- 20 -'!B27)</f>
        <v>24533919</v>
      </c>
      <c r="C27" s="273">
        <f>B27/'- 3 -'!D27*100</f>
        <v>56.057028286797973</v>
      </c>
      <c r="D27" s="272">
        <f>B27/'- 7 -'!C27</f>
        <v>8430.8586113961137</v>
      </c>
      <c r="E27" s="272">
        <f>SUM('- 21 -'!B27,'- 21 -'!E27,'- 21 -'!H27,'- 22 -'!B27,'- 22 -'!E27,'- 22 -'!H27)</f>
        <v>8661692</v>
      </c>
      <c r="F27" s="273">
        <f>E27/'- 3 -'!D27*100</f>
        <v>19.79091532239638</v>
      </c>
      <c r="G27" s="272">
        <f>E27/'- 7 -'!E27</f>
        <v>2976.5118482481676</v>
      </c>
      <c r="H27" s="272">
        <f>SUM('- 23 -'!D27,'- 23 -'!B27)</f>
        <v>0</v>
      </c>
      <c r="I27" s="273">
        <f>H27/'- 3 -'!D27*100</f>
        <v>0</v>
      </c>
    </row>
    <row r="28" spans="1:9" ht="14.1" customHeight="1">
      <c r="A28" s="15" t="s">
        <v>124</v>
      </c>
      <c r="B28" s="16">
        <f>SUM('- 18 -'!B28,'- 18 -'!E28,'- 19 -'!B28,'- 19 -'!E28,'- 19 -'!H28,'- 20 -'!B28)</f>
        <v>16776528</v>
      </c>
      <c r="C28" s="267">
        <f>B28/'- 3 -'!D28*100</f>
        <v>58.513908596659434</v>
      </c>
      <c r="D28" s="16">
        <f>B28/'- 7 -'!C28</f>
        <v>8623.2474942174249</v>
      </c>
      <c r="E28" s="16">
        <f>SUM('- 21 -'!B28,'- 21 -'!E28,'- 21 -'!H28,'- 22 -'!B28,'- 22 -'!E28,'- 22 -'!H28)</f>
        <v>3858010</v>
      </c>
      <c r="F28" s="267">
        <f>E28/'- 3 -'!D28*100</f>
        <v>13.456136126914823</v>
      </c>
      <c r="G28" s="16">
        <f>E28/'- 7 -'!E28</f>
        <v>1983.0429195579543</v>
      </c>
      <c r="H28" s="16">
        <f>SUM('- 23 -'!D28,'- 23 -'!B28)</f>
        <v>117634</v>
      </c>
      <c r="I28" s="267">
        <f>H28/'- 3 -'!D28*100</f>
        <v>0.41028901354675029</v>
      </c>
    </row>
    <row r="29" spans="1:9" ht="14.1" customHeight="1">
      <c r="A29" s="271" t="s">
        <v>125</v>
      </c>
      <c r="B29" s="272">
        <f>SUM('- 18 -'!B29,'- 18 -'!E29,'- 19 -'!B29,'- 19 -'!E29,'- 19 -'!H29,'- 20 -'!B29)</f>
        <v>90785830</v>
      </c>
      <c r="C29" s="273">
        <f>B29/'- 3 -'!D29*100</f>
        <v>57.340134202035529</v>
      </c>
      <c r="D29" s="272">
        <f>B29/'- 7 -'!C29</f>
        <v>7160.3304677024998</v>
      </c>
      <c r="E29" s="272">
        <f>SUM('- 21 -'!B29,'- 21 -'!E29,'- 21 -'!H29,'- 22 -'!B29,'- 22 -'!E29,'- 22 -'!H29)</f>
        <v>29115600</v>
      </c>
      <c r="F29" s="273">
        <f>E29/'- 3 -'!D29*100</f>
        <v>18.389350093211526</v>
      </c>
      <c r="G29" s="272">
        <f>E29/'- 7 -'!E29</f>
        <v>2296.364066566764</v>
      </c>
      <c r="H29" s="272">
        <f>SUM('- 23 -'!D29,'- 23 -'!B29)</f>
        <v>0</v>
      </c>
      <c r="I29" s="273">
        <f>H29/'- 3 -'!D29*100</f>
        <v>0</v>
      </c>
    </row>
    <row r="30" spans="1:9" ht="14.1" customHeight="1">
      <c r="A30" s="15" t="s">
        <v>126</v>
      </c>
      <c r="B30" s="16">
        <f>SUM('- 18 -'!B30,'- 18 -'!E30,'- 19 -'!B30,'- 19 -'!E30,'- 19 -'!H30,'- 20 -'!B30)</f>
        <v>8750463</v>
      </c>
      <c r="C30" s="267">
        <f>B30/'- 3 -'!D30*100</f>
        <v>59.487268630562681</v>
      </c>
      <c r="D30" s="16">
        <f>B30/'- 7 -'!C30</f>
        <v>8715.6005976095621</v>
      </c>
      <c r="E30" s="16">
        <f>SUM('- 21 -'!B30,'- 21 -'!E30,'- 21 -'!H30,'- 22 -'!B30,'- 22 -'!E30,'- 22 -'!H30)</f>
        <v>1702495</v>
      </c>
      <c r="F30" s="267">
        <f>E30/'- 3 -'!D30*100</f>
        <v>11.573876423132104</v>
      </c>
      <c r="G30" s="16">
        <f>E30/'- 7 -'!E30</f>
        <v>1695.7121513944223</v>
      </c>
      <c r="H30" s="16">
        <f>SUM('- 23 -'!D30,'- 23 -'!B30)</f>
        <v>0</v>
      </c>
      <c r="I30" s="267">
        <f>H30/'- 3 -'!D30*100</f>
        <v>0</v>
      </c>
    </row>
    <row r="31" spans="1:9" ht="14.1" customHeight="1">
      <c r="A31" s="271" t="s">
        <v>127</v>
      </c>
      <c r="B31" s="272">
        <f>SUM('- 18 -'!B31,'- 18 -'!E31,'- 19 -'!B31,'- 19 -'!E31,'- 19 -'!H31,'- 20 -'!B31)</f>
        <v>21643398</v>
      </c>
      <c r="C31" s="273">
        <f>B31/'- 3 -'!D31*100</f>
        <v>57.450572923750642</v>
      </c>
      <c r="D31" s="272">
        <f>B31/'- 7 -'!C31</f>
        <v>6721.5521739130436</v>
      </c>
      <c r="E31" s="272">
        <f>SUM('- 21 -'!B31,'- 21 -'!E31,'- 21 -'!H31,'- 22 -'!B31,'- 22 -'!E31,'- 22 -'!H31)</f>
        <v>7101567</v>
      </c>
      <c r="F31" s="273">
        <f>E31/'- 3 -'!D31*100</f>
        <v>18.850510109660277</v>
      </c>
      <c r="G31" s="272">
        <f>E31/'- 7 -'!E31</f>
        <v>2205.4555900621117</v>
      </c>
      <c r="H31" s="272">
        <f>SUM('- 23 -'!D31,'- 23 -'!B31)</f>
        <v>0</v>
      </c>
      <c r="I31" s="273">
        <f>H31/'- 3 -'!D31*100</f>
        <v>0</v>
      </c>
    </row>
    <row r="32" spans="1:9" ht="14.1" customHeight="1">
      <c r="A32" s="15" t="s">
        <v>128</v>
      </c>
      <c r="B32" s="16">
        <f>SUM('- 18 -'!B32,'- 18 -'!E32,'- 19 -'!B32,'- 19 -'!E32,'- 19 -'!H32,'- 20 -'!B32)</f>
        <v>17653086</v>
      </c>
      <c r="C32" s="267">
        <f>B32/'- 3 -'!D32*100</f>
        <v>58.313295564815348</v>
      </c>
      <c r="D32" s="16">
        <f>B32/'- 7 -'!C32</f>
        <v>8094.0330123796421</v>
      </c>
      <c r="E32" s="16">
        <f>SUM('- 21 -'!B32,'- 21 -'!E32,'- 21 -'!H32,'- 22 -'!B32,'- 22 -'!E32,'- 22 -'!H32)</f>
        <v>4443017</v>
      </c>
      <c r="F32" s="267">
        <f>E32/'- 3 -'!D32*100</f>
        <v>14.67658195969244</v>
      </c>
      <c r="G32" s="16">
        <f>E32/'- 7 -'!E32</f>
        <v>2037.1467216872993</v>
      </c>
      <c r="H32" s="16">
        <f>SUM('- 23 -'!D32,'- 23 -'!B32)</f>
        <v>285948</v>
      </c>
      <c r="I32" s="267">
        <f>H32/'- 3 -'!D32*100</f>
        <v>0.94456970527237105</v>
      </c>
    </row>
    <row r="33" spans="1:10" ht="14.1" customHeight="1">
      <c r="A33" s="271" t="s">
        <v>129</v>
      </c>
      <c r="B33" s="272">
        <f>SUM('- 18 -'!B33,'- 18 -'!E33,'- 19 -'!B33,'- 19 -'!E33,'- 19 -'!H33,'- 20 -'!B33)</f>
        <v>16234950</v>
      </c>
      <c r="C33" s="273">
        <f>B33/'- 3 -'!D33*100</f>
        <v>58.12488923656921</v>
      </c>
      <c r="D33" s="272">
        <f>B33/'- 7 -'!C33</f>
        <v>8061.0476663356503</v>
      </c>
      <c r="E33" s="272">
        <f>SUM('- 21 -'!B33,'- 21 -'!E33,'- 21 -'!H33,'- 22 -'!B33,'- 22 -'!E33,'- 22 -'!H33)</f>
        <v>3710800</v>
      </c>
      <c r="F33" s="273">
        <f>E33/'- 3 -'!D33*100</f>
        <v>13.285525300605238</v>
      </c>
      <c r="G33" s="272">
        <f>E33/'- 7 -'!E33</f>
        <v>1842.5024826216484</v>
      </c>
      <c r="H33" s="272">
        <f>SUM('- 23 -'!D33,'- 23 -'!B33)</f>
        <v>0</v>
      </c>
      <c r="I33" s="273">
        <f>H33/'- 3 -'!D33*100</f>
        <v>0</v>
      </c>
    </row>
    <row r="34" spans="1:10" ht="14.1" customHeight="1">
      <c r="A34" s="15" t="s">
        <v>130</v>
      </c>
      <c r="B34" s="16">
        <f>SUM('- 18 -'!B34,'- 18 -'!E34,'- 19 -'!B34,'- 19 -'!E34,'- 19 -'!H34,'- 20 -'!B34)</f>
        <v>16256827</v>
      </c>
      <c r="C34" s="267">
        <f>B34/'- 3 -'!D34*100</f>
        <v>55.004859372559658</v>
      </c>
      <c r="D34" s="16">
        <f>B34/'- 7 -'!C34</f>
        <v>8156.9628700451576</v>
      </c>
      <c r="E34" s="16">
        <f>SUM('- 21 -'!B34,'- 21 -'!E34,'- 21 -'!H34,'- 22 -'!B34,'- 22 -'!E34,'- 22 -'!H34)</f>
        <v>4744783</v>
      </c>
      <c r="F34" s="267">
        <f>E34/'- 3 -'!D34*100</f>
        <v>16.053939779780624</v>
      </c>
      <c r="G34" s="16">
        <f>E34/'- 7 -'!E34</f>
        <v>2380.7240341194179</v>
      </c>
      <c r="H34" s="16">
        <f>SUM('- 23 -'!D34,'- 23 -'!B34)</f>
        <v>0</v>
      </c>
      <c r="I34" s="267">
        <f>H34/'- 3 -'!D34*100</f>
        <v>0</v>
      </c>
    </row>
    <row r="35" spans="1:10" ht="14.1" customHeight="1">
      <c r="A35" s="271" t="s">
        <v>131</v>
      </c>
      <c r="B35" s="272">
        <f>SUM('- 18 -'!B35,'- 18 -'!E35,'- 19 -'!B35,'- 19 -'!E35,'- 19 -'!H35,'- 20 -'!B35)</f>
        <v>104153430</v>
      </c>
      <c r="C35" s="273">
        <f>B35/'- 3 -'!D35*100</f>
        <v>57.529483414017321</v>
      </c>
      <c r="D35" s="272">
        <f>B35/'- 7 -'!C35</f>
        <v>6738.7053571428569</v>
      </c>
      <c r="E35" s="272">
        <f>SUM('- 21 -'!B35,'- 21 -'!E35,'- 21 -'!H35,'- 22 -'!B35,'- 22 -'!E35,'- 22 -'!H35)</f>
        <v>34781090</v>
      </c>
      <c r="F35" s="273">
        <f>E35/'- 3 -'!D35*100</f>
        <v>19.211447383695802</v>
      </c>
      <c r="G35" s="272">
        <f>E35/'- 7 -'!E35</f>
        <v>2250.3293219461698</v>
      </c>
      <c r="H35" s="272">
        <f>SUM('- 23 -'!D35,'- 23 -'!B35)</f>
        <v>0</v>
      </c>
      <c r="I35" s="273">
        <f>H35/'- 3 -'!D35*100</f>
        <v>0</v>
      </c>
    </row>
    <row r="36" spans="1:10" ht="14.1" customHeight="1">
      <c r="A36" s="15" t="s">
        <v>132</v>
      </c>
      <c r="B36" s="16">
        <f>SUM('- 18 -'!B36,'- 18 -'!E36,'- 19 -'!B36,'- 19 -'!E36,'- 19 -'!H36,'- 20 -'!B36)</f>
        <v>13727375</v>
      </c>
      <c r="C36" s="267">
        <f>B36/'- 3 -'!D36*100</f>
        <v>58.001551088201822</v>
      </c>
      <c r="D36" s="16">
        <f>B36/'- 7 -'!C36</f>
        <v>8281.9758672699845</v>
      </c>
      <c r="E36" s="16">
        <f>SUM('- 21 -'!B36,'- 21 -'!E36,'- 21 -'!H36,'- 22 -'!B36,'- 22 -'!E36,'- 22 -'!H36)</f>
        <v>3109485</v>
      </c>
      <c r="F36" s="267">
        <f>E36/'- 3 -'!D36*100</f>
        <v>13.138342405995118</v>
      </c>
      <c r="G36" s="16">
        <f>E36/'- 7 -'!E36</f>
        <v>1876.0090497737556</v>
      </c>
      <c r="H36" s="16">
        <f>SUM('- 23 -'!D36,'- 23 -'!B36)</f>
        <v>0</v>
      </c>
      <c r="I36" s="267">
        <f>H36/'- 3 -'!D36*100</f>
        <v>0</v>
      </c>
    </row>
    <row r="37" spans="1:10" ht="14.1" customHeight="1">
      <c r="A37" s="271" t="s">
        <v>133</v>
      </c>
      <c r="B37" s="272">
        <f>SUM('- 18 -'!B37,'- 18 -'!E37,'- 19 -'!B37,'- 19 -'!E37,'- 19 -'!H37,'- 20 -'!B37)</f>
        <v>29053675</v>
      </c>
      <c r="C37" s="273">
        <f>B37/'- 3 -'!D37*100</f>
        <v>58.114207476482228</v>
      </c>
      <c r="D37" s="272">
        <f>B37/'- 7 -'!C37</f>
        <v>7080.2181064944562</v>
      </c>
      <c r="E37" s="272">
        <f>SUM('- 21 -'!B37,'- 21 -'!E37,'- 21 -'!H37,'- 22 -'!B37,'- 22 -'!E37,'- 22 -'!H37)</f>
        <v>8478151</v>
      </c>
      <c r="F37" s="273">
        <f>E37/'- 3 -'!D37*100</f>
        <v>16.958303079763411</v>
      </c>
      <c r="G37" s="272">
        <f>E37/'- 7 -'!E37</f>
        <v>2066.0779822103082</v>
      </c>
      <c r="H37" s="272">
        <f>SUM('- 23 -'!D37,'- 23 -'!B37)</f>
        <v>0</v>
      </c>
      <c r="I37" s="273">
        <f>H37/'- 3 -'!D37*100</f>
        <v>0</v>
      </c>
    </row>
    <row r="38" spans="1:10" ht="14.1" customHeight="1">
      <c r="A38" s="15" t="s">
        <v>134</v>
      </c>
      <c r="B38" s="16">
        <f>SUM('- 18 -'!B38,'- 18 -'!E38,'- 19 -'!B38,'- 19 -'!E38,'- 19 -'!H38,'- 20 -'!B38)</f>
        <v>81356229</v>
      </c>
      <c r="C38" s="267">
        <f>B38/'- 3 -'!D38*100</f>
        <v>59.691312057290467</v>
      </c>
      <c r="D38" s="16">
        <f>B38/'- 7 -'!C38</f>
        <v>7391.3172526573999</v>
      </c>
      <c r="E38" s="16">
        <f>SUM('- 21 -'!B38,'- 21 -'!E38,'- 21 -'!H38,'- 22 -'!B38,'- 22 -'!E38,'- 22 -'!H38)</f>
        <v>22793194</v>
      </c>
      <c r="F38" s="267">
        <f>E38/'- 3 -'!D38*100</f>
        <v>16.723435593805124</v>
      </c>
      <c r="G38" s="16">
        <f>E38/'- 7 -'!E38</f>
        <v>2070.7907695103117</v>
      </c>
      <c r="H38" s="16">
        <f>SUM('- 23 -'!D38,'- 23 -'!B38)</f>
        <v>912240</v>
      </c>
      <c r="I38" s="267">
        <f>H38/'- 3 -'!D38*100</f>
        <v>0.66931325579437384</v>
      </c>
    </row>
    <row r="39" spans="1:10" ht="14.1" customHeight="1">
      <c r="A39" s="271" t="s">
        <v>135</v>
      </c>
      <c r="B39" s="272">
        <f>SUM('- 18 -'!B39,'- 18 -'!E39,'- 19 -'!B39,'- 19 -'!E39,'- 19 -'!H39,'- 20 -'!B39)</f>
        <v>12935865</v>
      </c>
      <c r="C39" s="273">
        <f>B39/'- 3 -'!D39*100</f>
        <v>56.491752209810876</v>
      </c>
      <c r="D39" s="272">
        <f>B39/'- 7 -'!C39</f>
        <v>8471.4243614931238</v>
      </c>
      <c r="E39" s="272">
        <f>SUM('- 21 -'!B39,'- 21 -'!E39,'- 21 -'!H39,'- 22 -'!B39,'- 22 -'!E39,'- 22 -'!H39)</f>
        <v>3154045</v>
      </c>
      <c r="F39" s="273">
        <f>E39/'- 3 -'!D39*100</f>
        <v>13.773916827254535</v>
      </c>
      <c r="G39" s="272">
        <f>E39/'- 7 -'!E39</f>
        <v>2065.5173542894563</v>
      </c>
      <c r="H39" s="272">
        <f>SUM('- 23 -'!D39,'- 23 -'!B39)</f>
        <v>0</v>
      </c>
      <c r="I39" s="273">
        <f>H39/'- 3 -'!D39*100</f>
        <v>0</v>
      </c>
    </row>
    <row r="40" spans="1:10" ht="14.1" customHeight="1">
      <c r="A40" s="15" t="s">
        <v>136</v>
      </c>
      <c r="B40" s="16">
        <f>SUM('- 18 -'!B40,'- 18 -'!E40,'- 19 -'!B40,'- 19 -'!E40,'- 19 -'!H40,'- 20 -'!B40)</f>
        <v>59551976</v>
      </c>
      <c r="C40" s="267">
        <f>B40/'- 3 -'!D40*100</f>
        <v>56.474399102933702</v>
      </c>
      <c r="D40" s="16">
        <f>B40/'- 7 -'!C40</f>
        <v>7492.1339606974816</v>
      </c>
      <c r="E40" s="16">
        <f>SUM('- 21 -'!B40,'- 21 -'!E40,'- 21 -'!H40,'- 22 -'!B40,'- 22 -'!E40,'- 22 -'!H40)</f>
        <v>22603126</v>
      </c>
      <c r="F40" s="267">
        <f>E40/'- 3 -'!D40*100</f>
        <v>21.435022721964714</v>
      </c>
      <c r="G40" s="16">
        <f>E40/'- 7 -'!E40</f>
        <v>2843.6612736834163</v>
      </c>
      <c r="H40" s="16">
        <f>SUM('- 23 -'!D40,'- 23 -'!B40)</f>
        <v>0</v>
      </c>
      <c r="I40" s="267">
        <f>H40/'- 3 -'!D40*100</f>
        <v>0</v>
      </c>
    </row>
    <row r="41" spans="1:10" ht="14.1" customHeight="1">
      <c r="A41" s="271" t="s">
        <v>137</v>
      </c>
      <c r="B41" s="272">
        <f>SUM('- 18 -'!B41,'- 18 -'!E41,'- 19 -'!B41,'- 19 -'!E41,'- 19 -'!H41,'- 20 -'!B41)</f>
        <v>34403393</v>
      </c>
      <c r="C41" s="273">
        <f>B41/'- 3 -'!D41*100</f>
        <v>53.807360183477513</v>
      </c>
      <c r="D41" s="272">
        <f>B41/'- 7 -'!C41</f>
        <v>7802.1074951808596</v>
      </c>
      <c r="E41" s="272">
        <f>SUM('- 21 -'!B41,'- 21 -'!E41,'- 21 -'!H41,'- 22 -'!B41,'- 22 -'!E41,'- 22 -'!H41)</f>
        <v>11691164</v>
      </c>
      <c r="F41" s="273">
        <f>E41/'- 3 -'!D41*100</f>
        <v>18.285134617742667</v>
      </c>
      <c r="G41" s="272">
        <f>E41/'- 7 -'!E41</f>
        <v>2651.3582038779905</v>
      </c>
      <c r="H41" s="272">
        <f>SUM('- 23 -'!D41,'- 23 -'!B41)</f>
        <v>1001959</v>
      </c>
      <c r="I41" s="273">
        <f>H41/'- 3 -'!D41*100</f>
        <v>1.5670770845793305</v>
      </c>
    </row>
    <row r="42" spans="1:10" ht="14.1" customHeight="1">
      <c r="A42" s="15" t="s">
        <v>138</v>
      </c>
      <c r="B42" s="16">
        <f>SUM('- 18 -'!B42,'- 18 -'!E42,'- 19 -'!B42,'- 19 -'!E42,'- 19 -'!H42,'- 20 -'!B42)</f>
        <v>11663902</v>
      </c>
      <c r="C42" s="267">
        <f>B42/'- 3 -'!D42*100</f>
        <v>55.244674295712102</v>
      </c>
      <c r="D42" s="16">
        <f>B42/'- 7 -'!C42</f>
        <v>8570.0969875091851</v>
      </c>
      <c r="E42" s="16">
        <f>SUM('- 21 -'!B42,'- 21 -'!E42,'- 21 -'!H42,'- 22 -'!B42,'- 22 -'!E42,'- 22 -'!H42)</f>
        <v>3296341</v>
      </c>
      <c r="F42" s="267">
        <f>E42/'- 3 -'!D42*100</f>
        <v>15.612724190635513</v>
      </c>
      <c r="G42" s="16">
        <f>E42/'- 7 -'!E42</f>
        <v>2421.9992652461424</v>
      </c>
      <c r="H42" s="16">
        <f>SUM('- 23 -'!D42,'- 23 -'!B42)</f>
        <v>0</v>
      </c>
      <c r="I42" s="267">
        <f>H42/'- 3 -'!D42*100</f>
        <v>0</v>
      </c>
    </row>
    <row r="43" spans="1:10" ht="14.1" customHeight="1">
      <c r="A43" s="271" t="s">
        <v>139</v>
      </c>
      <c r="B43" s="272">
        <f>SUM('- 18 -'!B43,'- 18 -'!E43,'- 19 -'!B43,'- 19 -'!E43,'- 19 -'!H43,'- 20 -'!B43)</f>
        <v>7465678</v>
      </c>
      <c r="C43" s="273">
        <f>B43/'- 3 -'!D43*100</f>
        <v>55.927612494374969</v>
      </c>
      <c r="D43" s="272">
        <f>B43/'- 7 -'!C43</f>
        <v>7937.9883040935674</v>
      </c>
      <c r="E43" s="272">
        <f>SUM('- 21 -'!B43,'- 21 -'!E43,'- 21 -'!H43,'- 22 -'!B43,'- 22 -'!E43,'- 22 -'!H43)</f>
        <v>2252819</v>
      </c>
      <c r="F43" s="273">
        <f>E43/'- 3 -'!D43*100</f>
        <v>16.876536605511959</v>
      </c>
      <c r="G43" s="272">
        <f>E43/'- 7 -'!E43</f>
        <v>2395.3418394471028</v>
      </c>
      <c r="H43" s="272">
        <f>SUM('- 23 -'!D43,'- 23 -'!B43)</f>
        <v>229524</v>
      </c>
      <c r="I43" s="273">
        <f>H43/'- 3 -'!D43*100</f>
        <v>1.7194324922878967</v>
      </c>
    </row>
    <row r="44" spans="1:10" ht="14.1" customHeight="1">
      <c r="A44" s="15" t="s">
        <v>140</v>
      </c>
      <c r="B44" s="16">
        <f>SUM('- 18 -'!B44,'- 18 -'!E44,'- 19 -'!B44,'- 19 -'!E44,'- 19 -'!H44,'- 20 -'!B44)</f>
        <v>6015655</v>
      </c>
      <c r="C44" s="267">
        <f>B44/'- 3 -'!D44*100</f>
        <v>53.692949754226419</v>
      </c>
      <c r="D44" s="16">
        <f>B44/'- 7 -'!C44</f>
        <v>8581.5335235378025</v>
      </c>
      <c r="E44" s="16">
        <f>SUM('- 21 -'!B44,'- 21 -'!E44,'- 21 -'!H44,'- 22 -'!B44,'- 22 -'!E44,'- 22 -'!H44)</f>
        <v>1835254</v>
      </c>
      <c r="F44" s="267">
        <f>E44/'- 3 -'!D44*100</f>
        <v>16.380627015386199</v>
      </c>
      <c r="G44" s="16">
        <f>E44/'- 7 -'!E44</f>
        <v>2618.0513552068473</v>
      </c>
      <c r="H44" s="16">
        <f>SUM('- 23 -'!D44,'- 23 -'!B44)</f>
        <v>0</v>
      </c>
      <c r="I44" s="267">
        <f>H44/'- 3 -'!D44*100</f>
        <v>0</v>
      </c>
    </row>
    <row r="45" spans="1:10" ht="14.1" customHeight="1">
      <c r="A45" s="271" t="s">
        <v>141</v>
      </c>
      <c r="B45" s="272">
        <f>SUM('- 18 -'!B45,'- 18 -'!E45,'- 19 -'!B45,'- 19 -'!E45,'- 19 -'!H45,'- 20 -'!B45)</f>
        <v>11724282</v>
      </c>
      <c r="C45" s="273">
        <f>B45/'- 3 -'!D45*100</f>
        <v>59.776278738791646</v>
      </c>
      <c r="D45" s="272">
        <f>B45/'- 7 -'!C45</f>
        <v>6888.5323149236192</v>
      </c>
      <c r="E45" s="272">
        <f>SUM('- 21 -'!B45,'- 21 -'!E45,'- 21 -'!H45,'- 22 -'!B45,'- 22 -'!E45,'- 22 -'!H45)</f>
        <v>3004202</v>
      </c>
      <c r="F45" s="273">
        <f>E45/'- 3 -'!D45*100</f>
        <v>15.316930805625056</v>
      </c>
      <c r="G45" s="272">
        <f>E45/'- 7 -'!E45</f>
        <v>1765.1010575793184</v>
      </c>
      <c r="H45" s="272">
        <f>SUM('- 23 -'!D45,'- 23 -'!B45)</f>
        <v>406633</v>
      </c>
      <c r="I45" s="273">
        <f>H45/'- 3 -'!D45*100</f>
        <v>2.0732192856151928</v>
      </c>
    </row>
    <row r="46" spans="1:10" ht="14.1" customHeight="1">
      <c r="A46" s="15" t="s">
        <v>142</v>
      </c>
      <c r="B46" s="16">
        <f>SUM('- 18 -'!B46,'- 18 -'!E46,'- 19 -'!B46,'- 19 -'!E46,'- 19 -'!H46,'- 20 -'!B46)</f>
        <v>206911050</v>
      </c>
      <c r="C46" s="267">
        <f>B46/'- 3 -'!D46*100</f>
        <v>52.816953719605706</v>
      </c>
      <c r="D46" s="16">
        <f>B46/'- 7 -'!C46</f>
        <v>6861.1284278940211</v>
      </c>
      <c r="E46" s="16">
        <f>SUM('- 21 -'!B46,'- 21 -'!E46,'- 21 -'!H46,'- 22 -'!B46,'- 22 -'!E46,'- 22 -'!H46)</f>
        <v>91224750</v>
      </c>
      <c r="F46" s="267">
        <f>E46/'- 3 -'!D46*100</f>
        <v>23.286399633236606</v>
      </c>
      <c r="G46" s="16">
        <f>E46/'- 7 -'!E46</f>
        <v>3024.9941970355139</v>
      </c>
      <c r="H46" s="16">
        <f>SUM('- 23 -'!D46,'- 23 -'!B46)</f>
        <v>756700</v>
      </c>
      <c r="I46" s="267">
        <f>H46/'- 3 -'!D46*100</f>
        <v>0.19315831068290282</v>
      </c>
    </row>
    <row r="47" spans="1:10" ht="5.0999999999999996" customHeight="1">
      <c r="A47"/>
      <c r="B47"/>
      <c r="C47"/>
      <c r="D47"/>
      <c r="E47"/>
      <c r="F47"/>
      <c r="G47"/>
      <c r="H47"/>
      <c r="I47"/>
      <c r="J47"/>
    </row>
    <row r="48" spans="1:10" ht="14.1" customHeight="1">
      <c r="A48" s="274" t="s">
        <v>143</v>
      </c>
      <c r="B48" s="275">
        <f>SUM(B11:B46)</f>
        <v>1289566314</v>
      </c>
      <c r="C48" s="276">
        <f>B48/'- 3 -'!D48*100</f>
        <v>55.79451924280815</v>
      </c>
      <c r="D48" s="275">
        <f>B48/'- 7 -'!C48</f>
        <v>7363.3115717669598</v>
      </c>
      <c r="E48" s="275">
        <f>SUM(E11:E46)</f>
        <v>422296464</v>
      </c>
      <c r="F48" s="276">
        <f>E48/'- 3 -'!D48*100</f>
        <v>18.27112567304378</v>
      </c>
      <c r="G48" s="275">
        <f>E48/'- 7 -'!E48</f>
        <v>2411.2761060285184</v>
      </c>
      <c r="H48" s="275">
        <f>SUM(H11:H46)</f>
        <v>8514548</v>
      </c>
      <c r="I48" s="276">
        <f>H48/'- 3 -'!D48*100</f>
        <v>0.36839137861491444</v>
      </c>
    </row>
    <row r="49" spans="1:9" ht="5.0999999999999996" customHeight="1">
      <c r="A49" s="17" t="s">
        <v>1</v>
      </c>
      <c r="B49" s="18"/>
      <c r="C49" s="266"/>
      <c r="D49" s="18"/>
      <c r="E49" s="18"/>
      <c r="F49" s="266"/>
      <c r="H49" s="18"/>
      <c r="I49" s="266"/>
    </row>
    <row r="50" spans="1:9" ht="14.1" customHeight="1">
      <c r="A50" s="15" t="s">
        <v>144</v>
      </c>
      <c r="B50" s="16">
        <f>SUM('- 18 -'!B50,'- 18 -'!E50,'- 19 -'!B50,'- 19 -'!E50,'- 19 -'!H50,'- 20 -'!B50)</f>
        <v>1963308</v>
      </c>
      <c r="C50" s="267">
        <f>B50/'- 3 -'!D50*100</f>
        <v>56.811869647775367</v>
      </c>
      <c r="D50" s="16">
        <f>B50/'- 7 -'!C50</f>
        <v>12194.459627329192</v>
      </c>
      <c r="E50" s="16">
        <f>SUM('- 21 -'!B50,'- 21 -'!E50,'- 21 -'!H50,'- 22 -'!B50,'- 22 -'!E50,'- 22 -'!H50)</f>
        <v>446934</v>
      </c>
      <c r="F50" s="267">
        <f>E50/'- 3 -'!D50*100</f>
        <v>12.93284403117536</v>
      </c>
      <c r="G50" s="16">
        <f>E50/'- 7 -'!E50</f>
        <v>2775.9875776397516</v>
      </c>
      <c r="H50" s="16">
        <f>SUM('- 23 -'!D50,'- 23 -'!B50)</f>
        <v>0</v>
      </c>
      <c r="I50" s="267">
        <f>H50/'- 3 -'!D50*100</f>
        <v>0</v>
      </c>
    </row>
    <row r="51" spans="1:9" ht="14.1" customHeight="1">
      <c r="A51" s="360" t="s">
        <v>523</v>
      </c>
      <c r="B51" s="272">
        <f>SUM('- 18 -'!B51,'- 18 -'!E51,'- 19 -'!B51,'- 19 -'!E51,'- 19 -'!H51,'- 20 -'!B51)</f>
        <v>5965495</v>
      </c>
      <c r="C51" s="273">
        <f>B51/'- 3 -'!D51*100</f>
        <v>20.179263588016454</v>
      </c>
      <c r="D51" s="272">
        <f>B51/'- 7 -'!C51</f>
        <v>8233.947550034507</v>
      </c>
      <c r="E51" s="272">
        <f>SUM('- 21 -'!B51,'- 21 -'!E51,'- 21 -'!H51,'- 22 -'!B51,'- 22 -'!E51,'- 22 -'!H51)</f>
        <v>624663</v>
      </c>
      <c r="F51" s="273">
        <f>E51/'- 3 -'!D51*100</f>
        <v>2.1130248756693488</v>
      </c>
      <c r="G51" s="272">
        <f>E51/'- 7 -'!E51</f>
        <v>862.19875776397521</v>
      </c>
      <c r="H51" s="272">
        <f>SUM('- 23 -'!D51,'- 23 -'!B51)</f>
        <v>2863135</v>
      </c>
      <c r="I51" s="273">
        <f>H51/'- 3 -'!D51*100</f>
        <v>9.6850229282021854</v>
      </c>
    </row>
    <row r="52" spans="1:9" ht="50.1" customHeight="1">
      <c r="A52"/>
      <c r="B52"/>
      <c r="C52"/>
      <c r="D52"/>
      <c r="E52"/>
      <c r="F52"/>
      <c r="G52"/>
      <c r="H52"/>
      <c r="I52"/>
    </row>
    <row r="53" spans="1:9" ht="15" customHeight="1">
      <c r="A53" s="428"/>
      <c r="B53" s="428"/>
      <c r="C53" s="428"/>
      <c r="D53" s="428"/>
      <c r="E53" s="428"/>
      <c r="F53" s="428"/>
      <c r="G53" s="428"/>
      <c r="H53" s="428"/>
      <c r="I53" s="428"/>
    </row>
    <row r="54" spans="1:9" ht="14.45" customHeight="1">
      <c r="B54" s="72"/>
      <c r="C54" s="72"/>
      <c r="E54" s="72"/>
      <c r="F54" s="72"/>
      <c r="H54" s="72"/>
      <c r="I54" s="72"/>
    </row>
    <row r="55" spans="1:9" ht="14.45" customHeight="1"/>
    <row r="56" spans="1:9" ht="14.45" customHeight="1"/>
    <row r="57" spans="1:9" ht="14.45" customHeight="1"/>
    <row r="58" spans="1:9" ht="14.45" customHeight="1"/>
    <row r="59" spans="1:9" ht="14.45" customHeight="1"/>
  </sheetData>
  <mergeCells count="5">
    <mergeCell ref="B6:D7"/>
    <mergeCell ref="E6:G7"/>
    <mergeCell ref="H6:I7"/>
    <mergeCell ref="D8:D9"/>
    <mergeCell ref="G8:G9"/>
  </mergeCells>
  <phoneticPr fontId="0" type="noConversion"/>
  <printOptions horizontalCentered="1"/>
  <pageMargins left="0.51181102362204722" right="0.51181102362204722" top="0.59055118110236227" bottom="0" header="0.31496062992125984" footer="0"/>
  <pageSetup scale="90" firstPageNumber="14" orientation="portrait" r:id="rId1"/>
  <headerFooter alignWithMargins="0">
    <oddHeader>&amp;C&amp;"Arial,Bold"&amp;10&amp;A</oddHeader>
  </headerFooter>
</worksheet>
</file>

<file path=xl/worksheets/sheet12.xml><?xml version="1.0" encoding="utf-8"?>
<worksheet xmlns="http://schemas.openxmlformats.org/spreadsheetml/2006/main" xmlns:r="http://schemas.openxmlformats.org/officeDocument/2006/relationships">
  <sheetPr codeName="Sheet11">
    <pageSetUpPr fitToPage="1"/>
  </sheetPr>
  <dimension ref="A1:J59"/>
  <sheetViews>
    <sheetView showGridLines="0" showZeros="0" workbookViewId="0"/>
  </sheetViews>
  <sheetFormatPr defaultColWidth="15.83203125" defaultRowHeight="12"/>
  <cols>
    <col min="1" max="1" width="30" style="1" customWidth="1"/>
    <col min="2" max="2" width="16.1640625" style="1" customWidth="1"/>
    <col min="3" max="3" width="10.1640625" style="1" customWidth="1"/>
    <col min="4" max="4" width="16.33203125" style="1" customWidth="1"/>
    <col min="5" max="5" width="8.83203125" style="1" customWidth="1"/>
    <col min="6" max="6" width="9.83203125" style="1" customWidth="1"/>
    <col min="7" max="7" width="12" style="1" bestFit="1" customWidth="1"/>
    <col min="8" max="8" width="8.83203125" style="1" customWidth="1"/>
    <col min="9" max="9" width="9.83203125" style="1" customWidth="1"/>
    <col min="10" max="16384" width="15.83203125" style="1"/>
  </cols>
  <sheetData>
    <row r="1" spans="1:9" ht="6.95" customHeight="1">
      <c r="A1" s="3"/>
      <c r="B1" s="4"/>
      <c r="C1" s="4"/>
      <c r="D1" s="4"/>
      <c r="E1" s="4"/>
      <c r="F1" s="4"/>
      <c r="G1" s="4"/>
      <c r="H1" s="4"/>
      <c r="I1" s="4"/>
    </row>
    <row r="2" spans="1:9" ht="15.95" customHeight="1">
      <c r="A2" s="132"/>
      <c r="B2" s="5" t="str">
        <f>AEXP_BF</f>
        <v>ANALYSIS OF EXPENSE BY FUNCTION</v>
      </c>
      <c r="C2" s="6"/>
      <c r="D2" s="6"/>
      <c r="E2" s="6"/>
      <c r="F2" s="6"/>
      <c r="G2" s="85"/>
      <c r="H2" s="92"/>
      <c r="I2" s="150" t="s">
        <v>2</v>
      </c>
    </row>
    <row r="3" spans="1:9" ht="15.95" customHeight="1">
      <c r="A3" s="135"/>
      <c r="B3" s="7" t="str">
        <f>+'- 15 -'!B3</f>
        <v>OPERATING FUND 2016/2017 BUDGET</v>
      </c>
      <c r="C3" s="8"/>
      <c r="D3" s="8"/>
      <c r="E3" s="8"/>
      <c r="F3" s="8"/>
      <c r="G3" s="87"/>
      <c r="H3" s="81"/>
      <c r="I3" s="81"/>
    </row>
    <row r="4" spans="1:9" ht="15.95" customHeight="1">
      <c r="B4" s="4"/>
      <c r="C4" s="4"/>
      <c r="D4" s="4"/>
      <c r="E4" s="4"/>
      <c r="F4" s="4"/>
      <c r="G4" s="4"/>
      <c r="H4" s="4"/>
      <c r="I4" s="4"/>
    </row>
    <row r="5" spans="1:9" ht="15.95" customHeight="1">
      <c r="B5" s="4"/>
      <c r="C5" s="4"/>
      <c r="D5" s="4"/>
      <c r="E5" s="4"/>
      <c r="F5" s="4"/>
      <c r="G5" s="4"/>
      <c r="H5" s="4"/>
      <c r="I5" s="4"/>
    </row>
    <row r="6" spans="1:9" ht="15.95" customHeight="1">
      <c r="B6" s="622" t="s">
        <v>404</v>
      </c>
      <c r="C6" s="619"/>
      <c r="D6" s="618" t="s">
        <v>405</v>
      </c>
      <c r="E6" s="628"/>
      <c r="F6" s="619"/>
      <c r="G6" s="622" t="s">
        <v>400</v>
      </c>
      <c r="H6" s="628"/>
      <c r="I6" s="619"/>
    </row>
    <row r="7" spans="1:9" ht="15.95" customHeight="1">
      <c r="B7" s="620"/>
      <c r="C7" s="621"/>
      <c r="D7" s="620"/>
      <c r="E7" s="629"/>
      <c r="F7" s="621"/>
      <c r="G7" s="620"/>
      <c r="H7" s="629"/>
      <c r="I7" s="621"/>
    </row>
    <row r="8" spans="1:9" ht="15.95" customHeight="1">
      <c r="A8" s="82"/>
      <c r="B8" s="10" t="s">
        <v>1</v>
      </c>
      <c r="C8" s="176"/>
      <c r="D8" s="138"/>
      <c r="E8" s="137"/>
      <c r="F8" s="536" t="s">
        <v>401</v>
      </c>
      <c r="G8" s="138"/>
      <c r="H8" s="137"/>
      <c r="I8" s="536" t="s">
        <v>401</v>
      </c>
    </row>
    <row r="9" spans="1:9" ht="15.95" customHeight="1">
      <c r="A9" s="27" t="s">
        <v>37</v>
      </c>
      <c r="B9" s="89" t="s">
        <v>38</v>
      </c>
      <c r="C9" s="89" t="s">
        <v>39</v>
      </c>
      <c r="D9" s="89" t="s">
        <v>38</v>
      </c>
      <c r="E9" s="89" t="s">
        <v>39</v>
      </c>
      <c r="F9" s="576"/>
      <c r="G9" s="89" t="s">
        <v>38</v>
      </c>
      <c r="H9" s="89" t="s">
        <v>39</v>
      </c>
      <c r="I9" s="576"/>
    </row>
    <row r="10" spans="1:9" ht="5.0999999999999996" customHeight="1">
      <c r="A10" s="29"/>
    </row>
    <row r="11" spans="1:9" ht="14.1" customHeight="1">
      <c r="A11" s="271" t="s">
        <v>108</v>
      </c>
      <c r="B11" s="272">
        <f>SUM('- 24 -'!H11,'- 24 -'!F11,'- 24 -'!D11,'- 24 -'!B11)</f>
        <v>22100</v>
      </c>
      <c r="C11" s="273">
        <f>B11/'- 3 -'!D11*100</f>
        <v>0.11297293229884889</v>
      </c>
      <c r="D11" s="272">
        <f>SUM('- 25 -'!B11,'- 25 -'!E11,'- 25 -'!H11,'- 26 -'!B11)</f>
        <v>622860</v>
      </c>
      <c r="E11" s="273">
        <f>D11/'- 3 -'!D11*100</f>
        <v>3.183996407767467</v>
      </c>
      <c r="F11" s="272">
        <f>D11/'- 7 -'!E11</f>
        <v>355.31089560752997</v>
      </c>
      <c r="G11" s="272">
        <f>SUM('- 27 -'!B11,'- 27 -'!E11,'- 27 -'!H11,'- 28 -'!B11,'- 28 -'!E11)</f>
        <v>524643</v>
      </c>
      <c r="H11" s="273">
        <f>G11/'- 3 -'!D11*100</f>
        <v>2.6819211819033928</v>
      </c>
      <c r="I11" s="272">
        <f>G11/'- 7 -'!E11</f>
        <v>299.28294352538506</v>
      </c>
    </row>
    <row r="12" spans="1:9" ht="14.1" customHeight="1">
      <c r="A12" s="15" t="s">
        <v>109</v>
      </c>
      <c r="B12" s="16">
        <f>SUM('- 24 -'!H12,'- 24 -'!F12,'- 24 -'!D12,'- 24 -'!B12)</f>
        <v>55800</v>
      </c>
      <c r="C12" s="267">
        <f>B12/'- 3 -'!D12*100</f>
        <v>0.15979579586424997</v>
      </c>
      <c r="D12" s="16">
        <f>SUM('- 25 -'!B12,'- 25 -'!E12,'- 25 -'!H12,'- 26 -'!B12)</f>
        <v>1346125</v>
      </c>
      <c r="E12" s="267">
        <f>D12/'- 3 -'!D12*100</f>
        <v>3.8549303890280195</v>
      </c>
      <c r="F12" s="16">
        <f>D12/'- 7 -'!E12</f>
        <v>626.10465116279067</v>
      </c>
      <c r="G12" s="16">
        <f>SUM('- 27 -'!B12,'- 27 -'!E12,'- 27 -'!H12,'- 28 -'!B12,'- 28 -'!E12)</f>
        <v>876363</v>
      </c>
      <c r="H12" s="267">
        <f>G12/'- 3 -'!D12*100</f>
        <v>2.5096617034226112</v>
      </c>
      <c r="I12" s="16">
        <f>G12/'- 7 -'!E12</f>
        <v>407.61069767441859</v>
      </c>
    </row>
    <row r="13" spans="1:9" ht="14.1" customHeight="1">
      <c r="A13" s="271" t="s">
        <v>110</v>
      </c>
      <c r="B13" s="272">
        <f>SUM('- 24 -'!H13,'- 24 -'!F13,'- 24 -'!D13,'- 24 -'!B13)</f>
        <v>377200</v>
      </c>
      <c r="C13" s="273">
        <f>B13/'- 3 -'!D13*100</f>
        <v>0.38502132315864468</v>
      </c>
      <c r="D13" s="272">
        <f>SUM('- 25 -'!B13,'- 25 -'!E13,'- 25 -'!H13,'- 26 -'!B13)</f>
        <v>3202400</v>
      </c>
      <c r="E13" s="273">
        <f>D13/'- 3 -'!D13*100</f>
        <v>3.2688024530308688</v>
      </c>
      <c r="F13" s="272">
        <f>D13/'- 7 -'!E13</f>
        <v>383.65879956870731</v>
      </c>
      <c r="G13" s="272">
        <f>SUM('- 27 -'!B13,'- 27 -'!E13,'- 27 -'!H13,'- 28 -'!B13,'- 28 -'!E13)</f>
        <v>3132300</v>
      </c>
      <c r="H13" s="273">
        <f>G13/'- 3 -'!D13*100</f>
        <v>3.1972489144480991</v>
      </c>
      <c r="I13" s="272">
        <f>G13/'- 7 -'!E13</f>
        <v>375.2605726608362</v>
      </c>
    </row>
    <row r="14" spans="1:9" ht="14.1" customHeight="1">
      <c r="A14" s="15" t="s">
        <v>319</v>
      </c>
      <c r="B14" s="16">
        <f>SUM('- 24 -'!H14,'- 24 -'!F14,'- 24 -'!D14,'- 24 -'!B14)</f>
        <v>1410946</v>
      </c>
      <c r="C14" s="267">
        <f>B14/'- 3 -'!D14*100</f>
        <v>1.6365485551860712</v>
      </c>
      <c r="D14" s="16">
        <f>SUM('- 25 -'!B14,'- 25 -'!E14,'- 25 -'!H14,'- 26 -'!B14)</f>
        <v>3368000</v>
      </c>
      <c r="E14" s="267">
        <f>D14/'- 3 -'!D14*100</f>
        <v>3.9065247953264604</v>
      </c>
      <c r="F14" s="16">
        <f>D14/'- 7 -'!E14</f>
        <v>613.70262390670553</v>
      </c>
      <c r="G14" s="16">
        <f>SUM('- 27 -'!B14,'- 27 -'!E14,'- 27 -'!H14,'- 28 -'!B14,'- 28 -'!E14)</f>
        <v>3261667</v>
      </c>
      <c r="H14" s="267">
        <f>G14/'- 3 -'!D14*100</f>
        <v>3.7831897296906383</v>
      </c>
      <c r="I14" s="16">
        <f>G14/'- 7 -'!E14</f>
        <v>594.32707725947523</v>
      </c>
    </row>
    <row r="15" spans="1:9" ht="14.1" customHeight="1">
      <c r="A15" s="271" t="s">
        <v>111</v>
      </c>
      <c r="B15" s="272">
        <f>SUM('- 24 -'!H15,'- 24 -'!F15,'- 24 -'!D15,'- 24 -'!B15)</f>
        <v>75000</v>
      </c>
      <c r="C15" s="273">
        <f>B15/'- 3 -'!D15*100</f>
        <v>0.36747495805150865</v>
      </c>
      <c r="D15" s="272">
        <f>SUM('- 25 -'!B15,'- 25 -'!E15,'- 25 -'!H15,'- 26 -'!B15)</f>
        <v>856500</v>
      </c>
      <c r="E15" s="273">
        <f>D15/'- 3 -'!D15*100</f>
        <v>4.1965640209482284</v>
      </c>
      <c r="F15" s="272">
        <f>D15/'- 7 -'!E15</f>
        <v>625.41073384446884</v>
      </c>
      <c r="G15" s="272">
        <f>SUM('- 27 -'!B15,'- 27 -'!E15,'- 27 -'!H15,'- 28 -'!B15,'- 28 -'!E15)</f>
        <v>717921</v>
      </c>
      <c r="H15" s="273">
        <f>G15/'- 3 -'!D15*100</f>
        <v>3.5175731914572945</v>
      </c>
      <c r="I15" s="272">
        <f>G15/'- 7 -'!E15</f>
        <v>524.2212486308872</v>
      </c>
    </row>
    <row r="16" spans="1:9" ht="14.1" customHeight="1">
      <c r="A16" s="15" t="s">
        <v>112</v>
      </c>
      <c r="B16" s="16">
        <f>SUM('- 24 -'!H16,'- 24 -'!F16,'- 24 -'!D16,'- 24 -'!B16)</f>
        <v>10370</v>
      </c>
      <c r="C16" s="267">
        <f>B16/'- 3 -'!D16*100</f>
        <v>7.0935564855388239E-2</v>
      </c>
      <c r="D16" s="16">
        <f>SUM('- 25 -'!B16,'- 25 -'!E16,'- 25 -'!H16,'- 26 -'!B16)</f>
        <v>689453</v>
      </c>
      <c r="E16" s="267">
        <f>D16/'- 3 -'!D16*100</f>
        <v>4.7161753130416573</v>
      </c>
      <c r="F16" s="16">
        <f>D16/'- 7 -'!E16</f>
        <v>720.05535248041781</v>
      </c>
      <c r="G16" s="16">
        <f>SUM('- 27 -'!B16,'- 27 -'!E16,'- 27 -'!H16,'- 28 -'!B16,'- 28 -'!E16)</f>
        <v>307888</v>
      </c>
      <c r="H16" s="267">
        <f>G16/'- 3 -'!D16*100</f>
        <v>2.1060953897970855</v>
      </c>
      <c r="I16" s="16">
        <f>G16/'- 7 -'!E16</f>
        <v>321.55404699738904</v>
      </c>
    </row>
    <row r="17" spans="1:9" ht="14.1" customHeight="1">
      <c r="A17" s="271" t="s">
        <v>113</v>
      </c>
      <c r="B17" s="272">
        <f>SUM('- 24 -'!H17,'- 24 -'!F17,'- 24 -'!D17,'- 24 -'!B17)</f>
        <v>380898</v>
      </c>
      <c r="C17" s="273">
        <f>B17/'- 3 -'!D17*100</f>
        <v>2.0909409849256582</v>
      </c>
      <c r="D17" s="272">
        <f>SUM('- 25 -'!B17,'- 25 -'!E17,'- 25 -'!H17,'- 26 -'!B17)</f>
        <v>799402</v>
      </c>
      <c r="E17" s="273">
        <f>D17/'- 3 -'!D17*100</f>
        <v>4.388320246447976</v>
      </c>
      <c r="F17" s="272">
        <f>D17/'- 7 -'!E17</f>
        <v>588.01176903273267</v>
      </c>
      <c r="G17" s="272">
        <f>SUM('- 27 -'!B17,'- 27 -'!E17,'- 27 -'!H17,'- 28 -'!B17,'- 28 -'!E17)</f>
        <v>481730</v>
      </c>
      <c r="H17" s="273">
        <f>G17/'- 3 -'!D17*100</f>
        <v>2.644458623222588</v>
      </c>
      <c r="I17" s="272">
        <f>G17/'- 7 -'!E17</f>
        <v>354.34350864288342</v>
      </c>
    </row>
    <row r="18" spans="1:9" ht="14.1" customHeight="1">
      <c r="A18" s="15" t="s">
        <v>114</v>
      </c>
      <c r="B18" s="16">
        <f>SUM('- 24 -'!H18,'- 24 -'!F18,'- 24 -'!D18,'- 24 -'!B18)</f>
        <v>2477002</v>
      </c>
      <c r="C18" s="267">
        <f>B18/'- 3 -'!D18*100</f>
        <v>1.8773868923817976</v>
      </c>
      <c r="D18" s="16">
        <f>SUM('- 25 -'!B18,'- 25 -'!E18,'- 25 -'!H18,'- 26 -'!B18)</f>
        <v>7607251</v>
      </c>
      <c r="E18" s="267">
        <f>D18/'- 3 -'!D18*100</f>
        <v>5.7657415353149988</v>
      </c>
      <c r="F18" s="16">
        <f>D18/'- 7 -'!E18</f>
        <v>1222.1268836551747</v>
      </c>
      <c r="G18" s="16">
        <f>SUM('- 27 -'!B18,'- 27 -'!E18,'- 27 -'!H18,'- 28 -'!B18,'- 28 -'!E18)</f>
        <v>7176072</v>
      </c>
      <c r="H18" s="267">
        <f>G18/'- 3 -'!D18*100</f>
        <v>5.4389392949977555</v>
      </c>
      <c r="I18" s="16">
        <f>G18/'- 7 -'!E18</f>
        <v>1152.8567297497027</v>
      </c>
    </row>
    <row r="19" spans="1:9" ht="14.1" customHeight="1">
      <c r="A19" s="271" t="s">
        <v>115</v>
      </c>
      <c r="B19" s="272">
        <f>SUM('- 24 -'!H19,'- 24 -'!F19,'- 24 -'!D19,'- 24 -'!B19)</f>
        <v>72000</v>
      </c>
      <c r="C19" s="273">
        <f>B19/'- 3 -'!D19*100</f>
        <v>0.15501065482959378</v>
      </c>
      <c r="D19" s="272">
        <f>SUM('- 25 -'!B19,'- 25 -'!E19,'- 25 -'!H19,'- 26 -'!B19)</f>
        <v>1519770</v>
      </c>
      <c r="E19" s="273">
        <f>D19/'- 3 -'!D19*100</f>
        <v>3.2719519845884961</v>
      </c>
      <c r="F19" s="272">
        <f>D19/'- 7 -'!E19</f>
        <v>360.30583214793739</v>
      </c>
      <c r="G19" s="272">
        <f>SUM('- 27 -'!B19,'- 27 -'!E19,'- 27 -'!H19,'- 28 -'!B19,'- 28 -'!E19)</f>
        <v>1392050</v>
      </c>
      <c r="H19" s="273">
        <f>G19/'- 3 -'!D19*100</f>
        <v>2.9969803063268889</v>
      </c>
      <c r="I19" s="272">
        <f>G19/'- 7 -'!E19</f>
        <v>330.02607871028926</v>
      </c>
    </row>
    <row r="20" spans="1:9" ht="14.1" customHeight="1">
      <c r="A20" s="15" t="s">
        <v>116</v>
      </c>
      <c r="B20" s="16">
        <f>SUM('- 24 -'!H20,'- 24 -'!F20,'- 24 -'!D20,'- 24 -'!B20)</f>
        <v>153200</v>
      </c>
      <c r="C20" s="267">
        <f>B20/'- 3 -'!D20*100</f>
        <v>0.18617085915664114</v>
      </c>
      <c r="D20" s="16">
        <f>SUM('- 25 -'!B20,'- 25 -'!E20,'- 25 -'!H20,'- 26 -'!B20)</f>
        <v>2312200</v>
      </c>
      <c r="E20" s="267">
        <f>D20/'- 3 -'!D20*100</f>
        <v>2.8098189330416816</v>
      </c>
      <c r="F20" s="16">
        <f>D20/'- 7 -'!E20</f>
        <v>305.01945781940503</v>
      </c>
      <c r="G20" s="16">
        <f>SUM('- 27 -'!B20,'- 27 -'!E20,'- 27 -'!H20,'- 28 -'!B20,'- 28 -'!E20)</f>
        <v>2658400</v>
      </c>
      <c r="H20" s="267">
        <f>G20/'- 3 -'!D20*100</f>
        <v>3.2305261878721598</v>
      </c>
      <c r="I20" s="16">
        <f>G20/'- 7 -'!E20</f>
        <v>350.68926851790781</v>
      </c>
    </row>
    <row r="21" spans="1:9" ht="14.1" customHeight="1">
      <c r="A21" s="271" t="s">
        <v>117</v>
      </c>
      <c r="B21" s="272">
        <f>SUM('- 24 -'!H21,'- 24 -'!F21,'- 24 -'!D21,'- 24 -'!B21)</f>
        <v>257000</v>
      </c>
      <c r="C21" s="273">
        <f>B21/'- 3 -'!D21*100</f>
        <v>0.70659360433809981</v>
      </c>
      <c r="D21" s="272">
        <f>SUM('- 25 -'!B21,'- 25 -'!E21,'- 25 -'!H21,'- 26 -'!B21)</f>
        <v>1380100</v>
      </c>
      <c r="E21" s="273">
        <f>D21/'- 3 -'!D21*100</f>
        <v>3.7944351492101616</v>
      </c>
      <c r="F21" s="272">
        <f>D21/'- 7 -'!E21</f>
        <v>510.01478196600146</v>
      </c>
      <c r="G21" s="272">
        <f>SUM('- 27 -'!B21,'- 27 -'!E21,'- 27 -'!H21,'- 28 -'!B21,'- 28 -'!E21)</f>
        <v>1441295</v>
      </c>
      <c r="H21" s="273">
        <f>G21/'- 3 -'!D21*100</f>
        <v>3.9626841593948701</v>
      </c>
      <c r="I21" s="272">
        <f>G21/'- 7 -'!E21</f>
        <v>532.62934220251293</v>
      </c>
    </row>
    <row r="22" spans="1:9" ht="14.1" customHeight="1">
      <c r="A22" s="15" t="s">
        <v>118</v>
      </c>
      <c r="B22" s="16">
        <f>SUM('- 24 -'!H22,'- 24 -'!F22,'- 24 -'!D22,'- 24 -'!B22)</f>
        <v>86770</v>
      </c>
      <c r="C22" s="267">
        <f>B22/'- 3 -'!D22*100</f>
        <v>0.41975134969142924</v>
      </c>
      <c r="D22" s="16">
        <f>SUM('- 25 -'!B22,'- 25 -'!E22,'- 25 -'!H22,'- 26 -'!B22)</f>
        <v>916310</v>
      </c>
      <c r="E22" s="267">
        <f>D22/'- 3 -'!D22*100</f>
        <v>4.4326651980610077</v>
      </c>
      <c r="F22" s="16">
        <f>D22/'- 7 -'!E22</f>
        <v>588.05673212681302</v>
      </c>
      <c r="G22" s="16">
        <f>SUM('- 27 -'!B22,'- 27 -'!E22,'- 27 -'!H22,'- 28 -'!B22,'- 28 -'!E22)</f>
        <v>473590</v>
      </c>
      <c r="H22" s="267">
        <f>G22/'- 3 -'!D22*100</f>
        <v>2.2909996738546043</v>
      </c>
      <c r="I22" s="16">
        <f>G22/'- 7 -'!E22</f>
        <v>303.93402644076497</v>
      </c>
    </row>
    <row r="23" spans="1:9" ht="14.1" customHeight="1">
      <c r="A23" s="271" t="s">
        <v>119</v>
      </c>
      <c r="B23" s="272">
        <f>SUM('- 24 -'!H23,'- 24 -'!F23,'- 24 -'!D23,'- 24 -'!B23)</f>
        <v>288330</v>
      </c>
      <c r="C23" s="273">
        <f>B23/'- 3 -'!D23*100</f>
        <v>1.7169908611162041</v>
      </c>
      <c r="D23" s="272">
        <f>SUM('- 25 -'!B23,'- 25 -'!E23,'- 25 -'!H23,'- 26 -'!B23)</f>
        <v>651150</v>
      </c>
      <c r="E23" s="273">
        <f>D23/'- 3 -'!D23*100</f>
        <v>3.8775659807020304</v>
      </c>
      <c r="F23" s="272">
        <f>D23/'- 7 -'!E23</f>
        <v>584.51526032315974</v>
      </c>
      <c r="G23" s="272">
        <f>SUM('- 27 -'!B23,'- 27 -'!E23,'- 27 -'!H23,'- 28 -'!B23,'- 28 -'!E23)</f>
        <v>358800</v>
      </c>
      <c r="H23" s="273">
        <f>G23/'- 3 -'!D23*100</f>
        <v>2.1366362188065553</v>
      </c>
      <c r="I23" s="272">
        <f>G23/'- 7 -'!E23</f>
        <v>322.0825852782765</v>
      </c>
    </row>
    <row r="24" spans="1:9" ht="14.1" customHeight="1">
      <c r="A24" s="15" t="s">
        <v>120</v>
      </c>
      <c r="B24" s="16">
        <f>SUM('- 24 -'!H24,'- 24 -'!F24,'- 24 -'!D24,'- 24 -'!B24)</f>
        <v>456320</v>
      </c>
      <c r="C24" s="267">
        <f>B24/'- 3 -'!D24*100</f>
        <v>0.78530746726863021</v>
      </c>
      <c r="D24" s="16">
        <f>SUM('- 25 -'!B24,'- 25 -'!E24,'- 25 -'!H24,'- 26 -'!B24)</f>
        <v>2047290</v>
      </c>
      <c r="E24" s="267">
        <f>D24/'- 3 -'!D24*100</f>
        <v>3.5232997121852954</v>
      </c>
      <c r="F24" s="16">
        <f>D24/'- 7 -'!E24</f>
        <v>518.23566637134536</v>
      </c>
      <c r="G24" s="16">
        <f>SUM('- 27 -'!B24,'- 27 -'!E24,'- 27 -'!H24,'- 28 -'!B24,'- 28 -'!E24)</f>
        <v>1704410</v>
      </c>
      <c r="H24" s="267">
        <f>G24/'- 3 -'!D24*100</f>
        <v>2.933217698736251</v>
      </c>
      <c r="I24" s="16">
        <f>G24/'- 7 -'!E24</f>
        <v>431.4415896721934</v>
      </c>
    </row>
    <row r="25" spans="1:9" ht="14.1" customHeight="1">
      <c r="A25" s="271" t="s">
        <v>121</v>
      </c>
      <c r="B25" s="272">
        <f>SUM('- 24 -'!H25,'- 24 -'!F25,'- 24 -'!D25,'- 24 -'!B25)</f>
        <v>1917236</v>
      </c>
      <c r="C25" s="273">
        <f>B25/'- 3 -'!D25*100</f>
        <v>1.0974236745777015</v>
      </c>
      <c r="D25" s="272">
        <f>SUM('- 25 -'!B25,'- 25 -'!E25,'- 25 -'!H25,'- 26 -'!B25)</f>
        <v>5985601</v>
      </c>
      <c r="E25" s="273">
        <f>D25/'- 3 -'!D25*100</f>
        <v>3.42615110710208</v>
      </c>
      <c r="F25" s="272">
        <f>D25/'- 7 -'!E25</f>
        <v>419.14505794615036</v>
      </c>
      <c r="G25" s="272">
        <f>SUM('- 27 -'!B25,'- 27 -'!E25,'- 27 -'!H25,'- 28 -'!B25,'- 28 -'!E25)</f>
        <v>7233491</v>
      </c>
      <c r="H25" s="273">
        <f>G25/'- 3 -'!D25*100</f>
        <v>4.1404419034718378</v>
      </c>
      <c r="I25" s="272">
        <f>G25/'- 7 -'!E25</f>
        <v>506.52925317740977</v>
      </c>
    </row>
    <row r="26" spans="1:9" ht="14.1" customHeight="1">
      <c r="A26" s="15" t="s">
        <v>122</v>
      </c>
      <c r="B26" s="16">
        <f>SUM('- 24 -'!H26,'- 24 -'!F26,'- 24 -'!D26,'- 24 -'!B26)</f>
        <v>107500</v>
      </c>
      <c r="C26" s="267">
        <f>B26/'- 3 -'!D26*100</f>
        <v>0.26335647906057535</v>
      </c>
      <c r="D26" s="16">
        <f>SUM('- 25 -'!B26,'- 25 -'!E26,'- 25 -'!H26,'- 26 -'!B26)</f>
        <v>1442516</v>
      </c>
      <c r="E26" s="267">
        <f>D26/'- 3 -'!D26*100</f>
        <v>3.5339156720794871</v>
      </c>
      <c r="F26" s="16">
        <f>D26/'- 7 -'!E26</f>
        <v>456.47795955824182</v>
      </c>
      <c r="G26" s="16">
        <f>SUM('- 27 -'!B26,'- 27 -'!E26,'- 27 -'!H26,'- 28 -'!B26,'- 28 -'!E26)</f>
        <v>1327178</v>
      </c>
      <c r="H26" s="267">
        <f>G26/'- 3 -'!D26*100</f>
        <v>3.2513574434107557</v>
      </c>
      <c r="I26" s="16">
        <f>G26/'- 7 -'!E26</f>
        <v>419.97974747634572</v>
      </c>
    </row>
    <row r="27" spans="1:9" ht="14.1" customHeight="1">
      <c r="A27" s="271" t="s">
        <v>123</v>
      </c>
      <c r="B27" s="272">
        <f>SUM('- 24 -'!H27,'- 24 -'!F27,'- 24 -'!D27,'- 24 -'!B27)</f>
        <v>53722</v>
      </c>
      <c r="C27" s="273">
        <f>B27/'- 3 -'!D27*100</f>
        <v>0.12274825206781521</v>
      </c>
      <c r="D27" s="272">
        <f>SUM('- 25 -'!B27,'- 25 -'!E27,'- 25 -'!H27,'- 26 -'!B27)</f>
        <v>1962314</v>
      </c>
      <c r="E27" s="273">
        <f>D27/'- 3 -'!D27*100</f>
        <v>4.483649408216424</v>
      </c>
      <c r="F27" s="272">
        <f>D27/'- 7 -'!E27</f>
        <v>674.33139748945757</v>
      </c>
      <c r="G27" s="272">
        <f>SUM('- 27 -'!B27,'- 27 -'!E27,'- 27 -'!H27,'- 28 -'!B27,'- 28 -'!E27)</f>
        <v>2169835</v>
      </c>
      <c r="H27" s="273">
        <f>G27/'- 3 -'!D27*100</f>
        <v>4.9578097153041174</v>
      </c>
      <c r="I27" s="272">
        <f>G27/'- 7 -'!E27</f>
        <v>745.64410582176811</v>
      </c>
    </row>
    <row r="28" spans="1:9" ht="14.1" customHeight="1">
      <c r="A28" s="15" t="s">
        <v>124</v>
      </c>
      <c r="B28" s="16">
        <f>SUM('- 24 -'!H28,'- 24 -'!F28,'- 24 -'!D28,'- 24 -'!B28)</f>
        <v>116074</v>
      </c>
      <c r="C28" s="267">
        <f>B28/'- 3 -'!D28*100</f>
        <v>0.40484797727209393</v>
      </c>
      <c r="D28" s="16">
        <f>SUM('- 25 -'!B28,'- 25 -'!E28,'- 25 -'!H28,'- 26 -'!B28)</f>
        <v>1197829</v>
      </c>
      <c r="E28" s="267">
        <f>D28/'- 3 -'!D28*100</f>
        <v>4.1778404101508952</v>
      </c>
      <c r="F28" s="16">
        <f>D28/'- 7 -'!E28</f>
        <v>615.69210999742995</v>
      </c>
      <c r="G28" s="16">
        <f>SUM('- 27 -'!B28,'- 27 -'!E28,'- 27 -'!H28,'- 28 -'!B28,'- 28 -'!E28)</f>
        <v>747367</v>
      </c>
      <c r="H28" s="267">
        <f>G28/'- 3 -'!D28*100</f>
        <v>2.6066993317186711</v>
      </c>
      <c r="I28" s="16">
        <f>G28/'- 7 -'!E28</f>
        <v>384.15163197121564</v>
      </c>
    </row>
    <row r="29" spans="1:9" ht="14.1" customHeight="1">
      <c r="A29" s="271" t="s">
        <v>125</v>
      </c>
      <c r="B29" s="272">
        <f>SUM('- 24 -'!H29,'- 24 -'!F29,'- 24 -'!D29,'- 24 -'!B29)</f>
        <v>541094</v>
      </c>
      <c r="C29" s="273">
        <f>B29/'- 3 -'!D29*100</f>
        <v>0.34175380206268102</v>
      </c>
      <c r="D29" s="272">
        <f>SUM('- 25 -'!B29,'- 25 -'!E29,'- 25 -'!H29,'- 26 -'!B29)</f>
        <v>5621333</v>
      </c>
      <c r="E29" s="273">
        <f>D29/'- 3 -'!D29*100</f>
        <v>3.5504217851434636</v>
      </c>
      <c r="F29" s="272">
        <f>D29/'- 7 -'!E29</f>
        <v>443.35775692089283</v>
      </c>
      <c r="G29" s="272">
        <f>SUM('- 27 -'!B29,'- 27 -'!E29,'- 27 -'!H29,'- 28 -'!B29,'- 28 -'!E29)</f>
        <v>6633560</v>
      </c>
      <c r="H29" s="273">
        <f>G29/'- 3 -'!D29*100</f>
        <v>4.1897421727295416</v>
      </c>
      <c r="I29" s="272">
        <f>G29/'- 7 -'!E29</f>
        <v>523.19268081078951</v>
      </c>
    </row>
    <row r="30" spans="1:9" ht="14.1" customHeight="1">
      <c r="A30" s="15" t="s">
        <v>126</v>
      </c>
      <c r="B30" s="16">
        <f>SUM('- 24 -'!H30,'- 24 -'!F30,'- 24 -'!D30,'- 24 -'!B30)</f>
        <v>10880</v>
      </c>
      <c r="C30" s="267">
        <f>B30/'- 3 -'!D30*100</f>
        <v>7.3964255685730229E-2</v>
      </c>
      <c r="D30" s="16">
        <f>SUM('- 25 -'!B30,'- 25 -'!E30,'- 25 -'!H30,'- 26 -'!B30)</f>
        <v>532537</v>
      </c>
      <c r="E30" s="267">
        <f>D30/'- 3 -'!D30*100</f>
        <v>3.6202851865911505</v>
      </c>
      <c r="F30" s="16">
        <f>D30/'- 7 -'!E30</f>
        <v>530.41533864541827</v>
      </c>
      <c r="G30" s="16">
        <f>SUM('- 27 -'!B30,'- 27 -'!E30,'- 27 -'!H30,'- 28 -'!B30,'- 28 -'!E30)</f>
        <v>585149</v>
      </c>
      <c r="H30" s="267">
        <f>G30/'- 3 -'!D30*100</f>
        <v>3.9779513097655657</v>
      </c>
      <c r="I30" s="16">
        <f>G30/'- 7 -'!E30</f>
        <v>582.81772908366531</v>
      </c>
    </row>
    <row r="31" spans="1:9" ht="14.1" customHeight="1">
      <c r="A31" s="271" t="s">
        <v>127</v>
      </c>
      <c r="B31" s="272">
        <f>SUM('- 24 -'!H31,'- 24 -'!F31,'- 24 -'!D31,'- 24 -'!B31)</f>
        <v>51955</v>
      </c>
      <c r="C31" s="273">
        <f>B31/'- 3 -'!D31*100</f>
        <v>0.13791016162311778</v>
      </c>
      <c r="D31" s="272">
        <f>SUM('- 25 -'!B31,'- 25 -'!E31,'- 25 -'!H31,'- 26 -'!B31)</f>
        <v>1239795</v>
      </c>
      <c r="E31" s="273">
        <f>D31/'- 3 -'!D31*100</f>
        <v>3.2909311679248066</v>
      </c>
      <c r="F31" s="272">
        <f>D31/'- 7 -'!E31</f>
        <v>385.02950310559004</v>
      </c>
      <c r="G31" s="272">
        <f>SUM('- 27 -'!B31,'- 27 -'!E31,'- 27 -'!H31,'- 28 -'!B31,'- 28 -'!E31)</f>
        <v>1357404</v>
      </c>
      <c r="H31" s="273">
        <f>G31/'- 3 -'!D31*100</f>
        <v>3.6031143302447619</v>
      </c>
      <c r="I31" s="272">
        <f>G31/'- 7 -'!E31</f>
        <v>421.55403726708073</v>
      </c>
    </row>
    <row r="32" spans="1:9" ht="14.1" customHeight="1">
      <c r="A32" s="15" t="s">
        <v>128</v>
      </c>
      <c r="B32" s="16">
        <f>SUM('- 24 -'!H32,'- 24 -'!F32,'- 24 -'!D32,'- 24 -'!B32)</f>
        <v>34170</v>
      </c>
      <c r="C32" s="267">
        <f>B32/'- 3 -'!D32*100</f>
        <v>0.11287348339263402</v>
      </c>
      <c r="D32" s="16">
        <f>SUM('- 25 -'!B32,'- 25 -'!E32,'- 25 -'!H32,'- 26 -'!B32)</f>
        <v>1127592</v>
      </c>
      <c r="E32" s="267">
        <f>D32/'- 3 -'!D32*100</f>
        <v>3.7247654927031602</v>
      </c>
      <c r="F32" s="16">
        <f>D32/'- 7 -'!E32</f>
        <v>517.00687757909213</v>
      </c>
      <c r="G32" s="16">
        <f>SUM('- 27 -'!B32,'- 27 -'!E32,'- 27 -'!H32,'- 28 -'!B32,'- 28 -'!E32)</f>
        <v>805885</v>
      </c>
      <c r="H32" s="267">
        <f>G32/'- 3 -'!D32*100</f>
        <v>2.6620733732476696</v>
      </c>
      <c r="I32" s="16">
        <f>G32/'- 7 -'!E32</f>
        <v>369.50252177900046</v>
      </c>
    </row>
    <row r="33" spans="1:10" ht="14.1" customHeight="1">
      <c r="A33" s="271" t="s">
        <v>129</v>
      </c>
      <c r="B33" s="272">
        <f>SUM('- 24 -'!H33,'- 24 -'!F33,'- 24 -'!D33,'- 24 -'!B33)</f>
        <v>32000</v>
      </c>
      <c r="C33" s="273">
        <f>B33/'- 3 -'!D33*100</f>
        <v>0.11456742740631874</v>
      </c>
      <c r="D33" s="272">
        <f>SUM('- 25 -'!B33,'- 25 -'!E33,'- 25 -'!H33,'- 26 -'!B33)</f>
        <v>940100</v>
      </c>
      <c r="E33" s="273">
        <f>D33/'- 3 -'!D33*100</f>
        <v>3.3657762032712584</v>
      </c>
      <c r="F33" s="272">
        <f>D33/'- 7 -'!E33</f>
        <v>466.78252234359485</v>
      </c>
      <c r="G33" s="272">
        <f>SUM('- 27 -'!B33,'- 27 -'!E33,'- 27 -'!H33,'- 28 -'!B33,'- 28 -'!E33)</f>
        <v>826000</v>
      </c>
      <c r="H33" s="273">
        <f>G33/'- 3 -'!D33*100</f>
        <v>2.9572717199256027</v>
      </c>
      <c r="I33" s="272">
        <f>G33/'- 7 -'!E33</f>
        <v>410.12909632571996</v>
      </c>
    </row>
    <row r="34" spans="1:10" ht="14.1" customHeight="1">
      <c r="A34" s="15" t="s">
        <v>130</v>
      </c>
      <c r="B34" s="16">
        <f>SUM('- 24 -'!H34,'- 24 -'!F34,'- 24 -'!D34,'- 24 -'!B34)</f>
        <v>65791</v>
      </c>
      <c r="C34" s="267">
        <f>B34/'- 3 -'!D34*100</f>
        <v>0.22260338398016247</v>
      </c>
      <c r="D34" s="16">
        <f>SUM('- 25 -'!B34,'- 25 -'!E34,'- 25 -'!H34,'- 26 -'!B34)</f>
        <v>1216417</v>
      </c>
      <c r="E34" s="267">
        <f>D34/'- 3 -'!D34*100</f>
        <v>4.1157383309418805</v>
      </c>
      <c r="F34" s="16">
        <f>D34/'- 7 -'!E34</f>
        <v>610.34470647265425</v>
      </c>
      <c r="G34" s="16">
        <f>SUM('- 27 -'!B34,'- 27 -'!E34,'- 27 -'!H34,'- 28 -'!B34,'- 28 -'!E34)</f>
        <v>827540</v>
      </c>
      <c r="H34" s="267">
        <f>G34/'- 3 -'!D34*100</f>
        <v>2.7999757471226099</v>
      </c>
      <c r="I34" s="16">
        <f>G34/'- 7 -'!E34</f>
        <v>415.22328148519819</v>
      </c>
    </row>
    <row r="35" spans="1:10" ht="14.1" customHeight="1">
      <c r="A35" s="271" t="s">
        <v>131</v>
      </c>
      <c r="B35" s="272">
        <f>SUM('- 24 -'!H35,'- 24 -'!F35,'- 24 -'!D35,'- 24 -'!B35)</f>
        <v>569790</v>
      </c>
      <c r="C35" s="273">
        <f>B35/'- 3 -'!D35*100</f>
        <v>0.31472534658218099</v>
      </c>
      <c r="D35" s="272">
        <f>SUM('- 25 -'!B35,'- 25 -'!E35,'- 25 -'!H35,'- 26 -'!B35)</f>
        <v>4721125</v>
      </c>
      <c r="E35" s="273">
        <f>D35/'- 3 -'!D35*100</f>
        <v>2.6077286401705879</v>
      </c>
      <c r="F35" s="272">
        <f>D35/'- 7 -'!E35</f>
        <v>305.45581004140786</v>
      </c>
      <c r="G35" s="272">
        <f>SUM('- 27 -'!B35,'- 27 -'!E35,'- 27 -'!H35,'- 28 -'!B35,'- 28 -'!E35)</f>
        <v>7546839</v>
      </c>
      <c r="H35" s="273">
        <f>G35/'- 3 -'!D35*100</f>
        <v>4.1685208934430582</v>
      </c>
      <c r="I35" s="272">
        <f>G35/'- 7 -'!E35</f>
        <v>488.2789208074534</v>
      </c>
    </row>
    <row r="36" spans="1:10" ht="14.1" customHeight="1">
      <c r="A36" s="15" t="s">
        <v>132</v>
      </c>
      <c r="B36" s="16">
        <f>SUM('- 24 -'!H36,'- 24 -'!F36,'- 24 -'!D36,'- 24 -'!B36)</f>
        <v>61195</v>
      </c>
      <c r="C36" s="267">
        <f>B36/'- 3 -'!D36*100</f>
        <v>0.25856399485280401</v>
      </c>
      <c r="D36" s="16">
        <f>SUM('- 25 -'!B36,'- 25 -'!E36,'- 25 -'!H36,'- 26 -'!B36)</f>
        <v>958025</v>
      </c>
      <c r="E36" s="267">
        <f>D36/'- 3 -'!D36*100</f>
        <v>4.0478923305638954</v>
      </c>
      <c r="F36" s="16">
        <f>D36/'- 7 -'!E36</f>
        <v>577.99396681749624</v>
      </c>
      <c r="G36" s="16">
        <f>SUM('- 27 -'!B36,'- 27 -'!E36,'- 27 -'!H36,'- 28 -'!B36,'- 28 -'!E36)</f>
        <v>823320</v>
      </c>
      <c r="H36" s="267">
        <f>G36/'- 3 -'!D36*100</f>
        <v>3.4787304231099041</v>
      </c>
      <c r="I36" s="16">
        <f>G36/'- 7 -'!E36</f>
        <v>496.72398190045249</v>
      </c>
    </row>
    <row r="37" spans="1:10" ht="14.1" customHeight="1">
      <c r="A37" s="271" t="s">
        <v>133</v>
      </c>
      <c r="B37" s="272">
        <f>SUM('- 24 -'!H37,'- 24 -'!F37,'- 24 -'!D37,'- 24 -'!B37)</f>
        <v>368005</v>
      </c>
      <c r="C37" s="273">
        <f>B37/'- 3 -'!D37*100</f>
        <v>0.73609685942941272</v>
      </c>
      <c r="D37" s="272">
        <f>SUM('- 25 -'!B37,'- 25 -'!E37,'- 25 -'!H37,'- 26 -'!B37)</f>
        <v>1689400</v>
      </c>
      <c r="E37" s="273">
        <f>D37/'- 3 -'!D37*100</f>
        <v>3.3791987454519634</v>
      </c>
      <c r="F37" s="272">
        <f>D37/'- 7 -'!E37</f>
        <v>411.697331546241</v>
      </c>
      <c r="G37" s="272">
        <f>SUM('- 27 -'!B37,'- 27 -'!E37,'- 27 -'!H37,'- 28 -'!B37,'- 28 -'!E37)</f>
        <v>1422042</v>
      </c>
      <c r="H37" s="273">
        <f>G37/'- 3 -'!D37*100</f>
        <v>2.8444196415176992</v>
      </c>
      <c r="I37" s="272">
        <f>G37/'- 7 -'!E37</f>
        <v>346.54368222249298</v>
      </c>
    </row>
    <row r="38" spans="1:10" ht="14.1" customHeight="1">
      <c r="A38" s="15" t="s">
        <v>134</v>
      </c>
      <c r="B38" s="16">
        <f>SUM('- 24 -'!H38,'- 24 -'!F38,'- 24 -'!D38,'- 24 -'!B38)</f>
        <v>2152150</v>
      </c>
      <c r="C38" s="267">
        <f>B38/'- 3 -'!D38*100</f>
        <v>1.5790389847604378</v>
      </c>
      <c r="D38" s="16">
        <f>SUM('- 25 -'!B38,'- 25 -'!E38,'- 25 -'!H38,'- 26 -'!B38)</f>
        <v>3887176</v>
      </c>
      <c r="E38" s="267">
        <f>D38/'- 3 -'!D38*100</f>
        <v>2.8520328251400406</v>
      </c>
      <c r="F38" s="16">
        <f>D38/'- 7 -'!E38</f>
        <v>353.15490142636503</v>
      </c>
      <c r="G38" s="16">
        <f>SUM('- 27 -'!B38,'- 27 -'!E38,'- 27 -'!H38,'- 28 -'!B38,'- 28 -'!E38)</f>
        <v>5378936</v>
      </c>
      <c r="H38" s="267">
        <f>G38/'- 3 -'!D38*100</f>
        <v>3.9465416632350765</v>
      </c>
      <c r="I38" s="16">
        <f>G38/'- 7 -'!E38</f>
        <v>488.68320159898246</v>
      </c>
    </row>
    <row r="39" spans="1:10" ht="14.1" customHeight="1">
      <c r="A39" s="271" t="s">
        <v>135</v>
      </c>
      <c r="B39" s="272">
        <f>SUM('- 24 -'!H39,'- 24 -'!F39,'- 24 -'!D39,'- 24 -'!B39)</f>
        <v>152000</v>
      </c>
      <c r="C39" s="273">
        <f>B39/'- 3 -'!D39*100</f>
        <v>0.66379374984906336</v>
      </c>
      <c r="D39" s="272">
        <f>SUM('- 25 -'!B39,'- 25 -'!E39,'- 25 -'!H39,'- 26 -'!B39)</f>
        <v>931669</v>
      </c>
      <c r="E39" s="273">
        <f>D39/'- 3 -'!D39*100</f>
        <v>4.0686582837376779</v>
      </c>
      <c r="F39" s="272">
        <f>D39/'- 7 -'!E39</f>
        <v>610.13032089063529</v>
      </c>
      <c r="G39" s="272">
        <f>SUM('- 27 -'!B39,'- 27 -'!E39,'- 27 -'!H39,'- 28 -'!B39,'- 28 -'!E39)</f>
        <v>636000</v>
      </c>
      <c r="H39" s="273">
        <f>G39/'- 3 -'!D39*100</f>
        <v>2.7774527954210808</v>
      </c>
      <c r="I39" s="272">
        <f>G39/'- 7 -'!E39</f>
        <v>416.50294695481335</v>
      </c>
    </row>
    <row r="40" spans="1:10" ht="14.1" customHeight="1">
      <c r="A40" s="15" t="s">
        <v>136</v>
      </c>
      <c r="B40" s="16">
        <f>SUM('- 24 -'!H40,'- 24 -'!F40,'- 24 -'!D40,'- 24 -'!B40)</f>
        <v>1014162</v>
      </c>
      <c r="C40" s="267">
        <f>B40/'- 3 -'!D40*100</f>
        <v>0.96175128669163634</v>
      </c>
      <c r="D40" s="16">
        <f>SUM('- 25 -'!B40,'- 25 -'!E40,'- 25 -'!H40,'- 26 -'!B40)</f>
        <v>3713804</v>
      </c>
      <c r="E40" s="267">
        <f>D40/'- 3 -'!D40*100</f>
        <v>3.5218789261681525</v>
      </c>
      <c r="F40" s="16">
        <f>D40/'- 7 -'!E40</f>
        <v>467.22743627808671</v>
      </c>
      <c r="G40" s="16">
        <f>SUM('- 27 -'!B40,'- 27 -'!E40,'- 27 -'!H40,'- 28 -'!B40,'- 28 -'!E40)</f>
        <v>3735683</v>
      </c>
      <c r="H40" s="267">
        <f>G40/'- 3 -'!D40*100</f>
        <v>3.5426272448800802</v>
      </c>
      <c r="I40" s="16">
        <f>G40/'- 7 -'!E40</f>
        <v>469.97999647736714</v>
      </c>
    </row>
    <row r="41" spans="1:10" ht="14.1" customHeight="1">
      <c r="A41" s="271" t="s">
        <v>137</v>
      </c>
      <c r="B41" s="272">
        <f>SUM('- 24 -'!H41,'- 24 -'!F41,'- 24 -'!D41,'- 24 -'!B41)</f>
        <v>287192</v>
      </c>
      <c r="C41" s="273">
        <f>B41/'- 3 -'!D41*100</f>
        <v>0.44917207398157716</v>
      </c>
      <c r="D41" s="272">
        <f>SUM('- 25 -'!B41,'- 25 -'!E41,'- 25 -'!H41,'- 26 -'!B41)</f>
        <v>2344147</v>
      </c>
      <c r="E41" s="273">
        <f>D41/'- 3 -'!D41*100</f>
        <v>3.6662768103139785</v>
      </c>
      <c r="F41" s="272">
        <f>D41/'- 7 -'!E41</f>
        <v>531.61288127905664</v>
      </c>
      <c r="G41" s="272">
        <f>SUM('- 27 -'!B41,'- 27 -'!E41,'- 27 -'!H41,'- 28 -'!B41,'- 28 -'!E41)</f>
        <v>1553442</v>
      </c>
      <c r="H41" s="273">
        <f>G41/'- 3 -'!D41*100</f>
        <v>2.4296037666442283</v>
      </c>
      <c r="I41" s="272">
        <f>G41/'- 7 -'!E41</f>
        <v>352.29436444041272</v>
      </c>
    </row>
    <row r="42" spans="1:10" ht="14.1" customHeight="1">
      <c r="A42" s="15" t="s">
        <v>138</v>
      </c>
      <c r="B42" s="16">
        <f>SUM('- 24 -'!H42,'- 24 -'!F42,'- 24 -'!D42,'- 24 -'!B42)</f>
        <v>199053</v>
      </c>
      <c r="C42" s="267">
        <f>B42/'- 3 -'!D42*100</f>
        <v>0.9427906846769103</v>
      </c>
      <c r="D42" s="16">
        <f>SUM('- 25 -'!B42,'- 25 -'!E42,'- 25 -'!H42,'- 26 -'!B42)</f>
        <v>853069</v>
      </c>
      <c r="E42" s="267">
        <f>D42/'- 3 -'!D42*100</f>
        <v>4.0404591068039526</v>
      </c>
      <c r="F42" s="16">
        <f>D42/'- 7 -'!E42</f>
        <v>626.7957384276267</v>
      </c>
      <c r="G42" s="16">
        <f>SUM('- 27 -'!B42,'- 27 -'!E42,'- 27 -'!H42,'- 28 -'!B42,'- 28 -'!E42)</f>
        <v>447729</v>
      </c>
      <c r="H42" s="267">
        <f>G42/'- 3 -'!D42*100</f>
        <v>2.1206147632023047</v>
      </c>
      <c r="I42" s="16">
        <f>G42/'- 7 -'!E42</f>
        <v>328.97060984570169</v>
      </c>
    </row>
    <row r="43" spans="1:10" ht="14.1" customHeight="1">
      <c r="A43" s="271" t="s">
        <v>139</v>
      </c>
      <c r="B43" s="272">
        <f>SUM('- 24 -'!H43,'- 24 -'!F43,'- 24 -'!D43,'- 24 -'!B43)</f>
        <v>12240</v>
      </c>
      <c r="C43" s="273">
        <f>B43/'- 3 -'!D43*100</f>
        <v>9.1693477394973327E-2</v>
      </c>
      <c r="D43" s="272">
        <f>SUM('- 25 -'!B43,'- 25 -'!E43,'- 25 -'!H43,'- 26 -'!B43)</f>
        <v>570469</v>
      </c>
      <c r="E43" s="273">
        <f>D43/'- 3 -'!D43*100</f>
        <v>4.2735528068654443</v>
      </c>
      <c r="F43" s="272">
        <f>D43/'- 7 -'!E43</f>
        <v>606.55927698032963</v>
      </c>
      <c r="G43" s="272">
        <f>SUM('- 27 -'!B43,'- 27 -'!E43,'- 27 -'!H43,'- 28 -'!B43,'- 28 -'!E43)</f>
        <v>435768</v>
      </c>
      <c r="H43" s="273">
        <f>G43/'- 3 -'!D43*100</f>
        <v>3.2644675863931973</v>
      </c>
      <c r="I43" s="272">
        <f>G43/'- 7 -'!E43</f>
        <v>463.33652312599679</v>
      </c>
    </row>
    <row r="44" spans="1:10" ht="14.1" customHeight="1">
      <c r="A44" s="15" t="s">
        <v>140</v>
      </c>
      <c r="B44" s="16">
        <f>SUM('- 24 -'!H44,'- 24 -'!F44,'- 24 -'!D44,'- 24 -'!B44)</f>
        <v>24414</v>
      </c>
      <c r="C44" s="267">
        <f>B44/'- 3 -'!D44*100</f>
        <v>0.21790805411874248</v>
      </c>
      <c r="D44" s="16">
        <f>SUM('- 25 -'!B44,'- 25 -'!E44,'- 25 -'!H44,'- 26 -'!B44)</f>
        <v>420939</v>
      </c>
      <c r="E44" s="267">
        <f>D44/'- 3 -'!D44*100</f>
        <v>3.7571065123572271</v>
      </c>
      <c r="F44" s="16">
        <f>D44/'- 7 -'!E44</f>
        <v>600.4835948644793</v>
      </c>
      <c r="G44" s="16">
        <f>SUM('- 27 -'!B44,'- 27 -'!E44,'- 27 -'!H44,'- 28 -'!B44,'- 28 -'!E44)</f>
        <v>258535</v>
      </c>
      <c r="H44" s="267">
        <f>G44/'- 3 -'!D44*100</f>
        <v>2.3075636426472141</v>
      </c>
      <c r="I44" s="16">
        <f>G44/'- 7 -'!E44</f>
        <v>368.80884450784595</v>
      </c>
    </row>
    <row r="45" spans="1:10" ht="14.1" customHeight="1">
      <c r="A45" s="271" t="s">
        <v>141</v>
      </c>
      <c r="B45" s="272">
        <f>SUM('- 24 -'!H45,'- 24 -'!F45,'- 24 -'!D45,'- 24 -'!B45)</f>
        <v>54925</v>
      </c>
      <c r="C45" s="273">
        <f>B45/'- 3 -'!D45*100</f>
        <v>0.28003523880849429</v>
      </c>
      <c r="D45" s="272">
        <f>SUM('- 25 -'!B45,'- 25 -'!E45,'- 25 -'!H45,'- 26 -'!B45)</f>
        <v>780314</v>
      </c>
      <c r="E45" s="273">
        <f>D45/'- 3 -'!D45*100</f>
        <v>3.9784327234521877</v>
      </c>
      <c r="F45" s="272">
        <f>D45/'- 7 -'!E45</f>
        <v>458.46886016451236</v>
      </c>
      <c r="G45" s="272">
        <f>SUM('- 27 -'!B45,'- 27 -'!E45,'- 27 -'!H45,'- 28 -'!B45,'- 28 -'!E45)</f>
        <v>597944</v>
      </c>
      <c r="H45" s="273">
        <f>G45/'- 3 -'!D45*100</f>
        <v>3.0486188590642933</v>
      </c>
      <c r="I45" s="272">
        <f>G45/'- 7 -'!E45</f>
        <v>351.31844888366629</v>
      </c>
    </row>
    <row r="46" spans="1:10" ht="14.1" customHeight="1">
      <c r="A46" s="15" t="s">
        <v>142</v>
      </c>
      <c r="B46" s="16">
        <f>SUM('- 24 -'!H46,'- 24 -'!F46,'- 24 -'!D46,'- 24 -'!B46)</f>
        <v>9195300</v>
      </c>
      <c r="C46" s="267">
        <f>B46/'- 3 -'!D46*100</f>
        <v>2.3472295681544817</v>
      </c>
      <c r="D46" s="16">
        <f>SUM('- 25 -'!B46,'- 25 -'!E46,'- 25 -'!H46,'- 26 -'!B46)</f>
        <v>11244500</v>
      </c>
      <c r="E46" s="267">
        <f>D46/'- 3 -'!D46*100</f>
        <v>2.870316670376504</v>
      </c>
      <c r="F46" s="16">
        <f>D46/'- 7 -'!E46</f>
        <v>372.86533806413104</v>
      </c>
      <c r="G46" s="16">
        <f>SUM('- 27 -'!B46,'- 27 -'!E46,'- 27 -'!H46,'- 28 -'!B46,'- 28 -'!E46)</f>
        <v>9350000</v>
      </c>
      <c r="H46" s="267">
        <f>G46/'- 3 -'!D46*100</f>
        <v>2.3867189175170367</v>
      </c>
      <c r="I46" s="16">
        <f>G46/'- 7 -'!E46</f>
        <v>310.04410253009252</v>
      </c>
    </row>
    <row r="47" spans="1:10" ht="5.0999999999999996" customHeight="1">
      <c r="A47"/>
      <c r="B47"/>
      <c r="C47"/>
      <c r="D47"/>
      <c r="E47"/>
      <c r="F47"/>
      <c r="G47"/>
      <c r="H47"/>
      <c r="I47"/>
      <c r="J47"/>
    </row>
    <row r="48" spans="1:10" ht="14.1" customHeight="1">
      <c r="A48" s="274" t="s">
        <v>143</v>
      </c>
      <c r="B48" s="275">
        <f>SUM(B11:B46)</f>
        <v>23143784</v>
      </c>
      <c r="C48" s="276">
        <f>B48/'- 3 -'!D48*100</f>
        <v>1.0013415267757959</v>
      </c>
      <c r="D48" s="275">
        <f>SUM(D11:D46)</f>
        <v>80699482</v>
      </c>
      <c r="E48" s="276">
        <f>D48/'- 3 -'!D48*100</f>
        <v>3.4915527433152613</v>
      </c>
      <c r="F48" s="275">
        <f>D48/'- 7 -'!E48</f>
        <v>460.78702831733511</v>
      </c>
      <c r="G48" s="275">
        <f>SUM(G11:G46)</f>
        <v>79206776</v>
      </c>
      <c r="H48" s="276">
        <f>G48/'- 3 -'!D48*100</f>
        <v>3.4269691598758643</v>
      </c>
      <c r="I48" s="275">
        <f>G48/'- 7 -'!E48</f>
        <v>452.26380679416036</v>
      </c>
    </row>
    <row r="49" spans="1:9" ht="5.0999999999999996" customHeight="1">
      <c r="A49" s="17" t="s">
        <v>1</v>
      </c>
      <c r="B49" s="18"/>
      <c r="C49" s="266"/>
      <c r="D49" s="18"/>
      <c r="E49" s="266"/>
      <c r="G49" s="18"/>
      <c r="H49" s="266"/>
      <c r="I49" s="18"/>
    </row>
    <row r="50" spans="1:9" ht="14.1" customHeight="1">
      <c r="A50" s="15" t="s">
        <v>144</v>
      </c>
      <c r="B50" s="16">
        <f>SUM('- 24 -'!H50,'- 24 -'!F50,'- 24 -'!D50,'- 24 -'!B50)</f>
        <v>187427</v>
      </c>
      <c r="C50" s="267">
        <f>B50/'- 3 -'!D50*100</f>
        <v>5.4235394000704904</v>
      </c>
      <c r="D50" s="16">
        <f>SUM('- 25 -'!B50,'- 25 -'!E50,'- 25 -'!H50,'- 26 -'!B50)</f>
        <v>166926</v>
      </c>
      <c r="E50" s="267">
        <f>D50/'- 3 -'!D50*100</f>
        <v>4.8303058678641104</v>
      </c>
      <c r="F50" s="16">
        <f>D50/'- 7 -'!E50</f>
        <v>1036.807453416149</v>
      </c>
      <c r="G50" s="16">
        <f>SUM('- 27 -'!B50,'- 27 -'!E50,'- 27 -'!H50,'- 28 -'!B50,'- 28 -'!E50)</f>
        <v>135881</v>
      </c>
      <c r="H50" s="267">
        <f>G50/'- 3 -'!D50*100</f>
        <v>3.9319626159570298</v>
      </c>
      <c r="I50" s="16">
        <f>G50/'- 7 -'!E50</f>
        <v>843.98136645962734</v>
      </c>
    </row>
    <row r="51" spans="1:9" ht="14.1" customHeight="1">
      <c r="A51" s="360" t="s">
        <v>523</v>
      </c>
      <c r="B51" s="272">
        <f>SUM('- 24 -'!H51,'- 24 -'!F51,'- 24 -'!D51,'- 24 -'!B51)</f>
        <v>11891415</v>
      </c>
      <c r="C51" s="273">
        <f>B51/'- 3 -'!D51*100</f>
        <v>40.224658258785347</v>
      </c>
      <c r="D51" s="272">
        <f>SUM('- 25 -'!B51,'- 25 -'!E51,'- 25 -'!H51,'- 26 -'!B51)</f>
        <v>4556974</v>
      </c>
      <c r="E51" s="273">
        <f>D51/'- 3 -'!D51*100</f>
        <v>15.414710683646149</v>
      </c>
      <c r="F51" s="272">
        <f>D51/'- 7 -'!E51</f>
        <v>6289.8191856452722</v>
      </c>
      <c r="G51" s="272">
        <f>SUM('- 27 -'!B51,'- 27 -'!E51,'- 27 -'!H51,'- 28 -'!B51,'- 28 -'!E51)</f>
        <v>419862</v>
      </c>
      <c r="H51" s="273">
        <f>G51/'- 3 -'!D51*100</f>
        <v>1.42025196041431</v>
      </c>
      <c r="I51" s="272">
        <f>G51/'- 7 -'!E51</f>
        <v>579.51966873705999</v>
      </c>
    </row>
    <row r="52" spans="1:9" ht="50.1" customHeight="1"/>
    <row r="53" spans="1:9" ht="15" customHeight="1">
      <c r="E53" s="126"/>
    </row>
    <row r="54" spans="1:9" ht="14.45" customHeight="1">
      <c r="B54" s="72"/>
      <c r="C54" s="72"/>
      <c r="D54" s="72"/>
      <c r="E54" s="72"/>
      <c r="F54" s="72"/>
      <c r="G54" s="72"/>
      <c r="H54" s="72"/>
    </row>
    <row r="55" spans="1:9" ht="14.45" customHeight="1"/>
    <row r="56" spans="1:9" ht="14.45" customHeight="1"/>
    <row r="57" spans="1:9" ht="14.45" customHeight="1"/>
    <row r="58" spans="1:9" ht="14.45" customHeight="1"/>
    <row r="59" spans="1:9" ht="14.45" customHeight="1"/>
  </sheetData>
  <mergeCells count="5">
    <mergeCell ref="B6:C7"/>
    <mergeCell ref="D6:F7"/>
    <mergeCell ref="G6:I7"/>
    <mergeCell ref="F8:F9"/>
    <mergeCell ref="I8:I9"/>
  </mergeCells>
  <phoneticPr fontId="0" type="noConversion"/>
  <printOptions horizontalCentered="1"/>
  <pageMargins left="0.5" right="0.5" top="0.6" bottom="0" header="0.3" footer="0"/>
  <pageSetup scale="90" orientation="portrait" r:id="rId1"/>
  <headerFooter alignWithMargins="0">
    <oddHeader>&amp;C&amp;"Arial,Bold"&amp;10&amp;A</oddHeader>
  </headerFooter>
</worksheet>
</file>

<file path=xl/worksheets/sheet13.xml><?xml version="1.0" encoding="utf-8"?>
<worksheet xmlns="http://schemas.openxmlformats.org/spreadsheetml/2006/main" xmlns:r="http://schemas.openxmlformats.org/officeDocument/2006/relationships">
  <sheetPr codeName="Sheet12">
    <pageSetUpPr fitToPage="1"/>
  </sheetPr>
  <dimension ref="A1:K59"/>
  <sheetViews>
    <sheetView showGridLines="0" showZeros="0" workbookViewId="0"/>
  </sheetViews>
  <sheetFormatPr defaultColWidth="15.83203125" defaultRowHeight="12"/>
  <cols>
    <col min="1" max="1" width="32.83203125" style="1" customWidth="1"/>
    <col min="2" max="2" width="13" style="1" customWidth="1"/>
    <col min="3" max="3" width="7.83203125" style="1" customWidth="1"/>
    <col min="4" max="4" width="9.83203125" style="1" customWidth="1"/>
    <col min="5" max="5" width="13.33203125" style="1" bestFit="1" customWidth="1"/>
    <col min="6" max="6" width="7.83203125" style="1" customWidth="1"/>
    <col min="7" max="7" width="9.83203125" style="1" customWidth="1"/>
    <col min="8" max="8" width="12" style="1" bestFit="1" customWidth="1"/>
    <col min="9" max="9" width="7.83203125" style="1" customWidth="1"/>
    <col min="10" max="10" width="9.83203125" style="1" customWidth="1"/>
    <col min="11" max="16384" width="15.83203125" style="1"/>
  </cols>
  <sheetData>
    <row r="1" spans="1:10" ht="6.95" customHeight="1">
      <c r="A1" s="3"/>
      <c r="B1" s="4"/>
      <c r="C1" s="4"/>
      <c r="D1" s="4"/>
      <c r="E1" s="4"/>
      <c r="F1" s="4"/>
      <c r="G1" s="4"/>
      <c r="H1" s="4"/>
      <c r="I1" s="4"/>
      <c r="J1" s="4"/>
    </row>
    <row r="2" spans="1:10" ht="15.95" customHeight="1">
      <c r="A2" s="132"/>
      <c r="B2" s="5" t="str">
        <f>AEXP_BF</f>
        <v>ANALYSIS OF EXPENSE BY FUNCTION</v>
      </c>
      <c r="C2" s="6"/>
      <c r="D2" s="6"/>
      <c r="E2" s="6"/>
      <c r="F2" s="6"/>
      <c r="G2" s="6"/>
      <c r="H2" s="85"/>
      <c r="I2" s="85"/>
      <c r="J2" s="150" t="s">
        <v>3</v>
      </c>
    </row>
    <row r="3" spans="1:10" ht="15.95" customHeight="1">
      <c r="A3" s="135"/>
      <c r="B3" s="7" t="str">
        <f>+'- 16 -'!B3</f>
        <v>OPERATING FUND 2016/2017 BUDGET</v>
      </c>
      <c r="C3" s="8"/>
      <c r="D3" s="8"/>
      <c r="E3" s="8"/>
      <c r="F3" s="8"/>
      <c r="G3" s="8"/>
      <c r="H3" s="87"/>
      <c r="I3" s="87"/>
      <c r="J3" s="81"/>
    </row>
    <row r="4" spans="1:10" ht="15.95" customHeight="1">
      <c r="B4" s="4"/>
      <c r="C4" s="4"/>
      <c r="D4" s="4"/>
      <c r="E4" s="4"/>
      <c r="F4" s="4"/>
      <c r="G4" s="4"/>
      <c r="H4" s="4"/>
      <c r="I4" s="4"/>
      <c r="J4" s="4"/>
    </row>
    <row r="5" spans="1:10" ht="15.95" customHeight="1">
      <c r="B5" s="4"/>
      <c r="C5" s="4"/>
      <c r="D5" s="4"/>
      <c r="E5" s="4"/>
      <c r="F5" s="4"/>
      <c r="G5" s="4"/>
      <c r="H5" s="4"/>
      <c r="I5" s="4"/>
      <c r="J5" s="4"/>
    </row>
    <row r="6" spans="1:10" ht="15.95" customHeight="1">
      <c r="B6" s="618" t="s">
        <v>406</v>
      </c>
      <c r="C6" s="628"/>
      <c r="D6" s="619"/>
      <c r="E6" s="622" t="s">
        <v>68</v>
      </c>
      <c r="F6" s="628"/>
      <c r="G6" s="619"/>
      <c r="H6" s="624" t="s">
        <v>24</v>
      </c>
      <c r="I6" s="630"/>
      <c r="J6" s="631"/>
    </row>
    <row r="7" spans="1:10" ht="15.95" customHeight="1">
      <c r="B7" s="620"/>
      <c r="C7" s="629"/>
      <c r="D7" s="621"/>
      <c r="E7" s="620"/>
      <c r="F7" s="629"/>
      <c r="G7" s="621"/>
      <c r="H7" s="632"/>
      <c r="I7" s="633"/>
      <c r="J7" s="634"/>
    </row>
    <row r="8" spans="1:10" ht="15.95" customHeight="1">
      <c r="A8" s="82"/>
      <c r="B8" s="138"/>
      <c r="C8" s="137"/>
      <c r="D8" s="536" t="s">
        <v>401</v>
      </c>
      <c r="E8" s="138"/>
      <c r="F8" s="137"/>
      <c r="G8" s="536" t="s">
        <v>401</v>
      </c>
      <c r="H8" s="138"/>
      <c r="I8" s="137"/>
      <c r="J8" s="536" t="s">
        <v>401</v>
      </c>
    </row>
    <row r="9" spans="1:10" ht="15.95" customHeight="1">
      <c r="A9" s="27" t="s">
        <v>37</v>
      </c>
      <c r="B9" s="89" t="s">
        <v>38</v>
      </c>
      <c r="C9" s="89" t="s">
        <v>39</v>
      </c>
      <c r="D9" s="576"/>
      <c r="E9" s="89" t="s">
        <v>38</v>
      </c>
      <c r="F9" s="89" t="s">
        <v>39</v>
      </c>
      <c r="G9" s="538"/>
      <c r="H9" s="89" t="s">
        <v>38</v>
      </c>
      <c r="I9" s="89" t="s">
        <v>39</v>
      </c>
      <c r="J9" s="538"/>
    </row>
    <row r="10" spans="1:10" ht="5.0999999999999996" customHeight="1">
      <c r="A10" s="29"/>
    </row>
    <row r="11" spans="1:10" ht="14.1" customHeight="1">
      <c r="A11" s="271" t="s">
        <v>108</v>
      </c>
      <c r="B11" s="272">
        <f>SUM('- 30 -'!D11,'- 30 -'!B11,'- 29 -'!F11,'- 29 -'!D11,'- 29 -'!B11)</f>
        <v>1286095</v>
      </c>
      <c r="C11" s="273">
        <f>B11/'- 3 -'!D11*100</f>
        <v>6.5743856726193695</v>
      </c>
      <c r="D11" s="272">
        <f>B11/'- 7 -'!E11</f>
        <v>733.65373645179693</v>
      </c>
      <c r="E11" s="272">
        <f>SUM('- 32 -'!D11,'- 32 -'!B11,'- 31 -'!F11,'- 31 -'!D11,'- 31 -'!B11)</f>
        <v>1969175</v>
      </c>
      <c r="F11" s="273">
        <f>E11/'- 3 -'!D11*100</f>
        <v>10.066220541157726</v>
      </c>
      <c r="G11" s="272">
        <f>E11/'- 7 -'!E11</f>
        <v>1123.3171705647462</v>
      </c>
      <c r="H11" s="272">
        <f>SUM('- 33 -'!B11,'- 33 -'!D11)</f>
        <v>334000</v>
      </c>
      <c r="I11" s="273">
        <f>H11/'- 3 -'!D11*100</f>
        <v>1.7073737279554537</v>
      </c>
      <c r="J11" s="272">
        <f>H11/'- 7 -'!E11</f>
        <v>190.53051911009698</v>
      </c>
    </row>
    <row r="12" spans="1:10" ht="14.1" customHeight="1">
      <c r="A12" s="15" t="s">
        <v>109</v>
      </c>
      <c r="B12" s="16">
        <f>SUM('- 30 -'!D12,'- 30 -'!B12,'- 29 -'!F12,'- 29 -'!D12,'- 29 -'!B12)</f>
        <v>2574975</v>
      </c>
      <c r="C12" s="267">
        <f>B12/'- 3 -'!D12*100</f>
        <v>7.3740175529667944</v>
      </c>
      <c r="D12" s="16">
        <f>B12/'- 7 -'!E12</f>
        <v>1197.6627906976744</v>
      </c>
      <c r="E12" s="16">
        <f>SUM('- 32 -'!D12,'- 32 -'!B12,'- 31 -'!F12,'- 31 -'!D12,'- 31 -'!B12)</f>
        <v>3452110</v>
      </c>
      <c r="F12" s="267">
        <f>E12/'- 3 -'!D12*100</f>
        <v>9.8858900512712538</v>
      </c>
      <c r="G12" s="16">
        <f>E12/'- 7 -'!E12</f>
        <v>1605.6325581395349</v>
      </c>
      <c r="H12" s="16">
        <f>SUM('- 33 -'!B12,'- 33 -'!D12)</f>
        <v>521593</v>
      </c>
      <c r="I12" s="267">
        <f>H12/'- 3 -'!D12*100</f>
        <v>1.4936983611509274</v>
      </c>
      <c r="J12" s="16">
        <f>H12/'- 7 -'!E12</f>
        <v>242.6013953488372</v>
      </c>
    </row>
    <row r="13" spans="1:10" ht="14.1" customHeight="1">
      <c r="A13" s="271" t="s">
        <v>110</v>
      </c>
      <c r="B13" s="272">
        <f>SUM('- 30 -'!D13,'- 30 -'!B13,'- 29 -'!F13,'- 29 -'!D13,'- 29 -'!B13)</f>
        <v>2538900</v>
      </c>
      <c r="C13" s="273">
        <f>B13/'- 3 -'!D13*100</f>
        <v>2.5915446377716944</v>
      </c>
      <c r="D13" s="272">
        <f>B13/'- 7 -'!E13</f>
        <v>304.16916257337965</v>
      </c>
      <c r="E13" s="272">
        <f>SUM('- 32 -'!D13,'- 32 -'!B13,'- 31 -'!F13,'- 31 -'!D13,'- 31 -'!B13)</f>
        <v>8156400</v>
      </c>
      <c r="F13" s="273">
        <f>E13/'- 3 -'!D13*100</f>
        <v>8.3255247089373547</v>
      </c>
      <c r="G13" s="272">
        <f>E13/'- 7 -'!E13</f>
        <v>977.16544866419076</v>
      </c>
      <c r="H13" s="272">
        <f>SUM('- 33 -'!B13,'- 33 -'!D13)</f>
        <v>1712500</v>
      </c>
      <c r="I13" s="273">
        <f>H13/'- 3 -'!D13*100</f>
        <v>1.7480090559628287</v>
      </c>
      <c r="J13" s="272">
        <f>H13/'- 7 -'!E13</f>
        <v>205.16353180783514</v>
      </c>
    </row>
    <row r="14" spans="1:10" ht="14.1" customHeight="1">
      <c r="A14" s="15" t="s">
        <v>319</v>
      </c>
      <c r="B14" s="16">
        <f>SUM('- 30 -'!D14,'- 30 -'!B14,'- 29 -'!F14,'- 29 -'!D14,'- 29 -'!B14)</f>
        <v>8910746</v>
      </c>
      <c r="C14" s="267">
        <f>B14/'- 3 -'!D14*100</f>
        <v>10.335525592000023</v>
      </c>
      <c r="D14" s="16">
        <f>B14/'- 7 -'!E14</f>
        <v>1623.6782069970845</v>
      </c>
      <c r="E14" s="16">
        <f>SUM('- 32 -'!D14,'- 32 -'!B14,'- 31 -'!F14,'- 31 -'!D14,'- 31 -'!B14)</f>
        <v>8968831</v>
      </c>
      <c r="F14" s="267">
        <f>E14/'- 3 -'!D14*100</f>
        <v>10.402898066090442</v>
      </c>
      <c r="G14" s="16">
        <f>E14/'- 7 -'!E14</f>
        <v>1634.2622084548104</v>
      </c>
      <c r="H14" s="16">
        <f>SUM('- 33 -'!B14,'- 33 -'!D14)</f>
        <v>1339222</v>
      </c>
      <c r="I14" s="267">
        <f>H14/'- 3 -'!D14*100</f>
        <v>1.5533562795269276</v>
      </c>
      <c r="J14" s="16">
        <f>H14/'- 7 -'!E14</f>
        <v>244.02733236151605</v>
      </c>
    </row>
    <row r="15" spans="1:10" ht="14.1" customHeight="1">
      <c r="A15" s="271" t="s">
        <v>111</v>
      </c>
      <c r="B15" s="272">
        <f>SUM('- 30 -'!D15,'- 30 -'!B15,'- 29 -'!F15,'- 29 -'!D15,'- 29 -'!B15)</f>
        <v>1546800</v>
      </c>
      <c r="C15" s="273">
        <f>B15/'- 3 -'!D15*100</f>
        <v>7.5788035348543143</v>
      </c>
      <c r="D15" s="272">
        <f>B15/'- 7 -'!E15</f>
        <v>1129.4633077765609</v>
      </c>
      <c r="E15" s="272">
        <f>SUM('- 32 -'!D15,'- 32 -'!B15,'- 31 -'!F15,'- 31 -'!D15,'- 31 -'!B15)</f>
        <v>2683900</v>
      </c>
      <c r="F15" s="273">
        <f>E15/'- 3 -'!D15*100</f>
        <v>13.15021386552592</v>
      </c>
      <c r="G15" s="272">
        <f>E15/'- 7 -'!E15</f>
        <v>1959.7663380795912</v>
      </c>
      <c r="H15" s="272">
        <f>SUM('- 33 -'!B15,'- 33 -'!D15)</f>
        <v>325000</v>
      </c>
      <c r="I15" s="273">
        <f>H15/'- 3 -'!D15*100</f>
        <v>1.5923914848898706</v>
      </c>
      <c r="J15" s="272">
        <f>H15/'- 7 -'!E15</f>
        <v>237.31288791529755</v>
      </c>
    </row>
    <row r="16" spans="1:10" ht="14.1" customHeight="1">
      <c r="A16" s="15" t="s">
        <v>112</v>
      </c>
      <c r="B16" s="16">
        <f>SUM('- 30 -'!D16,'- 30 -'!B16,'- 29 -'!F16,'- 29 -'!D16,'- 29 -'!B16)</f>
        <v>573135</v>
      </c>
      <c r="C16" s="267">
        <f>B16/'- 3 -'!D16*100</f>
        <v>3.9205067467109873</v>
      </c>
      <c r="D16" s="16">
        <f>B16/'- 7 -'!E16</f>
        <v>598.5744125326371</v>
      </c>
      <c r="E16" s="16">
        <f>SUM('- 32 -'!D16,'- 32 -'!B16,'- 31 -'!F16,'- 31 -'!D16,'- 31 -'!B16)</f>
        <v>2171849</v>
      </c>
      <c r="F16" s="267">
        <f>E16/'- 3 -'!D16*100</f>
        <v>14.856445091187087</v>
      </c>
      <c r="G16" s="16">
        <f>E16/'- 7 -'!E16</f>
        <v>2268.2496083550914</v>
      </c>
      <c r="H16" s="16">
        <f>SUM('- 33 -'!B16,'- 33 -'!D16)</f>
        <v>224612</v>
      </c>
      <c r="I16" s="267">
        <f>H16/'- 3 -'!D16*100</f>
        <v>1.5364492857568433</v>
      </c>
      <c r="J16" s="16">
        <f>H16/'- 7 -'!E16</f>
        <v>234.58172323759791</v>
      </c>
    </row>
    <row r="17" spans="1:10" ht="14.1" customHeight="1">
      <c r="A17" s="271" t="s">
        <v>113</v>
      </c>
      <c r="B17" s="272">
        <f>SUM('- 30 -'!D17,'- 30 -'!B17,'- 29 -'!F17,'- 29 -'!D17,'- 29 -'!B17)</f>
        <v>1386994</v>
      </c>
      <c r="C17" s="273">
        <f>B17/'- 3 -'!D17*100</f>
        <v>7.6139087116392794</v>
      </c>
      <c r="D17" s="272">
        <f>B17/'- 7 -'!E17</f>
        <v>1020.2236116219199</v>
      </c>
      <c r="E17" s="272">
        <f>SUM('- 32 -'!D17,'- 32 -'!B17,'- 31 -'!F17,'- 31 -'!D17,'- 31 -'!B17)</f>
        <v>2017275</v>
      </c>
      <c r="F17" s="273">
        <f>E17/'- 3 -'!D17*100</f>
        <v>11.073838600795769</v>
      </c>
      <c r="G17" s="272">
        <f>E17/'- 7 -'!E17</f>
        <v>1483.835969106289</v>
      </c>
      <c r="H17" s="272">
        <f>SUM('- 33 -'!B17,'- 33 -'!D17)</f>
        <v>374000</v>
      </c>
      <c r="I17" s="273">
        <f>H17/'- 3 -'!D17*100</f>
        <v>2.0530743883196974</v>
      </c>
      <c r="J17" s="272">
        <f>H17/'- 7 -'!E17</f>
        <v>275.10114012504596</v>
      </c>
    </row>
    <row r="18" spans="1:10" ht="14.1" customHeight="1">
      <c r="A18" s="15" t="s">
        <v>114</v>
      </c>
      <c r="B18" s="16">
        <f>SUM('- 30 -'!D18,'- 30 -'!B18,'- 29 -'!F18,'- 29 -'!D18,'- 29 -'!B18)</f>
        <v>11624349</v>
      </c>
      <c r="C18" s="267">
        <f>B18/'- 3 -'!D18*100</f>
        <v>8.8104088915032985</v>
      </c>
      <c r="D18" s="16">
        <f>B18/'- 7 -'!E18</f>
        <v>1867.4853002602576</v>
      </c>
      <c r="E18" s="16">
        <f>SUM('- 32 -'!D18,'- 32 -'!B18,'- 31 -'!F18,'- 31 -'!D18,'- 31 -'!B18)</f>
        <v>22541734</v>
      </c>
      <c r="F18" s="267">
        <f>E18/'- 3 -'!D18*100</f>
        <v>17.084990623001961</v>
      </c>
      <c r="G18" s="16">
        <f>E18/'- 7 -'!E18</f>
        <v>3621.3947884201393</v>
      </c>
      <c r="H18" s="16">
        <f>SUM('- 33 -'!B18,'- 33 -'!D18)</f>
        <v>1990000</v>
      </c>
      <c r="I18" s="267">
        <f>H18/'- 3 -'!D18*100</f>
        <v>1.5082748886919659</v>
      </c>
      <c r="J18" s="16">
        <f>H18/'- 7 -'!E18</f>
        <v>319.69925778363267</v>
      </c>
    </row>
    <row r="19" spans="1:10" ht="14.1" customHeight="1">
      <c r="A19" s="271" t="s">
        <v>115</v>
      </c>
      <c r="B19" s="272">
        <f>SUM('- 30 -'!D19,'- 30 -'!B19,'- 29 -'!F19,'- 29 -'!D19,'- 29 -'!B19)</f>
        <v>2997400</v>
      </c>
      <c r="C19" s="273">
        <f>B19/'- 3 -'!D19*100</f>
        <v>6.4531796775864496</v>
      </c>
      <c r="D19" s="272">
        <f>B19/'- 7 -'!E19</f>
        <v>710.62114746325278</v>
      </c>
      <c r="E19" s="272">
        <f>SUM('- 32 -'!D19,'- 32 -'!B19,'- 31 -'!F19,'- 31 -'!D19,'- 31 -'!B19)</f>
        <v>4561150</v>
      </c>
      <c r="F19" s="273">
        <f>E19/'- 3 -'!D19*100</f>
        <v>9.8198173371666897</v>
      </c>
      <c r="G19" s="272">
        <f>E19/'- 7 -'!E19</f>
        <v>1081.3537221431959</v>
      </c>
      <c r="H19" s="272">
        <f>SUM('- 33 -'!B19,'- 33 -'!D19)</f>
        <v>783000</v>
      </c>
      <c r="I19" s="273">
        <f>H19/'- 3 -'!D19*100</f>
        <v>1.6857408712718323</v>
      </c>
      <c r="J19" s="272">
        <f>H19/'- 7 -'!E19</f>
        <v>185.6330014224751</v>
      </c>
    </row>
    <row r="20" spans="1:10" ht="14.1" customHeight="1">
      <c r="A20" s="15" t="s">
        <v>116</v>
      </c>
      <c r="B20" s="16">
        <f>SUM('- 30 -'!D20,'- 30 -'!B20,'- 29 -'!F20,'- 29 -'!D20,'- 29 -'!B20)</f>
        <v>3802400</v>
      </c>
      <c r="C20" s="267">
        <f>B20/'- 3 -'!D20*100</f>
        <v>4.620731559120185</v>
      </c>
      <c r="D20" s="16">
        <f>B20/'- 7 -'!E20</f>
        <v>501.60279664929755</v>
      </c>
      <c r="E20" s="16">
        <f>SUM('- 32 -'!D20,'- 32 -'!B20,'- 31 -'!F20,'- 31 -'!D20,'- 31 -'!B20)</f>
        <v>9857900</v>
      </c>
      <c r="F20" s="267">
        <f>E20/'- 3 -'!D20*100</f>
        <v>11.979462875197472</v>
      </c>
      <c r="G20" s="16">
        <f>E20/'- 7 -'!E20</f>
        <v>1300.4287316140096</v>
      </c>
      <c r="H20" s="16">
        <f>SUM('- 33 -'!B20,'- 33 -'!D20)</f>
        <v>1515200</v>
      </c>
      <c r="I20" s="267">
        <f>H20/'- 3 -'!D20*100</f>
        <v>1.8412929882124194</v>
      </c>
      <c r="J20" s="16">
        <f>H20/'- 7 -'!E20</f>
        <v>199.88127432227427</v>
      </c>
    </row>
    <row r="21" spans="1:10" ht="14.1" customHeight="1">
      <c r="A21" s="271" t="s">
        <v>117</v>
      </c>
      <c r="B21" s="272">
        <f>SUM('- 30 -'!D21,'- 30 -'!B21,'- 29 -'!F21,'- 29 -'!D21,'- 29 -'!B21)</f>
        <v>2178000</v>
      </c>
      <c r="C21" s="273">
        <f>B21/'- 3 -'!D21*100</f>
        <v>5.9881745924061534</v>
      </c>
      <c r="D21" s="272">
        <f>B21/'- 7 -'!E21</f>
        <v>804.8780487804878</v>
      </c>
      <c r="E21" s="272">
        <f>SUM('- 32 -'!D21,'- 32 -'!B21,'- 31 -'!F21,'- 31 -'!D21,'- 31 -'!B21)</f>
        <v>3573000</v>
      </c>
      <c r="F21" s="273">
        <f>E21/'- 3 -'!D21*100</f>
        <v>9.8235756743191853</v>
      </c>
      <c r="G21" s="272">
        <f>E21/'- 7 -'!E21</f>
        <v>1320.39911308204</v>
      </c>
      <c r="H21" s="272">
        <f>SUM('- 33 -'!B21,'- 33 -'!D21)</f>
        <v>673000</v>
      </c>
      <c r="I21" s="273">
        <f>H21/'- 3 -'!D21*100</f>
        <v>1.8503404502705882</v>
      </c>
      <c r="J21" s="272">
        <f>H21/'- 7 -'!E21</f>
        <v>248.70657797487067</v>
      </c>
    </row>
    <row r="22" spans="1:10" ht="14.1" customHeight="1">
      <c r="A22" s="15" t="s">
        <v>118</v>
      </c>
      <c r="B22" s="16">
        <f>SUM('- 30 -'!D22,'- 30 -'!B22,'- 29 -'!F22,'- 29 -'!D22,'- 29 -'!B22)</f>
        <v>657779</v>
      </c>
      <c r="C22" s="267">
        <f>B22/'- 3 -'!D22*100</f>
        <v>3.1820170917215473</v>
      </c>
      <c r="D22" s="16">
        <f>B22/'- 7 -'!E22</f>
        <v>422.14029007829544</v>
      </c>
      <c r="E22" s="16">
        <f>SUM('- 32 -'!D22,'- 32 -'!B22,'- 31 -'!F22,'- 31 -'!D22,'- 31 -'!B22)</f>
        <v>2588588</v>
      </c>
      <c r="F22" s="267">
        <f>E22/'- 3 -'!D22*100</f>
        <v>12.522338444105538</v>
      </c>
      <c r="G22" s="16">
        <f>E22/'- 7 -'!E22</f>
        <v>1661.2681298934667</v>
      </c>
      <c r="H22" s="16">
        <f>SUM('- 33 -'!B22,'- 33 -'!D22)</f>
        <v>360000</v>
      </c>
      <c r="I22" s="267">
        <f>H22/'- 3 -'!D22*100</f>
        <v>1.7415061183463703</v>
      </c>
      <c r="J22" s="16">
        <f>H22/'- 7 -'!E22</f>
        <v>231.03581055063535</v>
      </c>
    </row>
    <row r="23" spans="1:10" ht="14.1" customHeight="1">
      <c r="A23" s="271" t="s">
        <v>119</v>
      </c>
      <c r="B23" s="272">
        <f>SUM('- 30 -'!D23,'- 30 -'!B23,'- 29 -'!F23,'- 29 -'!D23,'- 29 -'!B23)</f>
        <v>1654715</v>
      </c>
      <c r="C23" s="273">
        <f>B23/'- 3 -'!D23*100</f>
        <v>9.8537458216345861</v>
      </c>
      <c r="D23" s="272">
        <f>B23/'- 7 -'!E23</f>
        <v>1485.3815080789946</v>
      </c>
      <c r="E23" s="272">
        <f>SUM('- 32 -'!D23,'- 32 -'!B23,'- 31 -'!F23,'- 31 -'!D23,'- 31 -'!B23)</f>
        <v>1490757</v>
      </c>
      <c r="F23" s="273">
        <f>E23/'- 3 -'!D23*100</f>
        <v>8.8773840569660081</v>
      </c>
      <c r="G23" s="272">
        <f>E23/'- 7 -'!E23</f>
        <v>1338.2019748653502</v>
      </c>
      <c r="H23" s="272">
        <f>SUM('- 33 -'!B23,'- 33 -'!D23)</f>
        <v>255000</v>
      </c>
      <c r="I23" s="273">
        <f>H23/'- 3 -'!D23*100</f>
        <v>1.5185123628641906</v>
      </c>
      <c r="J23" s="272">
        <f>H23/'- 7 -'!E23</f>
        <v>228.90484739676839</v>
      </c>
    </row>
    <row r="24" spans="1:10" ht="14.1" customHeight="1">
      <c r="A24" s="15" t="s">
        <v>120</v>
      </c>
      <c r="B24" s="16">
        <f>SUM('- 30 -'!D24,'- 30 -'!B24,'- 29 -'!F24,'- 29 -'!D24,'- 29 -'!B24)</f>
        <v>2696725</v>
      </c>
      <c r="C24" s="267">
        <f>B24/'- 3 -'!D24*100</f>
        <v>4.640949946682146</v>
      </c>
      <c r="D24" s="16">
        <f>B24/'- 7 -'!E24</f>
        <v>682.62878116694094</v>
      </c>
      <c r="E24" s="16">
        <f>SUM('- 32 -'!D24,'- 32 -'!B24,'- 31 -'!F24,'- 31 -'!D24,'- 31 -'!B24)</f>
        <v>6609865</v>
      </c>
      <c r="F24" s="267">
        <f>E24/'- 3 -'!D24*100</f>
        <v>11.375298786241157</v>
      </c>
      <c r="G24" s="16">
        <f>E24/'- 7 -'!E24</f>
        <v>1673.1717504113403</v>
      </c>
      <c r="H24" s="16">
        <f>SUM('- 33 -'!B24,'- 33 -'!D24)</f>
        <v>1000000</v>
      </c>
      <c r="I24" s="267">
        <f>H24/'- 3 -'!D24*100</f>
        <v>1.7209578087057988</v>
      </c>
      <c r="J24" s="16">
        <f>H24/'- 7 -'!E24</f>
        <v>253.13251487153525</v>
      </c>
    </row>
    <row r="25" spans="1:10" ht="14.1" customHeight="1">
      <c r="A25" s="271" t="s">
        <v>121</v>
      </c>
      <c r="B25" s="272">
        <f>SUM('- 30 -'!D25,'- 30 -'!B25,'- 29 -'!F25,'- 29 -'!D25,'- 29 -'!B25)</f>
        <v>4000501</v>
      </c>
      <c r="C25" s="273">
        <f>B25/'- 3 -'!D25*100</f>
        <v>2.2898821572157884</v>
      </c>
      <c r="D25" s="272">
        <f>B25/'- 7 -'!E25</f>
        <v>280.13732012184448</v>
      </c>
      <c r="E25" s="272">
        <f>SUM('- 32 -'!D25,'- 32 -'!B25,'- 31 -'!F25,'- 31 -'!D25,'- 31 -'!B25)</f>
        <v>17876409</v>
      </c>
      <c r="F25" s="273">
        <f>E25/'- 3 -'!D25*100</f>
        <v>10.232435888452905</v>
      </c>
      <c r="G25" s="272">
        <f>E25/'- 7 -'!E25</f>
        <v>1251.805539021743</v>
      </c>
      <c r="H25" s="272">
        <f>SUM('- 33 -'!B25,'- 33 -'!D25)</f>
        <v>3170724</v>
      </c>
      <c r="I25" s="273">
        <f>H25/'- 3 -'!D25*100</f>
        <v>1.814918759689317</v>
      </c>
      <c r="J25" s="272">
        <f>H25/'- 7 -'!E25</f>
        <v>222.03172157837611</v>
      </c>
    </row>
    <row r="26" spans="1:10" ht="14.1" customHeight="1">
      <c r="A26" s="15" t="s">
        <v>122</v>
      </c>
      <c r="B26" s="16">
        <f>SUM('- 30 -'!D26,'- 30 -'!B26,'- 29 -'!F26,'- 29 -'!D26,'- 29 -'!B26)</f>
        <v>3182846</v>
      </c>
      <c r="C26" s="267">
        <f>B26/'- 3 -'!D26*100</f>
        <v>7.7974243344375447</v>
      </c>
      <c r="D26" s="16">
        <f>B26/'- 7 -'!E26</f>
        <v>1007.1978734850163</v>
      </c>
      <c r="E26" s="16">
        <f>SUM('- 32 -'!D26,'- 32 -'!B26,'- 31 -'!F26,'- 31 -'!D26,'- 31 -'!B26)</f>
        <v>5091265</v>
      </c>
      <c r="F26" s="267">
        <f>E26/'- 3 -'!D26*100</f>
        <v>12.472722087110141</v>
      </c>
      <c r="G26" s="16">
        <f>E26/'- 7 -'!E26</f>
        <v>1611.1088256700739</v>
      </c>
      <c r="H26" s="16">
        <f>SUM('- 33 -'!B26,'- 33 -'!D26)</f>
        <v>782902</v>
      </c>
      <c r="I26" s="267">
        <f>H26/'- 3 -'!D26*100</f>
        <v>1.9179750155300701</v>
      </c>
      <c r="J26" s="16">
        <f>H26/'- 7 -'!E26</f>
        <v>247.74595740641121</v>
      </c>
    </row>
    <row r="27" spans="1:10" ht="14.1" customHeight="1">
      <c r="A27" s="271" t="s">
        <v>123</v>
      </c>
      <c r="B27" s="272">
        <f>SUM('- 30 -'!D27,'- 30 -'!B27,'- 29 -'!F27,'- 29 -'!D27,'- 29 -'!B27)</f>
        <v>365000</v>
      </c>
      <c r="C27" s="273">
        <f>B27/'- 3 -'!D27*100</f>
        <v>0.83398071562400033</v>
      </c>
      <c r="D27" s="272">
        <f>B27/'- 7 -'!E27</f>
        <v>125.42893751135242</v>
      </c>
      <c r="E27" s="272">
        <f>SUM('- 32 -'!D27,'- 32 -'!B27,'- 31 -'!F27,'- 31 -'!D27,'- 31 -'!B27)</f>
        <v>5306154</v>
      </c>
      <c r="F27" s="273">
        <f>E27/'- 3 -'!D27*100</f>
        <v>12.123918109948361</v>
      </c>
      <c r="G27" s="272">
        <f>E27/'- 7 -'!E27</f>
        <v>1823.4116671003087</v>
      </c>
      <c r="H27" s="272">
        <f>SUM('- 33 -'!B27,'- 33 -'!D27)</f>
        <v>713364</v>
      </c>
      <c r="I27" s="273">
        <f>H27/'- 3 -'!D27*100</f>
        <v>1.6299501896449298</v>
      </c>
      <c r="J27" s="272">
        <f>H27/'- 7 -'!E27</f>
        <v>245.14106459958467</v>
      </c>
    </row>
    <row r="28" spans="1:10" ht="14.1" customHeight="1">
      <c r="A28" s="15" t="s">
        <v>124</v>
      </c>
      <c r="B28" s="16">
        <f>SUM('- 30 -'!D28,'- 30 -'!B28,'- 29 -'!F28,'- 29 -'!D28,'- 29 -'!B28)</f>
        <v>2099402</v>
      </c>
      <c r="C28" s="267">
        <f>B28/'- 3 -'!D28*100</f>
        <v>7.3223861776193502</v>
      </c>
      <c r="D28" s="16">
        <f>B28/'- 7 -'!E28</f>
        <v>1079.1066563865331</v>
      </c>
      <c r="E28" s="16">
        <f>SUM('- 32 -'!D28,'- 32 -'!B28,'- 31 -'!F28,'- 31 -'!D28,'- 31 -'!B28)</f>
        <v>3280165</v>
      </c>
      <c r="F28" s="267">
        <f>E28/'- 3 -'!D28*100</f>
        <v>11.44070304606301</v>
      </c>
      <c r="G28" s="16">
        <f>E28/'- 7 -'!E28</f>
        <v>1686.0267283474684</v>
      </c>
      <c r="H28" s="16">
        <f>SUM('- 33 -'!B28,'- 33 -'!D28)</f>
        <v>478000</v>
      </c>
      <c r="I28" s="267">
        <f>H28/'- 3 -'!D28*100</f>
        <v>1.6671893200549726</v>
      </c>
      <c r="J28" s="16">
        <f>H28/'- 7 -'!E28</f>
        <v>245.6951940375225</v>
      </c>
    </row>
    <row r="29" spans="1:10" ht="14.1" customHeight="1">
      <c r="A29" s="271" t="s">
        <v>125</v>
      </c>
      <c r="B29" s="272">
        <f>SUM('- 30 -'!D29,'- 30 -'!B29,'- 29 -'!F29,'- 29 -'!D29,'- 29 -'!B29)</f>
        <v>3240476</v>
      </c>
      <c r="C29" s="273">
        <f>B29/'- 3 -'!D29*100</f>
        <v>2.0466776447213766</v>
      </c>
      <c r="D29" s="272">
        <f>B29/'- 7 -'!E29</f>
        <v>255.57820017351526</v>
      </c>
      <c r="E29" s="272">
        <f>SUM('- 32 -'!D29,'- 32 -'!B29,'- 31 -'!F29,'- 31 -'!D29,'- 31 -'!B29)</f>
        <v>19638704</v>
      </c>
      <c r="F29" s="273">
        <f>E29/'- 3 -'!D29*100</f>
        <v>12.403763042250668</v>
      </c>
      <c r="G29" s="272">
        <f>E29/'- 7 -'!E29</f>
        <v>1548.9158450981938</v>
      </c>
      <c r="H29" s="272">
        <f>SUM('- 33 -'!B29,'- 33 -'!D29)</f>
        <v>2752000</v>
      </c>
      <c r="I29" s="273">
        <f>H29/'- 3 -'!D29*100</f>
        <v>1.7381572578452142</v>
      </c>
      <c r="J29" s="272">
        <f>H29/'- 7 -'!E29</f>
        <v>217.05181796671661</v>
      </c>
    </row>
    <row r="30" spans="1:10" ht="14.1" customHeight="1">
      <c r="A30" s="15" t="s">
        <v>126</v>
      </c>
      <c r="B30" s="16">
        <f>SUM('- 30 -'!D30,'- 30 -'!B30,'- 29 -'!F30,'- 29 -'!D30,'- 29 -'!B30)</f>
        <v>1261454</v>
      </c>
      <c r="C30" s="267">
        <f>B30/'- 3 -'!D30*100</f>
        <v>8.5755979955686712</v>
      </c>
      <c r="D30" s="16">
        <f>B30/'- 7 -'!E30</f>
        <v>1256.4282868525897</v>
      </c>
      <c r="E30" s="16">
        <f>SUM('- 32 -'!D30,'- 32 -'!B30,'- 31 -'!F30,'- 31 -'!D30,'- 31 -'!B30)</f>
        <v>1631670</v>
      </c>
      <c r="F30" s="267">
        <f>E30/'- 3 -'!D30*100</f>
        <v>11.092394951722008</v>
      </c>
      <c r="G30" s="16">
        <f>E30/'- 7 -'!E30</f>
        <v>1625.1693227091635</v>
      </c>
      <c r="H30" s="16">
        <f>SUM('- 33 -'!B30,'- 33 -'!D30)</f>
        <v>235160</v>
      </c>
      <c r="I30" s="267">
        <f>H30/'- 3 -'!D30*100</f>
        <v>1.5986612469720884</v>
      </c>
      <c r="J30" s="16">
        <f>H30/'- 7 -'!E30</f>
        <v>234.22310756972112</v>
      </c>
    </row>
    <row r="31" spans="1:10" ht="14.1" customHeight="1">
      <c r="A31" s="271" t="s">
        <v>127</v>
      </c>
      <c r="B31" s="272">
        <f>SUM('- 30 -'!D31,'- 30 -'!B31,'- 29 -'!F31,'- 29 -'!D31,'- 29 -'!B31)</f>
        <v>1127777</v>
      </c>
      <c r="C31" s="273">
        <f>B31/'- 3 -'!D31*100</f>
        <v>2.9935888431303037</v>
      </c>
      <c r="D31" s="272">
        <f>B31/'- 7 -'!E31</f>
        <v>350.24130434782609</v>
      </c>
      <c r="E31" s="272">
        <f>SUM('- 32 -'!D31,'- 32 -'!B31,'- 31 -'!F31,'- 31 -'!D31,'- 31 -'!B31)</f>
        <v>4485745</v>
      </c>
      <c r="F31" s="273">
        <f>E31/'- 3 -'!D31*100</f>
        <v>11.907031430085507</v>
      </c>
      <c r="G31" s="272">
        <f>E31/'- 7 -'!E31</f>
        <v>1393.0885093167701</v>
      </c>
      <c r="H31" s="272">
        <f>SUM('- 33 -'!B31,'- 33 -'!D31)</f>
        <v>665435</v>
      </c>
      <c r="I31" s="273">
        <f>H31/'- 3 -'!D31*100</f>
        <v>1.7663410335805867</v>
      </c>
      <c r="J31" s="272">
        <f>H31/'- 7 -'!E31</f>
        <v>206.65683229813664</v>
      </c>
    </row>
    <row r="32" spans="1:10" ht="14.1" customHeight="1">
      <c r="A32" s="15" t="s">
        <v>128</v>
      </c>
      <c r="B32" s="16">
        <f>SUM('- 30 -'!D32,'- 30 -'!B32,'- 29 -'!F32,'- 29 -'!D32,'- 29 -'!B32)</f>
        <v>2221560</v>
      </c>
      <c r="C32" s="267">
        <f>B32/'- 3 -'!D32*100</f>
        <v>7.3384610993778185</v>
      </c>
      <c r="D32" s="16">
        <f>B32/'- 7 -'!E32</f>
        <v>1018.5969738651994</v>
      </c>
      <c r="E32" s="16">
        <f>SUM('- 32 -'!D32,'- 32 -'!B32,'- 31 -'!F32,'- 31 -'!D32,'- 31 -'!B32)</f>
        <v>3177574</v>
      </c>
      <c r="F32" s="267">
        <f>E32/'- 3 -'!D32*100</f>
        <v>10.496454378632301</v>
      </c>
      <c r="G32" s="16">
        <f>E32/'- 7 -'!E32</f>
        <v>1456.9344337459881</v>
      </c>
      <c r="H32" s="16">
        <f>SUM('- 33 -'!B32,'- 33 -'!D32)</f>
        <v>524000</v>
      </c>
      <c r="I32" s="267">
        <f>H32/'- 3 -'!D32*100</f>
        <v>1.7309249428662639</v>
      </c>
      <c r="J32" s="16">
        <f>H32/'- 7 -'!E32</f>
        <v>240.25676295277395</v>
      </c>
    </row>
    <row r="33" spans="1:11" ht="14.1" customHeight="1">
      <c r="A33" s="271" t="s">
        <v>129</v>
      </c>
      <c r="B33" s="272">
        <f>SUM('- 30 -'!D33,'- 30 -'!B33,'- 29 -'!F33,'- 29 -'!D33,'- 29 -'!B33)</f>
        <v>2324700</v>
      </c>
      <c r="C33" s="273">
        <f>B33/'- 3 -'!D33*100</f>
        <v>8.3229655778584135</v>
      </c>
      <c r="D33" s="272">
        <f>B33/'- 7 -'!E33</f>
        <v>1154.2701092353525</v>
      </c>
      <c r="E33" s="272">
        <f>SUM('- 32 -'!D33,'- 32 -'!B33,'- 31 -'!F33,'- 31 -'!D33,'- 31 -'!B33)</f>
        <v>3440600</v>
      </c>
      <c r="F33" s="273">
        <f>E33/'- 3 -'!D33*100</f>
        <v>12.318146585443134</v>
      </c>
      <c r="G33" s="272">
        <f>E33/'- 7 -'!E33</f>
        <v>1708.3416087388282</v>
      </c>
      <c r="H33" s="272">
        <f>SUM('- 33 -'!B33,'- 33 -'!D33)</f>
        <v>422000</v>
      </c>
      <c r="I33" s="273">
        <f>H33/'- 3 -'!D33*100</f>
        <v>1.5108579489208285</v>
      </c>
      <c r="J33" s="272">
        <f>H33/'- 7 -'!E33</f>
        <v>209.53326713008937</v>
      </c>
    </row>
    <row r="34" spans="1:11" ht="14.1" customHeight="1">
      <c r="A34" s="15" t="s">
        <v>130</v>
      </c>
      <c r="B34" s="16">
        <f>SUM('- 30 -'!D34,'- 30 -'!B34,'- 29 -'!F34,'- 29 -'!D34,'- 29 -'!B34)</f>
        <v>2905846</v>
      </c>
      <c r="C34" s="267">
        <f>B34/'- 3 -'!D34*100</f>
        <v>9.8319094241646905</v>
      </c>
      <c r="D34" s="16">
        <f>B34/'- 7 -'!E34</f>
        <v>1458.0260913196187</v>
      </c>
      <c r="E34" s="16">
        <f>SUM('- 32 -'!D34,'- 32 -'!B34,'- 31 -'!F34,'- 31 -'!D34,'- 31 -'!B34)</f>
        <v>3018084</v>
      </c>
      <c r="F34" s="267">
        <f>E34/'- 3 -'!D34*100</f>
        <v>10.211665904704056</v>
      </c>
      <c r="G34" s="16">
        <f>E34/'- 7 -'!E34</f>
        <v>1514.3421976919217</v>
      </c>
      <c r="H34" s="16">
        <f>SUM('- 33 -'!B34,'- 33 -'!D34)</f>
        <v>519968</v>
      </c>
      <c r="I34" s="267">
        <f>H34/'- 3 -'!D34*100</f>
        <v>1.7593080567463195</v>
      </c>
      <c r="J34" s="16">
        <f>H34/'- 7 -'!E34</f>
        <v>260.8971399899649</v>
      </c>
    </row>
    <row r="35" spans="1:11" ht="14.1" customHeight="1">
      <c r="A35" s="271" t="s">
        <v>131</v>
      </c>
      <c r="B35" s="272">
        <f>SUM('- 30 -'!D35,'- 30 -'!B35,'- 29 -'!F35,'- 29 -'!D35,'- 29 -'!B35)</f>
        <v>4513160</v>
      </c>
      <c r="C35" s="273">
        <f>B35/'- 3 -'!D35*100</f>
        <v>2.4928585008175572</v>
      </c>
      <c r="D35" s="272">
        <f>B35/'- 7 -'!E35</f>
        <v>292.00051759834366</v>
      </c>
      <c r="E35" s="272">
        <f>SUM('- 32 -'!D35,'- 32 -'!B35,'- 31 -'!F35,'- 31 -'!D35,'- 31 -'!B35)</f>
        <v>21599135</v>
      </c>
      <c r="F35" s="273">
        <f>E35/'- 3 -'!D35*100</f>
        <v>11.930351969585841</v>
      </c>
      <c r="G35" s="272">
        <f>E35/'- 7 -'!E35</f>
        <v>1397.4595626293997</v>
      </c>
      <c r="H35" s="272">
        <f>SUM('- 33 -'!B35,'- 33 -'!D35)</f>
        <v>3159000</v>
      </c>
      <c r="I35" s="273">
        <f>H35/'- 3 -'!D35*100</f>
        <v>1.7448838516876564</v>
      </c>
      <c r="J35" s="272">
        <f>H35/'- 7 -'!E35</f>
        <v>204.38664596273293</v>
      </c>
    </row>
    <row r="36" spans="1:11" ht="14.1" customHeight="1">
      <c r="A36" s="15" t="s">
        <v>132</v>
      </c>
      <c r="B36" s="16">
        <f>SUM('- 30 -'!D36,'- 30 -'!B36,'- 29 -'!F36,'- 29 -'!D36,'- 29 -'!B36)</f>
        <v>1650920</v>
      </c>
      <c r="C36" s="267">
        <f>B36/'- 3 -'!D36*100</f>
        <v>6.9755449037076751</v>
      </c>
      <c r="D36" s="16">
        <f>B36/'- 7 -'!E36</f>
        <v>996.0301659125189</v>
      </c>
      <c r="E36" s="16">
        <f>SUM('- 32 -'!D36,'- 32 -'!B36,'- 31 -'!F36,'- 31 -'!D36,'- 31 -'!B36)</f>
        <v>2908580</v>
      </c>
      <c r="F36" s="267">
        <f>E36/'- 3 -'!D36*100</f>
        <v>12.289469142069919</v>
      </c>
      <c r="G36" s="16">
        <f>E36/'- 7 -'!E36</f>
        <v>1754.7993966817496</v>
      </c>
      <c r="H36" s="16">
        <f>SUM('- 33 -'!B36,'- 33 -'!D36)</f>
        <v>428355</v>
      </c>
      <c r="I36" s="267">
        <f>H36/'- 3 -'!D36*100</f>
        <v>1.8099057114988621</v>
      </c>
      <c r="J36" s="16">
        <f>H36/'- 7 -'!E36</f>
        <v>258.43438914027149</v>
      </c>
    </row>
    <row r="37" spans="1:11" ht="14.1" customHeight="1">
      <c r="A37" s="271" t="s">
        <v>133</v>
      </c>
      <c r="B37" s="272">
        <f>SUM('- 30 -'!D37,'- 30 -'!B37,'- 29 -'!F37,'- 29 -'!D37,'- 29 -'!B37)</f>
        <v>3133714</v>
      </c>
      <c r="C37" s="273">
        <f>B37/'- 3 -'!D37*100</f>
        <v>6.2681676437819664</v>
      </c>
      <c r="D37" s="272">
        <f>B37/'- 7 -'!E37</f>
        <v>763.66857560618985</v>
      </c>
      <c r="E37" s="272">
        <f>SUM('- 32 -'!D37,'- 32 -'!B37,'- 31 -'!F37,'- 31 -'!D37,'- 31 -'!B37)</f>
        <v>5064113</v>
      </c>
      <c r="F37" s="273">
        <f>E37/'- 3 -'!D37*100</f>
        <v>10.129421271710063</v>
      </c>
      <c r="G37" s="272">
        <f>E37/'- 7 -'!E37</f>
        <v>1234.0960155964422</v>
      </c>
      <c r="H37" s="272">
        <f>SUM('- 33 -'!B37,'- 33 -'!D37)</f>
        <v>785000</v>
      </c>
      <c r="I37" s="273">
        <f>H37/'- 3 -'!D37*100</f>
        <v>1.5701852818632598</v>
      </c>
      <c r="J37" s="272">
        <f>H37/'- 7 -'!E37</f>
        <v>191.30010966248324</v>
      </c>
    </row>
    <row r="38" spans="1:11" ht="14.1" customHeight="1">
      <c r="A38" s="15" t="s">
        <v>134</v>
      </c>
      <c r="B38" s="16">
        <f>SUM('- 30 -'!D38,'- 30 -'!B38,'- 29 -'!F38,'- 29 -'!D38,'- 29 -'!B38)</f>
        <v>3768736</v>
      </c>
      <c r="C38" s="267">
        <f>B38/'- 3 -'!D38*100</f>
        <v>2.7651330377855228</v>
      </c>
      <c r="D38" s="16">
        <f>B38/'- 7 -'!E38</f>
        <v>342.39447624239119</v>
      </c>
      <c r="E38" s="16">
        <f>SUM('- 32 -'!D38,'- 32 -'!B38,'- 31 -'!F38,'- 31 -'!D38,'- 31 -'!B38)</f>
        <v>13585514</v>
      </c>
      <c r="F38" s="267">
        <f>E38/'- 3 -'!D38*100</f>
        <v>9.9677328411164243</v>
      </c>
      <c r="G38" s="16">
        <f>E38/'- 7 -'!E38</f>
        <v>1234.2612882711003</v>
      </c>
      <c r="H38" s="16">
        <f>SUM('- 33 -'!B38,'- 33 -'!D38)</f>
        <v>2460750</v>
      </c>
      <c r="I38" s="267">
        <f>H38/'- 3 -'!D38*100</f>
        <v>1.8054597410725306</v>
      </c>
      <c r="J38" s="16">
        <f>H38/'- 7 -'!E38</f>
        <v>223.56227855001362</v>
      </c>
    </row>
    <row r="39" spans="1:11" ht="14.1" customHeight="1">
      <c r="A39" s="271" t="s">
        <v>135</v>
      </c>
      <c r="B39" s="272">
        <f>SUM('- 30 -'!D39,'- 30 -'!B39,'- 29 -'!F39,'- 29 -'!D39,'- 29 -'!B39)</f>
        <v>2189100</v>
      </c>
      <c r="C39" s="273">
        <f>B39/'- 3 -'!D39*100</f>
        <v>9.559940117069635</v>
      </c>
      <c r="D39" s="272">
        <f>B39/'- 7 -'!E39</f>
        <v>1433.5952848722986</v>
      </c>
      <c r="E39" s="272">
        <f>SUM('- 32 -'!D39,'- 32 -'!B39,'- 31 -'!F39,'- 31 -'!D39,'- 31 -'!B39)</f>
        <v>2455000</v>
      </c>
      <c r="F39" s="273">
        <f>E39/'- 3 -'!D39*100</f>
        <v>10.721142472891122</v>
      </c>
      <c r="G39" s="272">
        <f>E39/'- 7 -'!E39</f>
        <v>1607.727570399476</v>
      </c>
      <c r="H39" s="272">
        <f>SUM('- 33 -'!B39,'- 33 -'!D39)</f>
        <v>445000</v>
      </c>
      <c r="I39" s="273">
        <f>H39/'- 3 -'!D39*100</f>
        <v>1.9433435439660078</v>
      </c>
      <c r="J39" s="272">
        <f>H39/'- 7 -'!E39</f>
        <v>291.42108709888669</v>
      </c>
    </row>
    <row r="40" spans="1:11" ht="14.1" customHeight="1">
      <c r="A40" s="15" t="s">
        <v>136</v>
      </c>
      <c r="B40" s="16">
        <f>SUM('- 30 -'!D40,'- 30 -'!B40,'- 29 -'!F40,'- 29 -'!D40,'- 29 -'!B40)</f>
        <v>2191692</v>
      </c>
      <c r="C40" s="267">
        <f>B40/'- 3 -'!D40*100</f>
        <v>2.0784279050405812</v>
      </c>
      <c r="D40" s="16">
        <f>B40/'- 7 -'!E40</f>
        <v>275.73308507158492</v>
      </c>
      <c r="E40" s="16">
        <f>SUM('- 32 -'!D40,'- 32 -'!B40,'- 31 -'!F40,'- 31 -'!D40,'- 31 -'!B40)</f>
        <v>10862257</v>
      </c>
      <c r="F40" s="267">
        <f>E40/'- 3 -'!D40*100</f>
        <v>10.300908184417514</v>
      </c>
      <c r="G40" s="16">
        <f>E40/'- 7 -'!E40</f>
        <v>1366.5622876984628</v>
      </c>
      <c r="H40" s="16">
        <f>SUM('- 33 -'!B40,'- 33 -'!D40)</f>
        <v>1776808</v>
      </c>
      <c r="I40" s="267">
        <f>H40/'- 3 -'!D40*100</f>
        <v>1.684984627903622</v>
      </c>
      <c r="J40" s="16">
        <f>H40/'- 7 -'!E40</f>
        <v>223.53722668142819</v>
      </c>
    </row>
    <row r="41" spans="1:11" ht="14.1" customHeight="1">
      <c r="A41" s="271" t="s">
        <v>137</v>
      </c>
      <c r="B41" s="272">
        <f>SUM('- 30 -'!D41,'- 30 -'!B41,'- 29 -'!F41,'- 29 -'!D41,'- 29 -'!B41)</f>
        <v>5264031</v>
      </c>
      <c r="C41" s="273">
        <f>B41/'- 3 -'!D41*100</f>
        <v>8.2330138784273785</v>
      </c>
      <c r="D41" s="272">
        <f>B41/'- 7 -'!E41</f>
        <v>1193.7931738292323</v>
      </c>
      <c r="E41" s="272">
        <f>SUM('- 32 -'!D41,'- 32 -'!B41,'- 31 -'!F41,'- 31 -'!D41,'- 31 -'!B41)</f>
        <v>6194752</v>
      </c>
      <c r="F41" s="273">
        <f>E41/'- 3 -'!D41*100</f>
        <v>9.6886737918936561</v>
      </c>
      <c r="G41" s="272">
        <f>E41/'- 7 -'!E41</f>
        <v>1404.8649506746797</v>
      </c>
      <c r="H41" s="272">
        <f>SUM('- 33 -'!B41,'- 33 -'!D41)</f>
        <v>1198000</v>
      </c>
      <c r="I41" s="273">
        <f>H41/'- 3 -'!D41*100</f>
        <v>1.8736877929396691</v>
      </c>
      <c r="J41" s="272">
        <f>H41/'- 7 -'!E41</f>
        <v>271.68613221453677</v>
      </c>
    </row>
    <row r="42" spans="1:11" ht="14.1" customHeight="1">
      <c r="A42" s="15" t="s">
        <v>138</v>
      </c>
      <c r="B42" s="16">
        <f>SUM('- 30 -'!D42,'- 30 -'!B42,'- 29 -'!F42,'- 29 -'!D42,'- 29 -'!B42)</f>
        <v>1813955</v>
      </c>
      <c r="C42" s="267">
        <f>B42/'- 3 -'!D42*100</f>
        <v>8.5915805158581122</v>
      </c>
      <c r="D42" s="16">
        <f>B42/'- 7 -'!E42</f>
        <v>1332.8104335047758</v>
      </c>
      <c r="E42" s="16">
        <f>SUM('- 32 -'!D42,'- 32 -'!B42,'- 31 -'!F42,'- 31 -'!D42,'- 31 -'!B42)</f>
        <v>2506121</v>
      </c>
      <c r="F42" s="267">
        <f>E42/'- 3 -'!D42*100</f>
        <v>11.869941841987727</v>
      </c>
      <c r="G42" s="16">
        <f>E42/'- 7 -'!E42</f>
        <v>1841.3820720058779</v>
      </c>
      <c r="H42" s="16">
        <f>SUM('- 33 -'!B42,'- 33 -'!D42)</f>
        <v>333000</v>
      </c>
      <c r="I42" s="267">
        <f>H42/'- 3 -'!D42*100</f>
        <v>1.5772146011233747</v>
      </c>
      <c r="J42" s="16">
        <f>H42/'- 7 -'!E42</f>
        <v>244.67303453343129</v>
      </c>
    </row>
    <row r="43" spans="1:11" ht="14.1" customHeight="1">
      <c r="A43" s="271" t="s">
        <v>139</v>
      </c>
      <c r="B43" s="272">
        <f>SUM('- 30 -'!D43,'- 30 -'!B43,'- 29 -'!F43,'- 29 -'!D43,'- 29 -'!B43)</f>
        <v>1126229</v>
      </c>
      <c r="C43" s="273">
        <f>B43/'- 3 -'!D43*100</f>
        <v>8.4369161236162924</v>
      </c>
      <c r="D43" s="272">
        <f>B43/'- 7 -'!E43</f>
        <v>1197.4790005316322</v>
      </c>
      <c r="E43" s="272">
        <f>SUM('- 32 -'!D43,'- 32 -'!B43,'- 31 -'!F43,'- 31 -'!D43,'- 31 -'!B43)</f>
        <v>1025096</v>
      </c>
      <c r="F43" s="273">
        <f>E43/'- 3 -'!D43*100</f>
        <v>7.6792987666403247</v>
      </c>
      <c r="G43" s="272">
        <f>E43/'- 7 -'!E43</f>
        <v>1089.9479000531633</v>
      </c>
      <c r="H43" s="272">
        <f>SUM('- 33 -'!B43,'- 33 -'!D43)</f>
        <v>231000</v>
      </c>
      <c r="I43" s="273">
        <f>H43/'- 3 -'!D43*100</f>
        <v>1.7304896469149376</v>
      </c>
      <c r="J43" s="272">
        <f>H43/'- 7 -'!E43</f>
        <v>245.61403508771929</v>
      </c>
    </row>
    <row r="44" spans="1:11" ht="14.1" customHeight="1">
      <c r="A44" s="15" t="s">
        <v>140</v>
      </c>
      <c r="B44" s="16">
        <f>SUM('- 30 -'!D44,'- 30 -'!B44,'- 29 -'!F44,'- 29 -'!D44,'- 29 -'!B44)</f>
        <v>1141188</v>
      </c>
      <c r="C44" s="267">
        <f>B44/'- 3 -'!D44*100</f>
        <v>10.18571542818299</v>
      </c>
      <c r="D44" s="16">
        <f>B44/'- 7 -'!E44</f>
        <v>1627.9429386590584</v>
      </c>
      <c r="E44" s="16">
        <f>SUM('- 32 -'!D44,'- 32 -'!B44,'- 31 -'!F44,'- 31 -'!D44,'- 31 -'!B44)</f>
        <v>1331332</v>
      </c>
      <c r="F44" s="267">
        <f>E44/'- 3 -'!D44*100</f>
        <v>11.8828526872292</v>
      </c>
      <c r="G44" s="16">
        <f>E44/'- 7 -'!E44</f>
        <v>1899.1897289586304</v>
      </c>
      <c r="H44" s="16">
        <f>SUM('- 33 -'!B44,'- 33 -'!D44)</f>
        <v>176491</v>
      </c>
      <c r="I44" s="267">
        <f>H44/'- 3 -'!D44*100</f>
        <v>1.5752769058520102</v>
      </c>
      <c r="J44" s="16">
        <f>H44/'- 7 -'!E44</f>
        <v>251.77032810271041</v>
      </c>
    </row>
    <row r="45" spans="1:11" ht="14.1" customHeight="1">
      <c r="A45" s="271" t="s">
        <v>141</v>
      </c>
      <c r="B45" s="272">
        <f>SUM('- 30 -'!D45,'- 30 -'!B45,'- 29 -'!F45,'- 29 -'!D45,'- 29 -'!B45)</f>
        <v>805559</v>
      </c>
      <c r="C45" s="273">
        <f>B45/'- 3 -'!D45*100</f>
        <v>4.1071444140069522</v>
      </c>
      <c r="D45" s="272">
        <f>B45/'- 7 -'!E45</f>
        <v>473.30141010575795</v>
      </c>
      <c r="E45" s="272">
        <f>SUM('- 32 -'!D45,'- 32 -'!B45,'- 31 -'!F45,'- 31 -'!D45,'- 31 -'!B45)</f>
        <v>1891995</v>
      </c>
      <c r="F45" s="273">
        <f>E45/'- 3 -'!D45*100</f>
        <v>9.6463408584338115</v>
      </c>
      <c r="G45" s="272">
        <f>E45/'- 7 -'!E45</f>
        <v>1111.6304347826087</v>
      </c>
      <c r="H45" s="272">
        <f>SUM('- 33 -'!B45,'- 33 -'!D45)</f>
        <v>347749</v>
      </c>
      <c r="I45" s="273">
        <f>H45/'- 3 -'!D45*100</f>
        <v>1.7729990762023684</v>
      </c>
      <c r="J45" s="272">
        <f>H45/'- 7 -'!E45</f>
        <v>204.31786133960048</v>
      </c>
    </row>
    <row r="46" spans="1:11" ht="14.1" customHeight="1">
      <c r="A46" s="15" t="s">
        <v>142</v>
      </c>
      <c r="B46" s="16">
        <f>SUM('- 30 -'!D46,'- 30 -'!B46,'- 29 -'!F46,'- 29 -'!D46,'- 29 -'!B46)</f>
        <v>6647700</v>
      </c>
      <c r="C46" s="267">
        <f>B46/'- 3 -'!D46*100</f>
        <v>1.6969188607463104</v>
      </c>
      <c r="D46" s="16">
        <f>B46/'- 7 -'!E46</f>
        <v>220.43638292933647</v>
      </c>
      <c r="E46" s="16">
        <f>SUM('- 32 -'!D46,'- 32 -'!B46,'- 31 -'!F46,'- 31 -'!D46,'- 31 -'!B46)</f>
        <v>49301200</v>
      </c>
      <c r="F46" s="267">
        <f>E46/'- 3 -'!D46*100</f>
        <v>12.58482424559261</v>
      </c>
      <c r="G46" s="16">
        <f>E46/'- 7 -'!E46</f>
        <v>1634.8177869151441</v>
      </c>
      <c r="H46" s="16">
        <f>SUM('- 33 -'!B46,'- 33 -'!D46)</f>
        <v>7120000</v>
      </c>
      <c r="I46" s="267">
        <f>H46/'- 3 -'!D46*100</f>
        <v>1.8174800740878394</v>
      </c>
      <c r="J46" s="16">
        <f>H46/'- 7 -'!E46</f>
        <v>236.09775508173891</v>
      </c>
    </row>
    <row r="47" spans="1:11" ht="5.0999999999999996" customHeight="1">
      <c r="A47"/>
      <c r="B47"/>
      <c r="C47"/>
      <c r="D47"/>
      <c r="E47"/>
      <c r="F47"/>
      <c r="G47"/>
      <c r="H47"/>
      <c r="I47"/>
      <c r="J47"/>
      <c r="K47"/>
    </row>
    <row r="48" spans="1:11" ht="14.1" customHeight="1">
      <c r="A48" s="274" t="s">
        <v>143</v>
      </c>
      <c r="B48" s="275">
        <f>SUM(B11:B46)</f>
        <v>101404559</v>
      </c>
      <c r="C48" s="276">
        <f>B48/'- 3 -'!D48*100</f>
        <v>4.3873809024093147</v>
      </c>
      <c r="D48" s="275">
        <f>B48/'- 7 -'!E48</f>
        <v>579.01121842938073</v>
      </c>
      <c r="E48" s="275">
        <f>SUM(E11:E46)</f>
        <v>266313999</v>
      </c>
      <c r="F48" s="276">
        <f>E48/'- 3 -'!D48*100</f>
        <v>11.522371033208216</v>
      </c>
      <c r="G48" s="275">
        <f>E48/'- 7 -'!E48</f>
        <v>1520.6297879150668</v>
      </c>
      <c r="H48" s="275">
        <f>SUM(H11:H46)</f>
        <v>40131833</v>
      </c>
      <c r="I48" s="276">
        <f>H48/'- 3 -'!D48*100</f>
        <v>1.7363483399486994</v>
      </c>
      <c r="J48" s="275">
        <f>H48/'- 7 -'!E48</f>
        <v>229.14927841789077</v>
      </c>
    </row>
    <row r="49" spans="1:10" ht="5.0999999999999996" customHeight="1">
      <c r="A49" s="17" t="s">
        <v>1</v>
      </c>
      <c r="B49" s="18"/>
      <c r="C49" s="266"/>
      <c r="D49" s="18"/>
      <c r="E49" s="18"/>
      <c r="F49" s="266"/>
      <c r="H49" s="18"/>
      <c r="I49" s="266"/>
      <c r="J49" s="18"/>
    </row>
    <row r="50" spans="1:10" ht="14.1" customHeight="1">
      <c r="A50" s="15" t="s">
        <v>144</v>
      </c>
      <c r="B50" s="16">
        <f>SUM('- 30 -'!D50,'- 30 -'!B50,'- 29 -'!F50,'- 29 -'!D50,'- 29 -'!B50)</f>
        <v>47048</v>
      </c>
      <c r="C50" s="267">
        <f>B50/'- 3 -'!D50*100</f>
        <v>1.3614190148405321</v>
      </c>
      <c r="D50" s="16">
        <f>B50/'- 7 -'!E50</f>
        <v>292.22360248447205</v>
      </c>
      <c r="E50" s="16">
        <f>SUM('- 32 -'!D50,'- 32 -'!B50,'- 31 -'!F50,'- 31 -'!D50,'- 31 -'!B50)</f>
        <v>463782</v>
      </c>
      <c r="F50" s="267">
        <f>E50/'- 3 -'!D50*100</f>
        <v>13.420371398162976</v>
      </c>
      <c r="G50" s="16">
        <f>E50/'- 7 -'!E50</f>
        <v>2880.6335403726707</v>
      </c>
      <c r="H50" s="16">
        <f>SUM('- 33 -'!B50,'- 33 -'!D50)</f>
        <v>44500</v>
      </c>
      <c r="I50" s="267">
        <f>H50/'- 3 -'!D50*100</f>
        <v>1.2876880241541335</v>
      </c>
      <c r="J50" s="16">
        <f>H50/'- 7 -'!E50</f>
        <v>276.3975155279503</v>
      </c>
    </row>
    <row r="51" spans="1:10" ht="14.1" customHeight="1">
      <c r="A51" s="360" t="s">
        <v>523</v>
      </c>
      <c r="B51" s="272">
        <f>SUM('- 30 -'!D51,'- 30 -'!B51,'- 29 -'!F51,'- 29 -'!D51,'- 29 -'!B51)</f>
        <v>0</v>
      </c>
      <c r="C51" s="273">
        <f>B51/'- 3 -'!D51*100</f>
        <v>0</v>
      </c>
      <c r="D51" s="272">
        <f>B51/'- 7 -'!E51</f>
        <v>0</v>
      </c>
      <c r="E51" s="272">
        <f>SUM('- 32 -'!D51,'- 32 -'!B51,'- 31 -'!F51,'- 31 -'!D51,'- 31 -'!B51)</f>
        <v>2784599</v>
      </c>
      <c r="F51" s="273">
        <f>E51/'- 3 -'!D51*100</f>
        <v>9.4193620492393375</v>
      </c>
      <c r="G51" s="272">
        <f>E51/'- 7 -'!E51</f>
        <v>3843.4768806073153</v>
      </c>
      <c r="H51" s="272">
        <f>SUM('- 33 -'!B51,'- 33 -'!D51)</f>
        <v>456358</v>
      </c>
      <c r="I51" s="273">
        <f>H51/'- 3 -'!D51*100</f>
        <v>1.54370565602687</v>
      </c>
      <c r="J51" s="272">
        <f>H51/'- 7 -'!E51</f>
        <v>629.89371980676333</v>
      </c>
    </row>
    <row r="52" spans="1:10" ht="50.1" customHeight="1">
      <c r="B52" s="396" t="str">
        <f>IF(B48='- 10 -'!K22,"","check with page 10")</f>
        <v/>
      </c>
      <c r="C52" s="396"/>
      <c r="D52" s="396"/>
      <c r="E52" s="396"/>
      <c r="F52" s="396"/>
      <c r="G52" s="396"/>
      <c r="H52" s="396" t="str">
        <f>IF($H$48='- 10 -'!K24," ","check with page 10")</f>
        <v xml:space="preserve"> </v>
      </c>
    </row>
    <row r="53" spans="1:10" ht="15" customHeight="1">
      <c r="B53" s="1">
        <f>B48-'- 10 -'!K22</f>
        <v>0</v>
      </c>
    </row>
    <row r="54" spans="1:10" ht="14.45" customHeight="1">
      <c r="B54" s="72"/>
      <c r="C54" s="72"/>
      <c r="E54" s="72"/>
      <c r="F54" s="72"/>
      <c r="H54" s="72"/>
    </row>
    <row r="55" spans="1:10" ht="14.45" customHeight="1"/>
    <row r="56" spans="1:10" ht="14.45" customHeight="1"/>
    <row r="57" spans="1:10" ht="14.45" customHeight="1"/>
    <row r="58" spans="1:10" ht="14.45" customHeight="1"/>
    <row r="59" spans="1:10" ht="14.45" customHeight="1"/>
  </sheetData>
  <mergeCells count="6">
    <mergeCell ref="D8:D9"/>
    <mergeCell ref="G8:G9"/>
    <mergeCell ref="J8:J9"/>
    <mergeCell ref="H6:J7"/>
    <mergeCell ref="E6:G7"/>
    <mergeCell ref="B6:D7"/>
  </mergeCells>
  <phoneticPr fontId="0" type="noConversion"/>
  <printOptions horizontalCentered="1"/>
  <pageMargins left="0.5" right="0.5" top="0.6" bottom="0" header="0.3" footer="0"/>
  <pageSetup scale="90" orientation="portrait" r:id="rId1"/>
  <headerFooter alignWithMargins="0">
    <oddHeader>&amp;C&amp;"Arial,Bold"&amp;10&amp;A</oddHeader>
  </headerFooter>
</worksheet>
</file>

<file path=xl/worksheets/sheet14.xml><?xml version="1.0" encoding="utf-8"?>
<worksheet xmlns="http://schemas.openxmlformats.org/spreadsheetml/2006/main" xmlns:r="http://schemas.openxmlformats.org/officeDocument/2006/relationships">
  <sheetPr codeName="Sheet13">
    <pageSetUpPr fitToPage="1"/>
  </sheetPr>
  <dimension ref="A1:BB59"/>
  <sheetViews>
    <sheetView showGridLines="0" showZeros="0" workbookViewId="0"/>
  </sheetViews>
  <sheetFormatPr defaultColWidth="15.83203125" defaultRowHeight="12"/>
  <cols>
    <col min="1" max="1" width="35.83203125" style="1" customWidth="1"/>
    <col min="2" max="2" width="17.5" style="1" customWidth="1"/>
    <col min="3" max="3" width="9.33203125" style="1" customWidth="1"/>
    <col min="4" max="4" width="13" style="1" customWidth="1"/>
    <col min="5" max="5" width="13.5" style="1" customWidth="1"/>
    <col min="6" max="6" width="10.1640625" style="1" customWidth="1"/>
    <col min="7" max="7" width="12" style="1" customWidth="1"/>
    <col min="8" max="16384" width="15.83203125" style="1"/>
  </cols>
  <sheetData>
    <row r="1" spans="1:54" ht="6.95" customHeight="1">
      <c r="A1" s="3"/>
      <c r="B1" s="32"/>
      <c r="C1" s="32"/>
      <c r="D1" s="32"/>
      <c r="E1" s="32"/>
      <c r="F1" s="32"/>
      <c r="G1" s="32"/>
    </row>
    <row r="2" spans="1:54" ht="15.95" customHeight="1">
      <c r="A2" s="132"/>
      <c r="B2" s="5" t="str">
        <f>IF(Lang=1,BA2,BB2)</f>
        <v>ANALYSIS OF EXPENSE BY PROGRAM</v>
      </c>
      <c r="C2" s="155"/>
      <c r="D2" s="35"/>
      <c r="E2" s="35"/>
      <c r="F2" s="35"/>
      <c r="G2" s="503" t="s">
        <v>534</v>
      </c>
      <c r="BA2" s="456" t="s">
        <v>258</v>
      </c>
      <c r="BB2" s="456" t="s">
        <v>407</v>
      </c>
    </row>
    <row r="3" spans="1:54" ht="15.95" customHeight="1">
      <c r="A3" s="135"/>
      <c r="B3" s="175" t="str">
        <f>OPYEAR</f>
        <v>OPERATING FUND 2016/2017 BUDGET</v>
      </c>
      <c r="C3" s="39"/>
      <c r="D3" s="156"/>
      <c r="E3" s="39"/>
      <c r="F3" s="39"/>
      <c r="G3" s="41"/>
    </row>
    <row r="4" spans="1:54" ht="15.95" customHeight="1">
      <c r="B4" s="32"/>
      <c r="C4" s="32"/>
      <c r="D4" s="32"/>
      <c r="E4" s="32"/>
      <c r="F4" s="32"/>
      <c r="G4" s="32"/>
    </row>
    <row r="5" spans="1:54" ht="15.95" customHeight="1">
      <c r="B5" s="635" t="s">
        <v>6</v>
      </c>
      <c r="C5" s="636"/>
      <c r="D5" s="636"/>
      <c r="E5" s="636"/>
      <c r="F5" s="636"/>
      <c r="G5" s="637"/>
    </row>
    <row r="6" spans="1:54" ht="15.95" customHeight="1">
      <c r="B6" s="638" t="s">
        <v>14</v>
      </c>
      <c r="C6" s="639"/>
      <c r="D6" s="640"/>
      <c r="E6" s="644" t="s">
        <v>408</v>
      </c>
      <c r="F6" s="645"/>
      <c r="G6" s="646"/>
    </row>
    <row r="7" spans="1:54" ht="15.95" customHeight="1">
      <c r="B7" s="641"/>
      <c r="C7" s="642"/>
      <c r="D7" s="643"/>
      <c r="E7" s="647"/>
      <c r="F7" s="648"/>
      <c r="G7" s="649"/>
    </row>
    <row r="8" spans="1:54" ht="15.95" customHeight="1">
      <c r="A8" s="82"/>
      <c r="B8" s="160"/>
      <c r="C8" s="161"/>
      <c r="D8" s="536" t="s">
        <v>401</v>
      </c>
      <c r="E8" s="162"/>
      <c r="F8" s="161"/>
      <c r="G8" s="536" t="s">
        <v>401</v>
      </c>
    </row>
    <row r="9" spans="1:54" ht="15.95" customHeight="1">
      <c r="A9" s="27" t="s">
        <v>37</v>
      </c>
      <c r="B9" s="43" t="s">
        <v>38</v>
      </c>
      <c r="C9" s="43" t="s">
        <v>39</v>
      </c>
      <c r="D9" s="576"/>
      <c r="E9" s="163" t="s">
        <v>38</v>
      </c>
      <c r="F9" s="43" t="s">
        <v>39</v>
      </c>
      <c r="G9" s="576"/>
    </row>
    <row r="10" spans="1:54" ht="5.0999999999999996" customHeight="1">
      <c r="A10" s="29"/>
      <c r="B10" s="46"/>
      <c r="C10" s="46"/>
      <c r="D10" s="46"/>
      <c r="E10" s="46"/>
      <c r="F10" s="46"/>
      <c r="G10" s="46"/>
    </row>
    <row r="11" spans="1:54" ht="14.1" customHeight="1">
      <c r="A11" s="271" t="s">
        <v>108</v>
      </c>
      <c r="B11" s="272">
        <v>1256240</v>
      </c>
      <c r="C11" s="273">
        <f>B11/'- 3 -'!$D11*100</f>
        <v>6.4217699760681413</v>
      </c>
      <c r="D11" s="272">
        <f>B11/'- 7 -'!$C11</f>
        <v>716.62293211637189</v>
      </c>
      <c r="E11" s="272">
        <v>0</v>
      </c>
      <c r="F11" s="273">
        <f>E11/'- 3 -'!$D11*100</f>
        <v>0</v>
      </c>
      <c r="G11" s="272" t="str">
        <f>IF('- 7 -'!$B11=0,"",E11/'- 7 -'!$B11)</f>
        <v/>
      </c>
    </row>
    <row r="12" spans="1:54" ht="14.1" customHeight="1">
      <c r="A12" s="15" t="s">
        <v>109</v>
      </c>
      <c r="B12" s="16">
        <v>2793231</v>
      </c>
      <c r="C12" s="267">
        <f>B12/'- 3 -'!$D12*100</f>
        <v>7.9990424852633479</v>
      </c>
      <c r="D12" s="16">
        <f>B12/'- 7 -'!$C12</f>
        <v>1299.1772093023255</v>
      </c>
      <c r="E12" s="16">
        <v>1905428</v>
      </c>
      <c r="F12" s="267">
        <f>E12/'- 3 -'!$D12*100</f>
        <v>5.4566197799646252</v>
      </c>
      <c r="G12" s="16">
        <f>IF('- 7 -'!$B12=0,"",E12/'- 7 -'!$B12)</f>
        <v>12702.853333333333</v>
      </c>
    </row>
    <row r="13" spans="1:54" ht="14.1" customHeight="1">
      <c r="A13" s="271" t="s">
        <v>110</v>
      </c>
      <c r="B13" s="272">
        <v>6620600</v>
      </c>
      <c r="C13" s="273">
        <f>B13/'- 3 -'!$D13*100</f>
        <v>6.7578795654934343</v>
      </c>
      <c r="D13" s="272">
        <f>B13/'- 7 -'!$C13</f>
        <v>793.17119923325743</v>
      </c>
      <c r="E13" s="272">
        <v>3278100</v>
      </c>
      <c r="F13" s="273">
        <f>E13/'- 3 -'!$D13*100</f>
        <v>3.3460721088185394</v>
      </c>
      <c r="G13" s="272">
        <f>IF('- 7 -'!$B13=0,"",E13/'- 7 -'!$B13)</f>
        <v>8405.3846153846152</v>
      </c>
    </row>
    <row r="14" spans="1:54" ht="14.1" customHeight="1">
      <c r="A14" s="15" t="s">
        <v>319</v>
      </c>
      <c r="B14" s="16">
        <v>6273249</v>
      </c>
      <c r="C14" s="267">
        <f>B14/'- 3 -'!$D14*100</f>
        <v>7.2763072344883968</v>
      </c>
      <c r="D14" s="16">
        <f>B14/'- 7 -'!$C14</f>
        <v>1143.0847303206997</v>
      </c>
      <c r="E14" s="16">
        <v>310000</v>
      </c>
      <c r="F14" s="267">
        <f>E14/'- 3 -'!$D14*100</f>
        <v>0.35956730598313619</v>
      </c>
      <c r="G14" s="16">
        <f>IF('- 7 -'!$B14=0,"",E14/'- 7 -'!$B14)</f>
        <v>17222.222222222223</v>
      </c>
    </row>
    <row r="15" spans="1:54" ht="14.1" customHeight="1">
      <c r="A15" s="271" t="s">
        <v>111</v>
      </c>
      <c r="B15" s="272">
        <v>1657150</v>
      </c>
      <c r="C15" s="273">
        <f>B15/'- 3 -'!$D15*100</f>
        <v>8.119481689800768</v>
      </c>
      <c r="D15" s="272">
        <f>B15/'- 7 -'!$C15</f>
        <v>1210.0401606425703</v>
      </c>
      <c r="E15" s="272">
        <v>125700</v>
      </c>
      <c r="F15" s="273">
        <f>E15/'- 3 -'!$D15*100</f>
        <v>0.61588802969432843</v>
      </c>
      <c r="G15" s="272">
        <f>IF('- 7 -'!$B15=0,"",E15/'- 7 -'!$B15)</f>
        <v>6285</v>
      </c>
    </row>
    <row r="16" spans="1:54" ht="14.1" customHeight="1">
      <c r="A16" s="15" t="s">
        <v>112</v>
      </c>
      <c r="B16" s="16">
        <v>1209535</v>
      </c>
      <c r="C16" s="267">
        <f>B16/'- 3 -'!$D16*100</f>
        <v>8.2737751627157206</v>
      </c>
      <c r="D16" s="16">
        <f>B16/'- 7 -'!$C16</f>
        <v>1263.2219321148825</v>
      </c>
      <c r="E16" s="16">
        <v>44407</v>
      </c>
      <c r="F16" s="267">
        <f>E16/'- 3 -'!$D16*100</f>
        <v>0.30376428433300151</v>
      </c>
      <c r="G16" s="16">
        <f>IF('- 7 -'!$B16=0,"",E16/'- 7 -'!$B16)</f>
        <v>2209.3034825870645</v>
      </c>
    </row>
    <row r="17" spans="1:7" ht="14.1" customHeight="1">
      <c r="A17" s="271" t="s">
        <v>113</v>
      </c>
      <c r="B17" s="272">
        <v>1370534</v>
      </c>
      <c r="C17" s="273">
        <f>B17/'- 3 -'!$D17*100</f>
        <v>7.5235514805383641</v>
      </c>
      <c r="D17" s="272">
        <f>B17/'- 7 -'!$C17</f>
        <v>1008.1162191982346</v>
      </c>
      <c r="E17" s="272">
        <v>196900</v>
      </c>
      <c r="F17" s="273">
        <f>E17/'- 3 -'!$D17*100</f>
        <v>1.0808832809094879</v>
      </c>
      <c r="G17" s="272">
        <f>IF('- 7 -'!$B17=0,"",E17/'- 7 -'!$B17)</f>
        <v>6351.6129032258068</v>
      </c>
    </row>
    <row r="18" spans="1:7" ht="14.1" customHeight="1">
      <c r="A18" s="15" t="s">
        <v>114</v>
      </c>
      <c r="B18" s="16">
        <v>7326354</v>
      </c>
      <c r="C18" s="267">
        <f>B18/'- 3 -'!$D18*100</f>
        <v>5.5528420923959496</v>
      </c>
      <c r="D18" s="16">
        <f>B18/'- 7 -'!$C18</f>
        <v>1176.9999678694212</v>
      </c>
      <c r="E18" s="16">
        <v>0</v>
      </c>
      <c r="F18" s="267">
        <f>E18/'- 3 -'!$D18*100</f>
        <v>0</v>
      </c>
      <c r="G18" s="16" t="str">
        <f>IF('- 7 -'!$B18=0,"",E18/'- 7 -'!$B18)</f>
        <v/>
      </c>
    </row>
    <row r="19" spans="1:7" ht="14.1" customHeight="1">
      <c r="A19" s="271" t="s">
        <v>115</v>
      </c>
      <c r="B19" s="272">
        <v>3045400</v>
      </c>
      <c r="C19" s="273">
        <f>B19/'- 3 -'!$D19*100</f>
        <v>6.556520114139512</v>
      </c>
      <c r="D19" s="272">
        <f>B19/'- 7 -'!$C19</f>
        <v>722.00094831673778</v>
      </c>
      <c r="E19" s="272">
        <v>1452300</v>
      </c>
      <c r="F19" s="273">
        <f>E19/'- 3 -'!$D19*100</f>
        <v>3.1266940834585979</v>
      </c>
      <c r="G19" s="272">
        <f>IF('- 7 -'!$B19=0,"",E19/'- 7 -'!$B19)</f>
        <v>11618.4</v>
      </c>
    </row>
    <row r="20" spans="1:7" ht="14.1" customHeight="1">
      <c r="A20" s="15" t="s">
        <v>116</v>
      </c>
      <c r="B20" s="16">
        <v>6098500</v>
      </c>
      <c r="C20" s="267">
        <f>B20/'- 3 -'!$D20*100</f>
        <v>7.4109855389476245</v>
      </c>
      <c r="D20" s="16">
        <f>B20/'- 7 -'!$C20</f>
        <v>804.49838401160878</v>
      </c>
      <c r="E20" s="16">
        <v>3154500</v>
      </c>
      <c r="F20" s="267">
        <f>E20/'- 3 -'!$D20*100</f>
        <v>3.833394094057601</v>
      </c>
      <c r="G20" s="16">
        <f>IF('- 7 -'!$B20=0,"",E20/'- 7 -'!$B20)</f>
        <v>6985.1638618246234</v>
      </c>
    </row>
    <row r="21" spans="1:7" ht="14.1" customHeight="1">
      <c r="A21" s="271" t="s">
        <v>117</v>
      </c>
      <c r="B21" s="272">
        <v>3108235</v>
      </c>
      <c r="C21" s="273">
        <f>B21/'- 3 -'!$D21*100</f>
        <v>8.5457547540071346</v>
      </c>
      <c r="D21" s="272">
        <f>B21/'- 7 -'!$C21</f>
        <v>1148.6456023651147</v>
      </c>
      <c r="E21" s="272">
        <v>0</v>
      </c>
      <c r="F21" s="273">
        <f>E21/'- 3 -'!$D21*100</f>
        <v>0</v>
      </c>
      <c r="G21" s="272" t="str">
        <f>IF('- 7 -'!$B21=0,"",E21/'- 7 -'!$B21)</f>
        <v/>
      </c>
    </row>
    <row r="22" spans="1:7" ht="14.1" customHeight="1">
      <c r="A22" s="15" t="s">
        <v>118</v>
      </c>
      <c r="B22" s="16">
        <v>1457440</v>
      </c>
      <c r="C22" s="267">
        <f>B22/'- 3 -'!$D22*100</f>
        <v>7.0503907697853725</v>
      </c>
      <c r="D22" s="16">
        <f>B22/'- 7 -'!$C22</f>
        <v>935.3356436914388</v>
      </c>
      <c r="E22" s="16">
        <v>0</v>
      </c>
      <c r="F22" s="267">
        <f>E22/'- 3 -'!$D22*100</f>
        <v>0</v>
      </c>
      <c r="G22" s="16" t="str">
        <f>IF('- 7 -'!$B22=0,"",E22/'- 7 -'!$B22)</f>
        <v/>
      </c>
    </row>
    <row r="23" spans="1:7" ht="14.1" customHeight="1">
      <c r="A23" s="271" t="s">
        <v>119</v>
      </c>
      <c r="B23" s="272">
        <v>1102300</v>
      </c>
      <c r="C23" s="273">
        <f>B23/'- 3 -'!$D23*100</f>
        <v>6.5641418728831269</v>
      </c>
      <c r="D23" s="272">
        <f>B23/'- 7 -'!$C23</f>
        <v>989.49730700179532</v>
      </c>
      <c r="E23" s="272">
        <v>133500</v>
      </c>
      <c r="F23" s="273">
        <f>E23/'- 3 -'!$D23*100</f>
        <v>0.7949858840877233</v>
      </c>
      <c r="G23" s="272">
        <f>IF('- 7 -'!$B23=0,"",E23/'- 7 -'!$B23)</f>
        <v>9535.7142857142862</v>
      </c>
    </row>
    <row r="24" spans="1:7" ht="14.1" customHeight="1">
      <c r="A24" s="15" t="s">
        <v>120</v>
      </c>
      <c r="B24" s="16">
        <v>4596240</v>
      </c>
      <c r="C24" s="267">
        <f>B24/'- 3 -'!$D24*100</f>
        <v>7.9099351186859419</v>
      </c>
      <c r="D24" s="16">
        <f>B24/'- 7 -'!$C24</f>
        <v>1163.4577901531452</v>
      </c>
      <c r="E24" s="16">
        <v>1903394</v>
      </c>
      <c r="F24" s="267">
        <f>E24/'- 3 -'!$D24*100</f>
        <v>3.2756607673437652</v>
      </c>
      <c r="G24" s="16">
        <f>IF('- 7 -'!$B24=0,"",E24/'- 7 -'!$B24)</f>
        <v>7209.825757575758</v>
      </c>
    </row>
    <row r="25" spans="1:7" ht="14.1" customHeight="1">
      <c r="A25" s="271" t="s">
        <v>121</v>
      </c>
      <c r="B25" s="272">
        <v>14054392</v>
      </c>
      <c r="C25" s="273">
        <f>B25/'- 3 -'!$D25*100</f>
        <v>8.0447177669287715</v>
      </c>
      <c r="D25" s="272">
        <f>B25/'- 7 -'!$C25</f>
        <v>984.16666083120344</v>
      </c>
      <c r="E25" s="272">
        <v>1837861</v>
      </c>
      <c r="F25" s="273">
        <f>E25/'- 3 -'!$D25*100</f>
        <v>1.051989516148794</v>
      </c>
      <c r="G25" s="272">
        <f>IF('- 7 -'!$B25=0,"",E25/'- 7 -'!$B25)</f>
        <v>11617.326169405816</v>
      </c>
    </row>
    <row r="26" spans="1:7" ht="14.1" customHeight="1">
      <c r="A26" s="15" t="s">
        <v>122</v>
      </c>
      <c r="B26" s="16">
        <v>3113912</v>
      </c>
      <c r="C26" s="267">
        <f>B26/'- 3 -'!$D26*100</f>
        <v>7.6285479109253433</v>
      </c>
      <c r="D26" s="16">
        <f>B26/'- 7 -'!$C26</f>
        <v>985.38400683522673</v>
      </c>
      <c r="E26" s="16">
        <v>913693</v>
      </c>
      <c r="F26" s="267">
        <f>E26/'- 3 -'!$D26*100</f>
        <v>2.2383904318352954</v>
      </c>
      <c r="G26" s="16">
        <f>IF('- 7 -'!$B26=0,"",E26/'- 7 -'!$B26)</f>
        <v>10490.160734787602</v>
      </c>
    </row>
    <row r="27" spans="1:7" ht="14.1" customHeight="1">
      <c r="A27" s="271" t="s">
        <v>123</v>
      </c>
      <c r="B27" s="272">
        <v>2978950</v>
      </c>
      <c r="C27" s="273">
        <f>B27/'- 3 -'!$D27*100</f>
        <v>6.8065393227619619</v>
      </c>
      <c r="D27" s="272">
        <f>B27/'- 7 -'!$C27</f>
        <v>1023.6891326012144</v>
      </c>
      <c r="E27" s="272">
        <v>1003703</v>
      </c>
      <c r="F27" s="273">
        <f>E27/'- 3 -'!$D27*100</f>
        <v>2.2933395786683728</v>
      </c>
      <c r="G27" s="272">
        <f>IF('- 7 -'!$B27=0,"",E27/'- 7 -'!$B27)</f>
        <v>4331.640567200986</v>
      </c>
    </row>
    <row r="28" spans="1:7" ht="14.1" customHeight="1">
      <c r="A28" s="15" t="s">
        <v>124</v>
      </c>
      <c r="B28" s="16">
        <v>2096399</v>
      </c>
      <c r="C28" s="267">
        <f>B28/'- 3 -'!$D28*100</f>
        <v>7.3119121827906364</v>
      </c>
      <c r="D28" s="16">
        <f>B28/'- 7 -'!$C28</f>
        <v>1077.5630943202261</v>
      </c>
      <c r="E28" s="16">
        <v>0</v>
      </c>
      <c r="F28" s="267">
        <f>E28/'- 3 -'!$D28*100</f>
        <v>0</v>
      </c>
      <c r="G28" s="16" t="str">
        <f>IF('- 7 -'!$B28=0,"",E28/'- 7 -'!$B28)</f>
        <v/>
      </c>
    </row>
    <row r="29" spans="1:7" ht="14.1" customHeight="1">
      <c r="A29" s="271" t="s">
        <v>125</v>
      </c>
      <c r="B29" s="272">
        <v>12034229</v>
      </c>
      <c r="C29" s="273">
        <f>B29/'- 3 -'!$D29*100</f>
        <v>7.6007930519336311</v>
      </c>
      <c r="D29" s="272">
        <f>B29/'- 7 -'!$C29</f>
        <v>949.14654152535684</v>
      </c>
      <c r="E29" s="272">
        <v>0</v>
      </c>
      <c r="F29" s="273">
        <f>E29/'- 3 -'!$D29*100</f>
        <v>0</v>
      </c>
      <c r="G29" s="272" t="str">
        <f>IF('- 7 -'!$B29=0,"",E29/'- 7 -'!$B29)</f>
        <v/>
      </c>
    </row>
    <row r="30" spans="1:7" ht="14.1" customHeight="1">
      <c r="A30" s="15" t="s">
        <v>126</v>
      </c>
      <c r="B30" s="16">
        <v>1065660</v>
      </c>
      <c r="C30" s="267">
        <f>B30/'- 3 -'!$D30*100</f>
        <v>7.2445541097477282</v>
      </c>
      <c r="D30" s="16">
        <f>B30/'- 7 -'!$C30</f>
        <v>1061.414342629482</v>
      </c>
      <c r="E30" s="16">
        <v>119765</v>
      </c>
      <c r="F30" s="267">
        <f>E30/'- 3 -'!$D30*100</f>
        <v>0.8141846582905774</v>
      </c>
      <c r="G30" s="16">
        <f>IF('- 7 -'!$B30=0,"",E30/'- 7 -'!$B30)</f>
        <v>4217.0774647887329</v>
      </c>
    </row>
    <row r="31" spans="1:7" ht="14.1" customHeight="1">
      <c r="A31" s="271" t="s">
        <v>127</v>
      </c>
      <c r="B31" s="272">
        <v>3067864</v>
      </c>
      <c r="C31" s="273">
        <f>B31/'- 3 -'!$D31*100</f>
        <v>8.1433860086179326</v>
      </c>
      <c r="D31" s="272">
        <f>B31/'- 7 -'!$C31</f>
        <v>952.75279503105594</v>
      </c>
      <c r="E31" s="272">
        <v>794072</v>
      </c>
      <c r="F31" s="273">
        <f>E31/'- 3 -'!$D31*100</f>
        <v>2.1077970909516388</v>
      </c>
      <c r="G31" s="272">
        <f>IF('- 7 -'!$B31=0,"",E31/'- 7 -'!$B31)</f>
        <v>10051.544303797469</v>
      </c>
    </row>
    <row r="32" spans="1:7" ht="14.1" customHeight="1">
      <c r="A32" s="15" t="s">
        <v>128</v>
      </c>
      <c r="B32" s="16">
        <v>2280082</v>
      </c>
      <c r="C32" s="267">
        <f>B32/'- 3 -'!$D32*100</f>
        <v>7.5317763465274741</v>
      </c>
      <c r="D32" s="16">
        <f>B32/'- 7 -'!$C32</f>
        <v>1045.4296194406236</v>
      </c>
      <c r="E32" s="16">
        <v>343070</v>
      </c>
      <c r="F32" s="267">
        <f>E32/'- 3 -'!$D32*100</f>
        <v>1.1332603437960478</v>
      </c>
      <c r="G32" s="16">
        <f>IF('- 7 -'!$B32=0,"",E32/'- 7 -'!$B32)</f>
        <v>7299.3617021276596</v>
      </c>
    </row>
    <row r="33" spans="1:7" ht="14.1" customHeight="1">
      <c r="A33" s="271" t="s">
        <v>129</v>
      </c>
      <c r="B33" s="272">
        <v>2541900</v>
      </c>
      <c r="C33" s="273">
        <f>B33/'- 3 -'!$D33*100</f>
        <v>9.1005919913788009</v>
      </c>
      <c r="D33" s="272">
        <f>B33/'- 7 -'!$C33</f>
        <v>1262.1151936444885</v>
      </c>
      <c r="E33" s="272">
        <v>232500</v>
      </c>
      <c r="F33" s="273">
        <f>E33/'- 3 -'!$D33*100</f>
        <v>0.83240396474903466</v>
      </c>
      <c r="G33" s="272">
        <f>IF('- 7 -'!$B33=0,"",E33/'- 7 -'!$B33)</f>
        <v>4650</v>
      </c>
    </row>
    <row r="34" spans="1:7" ht="14.1" customHeight="1">
      <c r="A34" s="15" t="s">
        <v>130</v>
      </c>
      <c r="B34" s="16">
        <v>2429712</v>
      </c>
      <c r="C34" s="267">
        <f>B34/'- 3 -'!$D34*100</f>
        <v>8.2209133969267594</v>
      </c>
      <c r="D34" s="16">
        <f>B34/'- 7 -'!$C34</f>
        <v>1219.1229302558957</v>
      </c>
      <c r="E34" s="16">
        <v>355146</v>
      </c>
      <c r="F34" s="267">
        <f>E34/'- 3 -'!$D34*100</f>
        <v>1.2016339834782686</v>
      </c>
      <c r="G34" s="16">
        <f>IF('- 7 -'!$B34=0,"",E34/'- 7 -'!$B34)</f>
        <v>16143</v>
      </c>
    </row>
    <row r="35" spans="1:7" ht="14.1" customHeight="1">
      <c r="A35" s="271" t="s">
        <v>131</v>
      </c>
      <c r="B35" s="272">
        <v>12931588</v>
      </c>
      <c r="C35" s="273">
        <f>B35/'- 3 -'!$D35*100</f>
        <v>7.1428043931237344</v>
      </c>
      <c r="D35" s="272">
        <f>B35/'- 7 -'!$C35</f>
        <v>836.67106625258805</v>
      </c>
      <c r="E35" s="272">
        <v>3731279</v>
      </c>
      <c r="F35" s="273">
        <f>E35/'- 3 -'!$D35*100</f>
        <v>2.0609840054578243</v>
      </c>
      <c r="G35" s="272">
        <f>IF('- 7 -'!$B35=0,"",E35/'- 7 -'!$B35)</f>
        <v>5211.2835195530724</v>
      </c>
    </row>
    <row r="36" spans="1:7" ht="14.1" customHeight="1">
      <c r="A36" s="15" t="s">
        <v>132</v>
      </c>
      <c r="B36" s="16">
        <v>1961375</v>
      </c>
      <c r="C36" s="267">
        <f>B36/'- 3 -'!$D36*100</f>
        <v>8.2872939848748821</v>
      </c>
      <c r="D36" s="16">
        <f>B36/'- 7 -'!$C36</f>
        <v>1183.3333333333333</v>
      </c>
      <c r="E36" s="16">
        <v>133230</v>
      </c>
      <c r="F36" s="267">
        <f>E36/'- 3 -'!$D36*100</f>
        <v>0.56292966801599931</v>
      </c>
      <c r="G36" s="16">
        <f>IF('- 7 -'!$B36=0,"",E36/'- 7 -'!$B36)</f>
        <v>14640.659340659342</v>
      </c>
    </row>
    <row r="37" spans="1:7" ht="14.1" customHeight="1">
      <c r="A37" s="271" t="s">
        <v>133</v>
      </c>
      <c r="B37" s="272">
        <v>4106243</v>
      </c>
      <c r="C37" s="273">
        <f>B37/'- 3 -'!$D37*100</f>
        <v>8.2134551877121496</v>
      </c>
      <c r="D37" s="272">
        <f>B37/'- 7 -'!$C37</f>
        <v>1000.6684537589862</v>
      </c>
      <c r="E37" s="272">
        <v>0</v>
      </c>
      <c r="F37" s="273">
        <f>E37/'- 3 -'!$D37*100</f>
        <v>0</v>
      </c>
      <c r="G37" s="272" t="str">
        <f>IF('- 7 -'!$B37=0,"",E37/'- 7 -'!$B37)</f>
        <v/>
      </c>
    </row>
    <row r="38" spans="1:7" ht="14.1" customHeight="1">
      <c r="A38" s="15" t="s">
        <v>134</v>
      </c>
      <c r="B38" s="16">
        <v>10913669</v>
      </c>
      <c r="C38" s="267">
        <f>B38/'- 3 -'!$D38*100</f>
        <v>8.0073920580681932</v>
      </c>
      <c r="D38" s="16">
        <f>B38/'- 7 -'!$C38</f>
        <v>991.52075951667121</v>
      </c>
      <c r="E38" s="16">
        <v>1165120</v>
      </c>
      <c r="F38" s="267">
        <f>E38/'- 3 -'!$D38*100</f>
        <v>0.85485207904843119</v>
      </c>
      <c r="G38" s="16">
        <f>IF('- 7 -'!$B38=0,"",E38/'- 7 -'!$B38)</f>
        <v>5548.1904761904761</v>
      </c>
    </row>
    <row r="39" spans="1:7" ht="14.1" customHeight="1">
      <c r="A39" s="271" t="s">
        <v>135</v>
      </c>
      <c r="B39" s="272">
        <v>1409625</v>
      </c>
      <c r="C39" s="273">
        <f>B39/'- 3 -'!$D39*100</f>
        <v>6.1559227936249075</v>
      </c>
      <c r="D39" s="272">
        <f>B39/'- 7 -'!$C39</f>
        <v>923.13359528487229</v>
      </c>
      <c r="E39" s="272">
        <v>108700</v>
      </c>
      <c r="F39" s="273">
        <f>E39/'- 3 -'!$D39*100</f>
        <v>0.47469987242495515</v>
      </c>
      <c r="G39" s="272">
        <f>IF('- 7 -'!$B39=0,"",E39/'- 7 -'!$B39)</f>
        <v>5721.0526315789475</v>
      </c>
    </row>
    <row r="40" spans="1:7" ht="14.1" customHeight="1">
      <c r="A40" s="15" t="s">
        <v>136</v>
      </c>
      <c r="B40" s="16">
        <v>8806196</v>
      </c>
      <c r="C40" s="267">
        <f>B40/'- 3 -'!$D40*100</f>
        <v>8.3511020269530327</v>
      </c>
      <c r="D40" s="16">
        <f>B40/'- 7 -'!$C40</f>
        <v>1107.8927106660294</v>
      </c>
      <c r="E40" s="16">
        <v>1827384</v>
      </c>
      <c r="F40" s="267">
        <f>E40/'- 3 -'!$D40*100</f>
        <v>1.7329469190126519</v>
      </c>
      <c r="G40" s="16">
        <f>IF('- 7 -'!$B40=0,"",E40/'- 7 -'!$B40)</f>
        <v>6758.0769230769238</v>
      </c>
    </row>
    <row r="41" spans="1:7" ht="14.1" customHeight="1">
      <c r="A41" s="271" t="s">
        <v>137</v>
      </c>
      <c r="B41" s="272">
        <v>4073506</v>
      </c>
      <c r="C41" s="273">
        <f>B41/'- 3 -'!$D41*100</f>
        <v>6.3710170840287974</v>
      </c>
      <c r="D41" s="272">
        <f>B41/'- 7 -'!$C41</f>
        <v>923.80224515251166</v>
      </c>
      <c r="E41" s="272">
        <v>0</v>
      </c>
      <c r="F41" s="273">
        <f>E41/'- 3 -'!$D41*100</f>
        <v>0</v>
      </c>
      <c r="G41" s="272" t="str">
        <f>IF('- 7 -'!$B41=0,"",E41/'- 7 -'!$B41)</f>
        <v/>
      </c>
    </row>
    <row r="42" spans="1:7" ht="14.1" customHeight="1">
      <c r="A42" s="15" t="s">
        <v>138</v>
      </c>
      <c r="B42" s="16">
        <v>1725573</v>
      </c>
      <c r="C42" s="267">
        <f>B42/'- 3 -'!$D42*100</f>
        <v>8.1729697624752706</v>
      </c>
      <c r="D42" s="16">
        <f>B42/'- 7 -'!$C42</f>
        <v>1267.8714180749448</v>
      </c>
      <c r="E42" s="16">
        <v>1055385</v>
      </c>
      <c r="F42" s="267">
        <f>E42/'- 3 -'!$D42*100</f>
        <v>4.9987046000197983</v>
      </c>
      <c r="G42" s="16">
        <f>IF('- 7 -'!$B42=0,"",E42/'- 7 -'!$B42)</f>
        <v>7538.4642857142853</v>
      </c>
    </row>
    <row r="43" spans="1:7" ht="14.1" customHeight="1">
      <c r="A43" s="271" t="s">
        <v>139</v>
      </c>
      <c r="B43" s="272">
        <v>739828</v>
      </c>
      <c r="C43" s="273">
        <f>B43/'- 3 -'!$D43*100</f>
        <v>5.5422714047523147</v>
      </c>
      <c r="D43" s="272">
        <f>B43/'- 7 -'!$C43</f>
        <v>786.63264221158954</v>
      </c>
      <c r="E43" s="272">
        <v>133170</v>
      </c>
      <c r="F43" s="273">
        <f>E43/'- 3 -'!$D43*100</f>
        <v>0.9976160445007024</v>
      </c>
      <c r="G43" s="272">
        <f>IF('- 7 -'!$B43=0,"",E43/'- 7 -'!$B43)</f>
        <v>4592.0689655172409</v>
      </c>
    </row>
    <row r="44" spans="1:7" ht="14.1" customHeight="1">
      <c r="A44" s="15" t="s">
        <v>140</v>
      </c>
      <c r="B44" s="16">
        <v>683718</v>
      </c>
      <c r="C44" s="267">
        <f>B44/'- 3 -'!$D44*100</f>
        <v>6.1025501329547955</v>
      </c>
      <c r="D44" s="16">
        <f>B44/'- 7 -'!$C44</f>
        <v>975.34664764621971</v>
      </c>
      <c r="E44" s="16">
        <v>0</v>
      </c>
      <c r="F44" s="267">
        <f>E44/'- 3 -'!$D44*100</f>
        <v>0</v>
      </c>
      <c r="G44" s="16" t="str">
        <f>IF('- 7 -'!$B44=0,"",E44/'- 7 -'!$B44)</f>
        <v/>
      </c>
    </row>
    <row r="45" spans="1:7" ht="14.1" customHeight="1">
      <c r="A45" s="271" t="s">
        <v>141</v>
      </c>
      <c r="B45" s="272">
        <v>1302451</v>
      </c>
      <c r="C45" s="273">
        <f>B45/'- 3 -'!$D45*100</f>
        <v>6.6405494186866125</v>
      </c>
      <c r="D45" s="272">
        <f>B45/'- 7 -'!$C45</f>
        <v>765.24735605170383</v>
      </c>
      <c r="E45" s="272">
        <v>421362</v>
      </c>
      <c r="F45" s="273">
        <f>E45/'- 3 -'!$D45*100</f>
        <v>2.1483151259867959</v>
      </c>
      <c r="G45" s="272">
        <f>IF('- 7 -'!$B45=0,"",E45/'- 7 -'!$B45)</f>
        <v>10534.05</v>
      </c>
    </row>
    <row r="46" spans="1:7" ht="14.1" customHeight="1">
      <c r="A46" s="15" t="s">
        <v>142</v>
      </c>
      <c r="B46" s="16">
        <v>28770900</v>
      </c>
      <c r="C46" s="267">
        <f>B46/'- 3 -'!$D46*100</f>
        <v>7.3441766100525028</v>
      </c>
      <c r="D46" s="16">
        <f>B46/'- 7 -'!$C46</f>
        <v>954.03720529230361</v>
      </c>
      <c r="E46" s="16">
        <v>6127000</v>
      </c>
      <c r="F46" s="267">
        <f>E46/'- 3 -'!$D46*100</f>
        <v>1.5640028671258699</v>
      </c>
      <c r="G46" s="16">
        <f>IF('- 7 -'!$B46=0,"",E46/'- 7 -'!$B46)</f>
        <v>6855.0011188185281</v>
      </c>
    </row>
    <row r="47" spans="1:7" ht="5.0999999999999996" customHeight="1">
      <c r="A47"/>
      <c r="B47"/>
      <c r="C47"/>
      <c r="D47"/>
      <c r="E47"/>
      <c r="F47"/>
      <c r="G47"/>
    </row>
    <row r="48" spans="1:7" ht="14.1" customHeight="1">
      <c r="A48" s="274" t="s">
        <v>143</v>
      </c>
      <c r="B48" s="275">
        <f>SUM(B11:B46)</f>
        <v>171002780</v>
      </c>
      <c r="C48" s="276">
        <f>B48/'- 3 -'!$D48*100</f>
        <v>7.3986252554079117</v>
      </c>
      <c r="D48" s="275">
        <f>B48/'- 7 -'!$C48</f>
        <v>976.41101129004801</v>
      </c>
      <c r="E48" s="275">
        <f>SUM(E11:E46)</f>
        <v>32806669</v>
      </c>
      <c r="F48" s="276">
        <f>E48/'- 3 -'!$D48*100</f>
        <v>1.4194169814619846</v>
      </c>
      <c r="G48" s="275">
        <f>E48/'- 7 -'!$B48</f>
        <v>7267.0931207655476</v>
      </c>
    </row>
    <row r="49" spans="1:7" ht="5.0999999999999996" customHeight="1">
      <c r="A49" s="17" t="s">
        <v>1</v>
      </c>
      <c r="B49" s="18"/>
      <c r="C49" s="266"/>
      <c r="D49" s="18"/>
      <c r="E49" s="18"/>
      <c r="F49" s="266"/>
    </row>
    <row r="50" spans="1:7" ht="14.1" customHeight="1">
      <c r="A50" s="15" t="s">
        <v>144</v>
      </c>
      <c r="B50" s="16">
        <v>267199</v>
      </c>
      <c r="C50" s="267">
        <f>B50/'- 3 -'!$D50*100</f>
        <v>7.7318865700215813</v>
      </c>
      <c r="D50" s="16">
        <f>B50/'- 7 -'!$C50</f>
        <v>1659.6211180124224</v>
      </c>
      <c r="E50" s="16">
        <v>0</v>
      </c>
      <c r="F50" s="267">
        <f>E50/'- 3 -'!$D50*100</f>
        <v>0</v>
      </c>
      <c r="G50" s="16" t="str">
        <f>IF('- 7 -'!$B50=0,"",E50/'- 7 -'!$B50)</f>
        <v/>
      </c>
    </row>
    <row r="51" spans="1:7" ht="14.1" customHeight="1">
      <c r="A51" s="360" t="s">
        <v>523</v>
      </c>
      <c r="B51" s="272">
        <v>820125</v>
      </c>
      <c r="C51" s="273">
        <f>B51/'- 3 -'!$D51*100</f>
        <v>2.7742070943185757</v>
      </c>
      <c r="D51" s="272">
        <f>B51/'- 7 -'!$C51</f>
        <v>1131.9875776397516</v>
      </c>
      <c r="E51" s="272">
        <v>4085473</v>
      </c>
      <c r="F51" s="273">
        <f>E51/'- 3 -'!$D51*100</f>
        <v>13.819781350705071</v>
      </c>
      <c r="G51" s="272">
        <f>IF('- 7 -'!$B51=0,"",E51/'- 7 -'!$B51)</f>
        <v>6983.7145299145295</v>
      </c>
    </row>
    <row r="52" spans="1:7" ht="50.1" customHeight="1">
      <c r="B52" s="46"/>
      <c r="C52" s="46"/>
      <c r="D52" s="46"/>
      <c r="E52" s="46"/>
      <c r="F52" s="46"/>
      <c r="G52" s="46"/>
    </row>
    <row r="53" spans="1:7" ht="15" customHeight="1">
      <c r="C53" s="46"/>
      <c r="D53" s="46"/>
      <c r="E53" s="46"/>
      <c r="F53" s="46"/>
      <c r="G53" s="46"/>
    </row>
    <row r="54" spans="1:7" ht="14.45" customHeight="1"/>
    <row r="55" spans="1:7" ht="14.45" customHeight="1"/>
    <row r="56" spans="1:7" ht="14.45" customHeight="1"/>
    <row r="57" spans="1:7" ht="14.45" customHeight="1"/>
    <row r="58" spans="1:7" ht="14.45" customHeight="1"/>
    <row r="59" spans="1:7" ht="14.45" customHeight="1"/>
  </sheetData>
  <mergeCells count="5">
    <mergeCell ref="B5:G5"/>
    <mergeCell ref="B6:D7"/>
    <mergeCell ref="E6:G7"/>
    <mergeCell ref="D8:D9"/>
    <mergeCell ref="G8:G9"/>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15.xml><?xml version="1.0" encoding="utf-8"?>
<worksheet xmlns="http://schemas.openxmlformats.org/spreadsheetml/2006/main" xmlns:r="http://schemas.openxmlformats.org/officeDocument/2006/relationships">
  <sheetPr codeName="Sheet14">
    <pageSetUpPr fitToPage="1"/>
  </sheetPr>
  <dimension ref="A1:J59"/>
  <sheetViews>
    <sheetView showGridLines="0" showZeros="0" workbookViewId="0"/>
  </sheetViews>
  <sheetFormatPr defaultColWidth="15.83203125" defaultRowHeight="12"/>
  <cols>
    <col min="1" max="1" width="32.83203125" style="1" customWidth="1"/>
    <col min="2" max="2" width="14.83203125" style="1" customWidth="1"/>
    <col min="3" max="3" width="7.83203125" style="1" customWidth="1"/>
    <col min="4" max="4" width="9.83203125" style="1" customWidth="1"/>
    <col min="5" max="5" width="12.33203125" style="1" customWidth="1"/>
    <col min="6" max="6" width="7.83203125" style="1" customWidth="1"/>
    <col min="7" max="7" width="9.83203125" style="1" customWidth="1"/>
    <col min="8" max="8" width="12.5" style="1" customWidth="1"/>
    <col min="9" max="9" width="7.83203125" style="1" customWidth="1"/>
    <col min="10" max="10" width="9.83203125" style="1" customWidth="1"/>
    <col min="11" max="16384" width="15.83203125" style="1"/>
  </cols>
  <sheetData>
    <row r="1" spans="1:10" ht="6.95" customHeight="1">
      <c r="A1" s="3"/>
      <c r="B1" s="3"/>
      <c r="C1" s="3"/>
      <c r="D1" s="3"/>
      <c r="E1" s="3"/>
      <c r="F1" s="3"/>
      <c r="G1" s="3"/>
      <c r="H1" s="32"/>
      <c r="I1" s="32"/>
      <c r="J1" s="32"/>
    </row>
    <row r="2" spans="1:10" ht="15.95" customHeight="1">
      <c r="A2" s="132"/>
      <c r="B2" s="5" t="str">
        <f>AEXP_BP</f>
        <v>ANALYSIS OF EXPENSE BY PROGRAM</v>
      </c>
      <c r="C2" s="35"/>
      <c r="D2" s="35"/>
      <c r="E2" s="152"/>
      <c r="F2" s="152"/>
      <c r="G2" s="152"/>
      <c r="H2" s="152"/>
      <c r="I2" s="33"/>
      <c r="J2" s="503" t="s">
        <v>535</v>
      </c>
    </row>
    <row r="3" spans="1:10" ht="15.95" customHeight="1">
      <c r="A3" s="135"/>
      <c r="B3" s="86" t="str">
        <f>OPYEAR</f>
        <v>OPERATING FUND 2016/2017 BUDGET</v>
      </c>
      <c r="C3" s="39"/>
      <c r="D3" s="39"/>
      <c r="E3" s="153"/>
      <c r="F3" s="153"/>
      <c r="G3" s="153"/>
      <c r="H3" s="153"/>
      <c r="I3" s="37"/>
      <c r="J3" s="167"/>
    </row>
    <row r="4" spans="1:10" ht="15.95" customHeight="1">
      <c r="H4" s="32"/>
      <c r="I4" s="32"/>
      <c r="J4" s="32"/>
    </row>
    <row r="5" spans="1:10" ht="15.95" customHeight="1">
      <c r="B5" s="466" t="s">
        <v>239</v>
      </c>
      <c r="C5" s="191"/>
      <c r="D5" s="191"/>
      <c r="E5" s="191"/>
      <c r="F5" s="191"/>
      <c r="G5" s="191"/>
      <c r="H5" s="191"/>
      <c r="I5" s="467"/>
      <c r="J5" s="468"/>
    </row>
    <row r="6" spans="1:10" ht="15.95" customHeight="1">
      <c r="B6" s="650" t="s">
        <v>241</v>
      </c>
      <c r="C6" s="651"/>
      <c r="D6" s="651"/>
      <c r="E6" s="651"/>
      <c r="F6" s="651"/>
      <c r="G6" s="651"/>
      <c r="H6" s="651"/>
      <c r="I6" s="651"/>
      <c r="J6" s="652"/>
    </row>
    <row r="7" spans="1:10" ht="15.95" customHeight="1">
      <c r="B7" s="653" t="s">
        <v>15</v>
      </c>
      <c r="C7" s="651"/>
      <c r="D7" s="652"/>
      <c r="E7" s="653" t="s">
        <v>16</v>
      </c>
      <c r="F7" s="651"/>
      <c r="G7" s="652"/>
      <c r="H7" s="653" t="s">
        <v>17</v>
      </c>
      <c r="I7" s="651"/>
      <c r="J7" s="652"/>
    </row>
    <row r="8" spans="1:10" ht="15.95" customHeight="1">
      <c r="A8" s="82"/>
      <c r="B8" s="174"/>
      <c r="C8" s="169"/>
      <c r="D8" s="536" t="s">
        <v>401</v>
      </c>
      <c r="E8" s="174"/>
      <c r="F8" s="169"/>
      <c r="G8" s="536" t="s">
        <v>401</v>
      </c>
      <c r="H8" s="162"/>
      <c r="I8" s="161"/>
      <c r="J8" s="536" t="s">
        <v>401</v>
      </c>
    </row>
    <row r="9" spans="1:10" ht="15.95" customHeight="1">
      <c r="A9" s="27" t="s">
        <v>37</v>
      </c>
      <c r="B9" s="43" t="s">
        <v>38</v>
      </c>
      <c r="C9" s="43" t="s">
        <v>39</v>
      </c>
      <c r="D9" s="576"/>
      <c r="E9" s="43" t="s">
        <v>38</v>
      </c>
      <c r="F9" s="43" t="s">
        <v>39</v>
      </c>
      <c r="G9" s="576"/>
      <c r="H9" s="163" t="s">
        <v>38</v>
      </c>
      <c r="I9" s="43" t="s">
        <v>39</v>
      </c>
      <c r="J9" s="576"/>
    </row>
    <row r="10" spans="1:10" ht="5.0999999999999996" customHeight="1">
      <c r="A10" s="29"/>
      <c r="B10" s="46"/>
      <c r="C10" s="46"/>
      <c r="D10" s="46"/>
      <c r="E10" s="46"/>
      <c r="F10" s="46"/>
      <c r="G10" s="46"/>
      <c r="H10" s="46"/>
      <c r="I10" s="46"/>
      <c r="J10" s="46"/>
    </row>
    <row r="11" spans="1:10" ht="14.1" customHeight="1">
      <c r="A11" s="271" t="s">
        <v>108</v>
      </c>
      <c r="B11" s="272">
        <v>11090745</v>
      </c>
      <c r="C11" s="273">
        <f>B11/'- 3 -'!$D11*100</f>
        <v>56.694750408542838</v>
      </c>
      <c r="D11" s="272">
        <f>B11/'- 6 -'!$B11</f>
        <v>6326.7227609811753</v>
      </c>
      <c r="E11" s="272">
        <v>0</v>
      </c>
      <c r="F11" s="273">
        <f>E11/'- 3 -'!$D11*100</f>
        <v>0</v>
      </c>
      <c r="G11" s="272" t="str">
        <f>IF('- 6 -'!$C11=0,"",E11/'- 6 -'!$C11)</f>
        <v/>
      </c>
      <c r="H11" s="272">
        <v>0</v>
      </c>
      <c r="I11" s="273">
        <f>H11/'- 3 -'!$D11*100</f>
        <v>0</v>
      </c>
      <c r="J11" s="272" t="str">
        <f>IF('- 6 -'!$D11=0,"",H11/'- 6 -'!$D11)</f>
        <v/>
      </c>
    </row>
    <row r="12" spans="1:10" ht="14.1" customHeight="1">
      <c r="A12" s="15" t="s">
        <v>109</v>
      </c>
      <c r="B12" s="16">
        <v>14974798</v>
      </c>
      <c r="C12" s="267">
        <f>B12/'- 3 -'!$D12*100</f>
        <v>42.88368753255159</v>
      </c>
      <c r="D12" s="16">
        <f>B12/'- 6 -'!$B12</f>
        <v>7487.3990000000003</v>
      </c>
      <c r="E12" s="16">
        <v>0</v>
      </c>
      <c r="F12" s="267">
        <f>E12/'- 3 -'!$D12*100</f>
        <v>0</v>
      </c>
      <c r="G12" s="16" t="str">
        <f>IF('- 6 -'!$C12=0,"",E12/'- 6 -'!$C12)</f>
        <v/>
      </c>
      <c r="H12" s="16">
        <v>0</v>
      </c>
      <c r="I12" s="267">
        <f>H12/'- 3 -'!$D12*100</f>
        <v>0</v>
      </c>
      <c r="J12" s="16" t="str">
        <f>IF('- 6 -'!$D12=0,"",H12/'- 6 -'!$D12)</f>
        <v/>
      </c>
    </row>
    <row r="13" spans="1:10" ht="14.1" customHeight="1">
      <c r="A13" s="271" t="s">
        <v>110</v>
      </c>
      <c r="B13" s="272">
        <v>39395200</v>
      </c>
      <c r="C13" s="273">
        <f>B13/'- 3 -'!$D13*100</f>
        <v>40.212067948301808</v>
      </c>
      <c r="D13" s="272">
        <f>B13/'- 6 -'!$B13</f>
        <v>6312.3217433103673</v>
      </c>
      <c r="E13" s="272">
        <v>0</v>
      </c>
      <c r="F13" s="273">
        <f>E13/'- 3 -'!$D13*100</f>
        <v>0</v>
      </c>
      <c r="G13" s="272" t="str">
        <f>IF('- 6 -'!$C13=0,"",E13/'- 6 -'!$C13)</f>
        <v/>
      </c>
      <c r="H13" s="272">
        <v>1762100</v>
      </c>
      <c r="I13" s="273">
        <f>H13/'- 3 -'!$D13*100</f>
        <v>1.7986375226348033</v>
      </c>
      <c r="J13" s="272">
        <f>IF('- 6 -'!$D13=0,"",H13/'- 6 -'!$D13)</f>
        <v>5182.6470588235297</v>
      </c>
    </row>
    <row r="14" spans="1:10" ht="14.1" customHeight="1">
      <c r="A14" s="15" t="s">
        <v>319</v>
      </c>
      <c r="B14" s="16">
        <v>0</v>
      </c>
      <c r="C14" s="267">
        <f>B14/'- 3 -'!$D14*100</f>
        <v>0</v>
      </c>
      <c r="D14" s="16"/>
      <c r="E14" s="16">
        <v>42097882</v>
      </c>
      <c r="F14" s="267">
        <f>E14/'- 3 -'!$D14*100</f>
        <v>48.829103284954712</v>
      </c>
      <c r="G14" s="16">
        <f>IF('- 6 -'!$C14=0,"",E14/'- 6 -'!$C14)</f>
        <v>7696.1393053016454</v>
      </c>
      <c r="H14" s="16">
        <v>0</v>
      </c>
      <c r="I14" s="267">
        <f>H14/'- 3 -'!$D14*100</f>
        <v>0</v>
      </c>
      <c r="J14" s="16" t="str">
        <f>IF('- 6 -'!$D14=0,"",H14/'- 6 -'!$D14)</f>
        <v/>
      </c>
    </row>
    <row r="15" spans="1:10" ht="14.1" customHeight="1">
      <c r="A15" s="271" t="s">
        <v>111</v>
      </c>
      <c r="B15" s="272">
        <v>8985183</v>
      </c>
      <c r="C15" s="273">
        <f>B15/'- 3 -'!$D15*100</f>
        <v>44.024396613468383</v>
      </c>
      <c r="D15" s="272">
        <f>B15/'- 6 -'!$B15</f>
        <v>6658.157095220452</v>
      </c>
      <c r="E15" s="272">
        <v>0</v>
      </c>
      <c r="F15" s="273">
        <f>E15/'- 3 -'!$D15*100</f>
        <v>0</v>
      </c>
      <c r="G15" s="272" t="str">
        <f>IF('- 6 -'!$C15=0,"",E15/'- 6 -'!$C15)</f>
        <v/>
      </c>
      <c r="H15" s="272">
        <v>0</v>
      </c>
      <c r="I15" s="273">
        <f>H15/'- 3 -'!$D15*100</f>
        <v>0</v>
      </c>
      <c r="J15" s="272" t="str">
        <f>IF('- 6 -'!$D15=0,"",H15/'- 6 -'!$D15)</f>
        <v/>
      </c>
    </row>
    <row r="16" spans="1:10" ht="14.1" customHeight="1">
      <c r="A16" s="15" t="s">
        <v>112</v>
      </c>
      <c r="B16" s="16">
        <v>4330905</v>
      </c>
      <c r="C16" s="267">
        <f>B16/'- 3 -'!$D16*100</f>
        <v>29.625380184187577</v>
      </c>
      <c r="D16" s="16">
        <f>B16/'- 6 -'!$B16</f>
        <v>7818.9294096407293</v>
      </c>
      <c r="E16" s="16">
        <v>0</v>
      </c>
      <c r="F16" s="267">
        <f>E16/'- 3 -'!$D16*100</f>
        <v>0</v>
      </c>
      <c r="G16" s="16" t="str">
        <f>IF('- 6 -'!$C16=0,"",E16/'- 6 -'!$C16)</f>
        <v/>
      </c>
      <c r="H16" s="16">
        <v>0</v>
      </c>
      <c r="I16" s="267">
        <f>H16/'- 3 -'!$D16*100</f>
        <v>0</v>
      </c>
      <c r="J16" s="16" t="str">
        <f>IF('- 6 -'!$D16=0,"",H16/'- 6 -'!$D16)</f>
        <v/>
      </c>
    </row>
    <row r="17" spans="1:10" ht="14.1" customHeight="1">
      <c r="A17" s="271" t="s">
        <v>113</v>
      </c>
      <c r="B17" s="272">
        <v>8785578</v>
      </c>
      <c r="C17" s="273">
        <f>B17/'- 3 -'!$D17*100</f>
        <v>48.228463043810137</v>
      </c>
      <c r="D17" s="272">
        <f>B17/'- 6 -'!$B17</f>
        <v>6613.1561911930748</v>
      </c>
      <c r="E17" s="272">
        <v>0</v>
      </c>
      <c r="F17" s="273">
        <f>E17/'- 3 -'!$D17*100</f>
        <v>0</v>
      </c>
      <c r="G17" s="272" t="str">
        <f>IF('- 6 -'!$C17=0,"",E17/'- 6 -'!$C17)</f>
        <v/>
      </c>
      <c r="H17" s="272">
        <v>0</v>
      </c>
      <c r="I17" s="273">
        <f>H17/'- 3 -'!$D17*100</f>
        <v>0</v>
      </c>
      <c r="J17" s="272" t="str">
        <f>IF('- 6 -'!$D17=0,"",H17/'- 6 -'!$D17)</f>
        <v/>
      </c>
    </row>
    <row r="18" spans="1:10" ht="14.1" customHeight="1">
      <c r="A18" s="15" t="s">
        <v>114</v>
      </c>
      <c r="B18" s="16">
        <v>48256631</v>
      </c>
      <c r="C18" s="267">
        <f>B18/'- 3 -'!$D18*100</f>
        <v>36.575007412147876</v>
      </c>
      <c r="D18" s="16">
        <f>B18/'- 6 -'!$B18</f>
        <v>7752.567393888763</v>
      </c>
      <c r="E18" s="16">
        <v>0</v>
      </c>
      <c r="F18" s="267">
        <f>E18/'- 3 -'!$D18*100</f>
        <v>0</v>
      </c>
      <c r="G18" s="16" t="str">
        <f>IF('- 6 -'!$C18=0,"",E18/'- 6 -'!$C18)</f>
        <v/>
      </c>
      <c r="H18" s="16">
        <v>0</v>
      </c>
      <c r="I18" s="267">
        <f>H18/'- 3 -'!$D18*100</f>
        <v>0</v>
      </c>
      <c r="J18" s="16" t="str">
        <f>IF('- 6 -'!$D18=0,"",H18/'- 6 -'!$D18)</f>
        <v/>
      </c>
    </row>
    <row r="19" spans="1:10" ht="14.1" customHeight="1">
      <c r="A19" s="271" t="s">
        <v>115</v>
      </c>
      <c r="B19" s="272">
        <v>21967050</v>
      </c>
      <c r="C19" s="273">
        <f>B19/'- 3 -'!$D19*100</f>
        <v>47.293427849644829</v>
      </c>
      <c r="D19" s="272">
        <f>B19/'- 6 -'!$B19</f>
        <v>5366.9802101148298</v>
      </c>
      <c r="E19" s="272">
        <v>0</v>
      </c>
      <c r="F19" s="273">
        <f>E19/'- 3 -'!$D19*100</f>
        <v>0</v>
      </c>
      <c r="G19" s="272" t="str">
        <f>IF('- 6 -'!$C19=0,"",E19/'- 6 -'!$C19)</f>
        <v/>
      </c>
      <c r="H19" s="272">
        <v>0</v>
      </c>
      <c r="I19" s="273">
        <f>H19/'- 3 -'!$D19*100</f>
        <v>0</v>
      </c>
      <c r="J19" s="272" t="str">
        <f>IF('- 6 -'!$D19=0,"",H19/'- 6 -'!$D19)</f>
        <v/>
      </c>
    </row>
    <row r="20" spans="1:10" ht="14.1" customHeight="1">
      <c r="A20" s="15" t="s">
        <v>116</v>
      </c>
      <c r="B20" s="16">
        <v>40456400</v>
      </c>
      <c r="C20" s="267">
        <f>B20/'- 3 -'!$D20*100</f>
        <v>49.163203305383405</v>
      </c>
      <c r="D20" s="16">
        <f>B20/'- 6 -'!$B20</f>
        <v>5674.9849205347255</v>
      </c>
      <c r="E20" s="16">
        <v>0</v>
      </c>
      <c r="F20" s="267">
        <f>E20/'- 3 -'!$D20*100</f>
        <v>0</v>
      </c>
      <c r="G20" s="16" t="str">
        <f>IF('- 6 -'!$C20=0,"",E20/'- 6 -'!$C20)</f>
        <v/>
      </c>
      <c r="H20" s="16">
        <v>0</v>
      </c>
      <c r="I20" s="267">
        <f>H20/'- 3 -'!$D20*100</f>
        <v>0</v>
      </c>
      <c r="J20" s="16" t="str">
        <f>IF('- 6 -'!$D20=0,"",H20/'- 6 -'!$D20)</f>
        <v/>
      </c>
    </row>
    <row r="21" spans="1:10" ht="14.1" customHeight="1">
      <c r="A21" s="271" t="s">
        <v>117</v>
      </c>
      <c r="B21" s="272">
        <v>13947173</v>
      </c>
      <c r="C21" s="273">
        <f>B21/'- 3 -'!$D21*100</f>
        <v>38.346238289482606</v>
      </c>
      <c r="D21" s="272">
        <f>B21/'- 6 -'!$B21</f>
        <v>6877.3042406311633</v>
      </c>
      <c r="E21" s="272">
        <v>0</v>
      </c>
      <c r="F21" s="273">
        <f>E21/'- 3 -'!$D21*100</f>
        <v>0</v>
      </c>
      <c r="G21" s="272" t="str">
        <f>IF('- 6 -'!$C21=0,"",E21/'- 6 -'!$C21)</f>
        <v/>
      </c>
      <c r="H21" s="272">
        <v>0</v>
      </c>
      <c r="I21" s="273">
        <f>H21/'- 3 -'!$D21*100</f>
        <v>0</v>
      </c>
      <c r="J21" s="272" t="str">
        <f>IF('- 6 -'!$D21=0,"",H21/'- 6 -'!$D21)</f>
        <v/>
      </c>
    </row>
    <row r="22" spans="1:10" ht="14.1" customHeight="1">
      <c r="A22" s="15" t="s">
        <v>118</v>
      </c>
      <c r="B22" s="16">
        <v>4491079</v>
      </c>
      <c r="C22" s="267">
        <f>B22/'- 3 -'!$D22*100</f>
        <v>21.725670990213604</v>
      </c>
      <c r="D22" s="16">
        <f>B22/'- 6 -'!$B22</f>
        <v>4835.8770324108964</v>
      </c>
      <c r="E22" s="16">
        <v>0</v>
      </c>
      <c r="F22" s="267">
        <f>E22/'- 3 -'!$D22*100</f>
        <v>0</v>
      </c>
      <c r="G22" s="16" t="str">
        <f>IF('- 6 -'!$C22=0,"",E22/'- 6 -'!$C22)</f>
        <v/>
      </c>
      <c r="H22" s="16">
        <v>0</v>
      </c>
      <c r="I22" s="267">
        <f>H22/'- 3 -'!$D22*100</f>
        <v>0</v>
      </c>
      <c r="J22" s="16" t="str">
        <f>IF('- 6 -'!$D22=0,"",H22/'- 6 -'!$D22)</f>
        <v/>
      </c>
    </row>
    <row r="23" spans="1:10" ht="14.1" customHeight="1">
      <c r="A23" s="271" t="s">
        <v>119</v>
      </c>
      <c r="B23" s="272">
        <v>7689949</v>
      </c>
      <c r="C23" s="273">
        <f>B23/'- 3 -'!$D23*100</f>
        <v>45.793265201157332</v>
      </c>
      <c r="D23" s="272">
        <f>B23/'- 6 -'!$B23</f>
        <v>6990.8627272727272</v>
      </c>
      <c r="E23" s="272">
        <v>0</v>
      </c>
      <c r="F23" s="273">
        <f>E23/'- 3 -'!$D23*100</f>
        <v>0</v>
      </c>
      <c r="G23" s="272" t="str">
        <f>IF('- 6 -'!$C23=0,"",E23/'- 6 -'!$C23)</f>
        <v/>
      </c>
      <c r="H23" s="272">
        <v>0</v>
      </c>
      <c r="I23" s="273">
        <f>H23/'- 3 -'!$D23*100</f>
        <v>0</v>
      </c>
      <c r="J23" s="272" t="str">
        <f>IF('- 6 -'!$D23=0,"",H23/'- 6 -'!$D23)</f>
        <v/>
      </c>
    </row>
    <row r="24" spans="1:10" ht="14.1" customHeight="1">
      <c r="A24" s="15" t="s">
        <v>120</v>
      </c>
      <c r="B24" s="16">
        <v>21241610</v>
      </c>
      <c r="C24" s="267">
        <f>B24/'- 3 -'!$D24*100</f>
        <v>36.555914598983186</v>
      </c>
      <c r="D24" s="16">
        <f>B24/'- 6 -'!$B24</f>
        <v>7528.4813042707783</v>
      </c>
      <c r="E24" s="16">
        <v>0</v>
      </c>
      <c r="F24" s="267">
        <f>E24/'- 3 -'!$D24*100</f>
        <v>0</v>
      </c>
      <c r="G24" s="16" t="str">
        <f>IF('- 6 -'!$C24=0,"",E24/'- 6 -'!$C24)</f>
        <v/>
      </c>
      <c r="H24" s="16">
        <v>1637975</v>
      </c>
      <c r="I24" s="267">
        <f>H24/'- 3 -'!$D24*100</f>
        <v>2.8188858667148811</v>
      </c>
      <c r="J24" s="16">
        <f>IF('- 6 -'!$D24=0,"",H24/'- 6 -'!$D24)</f>
        <v>7060.2370689655172</v>
      </c>
    </row>
    <row r="25" spans="1:10" ht="14.1" customHeight="1">
      <c r="A25" s="271" t="s">
        <v>121</v>
      </c>
      <c r="B25" s="272">
        <v>60753763</v>
      </c>
      <c r="C25" s="273">
        <f>B25/'- 3 -'!$D25*100</f>
        <v>34.775383852526659</v>
      </c>
      <c r="D25" s="272">
        <f>B25/'- 6 -'!$B25</f>
        <v>6418.2386063512859</v>
      </c>
      <c r="E25" s="272">
        <v>0</v>
      </c>
      <c r="F25" s="273">
        <f>E25/'- 3 -'!$D25*100</f>
        <v>0</v>
      </c>
      <c r="G25" s="272" t="str">
        <f>IF('- 6 -'!$C25=0,"",E25/'- 6 -'!$C25)</f>
        <v/>
      </c>
      <c r="H25" s="272">
        <v>24874827</v>
      </c>
      <c r="I25" s="273">
        <f>H25/'- 3 -'!$D25*100</f>
        <v>14.238322277917076</v>
      </c>
      <c r="J25" s="272">
        <f>IF('- 6 -'!$D25=0,"",H25/'- 6 -'!$D25)</f>
        <v>5341.9579083002254</v>
      </c>
    </row>
    <row r="26" spans="1:10" ht="14.1" customHeight="1">
      <c r="A26" s="15" t="s">
        <v>122</v>
      </c>
      <c r="B26" s="16">
        <v>15975170</v>
      </c>
      <c r="C26" s="267">
        <f>B26/'- 3 -'!$D26*100</f>
        <v>39.136414172968664</v>
      </c>
      <c r="D26" s="16">
        <f>B26/'- 6 -'!$B26</f>
        <v>6331.8152992469286</v>
      </c>
      <c r="E26" s="16">
        <v>0</v>
      </c>
      <c r="F26" s="267">
        <f>E26/'- 3 -'!$D26*100</f>
        <v>0</v>
      </c>
      <c r="G26" s="16" t="str">
        <f>IF('- 6 -'!$C26=0,"",E26/'- 6 -'!$C26)</f>
        <v/>
      </c>
      <c r="H26" s="16">
        <v>1235678</v>
      </c>
      <c r="I26" s="267">
        <f>H26/'- 3 -'!$D26*100</f>
        <v>3.0271982077452431</v>
      </c>
      <c r="J26" s="16">
        <f>IF('- 6 -'!$D26=0,"",H26/'- 6 -'!$D26)</f>
        <v>5884.1809523809525</v>
      </c>
    </row>
    <row r="27" spans="1:10" ht="14.1" customHeight="1">
      <c r="A27" s="271" t="s">
        <v>123</v>
      </c>
      <c r="B27" s="272">
        <v>18044809</v>
      </c>
      <c r="C27" s="273">
        <f>B27/'- 3 -'!$D27*100</f>
        <v>41.23019924142028</v>
      </c>
      <c r="D27" s="272">
        <f>B27/'- 6 -'!$B27</f>
        <v>7726.9768338115009</v>
      </c>
      <c r="E27" s="272">
        <v>0</v>
      </c>
      <c r="F27" s="273">
        <f>E27/'- 3 -'!$D27*100</f>
        <v>0</v>
      </c>
      <c r="G27" s="272" t="str">
        <f>IF('- 6 -'!$C27=0,"",E27/'- 6 -'!$C27)</f>
        <v/>
      </c>
      <c r="H27" s="272">
        <v>0</v>
      </c>
      <c r="I27" s="273">
        <f>H27/'- 3 -'!$D27*100</f>
        <v>0</v>
      </c>
      <c r="J27" s="272" t="str">
        <f>IF('- 6 -'!$D27=0,"",H27/'- 6 -'!$D27)</f>
        <v/>
      </c>
    </row>
    <row r="28" spans="1:10" ht="14.1" customHeight="1">
      <c r="A28" s="15" t="s">
        <v>124</v>
      </c>
      <c r="B28" s="16">
        <v>14680129</v>
      </c>
      <c r="C28" s="267">
        <f>B28/'- 3 -'!$D28*100</f>
        <v>51.201996413868798</v>
      </c>
      <c r="D28" s="16">
        <f>B28/'- 6 -'!$B28</f>
        <v>7545.684399897199</v>
      </c>
      <c r="E28" s="16">
        <v>0</v>
      </c>
      <c r="F28" s="267">
        <f>E28/'- 3 -'!$D28*100</f>
        <v>0</v>
      </c>
      <c r="G28" s="16" t="str">
        <f>IF('- 6 -'!$C28=0,"",E28/'- 6 -'!$C28)</f>
        <v/>
      </c>
      <c r="H28" s="16">
        <v>0</v>
      </c>
      <c r="I28" s="267">
        <f>H28/'- 3 -'!$D28*100</f>
        <v>0</v>
      </c>
      <c r="J28" s="16" t="str">
        <f>IF('- 6 -'!$D28=0,"",H28/'- 6 -'!$D28)</f>
        <v/>
      </c>
    </row>
    <row r="29" spans="1:10" ht="14.1" customHeight="1">
      <c r="A29" s="271" t="s">
        <v>125</v>
      </c>
      <c r="B29" s="272">
        <v>49699487</v>
      </c>
      <c r="C29" s="273">
        <f>B29/'- 3 -'!$D29*100</f>
        <v>31.39008867741056</v>
      </c>
      <c r="D29" s="272">
        <f>B29/'- 6 -'!$B29</f>
        <v>6407.463031006253</v>
      </c>
      <c r="E29" s="272">
        <v>0</v>
      </c>
      <c r="F29" s="273">
        <f>E29/'- 3 -'!$D29*100</f>
        <v>0</v>
      </c>
      <c r="G29" s="272" t="str">
        <f>IF('- 6 -'!$C29=0,"",E29/'- 6 -'!$C29)</f>
        <v/>
      </c>
      <c r="H29" s="272">
        <v>7177835</v>
      </c>
      <c r="I29" s="273">
        <f>H29/'- 3 -'!$D29*100</f>
        <v>4.5335050875237659</v>
      </c>
      <c r="J29" s="272">
        <f>IF('- 6 -'!$D29=0,"",H29/'- 6 -'!$D29)</f>
        <v>6255.1938997821353</v>
      </c>
    </row>
    <row r="30" spans="1:10" ht="14.1" customHeight="1">
      <c r="A30" s="15" t="s">
        <v>126</v>
      </c>
      <c r="B30" s="16">
        <v>7565038</v>
      </c>
      <c r="C30" s="267">
        <f>B30/'- 3 -'!$D30*100</f>
        <v>51.428529862524371</v>
      </c>
      <c r="D30" s="16">
        <f>B30/'- 6 -'!$B30</f>
        <v>7754.2414924149243</v>
      </c>
      <c r="E30" s="16">
        <v>0</v>
      </c>
      <c r="F30" s="267">
        <f>E30/'- 3 -'!$D30*100</f>
        <v>0</v>
      </c>
      <c r="G30" s="16" t="str">
        <f>IF('- 6 -'!$C30=0,"",E30/'- 6 -'!$C30)</f>
        <v/>
      </c>
      <c r="H30" s="16">
        <v>0</v>
      </c>
      <c r="I30" s="267">
        <f>H30/'- 3 -'!$D30*100</f>
        <v>0</v>
      </c>
      <c r="J30" s="16" t="str">
        <f>IF('- 6 -'!$D30=0,"",H30/'- 6 -'!$D30)</f>
        <v/>
      </c>
    </row>
    <row r="31" spans="1:10" ht="14.1" customHeight="1">
      <c r="A31" s="271" t="s">
        <v>127</v>
      </c>
      <c r="B31" s="272">
        <v>14604951</v>
      </c>
      <c r="C31" s="273">
        <f>B31/'- 3 -'!$D31*100</f>
        <v>38.76760952569947</v>
      </c>
      <c r="D31" s="272">
        <f>B31/'- 6 -'!$B31</f>
        <v>6012.7422807739813</v>
      </c>
      <c r="E31" s="272">
        <v>0</v>
      </c>
      <c r="F31" s="273">
        <f>E31/'- 3 -'!$D31*100</f>
        <v>0</v>
      </c>
      <c r="G31" s="272" t="str">
        <f>IF('- 6 -'!$C31=0,"",E31/'- 6 -'!$C31)</f>
        <v/>
      </c>
      <c r="H31" s="272">
        <v>0</v>
      </c>
      <c r="I31" s="273">
        <f>H31/'- 3 -'!$D31*100</f>
        <v>0</v>
      </c>
      <c r="J31" s="272" t="str">
        <f>IF('- 6 -'!$D31=0,"",H31/'- 6 -'!$D31)</f>
        <v/>
      </c>
    </row>
    <row r="32" spans="1:10" ht="14.1" customHeight="1">
      <c r="A32" s="15" t="s">
        <v>128</v>
      </c>
      <c r="B32" s="16">
        <v>12963145</v>
      </c>
      <c r="C32" s="267">
        <f>B32/'- 3 -'!$D32*100</f>
        <v>42.82105156200781</v>
      </c>
      <c r="D32" s="16">
        <f>B32/'- 6 -'!$B32</f>
        <v>7087.5587752870424</v>
      </c>
      <c r="E32" s="16">
        <v>0</v>
      </c>
      <c r="F32" s="267">
        <f>E32/'- 3 -'!$D32*100</f>
        <v>0</v>
      </c>
      <c r="G32" s="16" t="str">
        <f>IF('- 6 -'!$C32=0,"",E32/'- 6 -'!$C32)</f>
        <v/>
      </c>
      <c r="H32" s="16">
        <v>650706</v>
      </c>
      <c r="I32" s="267">
        <f>H32/'- 3 -'!$D32*100</f>
        <v>2.1494718432685782</v>
      </c>
      <c r="J32" s="16">
        <f>IF('- 6 -'!$D32=0,"",H32/'- 6 -'!$D32)</f>
        <v>5333.6557377049185</v>
      </c>
    </row>
    <row r="33" spans="1:10" ht="14.1" customHeight="1">
      <c r="A33" s="271" t="s">
        <v>129</v>
      </c>
      <c r="B33" s="272">
        <v>10593250</v>
      </c>
      <c r="C33" s="273">
        <f>B33/'- 3 -'!$D33*100</f>
        <v>37.926293761624571</v>
      </c>
      <c r="D33" s="272">
        <f>B33/'- 6 -'!$B33</f>
        <v>6948.6716956379141</v>
      </c>
      <c r="E33" s="272">
        <v>0</v>
      </c>
      <c r="F33" s="273">
        <f>E33/'- 3 -'!$D33*100</f>
        <v>0</v>
      </c>
      <c r="G33" s="272" t="str">
        <f>IF('- 6 -'!$C33=0,"",E33/'- 6 -'!$C33)</f>
        <v/>
      </c>
      <c r="H33" s="272">
        <v>0</v>
      </c>
      <c r="I33" s="273">
        <f>H33/'- 3 -'!$D33*100</f>
        <v>0</v>
      </c>
      <c r="J33" s="272" t="str">
        <f>IF('- 6 -'!$D33=0,"",H33/'- 6 -'!$D33)</f>
        <v/>
      </c>
    </row>
    <row r="34" spans="1:10" ht="14.1" customHeight="1">
      <c r="A34" s="15" t="s">
        <v>130</v>
      </c>
      <c r="B34" s="16">
        <v>10287451</v>
      </c>
      <c r="C34" s="267">
        <f>B34/'- 3 -'!$D34*100</f>
        <v>34.807517823564105</v>
      </c>
      <c r="D34" s="16">
        <f>B34/'- 6 -'!$B34</f>
        <v>6693.201691607027</v>
      </c>
      <c r="E34" s="16">
        <v>0</v>
      </c>
      <c r="F34" s="267">
        <f>E34/'- 3 -'!$D34*100</f>
        <v>0</v>
      </c>
      <c r="G34" s="16" t="str">
        <f>IF('- 6 -'!$C34=0,"",E34/'- 6 -'!$C34)</f>
        <v/>
      </c>
      <c r="H34" s="16">
        <v>1712955</v>
      </c>
      <c r="I34" s="267">
        <f>H34/'- 3 -'!$D34*100</f>
        <v>5.7957711481165992</v>
      </c>
      <c r="J34" s="16">
        <f>IF('- 6 -'!$D34=0,"",H34/'- 6 -'!$D34)</f>
        <v>7579.4469026548677</v>
      </c>
    </row>
    <row r="35" spans="1:10" ht="14.1" customHeight="1">
      <c r="A35" s="271" t="s">
        <v>131</v>
      </c>
      <c r="B35" s="272">
        <v>55966784</v>
      </c>
      <c r="C35" s="273">
        <f>B35/'- 3 -'!$D35*100</f>
        <v>30.913433881763563</v>
      </c>
      <c r="D35" s="272">
        <f>B35/'- 6 -'!$B35</f>
        <v>6153.2388543785391</v>
      </c>
      <c r="E35" s="272">
        <v>0</v>
      </c>
      <c r="F35" s="273">
        <f>E35/'- 3 -'!$D35*100</f>
        <v>0</v>
      </c>
      <c r="G35" s="272" t="str">
        <f>IF('- 6 -'!$C35=0,"",E35/'- 6 -'!$C35)</f>
        <v/>
      </c>
      <c r="H35" s="272">
        <v>5701450</v>
      </c>
      <c r="I35" s="273">
        <f>H35/'- 3 -'!$D35*100</f>
        <v>3.149214319786195</v>
      </c>
      <c r="J35" s="272">
        <f>IF('- 6 -'!$D35=0,"",H35/'- 6 -'!$D35)</f>
        <v>4535.7597454256165</v>
      </c>
    </row>
    <row r="36" spans="1:10" ht="14.1" customHeight="1">
      <c r="A36" s="15" t="s">
        <v>132</v>
      </c>
      <c r="B36" s="16">
        <v>11632770</v>
      </c>
      <c r="C36" s="267">
        <f>B36/'- 3 -'!$D36*100</f>
        <v>49.15132743531094</v>
      </c>
      <c r="D36" s="16">
        <f>B36/'- 6 -'!$B36</f>
        <v>7057.0067944673619</v>
      </c>
      <c r="E36" s="16">
        <v>0</v>
      </c>
      <c r="F36" s="267">
        <f>E36/'- 3 -'!$D36*100</f>
        <v>0</v>
      </c>
      <c r="G36" s="16" t="str">
        <f>IF('- 6 -'!$C36=0,"",E36/'- 6 -'!$C36)</f>
        <v/>
      </c>
      <c r="H36" s="16">
        <v>0</v>
      </c>
      <c r="I36" s="267">
        <f>H36/'- 3 -'!$D36*100</f>
        <v>0</v>
      </c>
      <c r="J36" s="16" t="str">
        <f>IF('- 6 -'!$D36=0,"",H36/'- 6 -'!$D36)</f>
        <v/>
      </c>
    </row>
    <row r="37" spans="1:10" ht="14.1" customHeight="1">
      <c r="A37" s="271" t="s">
        <v>133</v>
      </c>
      <c r="B37" s="272">
        <v>12689263</v>
      </c>
      <c r="C37" s="273">
        <f>B37/'- 3 -'!$D37*100</f>
        <v>25.381521019480296</v>
      </c>
      <c r="D37" s="272">
        <f>B37/'- 6 -'!$B37</f>
        <v>6048.2664442326022</v>
      </c>
      <c r="E37" s="272">
        <v>0</v>
      </c>
      <c r="F37" s="273">
        <f>E37/'- 3 -'!$D37*100</f>
        <v>0</v>
      </c>
      <c r="G37" s="272" t="str">
        <f>IF('- 6 -'!$C37=0,"",E37/'- 6 -'!$C37)</f>
        <v/>
      </c>
      <c r="H37" s="272">
        <v>4436230</v>
      </c>
      <c r="I37" s="273">
        <f>H37/'- 3 -'!$D37*100</f>
        <v>8.8735070738347126</v>
      </c>
      <c r="J37" s="272">
        <f>IF('- 6 -'!$D37=0,"",H37/'- 6 -'!$D37)</f>
        <v>6089.5401509951953</v>
      </c>
    </row>
    <row r="38" spans="1:10" ht="14.1" customHeight="1">
      <c r="A38" s="15" t="s">
        <v>134</v>
      </c>
      <c r="B38" s="16">
        <v>42775441</v>
      </c>
      <c r="C38" s="267">
        <f>B38/'- 3 -'!$D38*100</f>
        <v>31.384470845117672</v>
      </c>
      <c r="D38" s="16">
        <f>B38/'- 6 -'!$B38</f>
        <v>6584.3825136612022</v>
      </c>
      <c r="E38" s="16">
        <v>0</v>
      </c>
      <c r="F38" s="267">
        <f>E38/'- 3 -'!$D38*100</f>
        <v>0</v>
      </c>
      <c r="G38" s="16" t="str">
        <f>IF('- 6 -'!$C38=0,"",E38/'- 6 -'!$C38)</f>
        <v/>
      </c>
      <c r="H38" s="16">
        <v>3855620</v>
      </c>
      <c r="I38" s="267">
        <f>H38/'- 3 -'!$D38*100</f>
        <v>2.8288800921971231</v>
      </c>
      <c r="J38" s="16">
        <f>IF('- 6 -'!$D38=0,"",H38/'- 6 -'!$D38)</f>
        <v>6636.1790017211706</v>
      </c>
    </row>
    <row r="39" spans="1:10" ht="14.1" customHeight="1">
      <c r="A39" s="271" t="s">
        <v>135</v>
      </c>
      <c r="B39" s="272">
        <v>11417540</v>
      </c>
      <c r="C39" s="273">
        <f>B39/'- 3 -'!$D39*100</f>
        <v>49.861129543761017</v>
      </c>
      <c r="D39" s="272">
        <f>B39/'- 6 -'!$B39</f>
        <v>7571.3129973474797</v>
      </c>
      <c r="E39" s="272">
        <v>0</v>
      </c>
      <c r="F39" s="273">
        <f>E39/'- 3 -'!$D39*100</f>
        <v>0</v>
      </c>
      <c r="G39" s="272" t="str">
        <f>IF('- 6 -'!$C39=0,"",E39/'- 6 -'!$C39)</f>
        <v/>
      </c>
      <c r="H39" s="272">
        <v>0</v>
      </c>
      <c r="I39" s="273">
        <f>H39/'- 3 -'!$D39*100</f>
        <v>0</v>
      </c>
      <c r="J39" s="272" t="str">
        <f>IF('- 6 -'!$D39=0,"",H39/'- 6 -'!$D39)</f>
        <v/>
      </c>
    </row>
    <row r="40" spans="1:10" ht="14.1" customHeight="1">
      <c r="A40" s="15" t="s">
        <v>136</v>
      </c>
      <c r="B40" s="16">
        <v>35143781</v>
      </c>
      <c r="C40" s="267">
        <f>B40/'- 3 -'!$D40*100</f>
        <v>33.327591248695065</v>
      </c>
      <c r="D40" s="16">
        <f>B40/'- 6 -'!$B40</f>
        <v>6679.5493594860691</v>
      </c>
      <c r="E40" s="16">
        <v>0</v>
      </c>
      <c r="F40" s="267">
        <f>E40/'- 3 -'!$D40*100</f>
        <v>0</v>
      </c>
      <c r="G40" s="16" t="str">
        <f>IF('- 6 -'!$C40=0,"",E40/'- 6 -'!$C40)</f>
        <v/>
      </c>
      <c r="H40" s="16">
        <v>4819843</v>
      </c>
      <c r="I40" s="267">
        <f>H40/'- 3 -'!$D40*100</f>
        <v>4.5707591162966823</v>
      </c>
      <c r="J40" s="16">
        <f>IF('- 6 -'!$D40=0,"",H40/'- 6 -'!$D40)</f>
        <v>5190.9994614970383</v>
      </c>
    </row>
    <row r="41" spans="1:10" ht="14.1" customHeight="1">
      <c r="A41" s="271" t="s">
        <v>137</v>
      </c>
      <c r="B41" s="272">
        <v>14911726</v>
      </c>
      <c r="C41" s="273">
        <f>B41/'- 3 -'!$D41*100</f>
        <v>23.322136041620269</v>
      </c>
      <c r="D41" s="272">
        <f>B41/'- 6 -'!$B41</f>
        <v>8450.9640124681209</v>
      </c>
      <c r="E41" s="272">
        <v>0</v>
      </c>
      <c r="F41" s="273">
        <f>E41/'- 3 -'!$D41*100</f>
        <v>0</v>
      </c>
      <c r="G41" s="272" t="str">
        <f>IF('- 6 -'!$C41=0,"",E41/'- 6 -'!$C41)</f>
        <v/>
      </c>
      <c r="H41" s="272">
        <v>0</v>
      </c>
      <c r="I41" s="273">
        <f>H41/'- 3 -'!$D41*100</f>
        <v>0</v>
      </c>
      <c r="J41" s="272" t="str">
        <f>IF('- 6 -'!$D41=0,"",H41/'- 6 -'!$D41)</f>
        <v/>
      </c>
    </row>
    <row r="42" spans="1:10" ht="14.1" customHeight="1">
      <c r="A42" s="15" t="s">
        <v>138</v>
      </c>
      <c r="B42" s="16">
        <v>7421175</v>
      </c>
      <c r="C42" s="267">
        <f>B42/'- 3 -'!$D42*100</f>
        <v>35.14950620868396</v>
      </c>
      <c r="D42" s="16">
        <f>B42/'- 6 -'!$B42</f>
        <v>7557.2046843177186</v>
      </c>
      <c r="E42" s="16">
        <v>0</v>
      </c>
      <c r="F42" s="267">
        <f>E42/'- 3 -'!$D42*100</f>
        <v>0</v>
      </c>
      <c r="G42" s="16" t="str">
        <f>IF('- 6 -'!$C42=0,"",E42/'- 6 -'!$C42)</f>
        <v/>
      </c>
      <c r="H42" s="16">
        <v>0</v>
      </c>
      <c r="I42" s="267">
        <f>H42/'- 3 -'!$D42*100</f>
        <v>0</v>
      </c>
      <c r="J42" s="16" t="str">
        <f>IF('- 6 -'!$D42=0,"",H42/'- 6 -'!$D42)</f>
        <v/>
      </c>
    </row>
    <row r="43" spans="1:10" ht="14.1" customHeight="1">
      <c r="A43" s="271" t="s">
        <v>139</v>
      </c>
      <c r="B43" s="272">
        <v>6592680</v>
      </c>
      <c r="C43" s="273">
        <f>B43/'- 3 -'!$D43*100</f>
        <v>49.387725045121954</v>
      </c>
      <c r="D43" s="272">
        <f>B43/'- 6 -'!$B43</f>
        <v>7232.7811300054855</v>
      </c>
      <c r="E43" s="272">
        <v>0</v>
      </c>
      <c r="F43" s="273">
        <f>E43/'- 3 -'!$D43*100</f>
        <v>0</v>
      </c>
      <c r="G43" s="272" t="str">
        <f>IF('- 6 -'!$C43=0,"",E43/'- 6 -'!$C43)</f>
        <v/>
      </c>
      <c r="H43" s="272">
        <v>0</v>
      </c>
      <c r="I43" s="273">
        <f>H43/'- 3 -'!$D43*100</f>
        <v>0</v>
      </c>
      <c r="J43" s="272" t="str">
        <f>IF('- 6 -'!$D43=0,"",H43/'- 6 -'!$D43)</f>
        <v/>
      </c>
    </row>
    <row r="44" spans="1:10" ht="14.1" customHeight="1">
      <c r="A44" s="15" t="s">
        <v>140</v>
      </c>
      <c r="B44" s="16">
        <v>5006278</v>
      </c>
      <c r="C44" s="267">
        <f>B44/'- 3 -'!$D44*100</f>
        <v>44.683718250080688</v>
      </c>
      <c r="D44" s="16">
        <f>B44/'- 6 -'!$B44</f>
        <v>7516.933933933934</v>
      </c>
      <c r="E44" s="16">
        <v>325659</v>
      </c>
      <c r="F44" s="267">
        <f>E44/'- 3 -'!$D44*100</f>
        <v>2.9066813711909378</v>
      </c>
      <c r="G44" s="16">
        <f>IF('- 6 -'!$C44=0,"",E44/'- 6 -'!$C44)</f>
        <v>9304.5428571428565</v>
      </c>
      <c r="H44" s="16">
        <v>0</v>
      </c>
      <c r="I44" s="267">
        <f>H44/'- 3 -'!$D44*100</f>
        <v>0</v>
      </c>
      <c r="J44" s="16" t="str">
        <f>IF('- 6 -'!$D44=0,"",H44/'- 6 -'!$D44)</f>
        <v/>
      </c>
    </row>
    <row r="45" spans="1:10" ht="14.1" customHeight="1">
      <c r="A45" s="271" t="s">
        <v>141</v>
      </c>
      <c r="B45" s="272">
        <v>4940501</v>
      </c>
      <c r="C45" s="273">
        <f>B45/'- 3 -'!$D45*100</f>
        <v>25.189155709942739</v>
      </c>
      <c r="D45" s="272">
        <f>B45/'- 6 -'!$B45</f>
        <v>6578.5632490013313</v>
      </c>
      <c r="E45" s="272">
        <v>0</v>
      </c>
      <c r="F45" s="273">
        <f>E45/'- 3 -'!$D45*100</f>
        <v>0</v>
      </c>
      <c r="G45" s="272" t="str">
        <f>IF('- 6 -'!$C45=0,"",E45/'- 6 -'!$C45)</f>
        <v/>
      </c>
      <c r="H45" s="272">
        <v>0</v>
      </c>
      <c r="I45" s="273">
        <f>H45/'- 3 -'!$D45*100</f>
        <v>0</v>
      </c>
      <c r="J45" s="272" t="str">
        <f>IF('- 6 -'!$D45=0,"",H45/'- 6 -'!$D45)</f>
        <v/>
      </c>
    </row>
    <row r="46" spans="1:10" ht="14.1" customHeight="1">
      <c r="A46" s="15" t="s">
        <v>142</v>
      </c>
      <c r="B46" s="16">
        <v>136281450</v>
      </c>
      <c r="C46" s="267">
        <f>B46/'- 3 -'!$D46*100</f>
        <v>34.787755595898624</v>
      </c>
      <c r="D46" s="16">
        <f>B46/'- 6 -'!$B46</f>
        <v>6112.8656780687352</v>
      </c>
      <c r="E46" s="16">
        <v>0</v>
      </c>
      <c r="F46" s="267">
        <f>E46/'- 3 -'!$D46*100</f>
        <v>0</v>
      </c>
      <c r="G46" s="16" t="str">
        <f>IF('- 6 -'!$C46=0,"",E46/'- 6 -'!$C46)</f>
        <v/>
      </c>
      <c r="H46" s="16">
        <v>7282300</v>
      </c>
      <c r="I46" s="267">
        <f>H46/'- 3 -'!$D46*100</f>
        <v>1.8589094302710496</v>
      </c>
      <c r="J46" s="16">
        <f>IF('- 6 -'!$D46=0,"",H46/'- 6 -'!$D46)</f>
        <v>5887.0654810024253</v>
      </c>
    </row>
    <row r="47" spans="1:10" ht="5.0999999999999996" customHeight="1">
      <c r="A47"/>
      <c r="B47"/>
      <c r="C47"/>
      <c r="D47"/>
      <c r="E47"/>
      <c r="F47"/>
      <c r="G47"/>
      <c r="H47" s="508"/>
      <c r="I47"/>
      <c r="J47"/>
    </row>
    <row r="48" spans="1:10" ht="14.1" customHeight="1">
      <c r="A48" s="274" t="s">
        <v>143</v>
      </c>
      <c r="B48" s="275">
        <f>SUM(B11:B46)</f>
        <v>805558883</v>
      </c>
      <c r="C48" s="276">
        <f>B48/'- 3 -'!$D48*100</f>
        <v>34.853400023566792</v>
      </c>
      <c r="D48" s="275">
        <f>B48/'- 6 -'!$B48</f>
        <v>6530.7395207736126</v>
      </c>
      <c r="E48" s="275">
        <f>SUM(E11:E46)</f>
        <v>42423541</v>
      </c>
      <c r="F48" s="276">
        <f>E48/'- 3 -'!$D48*100</f>
        <v>1.835501632584178</v>
      </c>
      <c r="G48" s="275">
        <f>E48/'- 6 -'!$C48</f>
        <v>7706.3653042688466</v>
      </c>
      <c r="H48" s="275">
        <f>SUM(H11:H46)</f>
        <v>65147519</v>
      </c>
      <c r="I48" s="276">
        <f>H48/'- 3 -'!$D48*100</f>
        <v>2.8186797863787172</v>
      </c>
      <c r="J48" s="275">
        <f>H48/'- 6 -'!$D48</f>
        <v>5584.3921652665867</v>
      </c>
    </row>
    <row r="49" spans="1:10" ht="5.0999999999999996" customHeight="1">
      <c r="A49" s="17" t="s">
        <v>1</v>
      </c>
      <c r="B49" s="18"/>
      <c r="C49" s="266"/>
      <c r="D49" s="18"/>
      <c r="E49" s="18"/>
      <c r="F49" s="266"/>
      <c r="H49" s="18"/>
      <c r="I49" s="266"/>
      <c r="J49" s="18"/>
    </row>
    <row r="50" spans="1:10" ht="14.1" customHeight="1">
      <c r="A50" s="15" t="s">
        <v>144</v>
      </c>
      <c r="B50" s="16">
        <v>1696109</v>
      </c>
      <c r="C50" s="267">
        <f>B50/'- 3 -'!$D50*100</f>
        <v>49.079983077753788</v>
      </c>
      <c r="D50" s="16">
        <f>B50/'- 6 -'!$B50</f>
        <v>10534.838509316771</v>
      </c>
      <c r="E50" s="16">
        <v>0</v>
      </c>
      <c r="F50" s="267">
        <f>E50/'- 3 -'!$D50*100</f>
        <v>0</v>
      </c>
      <c r="G50" s="16" t="str">
        <f>IF('- 6 -'!$C50=0,"",E50/'- 6 -'!$C50)</f>
        <v/>
      </c>
      <c r="H50" s="16">
        <v>0</v>
      </c>
      <c r="I50" s="267">
        <f>H50/'- 3 -'!$D50*100</f>
        <v>0</v>
      </c>
      <c r="J50" s="16" t="str">
        <f>IF('- 6 -'!$D50=0,"",H50/'- 6 -'!$D50)</f>
        <v/>
      </c>
    </row>
    <row r="51" spans="1:10" ht="14.1" customHeight="1">
      <c r="A51" s="360" t="s">
        <v>523</v>
      </c>
      <c r="B51" s="272">
        <v>1059897</v>
      </c>
      <c r="C51" s="273">
        <f>B51/'- 3 -'!$D51*100</f>
        <v>3.5852751429928067</v>
      </c>
      <c r="D51" s="272">
        <f>B51/'- 6 -'!$B51</f>
        <v>7597.8279569892475</v>
      </c>
      <c r="E51" s="272">
        <v>0</v>
      </c>
      <c r="F51" s="273">
        <f>E51/'- 3 -'!$D51*100</f>
        <v>0</v>
      </c>
      <c r="G51" s="272" t="str">
        <f>IF('- 6 -'!$C51=0,"",E51/'- 6 -'!$C51)</f>
        <v/>
      </c>
      <c r="H51" s="272">
        <v>0</v>
      </c>
      <c r="I51" s="273">
        <f>H51/'- 3 -'!$D51*100</f>
        <v>0</v>
      </c>
      <c r="J51" s="272" t="str">
        <f>IF('- 6 -'!$D51=0,"",H51/'- 6 -'!$D51)</f>
        <v/>
      </c>
    </row>
    <row r="52" spans="1:10" ht="50.1" customHeight="1">
      <c r="A52" s="19"/>
      <c r="B52" s="19"/>
      <c r="C52" s="19"/>
      <c r="D52" s="19"/>
      <c r="E52" s="19"/>
      <c r="F52" s="19"/>
      <c r="G52" s="19"/>
      <c r="H52" s="51"/>
      <c r="I52" s="51"/>
      <c r="J52" s="51"/>
    </row>
    <row r="53" spans="1:10" ht="15" customHeight="1">
      <c r="A53" s="46" t="s">
        <v>339</v>
      </c>
      <c r="B53" s="46"/>
      <c r="C53" s="46"/>
      <c r="D53" s="46"/>
      <c r="E53" s="46"/>
      <c r="F53" s="46"/>
      <c r="G53" s="46"/>
      <c r="I53" s="46"/>
      <c r="J53" s="46"/>
    </row>
    <row r="54" spans="1:10" ht="14.45" customHeight="1"/>
    <row r="55" spans="1:10" ht="14.45" customHeight="1">
      <c r="A55" s="20"/>
    </row>
    <row r="56" spans="1:10" ht="14.45" customHeight="1"/>
    <row r="57" spans="1:10" ht="14.45" customHeight="1"/>
    <row r="58" spans="1:10" ht="14.45" customHeight="1"/>
    <row r="59" spans="1:10" ht="14.45" customHeight="1"/>
  </sheetData>
  <mergeCells count="7">
    <mergeCell ref="B6:J6"/>
    <mergeCell ref="D8:D9"/>
    <mergeCell ref="G8:G9"/>
    <mergeCell ref="J8:J9"/>
    <mergeCell ref="B7:D7"/>
    <mergeCell ref="E7:G7"/>
    <mergeCell ref="H7:J7"/>
  </mergeCells>
  <phoneticPr fontId="0" type="noConversion"/>
  <printOptions horizontalCentered="1"/>
  <pageMargins left="0.5" right="0.5" top="0.6" bottom="0" header="0.3" footer="0"/>
  <pageSetup scale="90" orientation="portrait" r:id="rId1"/>
  <headerFooter alignWithMargins="0">
    <oddHeader>&amp;C&amp;"Arial,Bold"&amp;10&amp;A</oddHeader>
  </headerFooter>
</worksheet>
</file>

<file path=xl/worksheets/sheet16.xml><?xml version="1.0" encoding="utf-8"?>
<worksheet xmlns="http://schemas.openxmlformats.org/spreadsheetml/2006/main" xmlns:r="http://schemas.openxmlformats.org/officeDocument/2006/relationships">
  <sheetPr codeName="Sheet15">
    <pageSetUpPr fitToPage="1"/>
  </sheetPr>
  <dimension ref="A1:I59"/>
  <sheetViews>
    <sheetView showGridLines="0" showZeros="0" workbookViewId="0"/>
  </sheetViews>
  <sheetFormatPr defaultColWidth="15.83203125" defaultRowHeight="12"/>
  <cols>
    <col min="1" max="1" width="31.83203125" style="1" customWidth="1"/>
    <col min="2" max="2" width="14.33203125" style="1" customWidth="1"/>
    <col min="3" max="3" width="7.83203125" style="1" customWidth="1"/>
    <col min="4" max="4" width="9.83203125" style="1" customWidth="1"/>
    <col min="5" max="5" width="10.83203125" style="1" customWidth="1"/>
    <col min="6" max="6" width="10.1640625" style="1" customWidth="1"/>
    <col min="7" max="7" width="11.83203125" style="1" customWidth="1"/>
    <col min="8" max="8" width="14.83203125" style="1" customWidth="1"/>
    <col min="9" max="9" width="11" style="1" customWidth="1"/>
    <col min="10" max="16384" width="15.83203125" style="1"/>
  </cols>
  <sheetData>
    <row r="1" spans="1:9" ht="6.95" customHeight="1">
      <c r="A1" s="3"/>
      <c r="B1" s="32"/>
      <c r="C1" s="32"/>
      <c r="D1" s="32"/>
      <c r="E1" s="32"/>
      <c r="F1" s="32"/>
      <c r="G1" s="32"/>
      <c r="H1" s="32"/>
      <c r="I1" s="32"/>
    </row>
    <row r="2" spans="1:9" ht="15.95" customHeight="1">
      <c r="A2" s="132"/>
      <c r="B2" s="5" t="str">
        <f>AEXP_BP</f>
        <v>ANALYSIS OF EXPENSE BY PROGRAM</v>
      </c>
      <c r="C2" s="35"/>
      <c r="D2" s="35"/>
      <c r="E2" s="35"/>
      <c r="F2" s="35"/>
      <c r="G2" s="35"/>
      <c r="H2" s="166"/>
      <c r="I2" s="503" t="s">
        <v>536</v>
      </c>
    </row>
    <row r="3" spans="1:9" ht="15.95" customHeight="1">
      <c r="A3" s="135"/>
      <c r="B3" s="86" t="str">
        <f>OPYEAR</f>
        <v>OPERATING FUND 2016/2017 BUDGET</v>
      </c>
      <c r="C3" s="39"/>
      <c r="D3" s="39"/>
      <c r="E3" s="39"/>
      <c r="F3" s="39"/>
      <c r="G3" s="39"/>
      <c r="H3" s="167"/>
      <c r="I3" s="168"/>
    </row>
    <row r="4" spans="1:9" ht="15.95" customHeight="1">
      <c r="B4" s="32"/>
      <c r="C4" s="32"/>
      <c r="D4" s="32"/>
      <c r="E4" s="32"/>
      <c r="F4" s="32"/>
      <c r="G4" s="32"/>
      <c r="H4" s="32"/>
      <c r="I4" s="32"/>
    </row>
    <row r="5" spans="1:9" ht="15.95" customHeight="1">
      <c r="B5" s="635" t="s">
        <v>239</v>
      </c>
      <c r="C5" s="636"/>
      <c r="D5" s="636"/>
      <c r="E5" s="636"/>
      <c r="F5" s="636"/>
      <c r="G5" s="636"/>
      <c r="H5" s="636"/>
      <c r="I5" s="637"/>
    </row>
    <row r="6" spans="1:9" ht="15.95" customHeight="1">
      <c r="B6" s="653" t="s">
        <v>240</v>
      </c>
      <c r="C6" s="651"/>
      <c r="D6" s="651"/>
      <c r="E6" s="651"/>
      <c r="F6" s="651"/>
      <c r="G6" s="651"/>
      <c r="H6" s="651"/>
      <c r="I6" s="652"/>
    </row>
    <row r="7" spans="1:9" ht="15.95" customHeight="1">
      <c r="B7" s="162"/>
      <c r="C7" s="169"/>
      <c r="D7" s="654" t="s">
        <v>401</v>
      </c>
      <c r="E7" s="657" t="s">
        <v>409</v>
      </c>
      <c r="F7" s="662" t="s">
        <v>75</v>
      </c>
      <c r="G7" s="663"/>
      <c r="H7" s="663"/>
      <c r="I7" s="664"/>
    </row>
    <row r="8" spans="1:9" ht="15.95" customHeight="1">
      <c r="A8" s="82"/>
      <c r="B8" s="170"/>
      <c r="C8" s="170"/>
      <c r="D8" s="655"/>
      <c r="E8" s="658"/>
      <c r="F8" s="660" t="s">
        <v>33</v>
      </c>
      <c r="G8" s="660" t="s">
        <v>16</v>
      </c>
      <c r="H8" s="548" t="s">
        <v>17</v>
      </c>
      <c r="I8" s="660" t="s">
        <v>19</v>
      </c>
    </row>
    <row r="9" spans="1:9" ht="15.95" customHeight="1">
      <c r="A9" s="27" t="s">
        <v>37</v>
      </c>
      <c r="B9" s="43" t="s">
        <v>38</v>
      </c>
      <c r="C9" s="43" t="s">
        <v>39</v>
      </c>
      <c r="D9" s="656"/>
      <c r="E9" s="659"/>
      <c r="F9" s="661"/>
      <c r="G9" s="661"/>
      <c r="H9" s="549"/>
      <c r="I9" s="661"/>
    </row>
    <row r="10" spans="1:9" ht="5.0999999999999996" customHeight="1">
      <c r="A10" s="29"/>
      <c r="B10" s="46"/>
      <c r="C10" s="46"/>
      <c r="D10" s="46"/>
      <c r="E10" s="46"/>
      <c r="F10" s="46"/>
      <c r="G10" s="46"/>
      <c r="H10" s="46"/>
      <c r="I10" s="46"/>
    </row>
    <row r="11" spans="1:9" ht="14.1" customHeight="1">
      <c r="A11" s="271" t="s">
        <v>108</v>
      </c>
      <c r="B11" s="272">
        <v>0</v>
      </c>
      <c r="C11" s="273">
        <f>B11/'- 3 -'!$D11*100</f>
        <v>0</v>
      </c>
      <c r="D11" s="298" t="str">
        <f>IF(E11=0,"",B11/E11)</f>
        <v/>
      </c>
      <c r="E11" s="299">
        <f>SUM('- 6 -'!$E11:H11)</f>
        <v>0</v>
      </c>
      <c r="F11" s="273" t="str">
        <f>IF(E11=0,"",'- 6 -'!$E11/E11*100)</f>
        <v/>
      </c>
      <c r="G11" s="273" t="str">
        <f>IF(E11=0,"",'- 6 -'!$F11/E11*100)</f>
        <v/>
      </c>
      <c r="H11" s="273" t="str">
        <f>IF(E11=0,"",'- 6 -'!$G11/E11*100)</f>
        <v/>
      </c>
      <c r="I11" s="273" t="str">
        <f>IF(E11=0,"",'- 6 -'!$H11/E11*100)</f>
        <v/>
      </c>
    </row>
    <row r="12" spans="1:9" ht="14.1" customHeight="1">
      <c r="A12" s="15" t="s">
        <v>109</v>
      </c>
      <c r="B12" s="16">
        <v>0</v>
      </c>
      <c r="C12" s="267">
        <f>B12/'- 3 -'!$D12*100</f>
        <v>0</v>
      </c>
      <c r="D12" s="171" t="str">
        <f t="shared" ref="D12:D46" si="0">IF(E12=0,"",B12/E12)</f>
        <v/>
      </c>
      <c r="E12" s="172">
        <f>SUM('- 6 -'!$E12:H12)</f>
        <v>0</v>
      </c>
      <c r="F12" s="267" t="str">
        <f>IF(E12=0,"",'- 6 -'!$E12/E12*100)</f>
        <v/>
      </c>
      <c r="G12" s="267" t="str">
        <f>IF(E12=0,"",'- 6 -'!$F12/E12*100)</f>
        <v/>
      </c>
      <c r="H12" s="267" t="str">
        <f>IF(E12=0,"",'- 6 -'!$G12/E12*100)</f>
        <v/>
      </c>
      <c r="I12" s="267" t="str">
        <f>IF(E12=0,"",'- 6 -'!$H12/E12*100)</f>
        <v/>
      </c>
    </row>
    <row r="13" spans="1:9" ht="14.1" customHeight="1">
      <c r="A13" s="271" t="s">
        <v>110</v>
      </c>
      <c r="B13" s="272">
        <v>7003600</v>
      </c>
      <c r="C13" s="273">
        <f>B13/'- 3 -'!$D13*100</f>
        <v>7.1488211529000107</v>
      </c>
      <c r="D13" s="298">
        <f t="shared" si="0"/>
        <v>5089.8255813953492</v>
      </c>
      <c r="E13" s="299">
        <f>SUM('- 6 -'!$E13:H13)</f>
        <v>1376</v>
      </c>
      <c r="F13" s="273">
        <f>IF(E13=0,"",'- 6 -'!$E13/E13*100)</f>
        <v>69.658430232558146</v>
      </c>
      <c r="G13" s="273">
        <f>IF(E13=0,"",'- 6 -'!$F13/E13*100)</f>
        <v>0</v>
      </c>
      <c r="H13" s="273">
        <f>IF(E13=0,"",'- 6 -'!$G13/E13*100)</f>
        <v>30.341569767441861</v>
      </c>
      <c r="I13" s="273">
        <f>IF(E13=0,"",'- 6 -'!$H13/E13*100)</f>
        <v>0</v>
      </c>
    </row>
    <row r="14" spans="1:9" ht="14.1" customHeight="1">
      <c r="A14" s="15" t="s">
        <v>319</v>
      </c>
      <c r="B14" s="16">
        <v>0</v>
      </c>
      <c r="C14" s="267">
        <f>B14/'- 3 -'!$D14*100</f>
        <v>0</v>
      </c>
      <c r="D14" s="171" t="str">
        <f t="shared" si="0"/>
        <v/>
      </c>
      <c r="E14" s="172">
        <f>SUM('- 6 -'!$E14:H14)</f>
        <v>0</v>
      </c>
      <c r="F14" s="267" t="str">
        <f>IF(E14=0,"",'- 6 -'!$E14/E14*100)</f>
        <v/>
      </c>
      <c r="G14" s="267" t="str">
        <f>IF(E14=0,"",'- 6 -'!$F14/E14*100)</f>
        <v/>
      </c>
      <c r="H14" s="267" t="str">
        <f>IF(E14=0,"",'- 6 -'!$G14/E14*100)</f>
        <v/>
      </c>
      <c r="I14" s="267" t="str">
        <f>IF(E14=0,"",'- 6 -'!$H14/E14*100)</f>
        <v/>
      </c>
    </row>
    <row r="15" spans="1:9" ht="14.1" customHeight="1">
      <c r="A15" s="271" t="s">
        <v>111</v>
      </c>
      <c r="B15" s="272">
        <v>0</v>
      </c>
      <c r="C15" s="273">
        <f>B15/'- 3 -'!$D15*100</f>
        <v>0</v>
      </c>
      <c r="D15" s="298" t="str">
        <f t="shared" si="0"/>
        <v/>
      </c>
      <c r="E15" s="299">
        <f>SUM('- 6 -'!$E15:H15)</f>
        <v>0</v>
      </c>
      <c r="F15" s="273" t="str">
        <f>IF(E15=0,"",'- 6 -'!$E15/E15*100)</f>
        <v/>
      </c>
      <c r="G15" s="273" t="str">
        <f>IF(E15=0,"",'- 6 -'!$F15/E15*100)</f>
        <v/>
      </c>
      <c r="H15" s="273" t="str">
        <f>IF(E15=0,"",'- 6 -'!$G15/E15*100)</f>
        <v/>
      </c>
      <c r="I15" s="273" t="str">
        <f>IF(E15=0,"",'- 6 -'!$H15/E15*100)</f>
        <v/>
      </c>
    </row>
    <row r="16" spans="1:9" ht="14.1" customHeight="1">
      <c r="A16" s="15" t="s">
        <v>112</v>
      </c>
      <c r="B16" s="16">
        <v>2298762</v>
      </c>
      <c r="C16" s="267">
        <f>B16/'- 3 -'!$D16*100</f>
        <v>15.724588325757182</v>
      </c>
      <c r="D16" s="171">
        <f t="shared" si="0"/>
        <v>5994.1642764015642</v>
      </c>
      <c r="E16" s="172">
        <f>SUM('- 6 -'!$E16:H16)</f>
        <v>383.5</v>
      </c>
      <c r="F16" s="267">
        <f>IF(E16=0,"",'- 6 -'!$E16/E16*100)</f>
        <v>77.574967405475874</v>
      </c>
      <c r="G16" s="267">
        <f>IF(E16=0,"",'- 6 -'!$F16/E16*100)</f>
        <v>0</v>
      </c>
      <c r="H16" s="267">
        <f>IF(E16=0,"",'- 6 -'!$G16/E16*100)</f>
        <v>22.425032594524119</v>
      </c>
      <c r="I16" s="267">
        <f>IF(E16=0,"",'- 6 -'!$H16/E16*100)</f>
        <v>0</v>
      </c>
    </row>
    <row r="17" spans="1:9" ht="14.1" customHeight="1">
      <c r="A17" s="271" t="s">
        <v>113</v>
      </c>
      <c r="B17" s="272">
        <v>0</v>
      </c>
      <c r="C17" s="273">
        <f>B17/'- 3 -'!$D17*100</f>
        <v>0</v>
      </c>
      <c r="D17" s="298" t="str">
        <f t="shared" si="0"/>
        <v/>
      </c>
      <c r="E17" s="299">
        <f>SUM('- 6 -'!$E17:H17)</f>
        <v>0</v>
      </c>
      <c r="F17" s="273" t="str">
        <f>IF(E17=0,"",'- 6 -'!$E17/E17*100)</f>
        <v/>
      </c>
      <c r="G17" s="273" t="str">
        <f>IF(E17=0,"",'- 6 -'!$F17/E17*100)</f>
        <v/>
      </c>
      <c r="H17" s="273" t="str">
        <f>IF(E17=0,"",'- 6 -'!$G17/E17*100)</f>
        <v/>
      </c>
      <c r="I17" s="273" t="str">
        <f>IF(E17=0,"",'- 6 -'!$H17/E17*100)</f>
        <v/>
      </c>
    </row>
    <row r="18" spans="1:9" ht="14.1" customHeight="1">
      <c r="A18" s="15" t="s">
        <v>114</v>
      </c>
      <c r="B18" s="16">
        <v>0</v>
      </c>
      <c r="C18" s="267">
        <f>B18/'- 3 -'!$D18*100</f>
        <v>0</v>
      </c>
      <c r="D18" s="171" t="str">
        <f t="shared" si="0"/>
        <v/>
      </c>
      <c r="E18" s="172">
        <f>SUM('- 6 -'!$E18:H18)</f>
        <v>0</v>
      </c>
      <c r="F18" s="267" t="str">
        <f>IF(E18=0,"",'- 6 -'!$E18/E18*100)</f>
        <v/>
      </c>
      <c r="G18" s="267" t="str">
        <f>IF(E18=0,"",'- 6 -'!$F18/E18*100)</f>
        <v/>
      </c>
      <c r="H18" s="267" t="str">
        <f>IF(E18=0,"",'- 6 -'!$G18/E18*100)</f>
        <v/>
      </c>
      <c r="I18" s="267" t="str">
        <f>IF(E18=0,"",'- 6 -'!$H18/E18*100)</f>
        <v/>
      </c>
    </row>
    <row r="19" spans="1:9" ht="14.1" customHeight="1">
      <c r="A19" s="271" t="s">
        <v>115</v>
      </c>
      <c r="B19" s="272">
        <v>0</v>
      </c>
      <c r="C19" s="273">
        <f>B19/'- 3 -'!$D19*100</f>
        <v>0</v>
      </c>
      <c r="D19" s="298" t="str">
        <f t="shared" si="0"/>
        <v/>
      </c>
      <c r="E19" s="299">
        <f>SUM('- 6 -'!$E19:H19)</f>
        <v>0</v>
      </c>
      <c r="F19" s="273" t="str">
        <f>IF(E19=0,"",'- 6 -'!$E19/E19*100)</f>
        <v/>
      </c>
      <c r="G19" s="273" t="str">
        <f>IF(E19=0,"",'- 6 -'!$F19/E19*100)</f>
        <v/>
      </c>
      <c r="H19" s="273" t="str">
        <f>IF(E19=0,"",'- 6 -'!$G19/E19*100)</f>
        <v/>
      </c>
      <c r="I19" s="273" t="str">
        <f>IF(E19=0,"",'- 6 -'!$H19/E19*100)</f>
        <v/>
      </c>
    </row>
    <row r="20" spans="1:9" ht="14.1" customHeight="1">
      <c r="A20" s="15" t="s">
        <v>116</v>
      </c>
      <c r="B20" s="16">
        <v>0</v>
      </c>
      <c r="C20" s="267">
        <f>B20/'- 3 -'!$D20*100</f>
        <v>0</v>
      </c>
      <c r="D20" s="171" t="str">
        <f t="shared" si="0"/>
        <v/>
      </c>
      <c r="E20" s="172">
        <f>SUM('- 6 -'!$E20:H20)</f>
        <v>0</v>
      </c>
      <c r="F20" s="267" t="str">
        <f>IF(E20=0,"",'- 6 -'!$E20/E20*100)</f>
        <v/>
      </c>
      <c r="G20" s="267" t="str">
        <f>IF(E20=0,"",'- 6 -'!$F20/E20*100)</f>
        <v/>
      </c>
      <c r="H20" s="267" t="str">
        <f>IF(E20=0,"",'- 6 -'!$G20/E20*100)</f>
        <v/>
      </c>
      <c r="I20" s="267" t="str">
        <f>IF(E20=0,"",'- 6 -'!$H20/E20*100)</f>
        <v/>
      </c>
    </row>
    <row r="21" spans="1:9" ht="14.1" customHeight="1">
      <c r="A21" s="271" t="s">
        <v>117</v>
      </c>
      <c r="B21" s="272">
        <v>3912882</v>
      </c>
      <c r="C21" s="273">
        <f>B21/'- 3 -'!$D21*100</f>
        <v>10.758044341360593</v>
      </c>
      <c r="D21" s="298">
        <f t="shared" si="0"/>
        <v>5771.212389380531</v>
      </c>
      <c r="E21" s="299">
        <f>SUM('- 6 -'!$E21:H21)</f>
        <v>678</v>
      </c>
      <c r="F21" s="273">
        <f>IF(E21=0,"",'- 6 -'!$E21/E21*100)</f>
        <v>63.274336283185839</v>
      </c>
      <c r="G21" s="273">
        <f>IF(E21=0,"",'- 6 -'!$F21/E21*100)</f>
        <v>0</v>
      </c>
      <c r="H21" s="273">
        <f>IF(E21=0,"",'- 6 -'!$G21/E21*100)</f>
        <v>36.725663716814161</v>
      </c>
      <c r="I21" s="273">
        <f>IF(E21=0,"",'- 6 -'!$H21/E21*100)</f>
        <v>0</v>
      </c>
    </row>
    <row r="22" spans="1:9" ht="14.1" customHeight="1">
      <c r="A22" s="15" t="s">
        <v>118</v>
      </c>
      <c r="B22" s="16">
        <v>4161880</v>
      </c>
      <c r="C22" s="267">
        <f>B22/'- 3 -'!$D22*100</f>
        <v>20.133165232842753</v>
      </c>
      <c r="D22" s="171">
        <f t="shared" si="0"/>
        <v>6611.4058776806987</v>
      </c>
      <c r="E22" s="172">
        <f>SUM('- 6 -'!$E22:H22)</f>
        <v>629.5</v>
      </c>
      <c r="F22" s="267">
        <f>IF(E22=0,"",'- 6 -'!$E22/E22*100)</f>
        <v>78.792692613185068</v>
      </c>
      <c r="G22" s="267">
        <f>IF(E22=0,"",'- 6 -'!$F22/E22*100)</f>
        <v>0</v>
      </c>
      <c r="H22" s="267">
        <f>IF(E22=0,"",'- 6 -'!$G22/E22*100)</f>
        <v>21.207307386814932</v>
      </c>
      <c r="I22" s="267">
        <f>IF(E22=0,"",'- 6 -'!$H22/E22*100)</f>
        <v>0</v>
      </c>
    </row>
    <row r="23" spans="1:9" ht="14.1" customHeight="1">
      <c r="A23" s="271" t="s">
        <v>119</v>
      </c>
      <c r="B23" s="272">
        <v>0</v>
      </c>
      <c r="C23" s="273">
        <f>B23/'- 3 -'!$D23*100</f>
        <v>0</v>
      </c>
      <c r="D23" s="298" t="str">
        <f t="shared" si="0"/>
        <v/>
      </c>
      <c r="E23" s="299">
        <f>SUM('- 6 -'!$E23:H23)</f>
        <v>0</v>
      </c>
      <c r="F23" s="273" t="str">
        <f>IF(E23=0,"",'- 6 -'!$E23/E23*100)</f>
        <v/>
      </c>
      <c r="G23" s="273" t="str">
        <f>IF(E23=0,"",'- 6 -'!$F23/E23*100)</f>
        <v/>
      </c>
      <c r="H23" s="273" t="str">
        <f>IF(E23=0,"",'- 6 -'!$G23/E23*100)</f>
        <v/>
      </c>
      <c r="I23" s="273" t="str">
        <f>IF(E23=0,"",'- 6 -'!$H23/E23*100)</f>
        <v/>
      </c>
    </row>
    <row r="24" spans="1:9" ht="14.1" customHeight="1">
      <c r="A24" s="15" t="s">
        <v>120</v>
      </c>
      <c r="B24" s="16">
        <v>4399100</v>
      </c>
      <c r="C24" s="267">
        <f>B24/'- 3 -'!$D24*100</f>
        <v>7.5706654962776803</v>
      </c>
      <c r="D24" s="171">
        <f t="shared" si="0"/>
        <v>6949.6050552922588</v>
      </c>
      <c r="E24" s="172">
        <f>SUM('- 6 -'!$E24:H24)</f>
        <v>633</v>
      </c>
      <c r="F24" s="267">
        <f>IF(E24=0,"",'- 6 -'!$E24/E24*100)</f>
        <v>72.432859399684048</v>
      </c>
      <c r="G24" s="267">
        <f>IF(E24=0,"",'- 6 -'!$F24/E24*100)</f>
        <v>0</v>
      </c>
      <c r="H24" s="267">
        <f>IF(E24=0,"",'- 6 -'!$G24/E24*100)</f>
        <v>15.955766192733018</v>
      </c>
      <c r="I24" s="267">
        <f>IF(E24=0,"",'- 6 -'!$H24/E24*100)</f>
        <v>11.611374407582939</v>
      </c>
    </row>
    <row r="25" spans="1:9" ht="14.1" customHeight="1">
      <c r="A25" s="271" t="s">
        <v>121</v>
      </c>
      <c r="B25" s="272">
        <v>0</v>
      </c>
      <c r="C25" s="273">
        <f>B25/'- 3 -'!$D25*100</f>
        <v>0</v>
      </c>
      <c r="D25" s="298" t="str">
        <f t="shared" si="0"/>
        <v/>
      </c>
      <c r="E25" s="299">
        <f>SUM('- 6 -'!$E25:H25)</f>
        <v>0</v>
      </c>
      <c r="F25" s="273" t="str">
        <f>IF(E25=0,"",'- 6 -'!$E25/E25*100)</f>
        <v/>
      </c>
      <c r="G25" s="273" t="str">
        <f>IF(E25=0,"",'- 6 -'!$F25/E25*100)</f>
        <v/>
      </c>
      <c r="H25" s="273" t="str">
        <f>IF(E25=0,"",'- 6 -'!$G25/E25*100)</f>
        <v/>
      </c>
      <c r="I25" s="273" t="str">
        <f>IF(E25=0,"",'- 6 -'!$H25/E25*100)</f>
        <v/>
      </c>
    </row>
    <row r="26" spans="1:9" ht="14.1" customHeight="1">
      <c r="A26" s="15" t="s">
        <v>122</v>
      </c>
      <c r="B26" s="16">
        <v>1903788</v>
      </c>
      <c r="C26" s="267">
        <f>B26/'- 3 -'!$D26*100</f>
        <v>4.6639526005374385</v>
      </c>
      <c r="D26" s="171">
        <f t="shared" si="0"/>
        <v>5599.376470588235</v>
      </c>
      <c r="E26" s="172">
        <f>SUM('- 6 -'!$E26:H26)</f>
        <v>340</v>
      </c>
      <c r="F26" s="267">
        <f>IF(E26=0,"",'- 6 -'!$E26/E26*100)</f>
        <v>66.470588235294116</v>
      </c>
      <c r="G26" s="267">
        <f>IF(E26=0,"",'- 6 -'!$F26/E26*100)</f>
        <v>0</v>
      </c>
      <c r="H26" s="267">
        <f>IF(E26=0,"",'- 6 -'!$G26/E26*100)</f>
        <v>11.76470588235294</v>
      </c>
      <c r="I26" s="267">
        <f>IF(E26=0,"",'- 6 -'!$H26/E26*100)</f>
        <v>21.764705882352942</v>
      </c>
    </row>
    <row r="27" spans="1:9" ht="14.1" customHeight="1">
      <c r="A27" s="271" t="s">
        <v>123</v>
      </c>
      <c r="B27" s="272">
        <v>2506457</v>
      </c>
      <c r="C27" s="273">
        <f>B27/'- 3 -'!$D27*100</f>
        <v>5.7269501439473558</v>
      </c>
      <c r="D27" s="298">
        <f t="shared" si="0"/>
        <v>7307.4548104956266</v>
      </c>
      <c r="E27" s="299">
        <f>SUM('- 6 -'!$E27:H27)</f>
        <v>343</v>
      </c>
      <c r="F27" s="273">
        <f>IF(E27=0,"",'- 6 -'!$E27/E27*100)</f>
        <v>34.985422740524783</v>
      </c>
      <c r="G27" s="273">
        <f>IF(E27=0,"",'- 6 -'!$F27/E27*100)</f>
        <v>0</v>
      </c>
      <c r="H27" s="273">
        <f>IF(E27=0,"",'- 6 -'!$G27/E27*100)</f>
        <v>65.014577259475217</v>
      </c>
      <c r="I27" s="273">
        <f>IF(E27=0,"",'- 6 -'!$H27/E27*100)</f>
        <v>0</v>
      </c>
    </row>
    <row r="28" spans="1:9" ht="14.1" customHeight="1">
      <c r="A28" s="15" t="s">
        <v>124</v>
      </c>
      <c r="B28" s="16">
        <v>0</v>
      </c>
      <c r="C28" s="267">
        <f>B28/'- 3 -'!$D28*100</f>
        <v>0</v>
      </c>
      <c r="D28" s="171" t="str">
        <f t="shared" si="0"/>
        <v/>
      </c>
      <c r="E28" s="172">
        <f>SUM('- 6 -'!$E28:H28)</f>
        <v>0</v>
      </c>
      <c r="F28" s="267" t="str">
        <f>IF(E28=0,"",'- 6 -'!$E28/E28*100)</f>
        <v/>
      </c>
      <c r="G28" s="267" t="str">
        <f>IF(E28=0,"",'- 6 -'!$F28/E28*100)</f>
        <v/>
      </c>
      <c r="H28" s="267" t="str">
        <f>IF(E28=0,"",'- 6 -'!$G28/E28*100)</f>
        <v/>
      </c>
      <c r="I28" s="267" t="str">
        <f>IF(E28=0,"",'- 6 -'!$H28/E28*100)</f>
        <v/>
      </c>
    </row>
    <row r="29" spans="1:9" ht="14.1" customHeight="1">
      <c r="A29" s="271" t="s">
        <v>125</v>
      </c>
      <c r="B29" s="272">
        <v>21874279</v>
      </c>
      <c r="C29" s="273">
        <f>B29/'- 3 -'!$D29*100</f>
        <v>13.815747385167571</v>
      </c>
      <c r="D29" s="298">
        <f t="shared" si="0"/>
        <v>5794.5109933774838</v>
      </c>
      <c r="E29" s="299">
        <f>SUM('- 6 -'!$E29:H29)</f>
        <v>3775</v>
      </c>
      <c r="F29" s="273">
        <f>IF(E29=0,"",'- 6 -'!$E29/E29*100)</f>
        <v>61.854304635761594</v>
      </c>
      <c r="G29" s="273">
        <f>IF(E29=0,"",'- 6 -'!$F29/E29*100)</f>
        <v>0</v>
      </c>
      <c r="H29" s="273">
        <f>IF(E29=0,"",'- 6 -'!$G29/E29*100)</f>
        <v>38.145695364238414</v>
      </c>
      <c r="I29" s="273">
        <f>IF(E29=0,"",'- 6 -'!$H29/E29*100)</f>
        <v>0</v>
      </c>
    </row>
    <row r="30" spans="1:9" ht="14.1" customHeight="1">
      <c r="A30" s="15" t="s">
        <v>126</v>
      </c>
      <c r="B30" s="16">
        <v>0</v>
      </c>
      <c r="C30" s="267">
        <f>B30/'- 3 -'!$D30*100</f>
        <v>0</v>
      </c>
      <c r="D30" s="171" t="str">
        <f t="shared" si="0"/>
        <v/>
      </c>
      <c r="E30" s="172">
        <f>SUM('- 6 -'!$E30:H30)</f>
        <v>0</v>
      </c>
      <c r="F30" s="267" t="str">
        <f>IF(E30=0,"",'- 6 -'!$E30/E30*100)</f>
        <v/>
      </c>
      <c r="G30" s="267" t="str">
        <f>IF(E30=0,"",'- 6 -'!$F30/E30*100)</f>
        <v/>
      </c>
      <c r="H30" s="267" t="str">
        <f>IF(E30=0,"",'- 6 -'!$G30/E30*100)</f>
        <v/>
      </c>
      <c r="I30" s="267" t="str">
        <f>IF(E30=0,"",'- 6 -'!$H30/E30*100)</f>
        <v/>
      </c>
    </row>
    <row r="31" spans="1:9" ht="14.1" customHeight="1">
      <c r="A31" s="271" t="s">
        <v>127</v>
      </c>
      <c r="B31" s="272">
        <v>3176511</v>
      </c>
      <c r="C31" s="273">
        <f>B31/'- 3 -'!$D31*100</f>
        <v>8.4317802984816002</v>
      </c>
      <c r="D31" s="298">
        <f t="shared" si="0"/>
        <v>4461.3918539325841</v>
      </c>
      <c r="E31" s="299">
        <f>SUM('- 6 -'!$E31:H31)</f>
        <v>712</v>
      </c>
      <c r="F31" s="273">
        <f>IF(E31=0,"",'- 6 -'!$E31/E31*100)</f>
        <v>59.269662921348306</v>
      </c>
      <c r="G31" s="273">
        <f>IF(E31=0,"",'- 6 -'!$F31/E31*100)</f>
        <v>0</v>
      </c>
      <c r="H31" s="273">
        <f>IF(E31=0,"",'- 6 -'!$G31/E31*100)</f>
        <v>40.730337078651687</v>
      </c>
      <c r="I31" s="273">
        <f>IF(E31=0,"",'- 6 -'!$H31/E31*100)</f>
        <v>0</v>
      </c>
    </row>
    <row r="32" spans="1:9" ht="14.1" customHeight="1">
      <c r="A32" s="15" t="s">
        <v>128</v>
      </c>
      <c r="B32" s="16">
        <v>1416083</v>
      </c>
      <c r="C32" s="267">
        <f>B32/'- 3 -'!$D32*100</f>
        <v>4.6777354692154338</v>
      </c>
      <c r="D32" s="171">
        <f t="shared" si="0"/>
        <v>7738.1584699453551</v>
      </c>
      <c r="E32" s="172">
        <f>SUM('- 6 -'!$E32:H32)</f>
        <v>183</v>
      </c>
      <c r="F32" s="267">
        <f>IF(E32=0,"",'- 6 -'!$E32/E32*100)</f>
        <v>68.30601092896174</v>
      </c>
      <c r="G32" s="267">
        <f>IF(E32=0,"",'- 6 -'!$F32/E32*100)</f>
        <v>0</v>
      </c>
      <c r="H32" s="267">
        <f>IF(E32=0,"",'- 6 -'!$G32/E32*100)</f>
        <v>31.693989071038253</v>
      </c>
      <c r="I32" s="267">
        <f>IF(E32=0,"",'- 6 -'!$H32/E32*100)</f>
        <v>0</v>
      </c>
    </row>
    <row r="33" spans="1:9" ht="14.1" customHeight="1">
      <c r="A33" s="271" t="s">
        <v>129</v>
      </c>
      <c r="B33" s="272">
        <v>2867300</v>
      </c>
      <c r="C33" s="273">
        <f>B33/'- 3 -'!$D33*100</f>
        <v>10.265599518816805</v>
      </c>
      <c r="D33" s="298">
        <f t="shared" si="0"/>
        <v>6524.0045506257111</v>
      </c>
      <c r="E33" s="299">
        <f>SUM('- 6 -'!$E33:H33)</f>
        <v>439.5</v>
      </c>
      <c r="F33" s="273">
        <f>IF(E33=0,"",'- 6 -'!$E33/E33*100)</f>
        <v>56.655290102389074</v>
      </c>
      <c r="G33" s="273">
        <f>IF(E33=0,"",'- 6 -'!$F33/E33*100)</f>
        <v>22.866894197952217</v>
      </c>
      <c r="H33" s="273">
        <f>IF(E33=0,"",'- 6 -'!$G33/E33*100)</f>
        <v>20.477815699658702</v>
      </c>
      <c r="I33" s="273">
        <f>IF(E33=0,"",'- 6 -'!$H33/E33*100)</f>
        <v>0</v>
      </c>
    </row>
    <row r="34" spans="1:9" ht="14.1" customHeight="1">
      <c r="A34" s="15" t="s">
        <v>130</v>
      </c>
      <c r="B34" s="16">
        <v>1471563</v>
      </c>
      <c r="C34" s="267">
        <f>B34/'- 3 -'!$D34*100</f>
        <v>4.9790230204739219</v>
      </c>
      <c r="D34" s="171">
        <f t="shared" si="0"/>
        <v>7074.8221153846152</v>
      </c>
      <c r="E34" s="172">
        <f>SUM('- 6 -'!$E34:H34)</f>
        <v>208</v>
      </c>
      <c r="F34" s="267">
        <f>IF(E34=0,"",'- 6 -'!$E34/E34*100)</f>
        <v>32.45192307692308</v>
      </c>
      <c r="G34" s="267">
        <f>IF(E34=0,"",'- 6 -'!$F34/E34*100)</f>
        <v>67.548076923076934</v>
      </c>
      <c r="H34" s="267">
        <f>IF(E34=0,"",'- 6 -'!$G34/E34*100)</f>
        <v>0</v>
      </c>
      <c r="I34" s="267">
        <f>IF(E34=0,"",'- 6 -'!$H34/E34*100)</f>
        <v>0</v>
      </c>
    </row>
    <row r="35" spans="1:9" ht="14.1" customHeight="1">
      <c r="A35" s="271" t="s">
        <v>131</v>
      </c>
      <c r="B35" s="272">
        <v>25822329</v>
      </c>
      <c r="C35" s="273">
        <f>B35/'- 3 -'!$D35*100</f>
        <v>14.263046813886</v>
      </c>
      <c r="D35" s="298">
        <f t="shared" si="0"/>
        <v>5885.431111111111</v>
      </c>
      <c r="E35" s="299">
        <f>SUM('- 6 -'!$E35:H35)</f>
        <v>4387.5</v>
      </c>
      <c r="F35" s="273">
        <f>IF(E35=0,"",'- 6 -'!$E35/E35*100)</f>
        <v>51.920227920227923</v>
      </c>
      <c r="G35" s="273">
        <f>IF(E35=0,"",'- 6 -'!$F35/E35*100)</f>
        <v>0</v>
      </c>
      <c r="H35" s="273">
        <f>IF(E35=0,"",'- 6 -'!$G35/E35*100)</f>
        <v>39.806267806267812</v>
      </c>
      <c r="I35" s="273">
        <f>IF(E35=0,"",'- 6 -'!$H35/E35*100)</f>
        <v>8.2735042735042725</v>
      </c>
    </row>
    <row r="36" spans="1:9" ht="14.1" customHeight="1">
      <c r="A36" s="15" t="s">
        <v>132</v>
      </c>
      <c r="B36" s="16">
        <v>0</v>
      </c>
      <c r="C36" s="267">
        <f>B36/'- 3 -'!$D36*100</f>
        <v>0</v>
      </c>
      <c r="D36" s="171" t="str">
        <f t="shared" si="0"/>
        <v/>
      </c>
      <c r="E36" s="172">
        <f>SUM('- 6 -'!$E36:H36)</f>
        <v>0</v>
      </c>
      <c r="F36" s="267" t="str">
        <f>IF(E36=0,"",'- 6 -'!$E36/E36*100)</f>
        <v/>
      </c>
      <c r="G36" s="267" t="str">
        <f>IF(E36=0,"",'- 6 -'!$F36/E36*100)</f>
        <v/>
      </c>
      <c r="H36" s="267" t="str">
        <f>IF(E36=0,"",'- 6 -'!$G36/E36*100)</f>
        <v/>
      </c>
      <c r="I36" s="267" t="str">
        <f>IF(E36=0,"",'- 6 -'!$H36/E36*100)</f>
        <v/>
      </c>
    </row>
    <row r="37" spans="1:9" ht="14.1" customHeight="1">
      <c r="A37" s="271" t="s">
        <v>133</v>
      </c>
      <c r="B37" s="272">
        <v>7821939</v>
      </c>
      <c r="C37" s="273">
        <f>B37/'- 3 -'!$D37*100</f>
        <v>15.645724195455063</v>
      </c>
      <c r="D37" s="298">
        <f t="shared" si="0"/>
        <v>6125.2458888018791</v>
      </c>
      <c r="E37" s="299">
        <f>SUM('- 6 -'!$E37:H37)</f>
        <v>1277</v>
      </c>
      <c r="F37" s="273">
        <f>IF(E37=0,"",'- 6 -'!$E37/E37*100)</f>
        <v>59.27956147220047</v>
      </c>
      <c r="G37" s="273">
        <f>IF(E37=0,"",'- 6 -'!$F37/E37*100)</f>
        <v>0</v>
      </c>
      <c r="H37" s="273">
        <f>IF(E37=0,"",'- 6 -'!$G37/E37*100)</f>
        <v>40.72043852779953</v>
      </c>
      <c r="I37" s="273">
        <f>IF(E37=0,"",'- 6 -'!$H37/E37*100)</f>
        <v>0</v>
      </c>
    </row>
    <row r="38" spans="1:9" ht="14.1" customHeight="1">
      <c r="A38" s="15" t="s">
        <v>134</v>
      </c>
      <c r="B38" s="16">
        <v>22646379</v>
      </c>
      <c r="C38" s="267">
        <f>B38/'- 3 -'!$D38*100</f>
        <v>16.615716982859048</v>
      </c>
      <c r="D38" s="171">
        <f t="shared" si="0"/>
        <v>6088.5546444414576</v>
      </c>
      <c r="E38" s="172">
        <f>SUM('- 6 -'!$E38:H38)</f>
        <v>3719.5</v>
      </c>
      <c r="F38" s="267">
        <f>IF(E38=0,"",'- 6 -'!$E38/E38*100)</f>
        <v>65.331361742169648</v>
      </c>
      <c r="G38" s="267">
        <f>IF(E38=0,"",'- 6 -'!$F38/E38*100)</f>
        <v>0</v>
      </c>
      <c r="H38" s="267">
        <f>IF(E38=0,"",'- 6 -'!$G38/E38*100)</f>
        <v>31.106331496168838</v>
      </c>
      <c r="I38" s="267">
        <f>IF(E38=0,"",'- 6 -'!$H38/E38*100)</f>
        <v>3.5623067616615134</v>
      </c>
    </row>
    <row r="39" spans="1:9" ht="14.1" customHeight="1">
      <c r="A39" s="271" t="s">
        <v>135</v>
      </c>
      <c r="B39" s="272">
        <v>0</v>
      </c>
      <c r="C39" s="273">
        <f>B39/'- 3 -'!$D39*100</f>
        <v>0</v>
      </c>
      <c r="D39" s="298" t="str">
        <f t="shared" si="0"/>
        <v/>
      </c>
      <c r="E39" s="299">
        <f>SUM('- 6 -'!$E39:H39)</f>
        <v>0</v>
      </c>
      <c r="F39" s="273" t="str">
        <f>IF(E39=0,"",'- 6 -'!$E39/E39*100)</f>
        <v/>
      </c>
      <c r="G39" s="273" t="str">
        <f>IF(E39=0,"",'- 6 -'!$F39/E39*100)</f>
        <v/>
      </c>
      <c r="H39" s="273" t="str">
        <f>IF(E39=0,"",'- 6 -'!$G39/E39*100)</f>
        <v/>
      </c>
      <c r="I39" s="273" t="str">
        <f>IF(E39=0,"",'- 6 -'!$H39/E39*100)</f>
        <v/>
      </c>
    </row>
    <row r="40" spans="1:9" ht="14.1" customHeight="1">
      <c r="A40" s="15" t="s">
        <v>136</v>
      </c>
      <c r="B40" s="16">
        <v>8954772</v>
      </c>
      <c r="C40" s="267">
        <f>B40/'- 3 -'!$D40*100</f>
        <v>8.4919997919762693</v>
      </c>
      <c r="D40" s="171">
        <f t="shared" si="0"/>
        <v>6016.7788752267688</v>
      </c>
      <c r="E40" s="172">
        <f>SUM('- 6 -'!$E40:H40)</f>
        <v>1488.3</v>
      </c>
      <c r="F40" s="267">
        <f>IF(E40=0,"",'- 6 -'!$E40/E40*100)</f>
        <v>59.766176174158439</v>
      </c>
      <c r="G40" s="267">
        <f>IF(E40=0,"",'- 6 -'!$F40/E40*100)</f>
        <v>0</v>
      </c>
      <c r="H40" s="267">
        <f>IF(E40=0,"",'- 6 -'!$G40/E40*100)</f>
        <v>40.233823825841561</v>
      </c>
      <c r="I40" s="267">
        <f>IF(E40=0,"",'- 6 -'!$H40/E40*100)</f>
        <v>0</v>
      </c>
    </row>
    <row r="41" spans="1:9" ht="14.1" customHeight="1">
      <c r="A41" s="271" t="s">
        <v>137</v>
      </c>
      <c r="B41" s="272">
        <v>15418161</v>
      </c>
      <c r="C41" s="273">
        <f>B41/'- 3 -'!$D41*100</f>
        <v>24.114207057828448</v>
      </c>
      <c r="D41" s="298">
        <f t="shared" si="0"/>
        <v>5829.1724007561434</v>
      </c>
      <c r="E41" s="299">
        <f>SUM('- 6 -'!$E41:H41)</f>
        <v>2645</v>
      </c>
      <c r="F41" s="273">
        <f>IF(E41=0,"",'- 6 -'!$E41/E41*100)</f>
        <v>68.998109640831757</v>
      </c>
      <c r="G41" s="273">
        <f>IF(E41=0,"",'- 6 -'!$F41/E41*100)</f>
        <v>0</v>
      </c>
      <c r="H41" s="273">
        <f>IF(E41=0,"",'- 6 -'!$G41/E41*100)</f>
        <v>28.260869565217391</v>
      </c>
      <c r="I41" s="273">
        <f>IF(E41=0,"",'- 6 -'!$H41/E41*100)</f>
        <v>2.7410207939508506</v>
      </c>
    </row>
    <row r="42" spans="1:9" ht="14.1" customHeight="1">
      <c r="A42" s="15" t="s">
        <v>138</v>
      </c>
      <c r="B42" s="16">
        <v>1461769</v>
      </c>
      <c r="C42" s="267">
        <f>B42/'- 3 -'!$D42*100</f>
        <v>6.923493724533075</v>
      </c>
      <c r="D42" s="171">
        <f t="shared" si="0"/>
        <v>6116.1882845188284</v>
      </c>
      <c r="E42" s="172">
        <f>SUM('- 6 -'!$E42:H42)</f>
        <v>239</v>
      </c>
      <c r="F42" s="267">
        <f>IF(E42=0,"",'- 6 -'!$E42/E42*100)</f>
        <v>65.48117154811716</v>
      </c>
      <c r="G42" s="267">
        <f>IF(E42=0,"",'- 6 -'!$F42/E42*100)</f>
        <v>0</v>
      </c>
      <c r="H42" s="267">
        <f>IF(E42=0,"",'- 6 -'!$G42/E42*100)</f>
        <v>34.518828451882847</v>
      </c>
      <c r="I42" s="267">
        <f>IF(E42=0,"",'- 6 -'!$H42/E42*100)</f>
        <v>0</v>
      </c>
    </row>
    <row r="43" spans="1:9" ht="14.1" customHeight="1">
      <c r="A43" s="271" t="s">
        <v>139</v>
      </c>
      <c r="B43" s="272">
        <v>0</v>
      </c>
      <c r="C43" s="273">
        <f>B43/'- 3 -'!$D43*100</f>
        <v>0</v>
      </c>
      <c r="D43" s="298" t="str">
        <f t="shared" si="0"/>
        <v/>
      </c>
      <c r="E43" s="299">
        <f>SUM('- 6 -'!$E43:H43)</f>
        <v>0</v>
      </c>
      <c r="F43" s="273" t="str">
        <f>IF(E43=0,"",'- 6 -'!$E43/E43*100)</f>
        <v/>
      </c>
      <c r="G43" s="273" t="str">
        <f>IF(E43=0,"",'- 6 -'!$F43/E43*100)</f>
        <v/>
      </c>
      <c r="H43" s="273" t="str">
        <f>IF(E43=0,"",'- 6 -'!$G43/E43*100)</f>
        <v/>
      </c>
      <c r="I43" s="273" t="str">
        <f>IF(E43=0,"",'- 6 -'!$H43/E43*100)</f>
        <v/>
      </c>
    </row>
    <row r="44" spans="1:9" ht="14.1" customHeight="1">
      <c r="A44" s="15" t="s">
        <v>140</v>
      </c>
      <c r="B44" s="16">
        <v>0</v>
      </c>
      <c r="C44" s="267">
        <f>B44/'- 3 -'!$D44*100</f>
        <v>0</v>
      </c>
      <c r="D44" s="171" t="str">
        <f t="shared" si="0"/>
        <v/>
      </c>
      <c r="E44" s="172">
        <f>SUM('- 6 -'!$E44:H44)</f>
        <v>0</v>
      </c>
      <c r="F44" s="267" t="str">
        <f>IF(E44=0,"",'- 6 -'!$E44/E44*100)</f>
        <v/>
      </c>
      <c r="G44" s="267" t="str">
        <f>IF(E44=0,"",'- 6 -'!$F44/E44*100)</f>
        <v/>
      </c>
      <c r="H44" s="267" t="str">
        <f>IF(E44=0,"",'- 6 -'!$G44/E44*100)</f>
        <v/>
      </c>
      <c r="I44" s="267" t="str">
        <f>IF(E44=0,"",'- 6 -'!$H44/E44*100)</f>
        <v/>
      </c>
    </row>
    <row r="45" spans="1:9" ht="14.1" customHeight="1">
      <c r="A45" s="271" t="s">
        <v>141</v>
      </c>
      <c r="B45" s="272">
        <v>5059968</v>
      </c>
      <c r="C45" s="273">
        <f>B45/'- 3 -'!$D45*100</f>
        <v>25.798258484175495</v>
      </c>
      <c r="D45" s="298">
        <f t="shared" si="0"/>
        <v>5554.3007683863889</v>
      </c>
      <c r="E45" s="299">
        <f>SUM('- 6 -'!$E45:H45)</f>
        <v>911</v>
      </c>
      <c r="F45" s="273">
        <f>IF(E45=0,"",'- 6 -'!$E45/E45*100)</f>
        <v>73.326015367727777</v>
      </c>
      <c r="G45" s="273">
        <f>IF(E45=0,"",'- 6 -'!$F45/E45*100)</f>
        <v>0</v>
      </c>
      <c r="H45" s="273">
        <f>IF(E45=0,"",'- 6 -'!$G45/E45*100)</f>
        <v>26.67398463227223</v>
      </c>
      <c r="I45" s="273">
        <f>IF(E45=0,"",'- 6 -'!$H45/E45*100)</f>
        <v>0</v>
      </c>
    </row>
    <row r="46" spans="1:9" ht="14.1" customHeight="1">
      <c r="A46" s="15" t="s">
        <v>142</v>
      </c>
      <c r="B46" s="16">
        <v>28449400</v>
      </c>
      <c r="C46" s="267">
        <f>B46/'- 3 -'!$D46*100</f>
        <v>7.2621092162576657</v>
      </c>
      <c r="D46" s="171">
        <f t="shared" si="0"/>
        <v>4963.2588974180044</v>
      </c>
      <c r="E46" s="172">
        <f>SUM('- 6 -'!$E46:H46)</f>
        <v>5732</v>
      </c>
      <c r="F46" s="267">
        <f>IF(E46=0,"",'- 6 -'!$E46/E46*100)</f>
        <v>54.344033496161906</v>
      </c>
      <c r="G46" s="267">
        <f>IF(E46=0,"",'- 6 -'!$F46/E46*100)</f>
        <v>0</v>
      </c>
      <c r="H46" s="267">
        <f>IF(E46=0,"",'- 6 -'!$G46/E46*100)</f>
        <v>41.468946266573617</v>
      </c>
      <c r="I46" s="267">
        <f>IF(E46=0,"",'- 6 -'!$H46/E46*100)</f>
        <v>4.1870202372644796</v>
      </c>
    </row>
    <row r="47" spans="1:9" ht="5.0999999999999996" customHeight="1">
      <c r="A47"/>
      <c r="B47"/>
      <c r="C47"/>
      <c r="D47"/>
      <c r="E47"/>
      <c r="F47"/>
      <c r="G47"/>
      <c r="H47"/>
      <c r="I47"/>
    </row>
    <row r="48" spans="1:9" ht="14.1" customHeight="1">
      <c r="A48" s="274" t="s">
        <v>143</v>
      </c>
      <c r="B48" s="275">
        <f>SUM(B11:B46)</f>
        <v>172626922</v>
      </c>
      <c r="C48" s="439">
        <f>B48/'- 3 -'!$D48*100</f>
        <v>7.4688955634085685</v>
      </c>
      <c r="D48" s="440">
        <f>B48/E48</f>
        <v>5735.1517950285388</v>
      </c>
      <c r="E48" s="441">
        <f>SUM(E11:E46)</f>
        <v>30099.8</v>
      </c>
      <c r="F48" s="300">
        <f>IF(E48=0,"",'- 6 -'!$E48/E48*100)</f>
        <v>60.807713008059864</v>
      </c>
      <c r="G48" s="276">
        <f>IF(E48=0,"",'- 6 -'!$F48/E48*100)</f>
        <v>0.80066977189217203</v>
      </c>
      <c r="H48" s="276">
        <f>IF(E48=0,"",'- 6 -'!$G48/E48*100)</f>
        <v>35.217177522774236</v>
      </c>
      <c r="I48" s="276">
        <f>IF(E48=0,"",'- 6 -'!$H48/E48*100)</f>
        <v>3.1744396972737365</v>
      </c>
    </row>
    <row r="49" spans="1:9" ht="5.0999999999999996" customHeight="1">
      <c r="A49" s="17" t="s">
        <v>1</v>
      </c>
      <c r="B49" s="18"/>
      <c r="C49" s="266"/>
      <c r="D49" s="18"/>
      <c r="E49" s="173"/>
      <c r="F49" s="266"/>
      <c r="G49" s="266"/>
      <c r="H49" s="266"/>
      <c r="I49" s="266"/>
    </row>
    <row r="50" spans="1:9" ht="14.1" customHeight="1">
      <c r="A50" s="15" t="s">
        <v>144</v>
      </c>
      <c r="B50" s="16">
        <v>0</v>
      </c>
      <c r="C50" s="267">
        <f>B50/'- 3 -'!$D50*100</f>
        <v>0</v>
      </c>
      <c r="D50" s="171" t="str">
        <f>IF(E50=0,"",B50/E50)</f>
        <v/>
      </c>
      <c r="E50" s="172">
        <f>SUM('- 6 -'!$E50:H50)</f>
        <v>0</v>
      </c>
      <c r="F50" s="267" t="str">
        <f>IF(E50=0,"",'- 6 -'!$E50/E50*100)</f>
        <v/>
      </c>
      <c r="G50" s="267" t="str">
        <f>IF(E50=0,"",'- 6 -'!$F50/E50*100)</f>
        <v/>
      </c>
      <c r="H50" s="267" t="str">
        <f>IF(E50=0,"",'- 6 -'!$G50/E50*100)</f>
        <v/>
      </c>
      <c r="I50" s="267" t="str">
        <f>IF(E50=0,"",'- 6 -'!$H50/E50*100)</f>
        <v/>
      </c>
    </row>
    <row r="51" spans="1:9" ht="14.1" customHeight="1">
      <c r="A51" s="360" t="s">
        <v>523</v>
      </c>
      <c r="B51" s="272">
        <v>0</v>
      </c>
      <c r="C51" s="273">
        <f>B51/'- 3 -'!$D51*100</f>
        <v>0</v>
      </c>
      <c r="D51" s="298" t="str">
        <f>IF(E51=0,"",B51/E51)</f>
        <v/>
      </c>
      <c r="E51" s="299">
        <f>SUM('- 6 -'!$E51:H51)</f>
        <v>0</v>
      </c>
      <c r="F51" s="273" t="str">
        <f>IF(E51=0,"",'- 6 -'!$E51/E51*100)</f>
        <v/>
      </c>
      <c r="G51" s="273" t="str">
        <f>IF(E51=0,"",'- 6 -'!$F51/E51*100)</f>
        <v/>
      </c>
      <c r="H51" s="273" t="str">
        <f>IF(E51=0,"",'- 6 -'!$G51/E51*100)</f>
        <v/>
      </c>
      <c r="I51" s="273" t="str">
        <f>IF(E51=0,"",'- 6 -'!$H51/E51*100)</f>
        <v/>
      </c>
    </row>
    <row r="52" spans="1:9" ht="50.1" customHeight="1">
      <c r="A52" s="19"/>
      <c r="B52" s="51"/>
      <c r="C52" s="51"/>
      <c r="D52" s="51"/>
      <c r="E52" s="51"/>
      <c r="F52" s="51"/>
      <c r="G52" s="51"/>
      <c r="H52" s="51"/>
      <c r="I52" s="51"/>
    </row>
    <row r="53" spans="1:9" ht="15" customHeight="1">
      <c r="A53" s="46" t="s">
        <v>338</v>
      </c>
      <c r="C53" s="46"/>
      <c r="D53" s="46"/>
      <c r="E53" s="46"/>
      <c r="F53" s="46"/>
      <c r="G53" s="46"/>
      <c r="H53" s="46"/>
      <c r="I53" s="46"/>
    </row>
    <row r="54" spans="1:9" ht="14.45" customHeight="1"/>
    <row r="55" spans="1:9" ht="14.45" customHeight="1"/>
    <row r="56" spans="1:9" ht="14.45" customHeight="1"/>
    <row r="57" spans="1:9" ht="14.45" customHeight="1">
      <c r="A57" s="20"/>
    </row>
    <row r="58" spans="1:9" ht="14.45" customHeight="1"/>
    <row r="59" spans="1:9" ht="14.45" customHeight="1">
      <c r="A59" s="20"/>
    </row>
  </sheetData>
  <mergeCells count="9">
    <mergeCell ref="D7:D9"/>
    <mergeCell ref="B5:I5"/>
    <mergeCell ref="E7:E9"/>
    <mergeCell ref="F8:F9"/>
    <mergeCell ref="G8:G9"/>
    <mergeCell ref="B6:I6"/>
    <mergeCell ref="F7:I7"/>
    <mergeCell ref="H8:H9"/>
    <mergeCell ref="I8:I9"/>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17.xml><?xml version="1.0" encoding="utf-8"?>
<worksheet xmlns="http://schemas.openxmlformats.org/spreadsheetml/2006/main" xmlns:r="http://schemas.openxmlformats.org/officeDocument/2006/relationships">
  <sheetPr codeName="Sheet16"/>
  <dimension ref="A1:I59"/>
  <sheetViews>
    <sheetView showGridLines="0" showZeros="0" workbookViewId="0"/>
  </sheetViews>
  <sheetFormatPr defaultColWidth="15.83203125" defaultRowHeight="12"/>
  <cols>
    <col min="1" max="1" width="31.83203125" style="1" customWidth="1"/>
    <col min="2" max="2" width="15.6640625" style="1" customWidth="1"/>
    <col min="3" max="3" width="7.83203125" style="1" customWidth="1"/>
    <col min="4" max="4" width="8.6640625" style="1" customWidth="1"/>
    <col min="5" max="5" width="13" style="1" customWidth="1"/>
    <col min="6" max="6" width="7.83203125" style="1" customWidth="1"/>
    <col min="7" max="7" width="9.83203125" style="1" customWidth="1"/>
    <col min="8" max="8" width="14.6640625" style="1" customWidth="1"/>
    <col min="9" max="9" width="11.5" style="1" customWidth="1"/>
    <col min="10" max="16384" width="15.83203125" style="1"/>
  </cols>
  <sheetData>
    <row r="1" spans="1:9" ht="6.95" customHeight="1">
      <c r="A1" s="3"/>
      <c r="B1" s="4"/>
      <c r="C1" s="4"/>
      <c r="D1" s="4"/>
      <c r="E1" s="4"/>
      <c r="F1" s="4"/>
      <c r="G1" s="4"/>
      <c r="H1" s="4"/>
      <c r="I1" s="4"/>
    </row>
    <row r="2" spans="1:9" ht="15.95" customHeight="1">
      <c r="A2" s="132"/>
      <c r="B2" s="5" t="str">
        <f>AEXP_BP</f>
        <v>ANALYSIS OF EXPENSE BY PROGRAM</v>
      </c>
      <c r="C2" s="6"/>
      <c r="D2" s="6"/>
      <c r="E2" s="6"/>
      <c r="F2" s="6"/>
      <c r="G2" s="85"/>
      <c r="H2" s="85"/>
      <c r="I2" s="503" t="s">
        <v>537</v>
      </c>
    </row>
    <row r="3" spans="1:9" ht="15.95" customHeight="1">
      <c r="A3" s="135"/>
      <c r="B3" s="7" t="str">
        <f>OPYEAR</f>
        <v>OPERATING FUND 2016/2017 BUDGET</v>
      </c>
      <c r="C3" s="8"/>
      <c r="D3" s="8"/>
      <c r="E3" s="8"/>
      <c r="F3" s="8"/>
      <c r="G3" s="87"/>
      <c r="H3" s="87"/>
      <c r="I3" s="81"/>
    </row>
    <row r="4" spans="1:9" ht="15.95" customHeight="1">
      <c r="B4" s="4"/>
      <c r="C4" s="4"/>
      <c r="D4" s="81"/>
      <c r="E4" s="4"/>
      <c r="F4" s="4"/>
      <c r="G4" s="4"/>
      <c r="H4" s="4"/>
      <c r="I4" s="4"/>
    </row>
    <row r="5" spans="1:9" ht="15.95" customHeight="1">
      <c r="B5" s="666" t="s">
        <v>243</v>
      </c>
      <c r="C5" s="667"/>
      <c r="D5" s="667"/>
      <c r="E5" s="667"/>
      <c r="F5" s="667"/>
      <c r="G5" s="667"/>
      <c r="H5" s="667"/>
      <c r="I5" s="668"/>
    </row>
    <row r="6" spans="1:9" ht="15.95" customHeight="1">
      <c r="B6" s="622" t="s">
        <v>410</v>
      </c>
      <c r="C6" s="628"/>
      <c r="D6" s="619"/>
      <c r="E6" s="618" t="s">
        <v>411</v>
      </c>
      <c r="F6" s="628"/>
      <c r="G6" s="619"/>
      <c r="H6" s="618" t="s">
        <v>413</v>
      </c>
      <c r="I6" s="619"/>
    </row>
    <row r="7" spans="1:9" ht="15.95" customHeight="1">
      <c r="B7" s="620"/>
      <c r="C7" s="629"/>
      <c r="D7" s="621"/>
      <c r="E7" s="620"/>
      <c r="F7" s="629"/>
      <c r="G7" s="621"/>
      <c r="H7" s="620"/>
      <c r="I7" s="621"/>
    </row>
    <row r="8" spans="1:9" ht="15.95" customHeight="1">
      <c r="A8" s="82"/>
      <c r="B8" s="138"/>
      <c r="C8" s="137"/>
      <c r="D8" s="536" t="s">
        <v>401</v>
      </c>
      <c r="E8" s="138"/>
      <c r="F8" s="137"/>
      <c r="G8" s="536" t="s">
        <v>401</v>
      </c>
      <c r="H8" s="138"/>
      <c r="I8" s="536" t="s">
        <v>39</v>
      </c>
    </row>
    <row r="9" spans="1:9" ht="15.95" customHeight="1">
      <c r="A9" s="27" t="s">
        <v>37</v>
      </c>
      <c r="B9" s="89" t="s">
        <v>38</v>
      </c>
      <c r="C9" s="89" t="s">
        <v>39</v>
      </c>
      <c r="D9" s="576"/>
      <c r="E9" s="89" t="s">
        <v>38</v>
      </c>
      <c r="F9" s="89" t="s">
        <v>39</v>
      </c>
      <c r="G9" s="576"/>
      <c r="H9" s="89" t="s">
        <v>38</v>
      </c>
      <c r="I9" s="576"/>
    </row>
    <row r="10" spans="1:9" ht="5.0999999999999996" customHeight="1">
      <c r="A10" s="29"/>
    </row>
    <row r="11" spans="1:9" ht="14.1" customHeight="1">
      <c r="A11" s="271" t="s">
        <v>108</v>
      </c>
      <c r="B11" s="272">
        <v>140550</v>
      </c>
      <c r="C11" s="273">
        <f>B11/'- 3 -'!$D11*100</f>
        <v>0.71847717803634437</v>
      </c>
      <c r="D11" s="272">
        <f>B11/'- 7 -'!$E11</f>
        <v>80.176839703365658</v>
      </c>
      <c r="E11" s="272">
        <v>189310</v>
      </c>
      <c r="F11" s="273">
        <f>E11/'- 3 -'!$D11*100</f>
        <v>0.96773329472828429</v>
      </c>
      <c r="G11" s="272">
        <f>E11/'- 7 -'!$E11</f>
        <v>107.99201369081574</v>
      </c>
      <c r="H11" s="272">
        <v>205660</v>
      </c>
      <c r="I11" s="273">
        <f>H11/'- 3 -'!$D11*100</f>
        <v>1.051312817039876</v>
      </c>
    </row>
    <row r="12" spans="1:9" ht="14.1" customHeight="1">
      <c r="A12" s="15" t="s">
        <v>109</v>
      </c>
      <c r="B12" s="16">
        <v>180617</v>
      </c>
      <c r="C12" s="267">
        <f>B12/'- 3 -'!$D12*100</f>
        <v>0.51723722691063156</v>
      </c>
      <c r="D12" s="16">
        <f>B12/'- 7 -'!$E12</f>
        <v>84.007906976744181</v>
      </c>
      <c r="E12" s="16">
        <v>842737</v>
      </c>
      <c r="F12" s="267">
        <f>E12/'- 3 -'!$D12*100</f>
        <v>2.4133661222087892</v>
      </c>
      <c r="G12" s="16">
        <f>E12/'- 7 -'!$E12</f>
        <v>391.9706976744186</v>
      </c>
      <c r="H12" s="16">
        <v>0</v>
      </c>
      <c r="I12" s="492">
        <f>H12/'- 3 -'!$D12*100</f>
        <v>0</v>
      </c>
    </row>
    <row r="13" spans="1:9" ht="14.1" customHeight="1">
      <c r="A13" s="271" t="s">
        <v>110</v>
      </c>
      <c r="B13" s="272">
        <v>220800</v>
      </c>
      <c r="C13" s="273">
        <f>B13/'- 3 -'!$D13*100</f>
        <v>0.22537833550749933</v>
      </c>
      <c r="D13" s="272">
        <f>B13/'- 7 -'!$E13</f>
        <v>26.452617706960584</v>
      </c>
      <c r="E13" s="272">
        <v>2489200</v>
      </c>
      <c r="F13" s="273">
        <f>E13/'- 3 -'!$D13*100</f>
        <v>2.5408140975782039</v>
      </c>
      <c r="G13" s="272">
        <f>E13/'- 7 -'!$E13</f>
        <v>298.21492751886905</v>
      </c>
      <c r="H13" s="272">
        <v>1128800</v>
      </c>
      <c r="I13" s="493">
        <f>H13/'- 3 -'!$D13*100</f>
        <v>1.1522059108734839</v>
      </c>
    </row>
    <row r="14" spans="1:9" ht="14.1" customHeight="1">
      <c r="A14" s="15" t="s">
        <v>319</v>
      </c>
      <c r="B14" s="16">
        <v>437995</v>
      </c>
      <c r="C14" s="267">
        <f>B14/'- 3 -'!$D14*100</f>
        <v>0.50802800704543138</v>
      </c>
      <c r="D14" s="16">
        <f>B14/'- 7 -'!$E14</f>
        <v>79.809584548104951</v>
      </c>
      <c r="E14" s="16">
        <v>922688</v>
      </c>
      <c r="F14" s="267">
        <f>E14/'- 3 -'!$D14*100</f>
        <v>1.0702207691063483</v>
      </c>
      <c r="G14" s="16">
        <f>E14/'- 7 -'!$E14</f>
        <v>168.12827988338194</v>
      </c>
      <c r="H14" s="16">
        <v>988750</v>
      </c>
      <c r="I14" s="492">
        <f>H14/'- 3 -'!$D14*100</f>
        <v>1.1468457219058898</v>
      </c>
    </row>
    <row r="15" spans="1:9" ht="14.1" customHeight="1">
      <c r="A15" s="271" t="s">
        <v>111</v>
      </c>
      <c r="B15" s="272">
        <v>268300</v>
      </c>
      <c r="C15" s="273">
        <f>B15/'- 3 -'!$D15*100</f>
        <v>1.3145804166029302</v>
      </c>
      <c r="D15" s="272">
        <f>B15/'- 7 -'!$E15</f>
        <v>195.91091639284411</v>
      </c>
      <c r="E15" s="272">
        <v>270400</v>
      </c>
      <c r="F15" s="273">
        <f>E15/'- 3 -'!$D15*100</f>
        <v>1.3248697154283724</v>
      </c>
      <c r="G15" s="272">
        <f>E15/'- 7 -'!$E15</f>
        <v>197.44432274552756</v>
      </c>
      <c r="H15" s="272">
        <v>0</v>
      </c>
      <c r="I15" s="493">
        <f>H15/'- 3 -'!$D15*100</f>
        <v>0</v>
      </c>
    </row>
    <row r="16" spans="1:9" ht="14.1" customHeight="1">
      <c r="A16" s="15" t="s">
        <v>112</v>
      </c>
      <c r="B16" s="16">
        <v>198867</v>
      </c>
      <c r="C16" s="267">
        <f>B16/'- 3 -'!$D16*100</f>
        <v>1.3603416563256021</v>
      </c>
      <c r="D16" s="16">
        <f>B16/'- 7 -'!$E16</f>
        <v>207.69399477806789</v>
      </c>
      <c r="E16" s="16">
        <v>260525</v>
      </c>
      <c r="F16" s="267">
        <f>E16/'- 3 -'!$D16*100</f>
        <v>1.7821107072275817</v>
      </c>
      <c r="G16" s="16">
        <f>E16/'- 7 -'!$E16</f>
        <v>272.08877284595303</v>
      </c>
      <c r="H16" s="16">
        <v>164565</v>
      </c>
      <c r="I16" s="492">
        <f>H16/'- 3 -'!$D16*100</f>
        <v>1.1257002150845676</v>
      </c>
    </row>
    <row r="17" spans="1:9" ht="14.1" customHeight="1">
      <c r="A17" s="271" t="s">
        <v>113</v>
      </c>
      <c r="B17" s="272">
        <v>132500</v>
      </c>
      <c r="C17" s="273">
        <f>B17/'- 3 -'!$D17*100</f>
        <v>0.7273592418512298</v>
      </c>
      <c r="D17" s="272">
        <f>B17/'- 7 -'!$E17</f>
        <v>97.462302317028318</v>
      </c>
      <c r="E17" s="272">
        <v>316500</v>
      </c>
      <c r="F17" s="273">
        <f>E17/'- 3 -'!$D17*100</f>
        <v>1.7374279248748243</v>
      </c>
      <c r="G17" s="272">
        <f>E17/'- 7 -'!$E17</f>
        <v>232.80617874218461</v>
      </c>
      <c r="H17" s="272">
        <v>200944</v>
      </c>
      <c r="I17" s="493">
        <f>H17/'- 3 -'!$D17*100</f>
        <v>1.1030828339211585</v>
      </c>
    </row>
    <row r="18" spans="1:9" ht="14.1" customHeight="1">
      <c r="A18" s="15" t="s">
        <v>114</v>
      </c>
      <c r="B18" s="16">
        <v>0</v>
      </c>
      <c r="C18" s="267">
        <f>B18/'- 3 -'!$D18*100</f>
        <v>0</v>
      </c>
      <c r="D18" s="16">
        <f>B18/'- 7 -'!$E18</f>
        <v>0</v>
      </c>
      <c r="E18" s="16">
        <v>3892259</v>
      </c>
      <c r="F18" s="267">
        <f>E18/'- 3 -'!$D18*100</f>
        <v>2.9500484974800516</v>
      </c>
      <c r="G18" s="16">
        <f>E18/'- 7 -'!$E18</f>
        <v>625.3026700510876</v>
      </c>
      <c r="H18" s="16">
        <v>0</v>
      </c>
      <c r="I18" s="492">
        <f>H18/'- 3 -'!$D18*100</f>
        <v>0</v>
      </c>
    </row>
    <row r="19" spans="1:9" ht="14.1" customHeight="1">
      <c r="A19" s="271" t="s">
        <v>115</v>
      </c>
      <c r="B19" s="272">
        <v>185650</v>
      </c>
      <c r="C19" s="273">
        <f>B19/'- 3 -'!$D19*100</f>
        <v>0.39969066762658451</v>
      </c>
      <c r="D19" s="272">
        <f>B19/'- 7 -'!$E19</f>
        <v>44.01375059269796</v>
      </c>
      <c r="E19" s="272">
        <v>945450</v>
      </c>
      <c r="F19" s="273">
        <f>E19/'- 3 -'!$D19*100</f>
        <v>2.0354836612311034</v>
      </c>
      <c r="G19" s="272">
        <f>E19/'- 7 -'!$E19</f>
        <v>224.14651493598862</v>
      </c>
      <c r="H19" s="272">
        <v>1374250</v>
      </c>
      <c r="I19" s="493">
        <f>H19/'- 3 -'!$D19*100</f>
        <v>2.958658227771795</v>
      </c>
    </row>
    <row r="20" spans="1:9" ht="14.1" customHeight="1">
      <c r="A20" s="15" t="s">
        <v>116</v>
      </c>
      <c r="B20" s="16">
        <v>490900</v>
      </c>
      <c r="C20" s="267">
        <f>B20/'- 3 -'!$D20*100</f>
        <v>0.59654879086158707</v>
      </c>
      <c r="D20" s="16">
        <f>B20/'- 7 -'!$E20</f>
        <v>64.758261328408423</v>
      </c>
      <c r="E20" s="16">
        <v>1740500</v>
      </c>
      <c r="F20" s="267">
        <f>E20/'- 3 -'!$D20*100</f>
        <v>2.115080811763276</v>
      </c>
      <c r="G20" s="16">
        <f>E20/'- 7 -'!$E20</f>
        <v>229.60226897961877</v>
      </c>
      <c r="H20" s="16">
        <v>863200</v>
      </c>
      <c r="I20" s="492">
        <f>H20/'- 3 -'!$D20*100</f>
        <v>1.0489731437598735</v>
      </c>
    </row>
    <row r="21" spans="1:9" ht="14.1" customHeight="1">
      <c r="A21" s="271" t="s">
        <v>117</v>
      </c>
      <c r="B21" s="272">
        <v>158487</v>
      </c>
      <c r="C21" s="273">
        <f>B21/'- 3 -'!$D21*100</f>
        <v>0.43574280377716895</v>
      </c>
      <c r="D21" s="272">
        <f>B21/'- 7 -'!$E21</f>
        <v>58.568736141906875</v>
      </c>
      <c r="E21" s="272">
        <v>706213</v>
      </c>
      <c r="F21" s="273">
        <f>E21/'- 3 -'!$D21*100</f>
        <v>1.941655988717597</v>
      </c>
      <c r="G21" s="272">
        <f>E21/'- 7 -'!$E21</f>
        <v>260.98041389504806</v>
      </c>
      <c r="H21" s="272">
        <v>51300</v>
      </c>
      <c r="I21" s="493">
        <f>H21/'- 3 -'!$D21*100</f>
        <v>0.14104378172196314</v>
      </c>
    </row>
    <row r="22" spans="1:9" ht="14.1" customHeight="1">
      <c r="A22" s="15" t="s">
        <v>118</v>
      </c>
      <c r="B22" s="16">
        <v>146390</v>
      </c>
      <c r="C22" s="267">
        <f>B22/'- 3 -'!$D22*100</f>
        <v>0.70816411295756987</v>
      </c>
      <c r="D22" s="16">
        <f>B22/'- 7 -'!$E22</f>
        <v>93.948145295854189</v>
      </c>
      <c r="E22" s="16">
        <v>273350</v>
      </c>
      <c r="F22" s="267">
        <f>E22/'- 3 -'!$D22*100</f>
        <v>1.3223352706943898</v>
      </c>
      <c r="G22" s="16">
        <f>E22/'- 7 -'!$E22</f>
        <v>175.42677448337824</v>
      </c>
      <c r="H22" s="16">
        <v>1715468</v>
      </c>
      <c r="I22" s="492">
        <f>H22/'- 3 -'!$D22*100</f>
        <v>8.2986056050761423</v>
      </c>
    </row>
    <row r="23" spans="1:9" ht="14.1" customHeight="1">
      <c r="A23" s="271" t="s">
        <v>119</v>
      </c>
      <c r="B23" s="272">
        <v>151950</v>
      </c>
      <c r="C23" s="273">
        <f>B23/'- 3 -'!$D23*100</f>
        <v>0.9048547197537794</v>
      </c>
      <c r="D23" s="272">
        <f>B23/'- 7 -'!$E23</f>
        <v>136.40035906642728</v>
      </c>
      <c r="E23" s="272">
        <v>421000</v>
      </c>
      <c r="F23" s="273">
        <f>E23/'- 3 -'!$D23*100</f>
        <v>2.5070341363365656</v>
      </c>
      <c r="G23" s="272">
        <f>E23/'- 7 -'!$E23</f>
        <v>377.9174147217235</v>
      </c>
      <c r="H23" s="272">
        <v>0</v>
      </c>
      <c r="I23" s="493">
        <f>H23/'- 3 -'!$D23*100</f>
        <v>0</v>
      </c>
    </row>
    <row r="24" spans="1:9" ht="14.1" customHeight="1">
      <c r="A24" s="15" t="s">
        <v>120</v>
      </c>
      <c r="B24" s="16">
        <v>279750</v>
      </c>
      <c r="C24" s="267">
        <f>B24/'- 3 -'!$D24*100</f>
        <v>0.48143794698544728</v>
      </c>
      <c r="D24" s="16">
        <f>B24/'- 7 -'!$E24</f>
        <v>70.813821035311989</v>
      </c>
      <c r="E24" s="16">
        <v>1559130</v>
      </c>
      <c r="F24" s="267">
        <f>E24/'- 3 -'!$D24*100</f>
        <v>2.6831969482874722</v>
      </c>
      <c r="G24" s="16">
        <f>E24/'- 7 -'!$E24</f>
        <v>394.66649791165673</v>
      </c>
      <c r="H24" s="16">
        <v>185108</v>
      </c>
      <c r="I24" s="492">
        <f>H24/'- 3 -'!$D24*100</f>
        <v>0.31856305805391305</v>
      </c>
    </row>
    <row r="25" spans="1:9" ht="14.1" customHeight="1">
      <c r="A25" s="271" t="s">
        <v>121</v>
      </c>
      <c r="B25" s="272">
        <v>1396780</v>
      </c>
      <c r="C25" s="273">
        <f>B25/'- 3 -'!$D25*100</f>
        <v>0.79951526060257683</v>
      </c>
      <c r="D25" s="272">
        <f>B25/'- 7 -'!$E25</f>
        <v>97.81030075977732</v>
      </c>
      <c r="E25" s="272">
        <v>3196324</v>
      </c>
      <c r="F25" s="273">
        <f>E25/'- 3 -'!$D25*100</f>
        <v>1.8295721701558374</v>
      </c>
      <c r="G25" s="272">
        <f>E25/'- 7 -'!$E25</f>
        <v>223.82437589720249</v>
      </c>
      <c r="H25" s="272">
        <v>8576468</v>
      </c>
      <c r="I25" s="493">
        <f>H25/'- 3 -'!$D25*100</f>
        <v>4.9091603889443292</v>
      </c>
    </row>
    <row r="26" spans="1:9" ht="14.1" customHeight="1">
      <c r="A26" s="15" t="s">
        <v>122</v>
      </c>
      <c r="B26" s="16">
        <v>143666</v>
      </c>
      <c r="C26" s="267">
        <f>B26/'- 3 -'!$D26*100</f>
        <v>0.35195694809968947</v>
      </c>
      <c r="D26" s="16">
        <f>B26/'- 7 -'!$E26</f>
        <v>45.462485364387206</v>
      </c>
      <c r="E26" s="16">
        <v>702231</v>
      </c>
      <c r="F26" s="267">
        <f>E26/'- 3 -'!$D26*100</f>
        <v>1.720344964159878</v>
      </c>
      <c r="G26" s="16">
        <f>E26/'- 7 -'!$E26</f>
        <v>222.21796778582956</v>
      </c>
      <c r="H26" s="16">
        <v>306017</v>
      </c>
      <c r="I26" s="492">
        <f>H26/'- 3 -'!$D26*100</f>
        <v>0.74968892700167522</v>
      </c>
    </row>
    <row r="27" spans="1:9" ht="14.1" customHeight="1">
      <c r="A27" s="271" t="s">
        <v>123</v>
      </c>
      <c r="B27" s="272">
        <v>221154</v>
      </c>
      <c r="C27" s="273">
        <f>B27/'- 3 -'!$D27*100</f>
        <v>0.50531005803591833</v>
      </c>
      <c r="D27" s="272">
        <f>B27/'- 7 -'!$E27</f>
        <v>75.997565058590766</v>
      </c>
      <c r="E27" s="272">
        <v>593354</v>
      </c>
      <c r="F27" s="273">
        <f>E27/'- 3 -'!$D27*100</f>
        <v>1.3557419001051043</v>
      </c>
      <c r="G27" s="272">
        <f>E27/'- 7 -'!$E27</f>
        <v>203.90071722770136</v>
      </c>
      <c r="H27" s="272">
        <v>1981948</v>
      </c>
      <c r="I27" s="493">
        <f>H27/'- 3 -'!$D27*100</f>
        <v>4.5285107160809757</v>
      </c>
    </row>
    <row r="28" spans="1:9" ht="14.1" customHeight="1">
      <c r="A28" s="15" t="s">
        <v>124</v>
      </c>
      <c r="B28" s="16">
        <v>143599</v>
      </c>
      <c r="C28" s="267">
        <f>B28/'- 3 -'!$D28*100</f>
        <v>0.50085087692588703</v>
      </c>
      <c r="D28" s="16">
        <f>B28/'- 7 -'!$E28</f>
        <v>73.810845540992034</v>
      </c>
      <c r="E28" s="16">
        <v>400392</v>
      </c>
      <c r="F28" s="267">
        <f>E28/'- 3 -'!$D28*100</f>
        <v>1.3965047410783484</v>
      </c>
      <c r="G28" s="16">
        <f>E28/'- 7 -'!$E28</f>
        <v>205.8041634541249</v>
      </c>
      <c r="H28" s="16">
        <v>0</v>
      </c>
      <c r="I28" s="492">
        <f>H28/'- 3 -'!$D28*100</f>
        <v>0</v>
      </c>
    </row>
    <row r="29" spans="1:9" ht="14.1" customHeight="1">
      <c r="A29" s="271" t="s">
        <v>125</v>
      </c>
      <c r="B29" s="272">
        <v>608656</v>
      </c>
      <c r="C29" s="273">
        <f>B29/'- 3 -'!$D29*100</f>
        <v>0.38442581538191739</v>
      </c>
      <c r="D29" s="272">
        <f>B29/'- 7 -'!$E29</f>
        <v>48.0050477166969</v>
      </c>
      <c r="E29" s="272">
        <v>2880610</v>
      </c>
      <c r="F29" s="273">
        <f>E29/'- 3 -'!$D29*100</f>
        <v>1.8193870561488017</v>
      </c>
      <c r="G29" s="272">
        <f>E29/'- 7 -'!$E29</f>
        <v>227.19536241028473</v>
      </c>
      <c r="H29" s="272">
        <v>325000</v>
      </c>
      <c r="I29" s="493">
        <f>H29/'- 3 -'!$D29*100</f>
        <v>0.20526929825570298</v>
      </c>
    </row>
    <row r="30" spans="1:9" ht="14.1" customHeight="1">
      <c r="A30" s="15" t="s">
        <v>126</v>
      </c>
      <c r="B30" s="16">
        <v>151587</v>
      </c>
      <c r="C30" s="267">
        <f>B30/'- 3 -'!$D30*100</f>
        <v>1.0305165098008078</v>
      </c>
      <c r="D30" s="16">
        <f>B30/'- 7 -'!$E30</f>
        <v>150.98306772908367</v>
      </c>
      <c r="E30" s="16">
        <v>151998</v>
      </c>
      <c r="F30" s="267">
        <f>E30/'- 3 -'!$D30*100</f>
        <v>1.0333105639448181</v>
      </c>
      <c r="G30" s="16">
        <f>E30/'- 7 -'!$E30</f>
        <v>151.39243027888446</v>
      </c>
      <c r="H30" s="16">
        <v>0</v>
      </c>
      <c r="I30" s="492">
        <f>H30/'- 3 -'!$D30*100</f>
        <v>0</v>
      </c>
    </row>
    <row r="31" spans="1:9" ht="14.1" customHeight="1">
      <c r="A31" s="271" t="s">
        <v>127</v>
      </c>
      <c r="B31" s="272">
        <v>182055</v>
      </c>
      <c r="C31" s="273">
        <f>B31/'- 3 -'!$D31*100</f>
        <v>0.48324962899233392</v>
      </c>
      <c r="D31" s="272">
        <f>B31/'- 7 -'!$E31</f>
        <v>56.538819875776397</v>
      </c>
      <c r="E31" s="272">
        <v>481437</v>
      </c>
      <c r="F31" s="273">
        <f>E31/'- 3 -'!$D31*100</f>
        <v>1.2779338751101714</v>
      </c>
      <c r="G31" s="272">
        <f>E31/'- 7 -'!$E31</f>
        <v>149.51459627329191</v>
      </c>
      <c r="H31" s="272">
        <v>2274539</v>
      </c>
      <c r="I31" s="493">
        <f>H31/'- 3 -'!$D31*100</f>
        <v>6.0375717661069137</v>
      </c>
    </row>
    <row r="32" spans="1:9" ht="14.1" customHeight="1">
      <c r="A32" s="15" t="s">
        <v>128</v>
      </c>
      <c r="B32" s="16">
        <v>145803</v>
      </c>
      <c r="C32" s="267">
        <f>B32/'- 3 -'!$D32*100</f>
        <v>0.48162986535253788</v>
      </c>
      <c r="D32" s="16">
        <f>B32/'- 7 -'!$E32</f>
        <v>66.851444291609354</v>
      </c>
      <c r="E32" s="16">
        <v>766748</v>
      </c>
      <c r="F32" s="267">
        <f>E32/'- 3 -'!$D32*100</f>
        <v>2.5327924391084391</v>
      </c>
      <c r="G32" s="16">
        <f>E32/'- 7 -'!$E32</f>
        <v>351.55800091701053</v>
      </c>
      <c r="H32" s="16">
        <v>0</v>
      </c>
      <c r="I32" s="492">
        <f>H32/'- 3 -'!$D32*100</f>
        <v>0</v>
      </c>
    </row>
    <row r="33" spans="1:9" ht="14.1" customHeight="1">
      <c r="A33" s="271" t="s">
        <v>129</v>
      </c>
      <c r="B33" s="272">
        <v>210900</v>
      </c>
      <c r="C33" s="273">
        <f>B33/'- 3 -'!$D33*100</f>
        <v>0.75507095124976953</v>
      </c>
      <c r="D33" s="272">
        <f>B33/'- 7 -'!$E33</f>
        <v>104.71698113207547</v>
      </c>
      <c r="E33" s="272">
        <v>356800</v>
      </c>
      <c r="F33" s="273">
        <f>E33/'- 3 -'!$D33*100</f>
        <v>1.277426815580454</v>
      </c>
      <c r="G33" s="272">
        <f>E33/'- 7 -'!$E33</f>
        <v>177.15988083416087</v>
      </c>
      <c r="H33" s="272">
        <v>0</v>
      </c>
      <c r="I33" s="493">
        <f>H33/'- 3 -'!$D33*100</f>
        <v>0</v>
      </c>
    </row>
    <row r="34" spans="1:9" ht="14.1" customHeight="1">
      <c r="A34" s="15" t="s">
        <v>130</v>
      </c>
      <c r="B34" s="16">
        <v>221587</v>
      </c>
      <c r="C34" s="267">
        <f>B34/'- 3 -'!$D34*100</f>
        <v>0.74973804997662685</v>
      </c>
      <c r="D34" s="16">
        <f>B34/'- 7 -'!$E34</f>
        <v>111.18263923733066</v>
      </c>
      <c r="E34" s="16">
        <v>476707</v>
      </c>
      <c r="F34" s="267">
        <f>E34/'- 3 -'!$D34*100</f>
        <v>1.6129347686922419</v>
      </c>
      <c r="G34" s="16">
        <f>E34/'- 7 -'!$E34</f>
        <v>239.19066733567487</v>
      </c>
      <c r="H34" s="16">
        <v>549882</v>
      </c>
      <c r="I34" s="492">
        <f>H34/'- 3 -'!$D34*100</f>
        <v>1.8605218645373938</v>
      </c>
    </row>
    <row r="35" spans="1:9" ht="14.1" customHeight="1">
      <c r="A35" s="271" t="s">
        <v>131</v>
      </c>
      <c r="B35" s="272">
        <v>1032540</v>
      </c>
      <c r="C35" s="273">
        <f>B35/'- 3 -'!$D35*100</f>
        <v>0.5703268034889436</v>
      </c>
      <c r="D35" s="272">
        <f>B35/'- 7 -'!$E35</f>
        <v>66.80512422360249</v>
      </c>
      <c r="E35" s="272">
        <v>3155500</v>
      </c>
      <c r="F35" s="273">
        <f>E35/'- 3 -'!$D35*100</f>
        <v>1.7429506153847418</v>
      </c>
      <c r="G35" s="272">
        <f>E35/'- 7 -'!$E35</f>
        <v>204.16019668737059</v>
      </c>
      <c r="H35" s="272">
        <v>3193200</v>
      </c>
      <c r="I35" s="493">
        <f>H35/'- 3 -'!$D35*100</f>
        <v>1.7637743321332777</v>
      </c>
    </row>
    <row r="36" spans="1:9" ht="14.1" customHeight="1">
      <c r="A36" s="15" t="s">
        <v>132</v>
      </c>
      <c r="B36" s="16">
        <v>174410</v>
      </c>
      <c r="C36" s="267">
        <f>B36/'- 3 -'!$D36*100</f>
        <v>0.73692534263056697</v>
      </c>
      <c r="D36" s="16">
        <f>B36/'- 7 -'!$E36</f>
        <v>105.22473604826546</v>
      </c>
      <c r="E36" s="16">
        <v>330825</v>
      </c>
      <c r="F36" s="267">
        <f>E36/'- 3 -'!$D36*100</f>
        <v>1.3978173641176384</v>
      </c>
      <c r="G36" s="16">
        <f>E36/'- 7 -'!$E36</f>
        <v>199.59276018099547</v>
      </c>
      <c r="H36" s="16">
        <v>5000</v>
      </c>
      <c r="I36" s="492">
        <f>H36/'- 3 -'!$D36*100</f>
        <v>2.1126235383021816E-2</v>
      </c>
    </row>
    <row r="37" spans="1:9" ht="14.1" customHeight="1">
      <c r="A37" s="271" t="s">
        <v>133</v>
      </c>
      <c r="B37" s="272">
        <v>319600</v>
      </c>
      <c r="C37" s="273">
        <f>B37/'- 3 -'!$D37*100</f>
        <v>0.63927543450127111</v>
      </c>
      <c r="D37" s="272">
        <f>B37/'- 7 -'!$E37</f>
        <v>77.88473254538809</v>
      </c>
      <c r="E37" s="272">
        <v>717351</v>
      </c>
      <c r="F37" s="273">
        <f>E37/'- 3 -'!$D37*100</f>
        <v>1.4348713148151482</v>
      </c>
      <c r="G37" s="272">
        <f>E37/'- 7 -'!$E37</f>
        <v>174.81442670890704</v>
      </c>
      <c r="H37" s="272">
        <v>0</v>
      </c>
      <c r="I37" s="493">
        <f>H37/'- 3 -'!$D37*100</f>
        <v>0</v>
      </c>
    </row>
    <row r="38" spans="1:9" ht="14.1" customHeight="1">
      <c r="A38" s="15" t="s">
        <v>134</v>
      </c>
      <c r="B38" s="16">
        <v>480050</v>
      </c>
      <c r="C38" s="267">
        <f>B38/'- 3 -'!$D38*100</f>
        <v>0.35221414150233399</v>
      </c>
      <c r="D38" s="16">
        <f>B38/'- 7 -'!$E38</f>
        <v>43.61315526483147</v>
      </c>
      <c r="E38" s="16">
        <v>1778214</v>
      </c>
      <c r="F38" s="267">
        <f>E38/'- 3 -'!$D38*100</f>
        <v>1.3046810070147514</v>
      </c>
      <c r="G38" s="16">
        <f>E38/'- 7 -'!$E38</f>
        <v>161.55301171981466</v>
      </c>
      <c r="H38" s="16">
        <v>818300</v>
      </c>
      <c r="I38" s="492">
        <f>H38/'- 3 -'!$D38*100</f>
        <v>0.60038919277441916</v>
      </c>
    </row>
    <row r="39" spans="1:9" ht="14.1" customHeight="1">
      <c r="A39" s="271" t="s">
        <v>135</v>
      </c>
      <c r="B39" s="272">
        <v>231300</v>
      </c>
      <c r="C39" s="273">
        <f>B39/'- 3 -'!$D39*100</f>
        <v>1.0101019364479495</v>
      </c>
      <c r="D39" s="272">
        <f>B39/'- 7 -'!$E39</f>
        <v>151.47347740667976</v>
      </c>
      <c r="E39" s="272">
        <v>361050</v>
      </c>
      <c r="F39" s="273">
        <f>E39/'- 3 -'!$D39*100</f>
        <v>1.5767285090987126</v>
      </c>
      <c r="G39" s="272">
        <f>E39/'- 7 -'!$E39</f>
        <v>236.44400785854617</v>
      </c>
      <c r="H39" s="272">
        <v>0</v>
      </c>
      <c r="I39" s="493">
        <f>H39/'- 3 -'!$D39*100</f>
        <v>0</v>
      </c>
    </row>
    <row r="40" spans="1:9" ht="14.1" customHeight="1">
      <c r="A40" s="15" t="s">
        <v>136</v>
      </c>
      <c r="B40" s="16">
        <v>242107</v>
      </c>
      <c r="C40" s="267">
        <f>B40/'- 3 -'!$D40*100</f>
        <v>0.22959519166272452</v>
      </c>
      <c r="D40" s="16">
        <f>B40/'- 7 -'!$E40</f>
        <v>30.459074554009515</v>
      </c>
      <c r="E40" s="16">
        <v>2276602</v>
      </c>
      <c r="F40" s="267">
        <f>E40/'- 3 -'!$D40*100</f>
        <v>2.1589498549391051</v>
      </c>
      <c r="G40" s="16">
        <f>E40/'- 7 -'!$E40</f>
        <v>286.41546939083617</v>
      </c>
      <c r="H40" s="16">
        <v>116200</v>
      </c>
      <c r="I40" s="492">
        <f>H40/'- 3 -'!$D40*100</f>
        <v>0.11019491906970301</v>
      </c>
    </row>
    <row r="41" spans="1:9" ht="14.1" customHeight="1">
      <c r="A41" s="271" t="s">
        <v>137</v>
      </c>
      <c r="B41" s="272">
        <v>371467</v>
      </c>
      <c r="C41" s="273">
        <f>B41/'- 3 -'!$D41*100</f>
        <v>0.58097928495819706</v>
      </c>
      <c r="D41" s="272">
        <f>B41/'- 7 -'!$E41</f>
        <v>84.242431114638848</v>
      </c>
      <c r="E41" s="272">
        <v>1453705</v>
      </c>
      <c r="F41" s="273">
        <f>E41/'- 3 -'!$D41*100</f>
        <v>2.2736137838358612</v>
      </c>
      <c r="G41" s="272">
        <f>E41/'- 7 -'!$E41</f>
        <v>329.67570019276565</v>
      </c>
      <c r="H41" s="272">
        <v>820273</v>
      </c>
      <c r="I41" s="493">
        <f>H41/'- 3 -'!$D41*100</f>
        <v>1.2829177854574301</v>
      </c>
    </row>
    <row r="42" spans="1:9" ht="14.1" customHeight="1">
      <c r="A42" s="15" t="s">
        <v>138</v>
      </c>
      <c r="B42" s="16">
        <v>161206</v>
      </c>
      <c r="C42" s="267">
        <f>B42/'- 3 -'!$D42*100</f>
        <v>0.7635329038699542</v>
      </c>
      <c r="D42" s="16">
        <f>B42/'- 7 -'!$E42</f>
        <v>118.44673034533432</v>
      </c>
      <c r="E42" s="16">
        <v>328915</v>
      </c>
      <c r="F42" s="267">
        <f>E42/'- 3 -'!$D42*100</f>
        <v>1.557866488073558</v>
      </c>
      <c r="G42" s="16">
        <f>E42/'- 7 -'!$E42</f>
        <v>241.67156502571638</v>
      </c>
      <c r="H42" s="16">
        <v>0</v>
      </c>
      <c r="I42" s="492">
        <f>H42/'- 3 -'!$D42*100</f>
        <v>0</v>
      </c>
    </row>
    <row r="43" spans="1:9" ht="14.1" customHeight="1">
      <c r="A43" s="271" t="s">
        <v>139</v>
      </c>
      <c r="B43" s="272">
        <v>160982</v>
      </c>
      <c r="C43" s="273">
        <f>B43/'- 3 -'!$D43*100</f>
        <v>1.2059640014703918</v>
      </c>
      <c r="D43" s="272">
        <f>B43/'- 7 -'!$E43</f>
        <v>171.16640085061138</v>
      </c>
      <c r="E43" s="272">
        <v>224768</v>
      </c>
      <c r="F43" s="273">
        <f>E43/'- 3 -'!$D43*100</f>
        <v>1.6838038829340984</v>
      </c>
      <c r="G43" s="272">
        <f>E43/'- 7 -'!$E43</f>
        <v>238.98777246145667</v>
      </c>
      <c r="H43" s="272">
        <v>0</v>
      </c>
      <c r="I43" s="493">
        <f>H43/'- 3 -'!$D43*100</f>
        <v>0</v>
      </c>
    </row>
    <row r="44" spans="1:9" ht="14.1" customHeight="1">
      <c r="A44" s="15" t="s">
        <v>140</v>
      </c>
      <c r="B44" s="16">
        <v>89862</v>
      </c>
      <c r="C44" s="267">
        <f>B44/'- 3 -'!$D44*100</f>
        <v>0.80206658307603995</v>
      </c>
      <c r="D44" s="16">
        <f>B44/'- 7 -'!$E44</f>
        <v>128.19115549215405</v>
      </c>
      <c r="E44" s="16">
        <v>167256</v>
      </c>
      <c r="F44" s="267">
        <f>E44/'- 3 -'!$D44*100</f>
        <v>1.492849574001982</v>
      </c>
      <c r="G44" s="16">
        <f>E44/'- 7 -'!$E44</f>
        <v>238.5962910128388</v>
      </c>
      <c r="H44" s="16">
        <v>0</v>
      </c>
      <c r="I44" s="492">
        <f>H44/'- 3 -'!$D44*100</f>
        <v>0</v>
      </c>
    </row>
    <row r="45" spans="1:9" ht="14.1" customHeight="1">
      <c r="A45" s="271" t="s">
        <v>141</v>
      </c>
      <c r="B45" s="272">
        <v>145138</v>
      </c>
      <c r="C45" s="273">
        <f>B45/'- 3 -'!$D45*100</f>
        <v>0.73998642676717785</v>
      </c>
      <c r="D45" s="272">
        <f>B45/'- 7 -'!$E45</f>
        <v>85.274970622796715</v>
      </c>
      <c r="E45" s="272">
        <v>305228</v>
      </c>
      <c r="F45" s="273">
        <f>E45/'- 3 -'!$D45*100</f>
        <v>1.5562056599187819</v>
      </c>
      <c r="G45" s="272">
        <f>E45/'- 7 -'!$E45</f>
        <v>179.33490011750882</v>
      </c>
      <c r="H45" s="272">
        <v>298262</v>
      </c>
      <c r="I45" s="493">
        <f>H45/'- 3 -'!$D45*100</f>
        <v>1.5206894928993924</v>
      </c>
    </row>
    <row r="46" spans="1:9" ht="14.1" customHeight="1">
      <c r="A46" s="15" t="s">
        <v>142</v>
      </c>
      <c r="B46" s="16">
        <v>779200</v>
      </c>
      <c r="C46" s="267">
        <f>B46/'- 3 -'!$D46*100</f>
        <v>0.19890175192826468</v>
      </c>
      <c r="D46" s="16">
        <f>B46/'- 7 -'!$E46</f>
        <v>25.838113870743111</v>
      </c>
      <c r="E46" s="16">
        <v>11069100</v>
      </c>
      <c r="F46" s="267">
        <f>E46/'- 3 -'!$D46*100</f>
        <v>2.8255433550682167</v>
      </c>
      <c r="G46" s="16">
        <f>E46/'- 7 -'!$E46</f>
        <v>367.0491096594489</v>
      </c>
      <c r="H46" s="16">
        <v>34230900</v>
      </c>
      <c r="I46" s="492">
        <f>H46/'- 3 -'!$D46*100</f>
        <v>8.7379183522603121</v>
      </c>
    </row>
    <row r="47" spans="1:9" ht="5.0999999999999996" customHeight="1">
      <c r="A47"/>
      <c r="B47"/>
      <c r="C47"/>
      <c r="D47"/>
      <c r="E47" s="508"/>
      <c r="F47"/>
      <c r="G47"/>
      <c r="H47"/>
      <c r="I47"/>
    </row>
    <row r="48" spans="1:9" ht="14.1" customHeight="1">
      <c r="A48" s="274" t="s">
        <v>143</v>
      </c>
      <c r="B48" s="275">
        <f>SUM(B11:B46)</f>
        <v>10606405</v>
      </c>
      <c r="C48" s="276">
        <f>B48/'- 3 -'!$D48*100</f>
        <v>0.45889789570722034</v>
      </c>
      <c r="D48" s="275">
        <f>B48/'- 7 -'!$E48</f>
        <v>60.56165070650794</v>
      </c>
      <c r="E48" s="275">
        <f>SUM(E11:E46)</f>
        <v>47004377</v>
      </c>
      <c r="F48" s="276">
        <f>E48/'- 3 -'!$D48*100</f>
        <v>2.0336965912888361</v>
      </c>
      <c r="G48" s="275">
        <f>E48/'- 7 -'!$E48</f>
        <v>268.39090733863316</v>
      </c>
      <c r="H48" s="275">
        <f>SUM(H11:H46)</f>
        <v>60374034</v>
      </c>
      <c r="I48" s="276">
        <f>H48/'- 3 -'!$D48*100</f>
        <v>2.6121496546620815</v>
      </c>
    </row>
    <row r="49" spans="1:9" ht="5.0999999999999996" customHeight="1">
      <c r="A49" s="17" t="s">
        <v>1</v>
      </c>
      <c r="B49" s="18"/>
      <c r="C49" s="266"/>
      <c r="D49" s="18"/>
      <c r="E49" s="18"/>
      <c r="F49" s="266"/>
      <c r="H49" s="18"/>
      <c r="I49" s="18"/>
    </row>
    <row r="50" spans="1:9" ht="14.1" customHeight="1">
      <c r="A50" s="15" t="s">
        <v>144</v>
      </c>
      <c r="B50" s="16">
        <v>35798</v>
      </c>
      <c r="C50" s="267">
        <f>B50/'- 3 -'!$D50*100</f>
        <v>1.0358799076105545</v>
      </c>
      <c r="D50" s="16">
        <f>B50/'- 7 -'!$E50</f>
        <v>222.34782608695653</v>
      </c>
      <c r="E50" s="16">
        <v>28500</v>
      </c>
      <c r="F50" s="267">
        <f>E50/'- 3 -'!$D50*100</f>
        <v>0.82469907164927658</v>
      </c>
      <c r="G50" s="16">
        <f>E50/'- 7 -'!$E50</f>
        <v>177.01863354037266</v>
      </c>
      <c r="H50" s="16">
        <v>0</v>
      </c>
      <c r="I50" s="16">
        <f>H50/'- 3 -'!$D50*100</f>
        <v>0</v>
      </c>
    </row>
    <row r="51" spans="1:9" ht="14.1" customHeight="1">
      <c r="A51" s="360" t="s">
        <v>523</v>
      </c>
      <c r="B51" s="272">
        <v>81276</v>
      </c>
      <c r="C51" s="273">
        <f>B51/'- 3 -'!$D51*100</f>
        <v>0.2749293775922409</v>
      </c>
      <c r="D51" s="272">
        <f>B51/'- 7 -'!$E51</f>
        <v>112.18219461697723</v>
      </c>
      <c r="E51" s="272">
        <v>0</v>
      </c>
      <c r="F51" s="273">
        <f>E51/'- 3 -'!$D51*100</f>
        <v>0</v>
      </c>
      <c r="G51" s="272">
        <f>E51/'- 7 -'!$E51</f>
        <v>0</v>
      </c>
      <c r="H51" s="272">
        <v>0</v>
      </c>
      <c r="I51" s="272">
        <f>H51/'- 3 -'!$D51*100</f>
        <v>0</v>
      </c>
    </row>
    <row r="52" spans="1:9" ht="50.1" customHeight="1">
      <c r="A52" s="164"/>
      <c r="B52" s="164"/>
      <c r="C52" s="164"/>
      <c r="D52" s="164"/>
      <c r="E52" s="164"/>
      <c r="F52" s="164"/>
      <c r="G52" s="164"/>
      <c r="H52" s="164"/>
      <c r="I52" s="164"/>
    </row>
    <row r="53" spans="1:9" ht="15" customHeight="1">
      <c r="A53" s="665"/>
      <c r="B53" s="665"/>
      <c r="C53" s="665"/>
      <c r="D53" s="665"/>
      <c r="E53" s="665"/>
      <c r="F53" s="665"/>
      <c r="G53" s="665"/>
      <c r="H53" s="665"/>
      <c r="I53" s="665"/>
    </row>
    <row r="54" spans="1:9" ht="12" customHeight="1">
      <c r="A54" s="665"/>
      <c r="B54" s="665"/>
      <c r="C54" s="665"/>
      <c r="D54" s="665"/>
      <c r="E54" s="665"/>
      <c r="F54" s="665"/>
      <c r="G54" s="665"/>
      <c r="H54" s="665"/>
      <c r="I54" s="665"/>
    </row>
    <row r="55" spans="1:9" ht="12" customHeight="1">
      <c r="A55" s="665"/>
      <c r="B55" s="665"/>
      <c r="C55" s="665"/>
      <c r="D55" s="665"/>
      <c r="E55" s="665"/>
      <c r="F55" s="665"/>
      <c r="G55" s="665"/>
      <c r="H55" s="665"/>
      <c r="I55" s="665"/>
    </row>
    <row r="56" spans="1:9" ht="14.45" customHeight="1">
      <c r="C56" s="90"/>
      <c r="D56" s="90"/>
      <c r="E56" s="165"/>
      <c r="F56" s="90"/>
      <c r="G56" s="90"/>
      <c r="H56" s="90"/>
      <c r="I56" s="90"/>
    </row>
    <row r="57" spans="1:9" ht="14.45" customHeight="1">
      <c r="C57" s="90"/>
      <c r="D57" s="90"/>
      <c r="E57" s="165"/>
      <c r="F57" s="90"/>
      <c r="G57" s="90"/>
      <c r="H57" s="90"/>
      <c r="I57" s="90"/>
    </row>
    <row r="58" spans="1:9" ht="14.45" customHeight="1"/>
    <row r="59" spans="1:9" ht="14.45" customHeight="1"/>
  </sheetData>
  <mergeCells count="8">
    <mergeCell ref="A53:I55"/>
    <mergeCell ref="B5:I5"/>
    <mergeCell ref="D8:D9"/>
    <mergeCell ref="G8:G9"/>
    <mergeCell ref="I8:I9"/>
    <mergeCell ref="B6:D7"/>
    <mergeCell ref="E6:G7"/>
    <mergeCell ref="H6:I7"/>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18.xml><?xml version="1.0" encoding="utf-8"?>
<worksheet xmlns="http://schemas.openxmlformats.org/spreadsheetml/2006/main" xmlns:r="http://schemas.openxmlformats.org/officeDocument/2006/relationships">
  <sheetPr codeName="Sheet17"/>
  <dimension ref="A1:J58"/>
  <sheetViews>
    <sheetView showGridLines="0" showZeros="0" workbookViewId="0"/>
  </sheetViews>
  <sheetFormatPr defaultColWidth="15.83203125" defaultRowHeight="12"/>
  <cols>
    <col min="1" max="1" width="30.83203125" style="1" customWidth="1"/>
    <col min="2" max="2" width="15.33203125" style="1" customWidth="1"/>
    <col min="3" max="3" width="8.83203125" style="1" customWidth="1"/>
    <col min="4" max="4" width="8.5" style="1" customWidth="1"/>
    <col min="5" max="5" width="15" style="1" customWidth="1"/>
    <col min="6" max="6" width="7.83203125" style="1" customWidth="1"/>
    <col min="7" max="7" width="8.83203125" style="1" customWidth="1"/>
    <col min="8" max="8" width="14.5" style="1" customWidth="1"/>
    <col min="9" max="9" width="7.83203125" style="1" customWidth="1"/>
    <col min="10" max="10" width="8.83203125" style="1" customWidth="1"/>
    <col min="11" max="16384" width="15.83203125" style="1"/>
  </cols>
  <sheetData>
    <row r="1" spans="1:10" ht="6.95" customHeight="1">
      <c r="A1" s="3"/>
      <c r="B1" s="4"/>
      <c r="C1" s="4"/>
      <c r="D1" s="4"/>
      <c r="E1" s="4"/>
      <c r="F1" s="4"/>
      <c r="G1" s="4"/>
      <c r="H1" s="4"/>
      <c r="I1" s="4"/>
      <c r="J1" s="4"/>
    </row>
    <row r="2" spans="1:10" ht="15.95" customHeight="1">
      <c r="A2" s="132"/>
      <c r="B2" s="5" t="str">
        <f>AEXP_BP</f>
        <v>ANALYSIS OF EXPENSE BY PROGRAM</v>
      </c>
      <c r="C2" s="5"/>
      <c r="D2" s="6"/>
      <c r="E2" s="6"/>
      <c r="F2" s="6"/>
      <c r="G2" s="6"/>
      <c r="H2" s="85"/>
      <c r="I2" s="85"/>
      <c r="J2" s="503" t="s">
        <v>538</v>
      </c>
    </row>
    <row r="3" spans="1:10" ht="15.95" customHeight="1">
      <c r="A3" s="135"/>
      <c r="B3" s="7" t="str">
        <f>OPYEAR</f>
        <v>OPERATING FUND 2016/2017 BUDGET</v>
      </c>
      <c r="C3" s="7"/>
      <c r="D3" s="8"/>
      <c r="E3" s="8"/>
      <c r="F3" s="8"/>
      <c r="G3" s="8"/>
      <c r="H3" s="87"/>
      <c r="I3" s="87"/>
      <c r="J3" s="81"/>
    </row>
    <row r="4" spans="1:10" ht="15.95" customHeight="1">
      <c r="B4" s="4"/>
      <c r="C4" s="4"/>
      <c r="D4" s="4"/>
      <c r="E4" s="4"/>
      <c r="F4" s="4"/>
      <c r="G4" s="4"/>
      <c r="H4" s="4"/>
      <c r="I4" s="4"/>
      <c r="J4" s="4"/>
    </row>
    <row r="5" spans="1:10" ht="15.95" customHeight="1">
      <c r="B5" s="666" t="s">
        <v>244</v>
      </c>
      <c r="C5" s="667"/>
      <c r="D5" s="667"/>
      <c r="E5" s="667"/>
      <c r="F5" s="667"/>
      <c r="G5" s="667"/>
      <c r="H5" s="667"/>
      <c r="I5" s="667"/>
      <c r="J5" s="668"/>
    </row>
    <row r="6" spans="1:10" ht="15.95" customHeight="1">
      <c r="B6" s="618" t="s">
        <v>414</v>
      </c>
      <c r="C6" s="672"/>
      <c r="D6" s="673"/>
      <c r="E6" s="618" t="s">
        <v>415</v>
      </c>
      <c r="F6" s="628"/>
      <c r="G6" s="619"/>
      <c r="H6" s="618" t="s">
        <v>417</v>
      </c>
      <c r="I6" s="628"/>
      <c r="J6" s="619"/>
    </row>
    <row r="7" spans="1:10" ht="15.95" customHeight="1">
      <c r="B7" s="674"/>
      <c r="C7" s="675"/>
      <c r="D7" s="676"/>
      <c r="E7" s="620"/>
      <c r="F7" s="629"/>
      <c r="G7" s="621"/>
      <c r="H7" s="620"/>
      <c r="I7" s="629"/>
      <c r="J7" s="621"/>
    </row>
    <row r="8" spans="1:10" ht="15.95" customHeight="1">
      <c r="A8" s="82"/>
      <c r="B8" s="138"/>
      <c r="C8" s="137"/>
      <c r="D8" s="536" t="s">
        <v>401</v>
      </c>
      <c r="E8" s="138"/>
      <c r="F8" s="137"/>
      <c r="G8" s="536" t="s">
        <v>401</v>
      </c>
      <c r="H8" s="138"/>
      <c r="I8" s="137"/>
      <c r="J8" s="536" t="s">
        <v>401</v>
      </c>
    </row>
    <row r="9" spans="1:10" ht="15.95" customHeight="1">
      <c r="A9" s="27" t="s">
        <v>37</v>
      </c>
      <c r="B9" s="89" t="s">
        <v>38</v>
      </c>
      <c r="C9" s="89" t="s">
        <v>39</v>
      </c>
      <c r="D9" s="576"/>
      <c r="E9" s="89" t="s">
        <v>38</v>
      </c>
      <c r="F9" s="89" t="s">
        <v>39</v>
      </c>
      <c r="G9" s="576"/>
      <c r="H9" s="89" t="s">
        <v>38</v>
      </c>
      <c r="I9" s="89" t="s">
        <v>39</v>
      </c>
      <c r="J9" s="576"/>
    </row>
    <row r="10" spans="1:10" ht="5.0999999999999996" customHeight="1">
      <c r="A10" s="29"/>
    </row>
    <row r="11" spans="1:10" ht="14.1" customHeight="1">
      <c r="A11" s="271" t="s">
        <v>108</v>
      </c>
      <c r="B11" s="272">
        <v>702550</v>
      </c>
      <c r="C11" s="273">
        <f>B11/'- 3 -'!$D11*100</f>
        <v>3.5913635107039044</v>
      </c>
      <c r="D11" s="494">
        <f>B11/'- 7 -'!$E11</f>
        <v>400.77010838562467</v>
      </c>
      <c r="E11" s="272">
        <v>913360</v>
      </c>
      <c r="F11" s="273">
        <f>E11/'- 3 -'!$D11*100</f>
        <v>4.6690025992975848</v>
      </c>
      <c r="G11" s="272">
        <f>E11/'- 7 -'!$E11</f>
        <v>521.02681118083285</v>
      </c>
      <c r="H11" s="272">
        <v>304920</v>
      </c>
      <c r="I11" s="273">
        <f>H11/'- 3 -'!$D11*100</f>
        <v>1.5587197518807694</v>
      </c>
      <c r="J11" s="272">
        <f>H11/'- 7 -'!$E11</f>
        <v>173.94181403308613</v>
      </c>
    </row>
    <row r="12" spans="1:10" ht="14.1" customHeight="1">
      <c r="A12" s="15" t="s">
        <v>109</v>
      </c>
      <c r="B12" s="16">
        <v>2805496</v>
      </c>
      <c r="C12" s="492">
        <f>B12/'- 3 -'!$D12*100</f>
        <v>8.0341660593901416</v>
      </c>
      <c r="D12" s="495">
        <f>B12/'- 7 -'!$E12</f>
        <v>1304.8818604651162</v>
      </c>
      <c r="E12" s="16">
        <v>1357798</v>
      </c>
      <c r="F12" s="267">
        <f>E12/'- 3 -'!$D12*100</f>
        <v>3.8883586385822024</v>
      </c>
      <c r="G12" s="16">
        <f>E12/'- 7 -'!$E12</f>
        <v>631.53395348837205</v>
      </c>
      <c r="H12" s="16">
        <v>592428</v>
      </c>
      <c r="I12" s="267">
        <f>H12/'- 3 -'!$D12*100</f>
        <v>1.696550246456378</v>
      </c>
      <c r="J12" s="16">
        <f>H12/'- 7 -'!$E12</f>
        <v>275.54790697674417</v>
      </c>
    </row>
    <row r="13" spans="1:10" ht="14.1" customHeight="1">
      <c r="A13" s="271" t="s">
        <v>110</v>
      </c>
      <c r="B13" s="272">
        <v>9904500</v>
      </c>
      <c r="C13" s="493">
        <f>B13/'- 3 -'!$D13*100</f>
        <v>10.109871938559905</v>
      </c>
      <c r="D13" s="496">
        <f>B13/'- 7 -'!$E13</f>
        <v>1186.5939858631843</v>
      </c>
      <c r="E13" s="272">
        <v>4759300</v>
      </c>
      <c r="F13" s="273">
        <f>E13/'- 3 -'!$D13*100</f>
        <v>4.8579851095146811</v>
      </c>
      <c r="G13" s="272">
        <f>E13/'- 7 -'!$E13</f>
        <v>570.18090331855751</v>
      </c>
      <c r="H13" s="272">
        <v>2286700</v>
      </c>
      <c r="I13" s="273">
        <f>H13/'- 3 -'!$D13*100</f>
        <v>2.3341152165081467</v>
      </c>
      <c r="J13" s="272">
        <f>H13/'- 7 -'!$E13</f>
        <v>273.9547142685995</v>
      </c>
    </row>
    <row r="14" spans="1:10" ht="14.1" customHeight="1">
      <c r="A14" s="15" t="s">
        <v>319</v>
      </c>
      <c r="B14" s="16">
        <v>3309957</v>
      </c>
      <c r="C14" s="492">
        <f>B14/'- 3 -'!$D14*100</f>
        <v>3.8392010368065268</v>
      </c>
      <c r="D14" s="495">
        <f>B14/'- 7 -'!$E14</f>
        <v>603.1262755102041</v>
      </c>
      <c r="E14" s="16">
        <v>2797752</v>
      </c>
      <c r="F14" s="267">
        <f>E14/'- 3 -'!$D14*100</f>
        <v>3.2450972562868747</v>
      </c>
      <c r="G14" s="16">
        <f>E14/'- 7 -'!$E14</f>
        <v>509.79446064139944</v>
      </c>
      <c r="H14" s="16">
        <v>1562810</v>
      </c>
      <c r="I14" s="267">
        <f>H14/'- 3 -'!$D14*100</f>
        <v>1.8126947789145322</v>
      </c>
      <c r="J14" s="16">
        <f>H14/'- 7 -'!$E14</f>
        <v>284.76858600583091</v>
      </c>
    </row>
    <row r="15" spans="1:10" ht="14.1" customHeight="1">
      <c r="A15" s="271" t="s">
        <v>111</v>
      </c>
      <c r="B15" s="272">
        <v>1483200</v>
      </c>
      <c r="C15" s="493">
        <f>B15/'- 3 -'!$D15*100</f>
        <v>7.2671847704266348</v>
      </c>
      <c r="D15" s="496">
        <f>B15/'- 7 -'!$E15</f>
        <v>1083.0230010952903</v>
      </c>
      <c r="E15" s="272">
        <v>932750</v>
      </c>
      <c r="F15" s="273">
        <f>E15/'- 3 -'!$D15*100</f>
        <v>4.5701635616339287</v>
      </c>
      <c r="G15" s="272">
        <f>E15/'- 7 -'!$E15</f>
        <v>681.08798831690399</v>
      </c>
      <c r="H15" s="272">
        <v>481750</v>
      </c>
      <c r="I15" s="273">
        <f>H15/'- 3 -'!$D15*100</f>
        <v>2.360414147217524</v>
      </c>
      <c r="J15" s="272">
        <f>H15/'- 7 -'!$E15</f>
        <v>351.77071924059874</v>
      </c>
    </row>
    <row r="16" spans="1:10" ht="14.1" customHeight="1">
      <c r="A16" s="15" t="s">
        <v>112</v>
      </c>
      <c r="B16" s="16">
        <v>899507</v>
      </c>
      <c r="C16" s="492">
        <f>B16/'- 3 -'!$D16*100</f>
        <v>6.1530411896215726</v>
      </c>
      <c r="D16" s="495">
        <f>B16/'- 7 -'!$E16</f>
        <v>939.4328981723238</v>
      </c>
      <c r="E16" s="16">
        <v>818872</v>
      </c>
      <c r="F16" s="267">
        <f>E16/'- 3 -'!$D16*100</f>
        <v>5.6014607390801805</v>
      </c>
      <c r="G16" s="16">
        <f>E16/'- 7 -'!$E16</f>
        <v>855.21879895561358</v>
      </c>
      <c r="H16" s="16">
        <v>323349</v>
      </c>
      <c r="I16" s="267">
        <f>H16/'- 3 -'!$D16*100</f>
        <v>2.2118557338886147</v>
      </c>
      <c r="J16" s="16">
        <f>H16/'- 7 -'!$E16</f>
        <v>337.7013054830287</v>
      </c>
    </row>
    <row r="17" spans="1:10" ht="14.1" customHeight="1">
      <c r="A17" s="271" t="s">
        <v>113</v>
      </c>
      <c r="B17" s="272">
        <v>583692</v>
      </c>
      <c r="C17" s="493">
        <f>B17/'- 3 -'!$D17*100</f>
        <v>3.2041794007141737</v>
      </c>
      <c r="D17" s="496">
        <f>B17/'- 7 -'!$E17</f>
        <v>429.3431408606105</v>
      </c>
      <c r="E17" s="272">
        <v>896307</v>
      </c>
      <c r="F17" s="273">
        <f>E17/'- 3 -'!$D17*100</f>
        <v>4.9202806036675479</v>
      </c>
      <c r="G17" s="272">
        <f>E17/'- 7 -'!$E17</f>
        <v>659.29165134240532</v>
      </c>
      <c r="H17" s="272">
        <v>293329</v>
      </c>
      <c r="I17" s="273">
        <f>H17/'- 3 -'!$D17*100</f>
        <v>1.6102306343621082</v>
      </c>
      <c r="J17" s="272">
        <f>H17/'- 7 -'!$E17</f>
        <v>215.76241265171018</v>
      </c>
    </row>
    <row r="18" spans="1:10" ht="14.1" customHeight="1">
      <c r="A18" s="15" t="s">
        <v>114</v>
      </c>
      <c r="B18" s="16">
        <v>11861230</v>
      </c>
      <c r="C18" s="492">
        <f>B18/'- 3 -'!$D18*100</f>
        <v>8.9899474160803052</v>
      </c>
      <c r="D18" s="495">
        <f>B18/'- 7 -'!$E18</f>
        <v>1905.5409182919384</v>
      </c>
      <c r="E18" s="16">
        <v>3522230</v>
      </c>
      <c r="F18" s="267">
        <f>E18/'- 3 -'!$D18*100</f>
        <v>2.6695934980891978</v>
      </c>
      <c r="G18" s="16">
        <f>E18/'- 7 -'!$E18</f>
        <v>565.85644057449474</v>
      </c>
      <c r="H18" s="16">
        <v>1577632</v>
      </c>
      <c r="I18" s="267">
        <f>H18/'- 3 -'!$D18*100</f>
        <v>1.1957300146718008</v>
      </c>
      <c r="J18" s="16">
        <f>H18/'- 7 -'!$E18</f>
        <v>253.45114545512962</v>
      </c>
    </row>
    <row r="19" spans="1:10" ht="14.1" customHeight="1">
      <c r="A19" s="271" t="s">
        <v>115</v>
      </c>
      <c r="B19" s="272">
        <v>2259950</v>
      </c>
      <c r="C19" s="493">
        <f>B19/'- 3 -'!$D19*100</f>
        <v>4.8655045747519505</v>
      </c>
      <c r="D19" s="496">
        <f>B19/'- 7 -'!$E19</f>
        <v>535.78710289236608</v>
      </c>
      <c r="E19" s="272">
        <v>3003300</v>
      </c>
      <c r="F19" s="273">
        <f>E19/'- 3 -'!$D19*100</f>
        <v>6.4658819395794307</v>
      </c>
      <c r="G19" s="272">
        <f>E19/'- 7 -'!$E19</f>
        <v>712.01991465149365</v>
      </c>
      <c r="H19" s="272">
        <v>889700</v>
      </c>
      <c r="I19" s="273">
        <f>H19/'- 3 -'!$D19*100</f>
        <v>1.9154580500262439</v>
      </c>
      <c r="J19" s="272">
        <f>H19/'- 7 -'!$E19</f>
        <v>210.92935040303462</v>
      </c>
    </row>
    <row r="20" spans="1:10" ht="14.1" customHeight="1">
      <c r="A20" s="15" t="s">
        <v>116</v>
      </c>
      <c r="B20" s="16">
        <v>4204700</v>
      </c>
      <c r="C20" s="492">
        <f>B20/'- 3 -'!$D20*100</f>
        <v>5.109612346579171</v>
      </c>
      <c r="D20" s="495">
        <f>B20/'- 7 -'!$E20</f>
        <v>554.67317459270498</v>
      </c>
      <c r="E20" s="16">
        <v>3625500</v>
      </c>
      <c r="F20" s="267">
        <f>E20/'- 3 -'!$D20*100</f>
        <v>4.4057601166605904</v>
      </c>
      <c r="G20" s="16">
        <f>E20/'- 7 -'!$E20</f>
        <v>478.26660510520412</v>
      </c>
      <c r="H20" s="16">
        <v>1356500</v>
      </c>
      <c r="I20" s="267">
        <f>H20/'- 3 -'!$D20*100</f>
        <v>1.6484384493863167</v>
      </c>
      <c r="J20" s="16">
        <f>H20/'- 7 -'!$E20</f>
        <v>178.94597981663478</v>
      </c>
    </row>
    <row r="21" spans="1:10" ht="14.1" customHeight="1">
      <c r="A21" s="271" t="s">
        <v>117</v>
      </c>
      <c r="B21" s="272">
        <v>1844000</v>
      </c>
      <c r="C21" s="493">
        <f>B21/'- 3 -'!$D21*100</f>
        <v>5.0698778459122806</v>
      </c>
      <c r="D21" s="496">
        <f>B21/'- 7 -'!$E21</f>
        <v>681.44863266814491</v>
      </c>
      <c r="E21" s="272">
        <v>2143000</v>
      </c>
      <c r="F21" s="273">
        <f>E21/'- 3 -'!$D21*100</f>
        <v>5.8919458914262561</v>
      </c>
      <c r="G21" s="272">
        <f>E21/'- 7 -'!$E21</f>
        <v>791.94382852919443</v>
      </c>
      <c r="H21" s="272">
        <v>998000</v>
      </c>
      <c r="I21" s="273">
        <f>H21/'- 3 -'!$D21*100</f>
        <v>2.7438926736553451</v>
      </c>
      <c r="J21" s="272">
        <f>H21/'- 7 -'!$E21</f>
        <v>368.81005173688101</v>
      </c>
    </row>
    <row r="22" spans="1:10" ht="14.1" customHeight="1">
      <c r="A22" s="15" t="s">
        <v>118</v>
      </c>
      <c r="B22" s="16">
        <v>801891</v>
      </c>
      <c r="C22" s="492">
        <f>B22/'- 3 -'!$D22*100</f>
        <v>3.8791613409635812</v>
      </c>
      <c r="D22" s="495">
        <f>B22/'- 7 -'!$E22</f>
        <v>514.62649210627649</v>
      </c>
      <c r="E22" s="16">
        <v>1423924</v>
      </c>
      <c r="F22" s="267">
        <f>E22/'- 3 -'!$D22*100</f>
        <v>6.8882565501673252</v>
      </c>
      <c r="G22" s="16">
        <f>E22/'- 7 -'!$E22</f>
        <v>913.82620972917471</v>
      </c>
      <c r="H22" s="16">
        <v>509228</v>
      </c>
      <c r="I22" s="267">
        <f>H22/'- 3 -'!$D22*100</f>
        <v>2.4633991045369039</v>
      </c>
      <c r="J22" s="16">
        <f>H22/'- 7 -'!$E22</f>
        <v>326.80528815299704</v>
      </c>
    </row>
    <row r="23" spans="1:10" ht="14.1" customHeight="1">
      <c r="A23" s="271" t="s">
        <v>119</v>
      </c>
      <c r="B23" s="272">
        <v>1400000</v>
      </c>
      <c r="C23" s="493">
        <f>B23/'- 3 -'!$D23*100</f>
        <v>8.3369306196465356</v>
      </c>
      <c r="D23" s="496">
        <f>B23/'- 7 -'!$E23</f>
        <v>1256.7324955116696</v>
      </c>
      <c r="E23" s="272">
        <v>629000</v>
      </c>
      <c r="F23" s="273">
        <f>E23/'- 3 -'!$D23*100</f>
        <v>3.745663828398337</v>
      </c>
      <c r="G23" s="272">
        <f>E23/'- 7 -'!$E23</f>
        <v>564.63195691202873</v>
      </c>
      <c r="H23" s="272">
        <v>327000</v>
      </c>
      <c r="I23" s="273">
        <f>H23/'- 3 -'!$D23*100</f>
        <v>1.9472687947317269</v>
      </c>
      <c r="J23" s="272">
        <f>H23/'- 7 -'!$E23</f>
        <v>293.53680430879712</v>
      </c>
    </row>
    <row r="24" spans="1:10" ht="14.1" customHeight="1">
      <c r="A24" s="15" t="s">
        <v>120</v>
      </c>
      <c r="B24" s="16">
        <v>3637725</v>
      </c>
      <c r="C24" s="492">
        <f>B24/'- 3 -'!$D24*100</f>
        <v>6.2603712446743023</v>
      </c>
      <c r="D24" s="495">
        <f>B24/'- 7 -'!$E24</f>
        <v>920.82647766105561</v>
      </c>
      <c r="E24" s="16">
        <v>2589475</v>
      </c>
      <c r="F24" s="267">
        <f>E24/'- 3 -'!$D24*100</f>
        <v>4.4563772216984487</v>
      </c>
      <c r="G24" s="16">
        <f>E24/'- 7 -'!$E24</f>
        <v>655.48031894696874</v>
      </c>
      <c r="H24" s="16">
        <v>1225180</v>
      </c>
      <c r="I24" s="267">
        <f>H24/'- 3 -'!$D24*100</f>
        <v>2.1084830880701708</v>
      </c>
      <c r="J24" s="16">
        <f>H24/'- 7 -'!$E24</f>
        <v>310.13289457030754</v>
      </c>
    </row>
    <row r="25" spans="1:10" ht="14.1" customHeight="1">
      <c r="A25" s="271" t="s">
        <v>121</v>
      </c>
      <c r="B25" s="272">
        <v>9387316</v>
      </c>
      <c r="C25" s="493">
        <f>B25/'- 3 -'!$D25*100</f>
        <v>5.3732888487082704</v>
      </c>
      <c r="D25" s="496">
        <f>B25/'- 7 -'!$E25</f>
        <v>657.3520534995273</v>
      </c>
      <c r="E25" s="272">
        <v>6901416</v>
      </c>
      <c r="F25" s="273">
        <f>E25/'- 3 -'!$D25*100</f>
        <v>3.9503625565706786</v>
      </c>
      <c r="G25" s="272">
        <f>E25/'- 7 -'!$E25</f>
        <v>483.27551556318053</v>
      </c>
      <c r="H25" s="272">
        <v>2994271</v>
      </c>
      <c r="I25" s="273">
        <f>H25/'- 3 -'!$D25*100</f>
        <v>1.7139172660545956</v>
      </c>
      <c r="J25" s="272">
        <f>H25/'- 7 -'!$E25</f>
        <v>209.6755015580687</v>
      </c>
    </row>
    <row r="26" spans="1:10" ht="14.1" customHeight="1">
      <c r="A26" s="15" t="s">
        <v>122</v>
      </c>
      <c r="B26" s="16">
        <v>1548311</v>
      </c>
      <c r="C26" s="492">
        <f>B26/'- 3 -'!$D26*100</f>
        <v>3.7930951948907761</v>
      </c>
      <c r="D26" s="495">
        <f>B26/'- 7 -'!$E26</f>
        <v>489.95633049587042</v>
      </c>
      <c r="E26" s="16">
        <v>2012329</v>
      </c>
      <c r="F26" s="267">
        <f>E26/'- 3 -'!$D26*100</f>
        <v>4.9298593502464048</v>
      </c>
      <c r="G26" s="16">
        <f>E26/'- 7 -'!$E26</f>
        <v>636.79282301193007</v>
      </c>
      <c r="H26" s="16">
        <v>1030195</v>
      </c>
      <c r="I26" s="267">
        <f>H26/'- 3 -'!$D26*100</f>
        <v>2.5238002599610181</v>
      </c>
      <c r="J26" s="16">
        <f>H26/'- 7 -'!$E26</f>
        <v>326.00075946963705</v>
      </c>
    </row>
    <row r="27" spans="1:10" ht="14.1" customHeight="1">
      <c r="A27" s="271" t="s">
        <v>123</v>
      </c>
      <c r="B27" s="272">
        <v>1972163</v>
      </c>
      <c r="C27" s="493">
        <f>B27/'- 3 -'!$D27*100</f>
        <v>4.5061531782662341</v>
      </c>
      <c r="D27" s="496">
        <f>B27/'- 7 -'!$E27</f>
        <v>677.71591695671589</v>
      </c>
      <c r="E27" s="272">
        <v>2848039</v>
      </c>
      <c r="F27" s="273">
        <f>E27/'- 3 -'!$D27*100</f>
        <v>6.5074235708083901</v>
      </c>
      <c r="G27" s="272">
        <f>E27/'- 7 -'!$E27</f>
        <v>978.70275550930035</v>
      </c>
      <c r="H27" s="272">
        <v>1045034</v>
      </c>
      <c r="I27" s="273">
        <f>H27/'- 3 -'!$D27*100</f>
        <v>2.3877758990997577</v>
      </c>
      <c r="J27" s="272">
        <f>H27/'- 7 -'!$E27</f>
        <v>359.11645009106479</v>
      </c>
    </row>
    <row r="28" spans="1:10" ht="14.1" customHeight="1">
      <c r="A28" s="15" t="s">
        <v>124</v>
      </c>
      <c r="B28" s="16">
        <v>1212927</v>
      </c>
      <c r="C28" s="492">
        <f>B28/'- 3 -'!$D28*100</f>
        <v>4.2304998753270251</v>
      </c>
      <c r="D28" s="495">
        <f>B28/'- 7 -'!$E28</f>
        <v>623.45258288357752</v>
      </c>
      <c r="E28" s="16">
        <v>1561284</v>
      </c>
      <c r="F28" s="267">
        <f>E28/'- 3 -'!$D28*100</f>
        <v>5.4455146660516904</v>
      </c>
      <c r="G28" s="16">
        <f>E28/'- 7 -'!$E28</f>
        <v>802.51040863531227</v>
      </c>
      <c r="H28" s="16">
        <v>539808</v>
      </c>
      <c r="I28" s="267">
        <f>H28/'- 3 -'!$D28*100</f>
        <v>1.8827659675318718</v>
      </c>
      <c r="J28" s="16">
        <f>H28/'- 7 -'!$E28</f>
        <v>277.46491904394759</v>
      </c>
    </row>
    <row r="29" spans="1:10" ht="14.1" customHeight="1">
      <c r="A29" s="271" t="s">
        <v>125</v>
      </c>
      <c r="B29" s="272">
        <v>11824479</v>
      </c>
      <c r="C29" s="493">
        <f>B29/'- 3 -'!$D29*100</f>
        <v>7.468315404828604</v>
      </c>
      <c r="D29" s="496">
        <f>B29/'- 7 -'!$E29</f>
        <v>932.60343875699971</v>
      </c>
      <c r="E29" s="272">
        <v>10306590</v>
      </c>
      <c r="F29" s="273">
        <f>E29/'- 3 -'!$D29*100</f>
        <v>6.5096199898746026</v>
      </c>
      <c r="G29" s="272">
        <f>E29/'- 7 -'!$E29</f>
        <v>812.88666298603994</v>
      </c>
      <c r="H29" s="272">
        <v>3170265</v>
      </c>
      <c r="I29" s="273">
        <f>H29/'- 3 -'!$D29*100</f>
        <v>2.002332528721896</v>
      </c>
      <c r="J29" s="272">
        <f>H29/'- 7 -'!$E29</f>
        <v>250.04061834529537</v>
      </c>
    </row>
    <row r="30" spans="1:10" ht="14.1" customHeight="1">
      <c r="A30" s="15" t="s">
        <v>126</v>
      </c>
      <c r="B30" s="16">
        <v>613563</v>
      </c>
      <c r="C30" s="492">
        <f>B30/'- 3 -'!$D30*100</f>
        <v>4.1711149458918833</v>
      </c>
      <c r="D30" s="495">
        <f>B30/'- 7 -'!$E30</f>
        <v>611.11852589641433</v>
      </c>
      <c r="E30" s="16">
        <v>536617</v>
      </c>
      <c r="F30" s="267">
        <f>E30/'- 3 -'!$D30*100</f>
        <v>3.6480217824732994</v>
      </c>
      <c r="G30" s="16">
        <f>E30/'- 7 -'!$E30</f>
        <v>534.47908366533864</v>
      </c>
      <c r="H30" s="16">
        <v>248730</v>
      </c>
      <c r="I30" s="267">
        <f>H30/'- 3 -'!$D30*100</f>
        <v>1.6909126210212941</v>
      </c>
      <c r="J30" s="16">
        <f>H30/'- 7 -'!$E30</f>
        <v>247.73904382470118</v>
      </c>
    </row>
    <row r="31" spans="1:10" ht="14.1" customHeight="1">
      <c r="A31" s="271" t="s">
        <v>127</v>
      </c>
      <c r="B31" s="272">
        <v>2093001</v>
      </c>
      <c r="C31" s="493">
        <f>B31/'- 3 -'!$D31*100</f>
        <v>5.5556944699710744</v>
      </c>
      <c r="D31" s="496">
        <f>B31/'- 7 -'!$E31</f>
        <v>650.00031055900627</v>
      </c>
      <c r="E31" s="272">
        <v>1086807</v>
      </c>
      <c r="F31" s="273">
        <f>E31/'- 3 -'!$D31*100</f>
        <v>2.8848374366882066</v>
      </c>
      <c r="G31" s="272">
        <f>E31/'- 7 -'!$E31</f>
        <v>337.51770186335403</v>
      </c>
      <c r="H31" s="272">
        <v>983728</v>
      </c>
      <c r="I31" s="273">
        <f>H31/'- 3 -'!$D31*100</f>
        <v>2.6112229327915779</v>
      </c>
      <c r="J31" s="272">
        <f>H31/'- 7 -'!$E31</f>
        <v>305.50559006211182</v>
      </c>
    </row>
    <row r="32" spans="1:10" ht="14.1" customHeight="1">
      <c r="A32" s="15" t="s">
        <v>128</v>
      </c>
      <c r="B32" s="16">
        <v>1064481</v>
      </c>
      <c r="C32" s="492">
        <f>B32/'- 3 -'!$D32*100</f>
        <v>3.5162914391359221</v>
      </c>
      <c r="D32" s="495">
        <f>B32/'- 7 -'!$E32</f>
        <v>488.07015130674</v>
      </c>
      <c r="E32" s="16">
        <v>2121728</v>
      </c>
      <c r="F32" s="267">
        <f>E32/'- 3 -'!$D32*100</f>
        <v>7.0086868648430372</v>
      </c>
      <c r="G32" s="16">
        <f>E32/'- 7 -'!$E32</f>
        <v>972.82347546996789</v>
      </c>
      <c r="H32" s="16">
        <v>344257</v>
      </c>
      <c r="I32" s="267">
        <f>H32/'- 3 -'!$D32*100</f>
        <v>1.1371813512525026</v>
      </c>
      <c r="J32" s="16">
        <f>H32/'- 7 -'!$E32</f>
        <v>157.84364970197157</v>
      </c>
    </row>
    <row r="33" spans="1:10" ht="14.1" customHeight="1">
      <c r="A33" s="271" t="s">
        <v>129</v>
      </c>
      <c r="B33" s="272">
        <v>1623600</v>
      </c>
      <c r="C33" s="493">
        <f>B33/'- 3 -'!$D33*100</f>
        <v>5.8128648480280978</v>
      </c>
      <c r="D33" s="496">
        <f>B33/'- 7 -'!$E33</f>
        <v>806.15690168818276</v>
      </c>
      <c r="E33" s="272">
        <v>1084200</v>
      </c>
      <c r="F33" s="273">
        <f>E33/'- 3 -'!$D33*100</f>
        <v>3.881687649810337</v>
      </c>
      <c r="G33" s="272">
        <f>E33/'- 7 -'!$E33</f>
        <v>538.33167825223438</v>
      </c>
      <c r="H33" s="272">
        <v>435300</v>
      </c>
      <c r="I33" s="273">
        <f>H33/'- 3 -'!$D33*100</f>
        <v>1.5584750359365798</v>
      </c>
      <c r="J33" s="272">
        <f>H33/'- 7 -'!$E33</f>
        <v>216.13704071499504</v>
      </c>
    </row>
    <row r="34" spans="1:10" ht="14.1" customHeight="1">
      <c r="A34" s="15" t="s">
        <v>130</v>
      </c>
      <c r="B34" s="16">
        <v>1273274</v>
      </c>
      <c r="C34" s="492">
        <f>B34/'- 3 -'!$D34*100</f>
        <v>4.3081135890008868</v>
      </c>
      <c r="D34" s="495">
        <f>B34/'- 7 -'!$E34</f>
        <v>638.8730556949323</v>
      </c>
      <c r="E34" s="16">
        <v>1449348</v>
      </c>
      <c r="F34" s="267">
        <f>E34/'- 3 -'!$D34*100</f>
        <v>4.9038587248237677</v>
      </c>
      <c r="G34" s="16">
        <f>E34/'- 7 -'!$E34</f>
        <v>727.21926743602614</v>
      </c>
      <c r="H34" s="16">
        <v>773985</v>
      </c>
      <c r="I34" s="267">
        <f>H34/'- 3 -'!$D34*100</f>
        <v>2.618772782749708</v>
      </c>
      <c r="J34" s="16">
        <f>H34/'- 7 -'!$E34</f>
        <v>388.35173105870547</v>
      </c>
    </row>
    <row r="35" spans="1:10" ht="14.1" customHeight="1">
      <c r="A35" s="271" t="s">
        <v>131</v>
      </c>
      <c r="B35" s="272">
        <v>15248483</v>
      </c>
      <c r="C35" s="493">
        <f>B35/'- 3 -'!$D35*100</f>
        <v>8.4225488285640235</v>
      </c>
      <c r="D35" s="496">
        <f>B35/'- 7 -'!$E35</f>
        <v>986.57369306418218</v>
      </c>
      <c r="E35" s="272">
        <v>9225367</v>
      </c>
      <c r="F35" s="273">
        <f>E35/'- 3 -'!$D35*100</f>
        <v>5.0956612548883191</v>
      </c>
      <c r="G35" s="272">
        <f>E35/'- 7 -'!$E35</f>
        <v>596.87933488612839</v>
      </c>
      <c r="H35" s="272">
        <v>2926000</v>
      </c>
      <c r="I35" s="273">
        <f>H35/'- 3 -'!$D35*100</f>
        <v>1.6161855492364934</v>
      </c>
      <c r="J35" s="272">
        <f>H35/'- 7 -'!$E35</f>
        <v>189.31159420289856</v>
      </c>
    </row>
    <row r="36" spans="1:10" ht="14.1" customHeight="1">
      <c r="A36" s="15" t="s">
        <v>132</v>
      </c>
      <c r="B36" s="16">
        <v>737405</v>
      </c>
      <c r="C36" s="492">
        <f>B36/'- 3 -'!$D36*100</f>
        <v>3.1157183205234404</v>
      </c>
      <c r="D36" s="495">
        <f>B36/'- 7 -'!$E36</f>
        <v>444.88989441930619</v>
      </c>
      <c r="E36" s="16">
        <v>1309635</v>
      </c>
      <c r="F36" s="267">
        <f>E36/'- 3 -'!$D36*100</f>
        <v>5.5335314551687551</v>
      </c>
      <c r="G36" s="16">
        <f>E36/'- 7 -'!$E36</f>
        <v>790.12669683257923</v>
      </c>
      <c r="H36" s="16">
        <v>552210</v>
      </c>
      <c r="I36" s="267">
        <f>H36/'- 3 -'!$D36*100</f>
        <v>2.3332236881716955</v>
      </c>
      <c r="J36" s="16">
        <f>H36/'- 7 -'!$E36</f>
        <v>333.15837104072398</v>
      </c>
    </row>
    <row r="37" spans="1:10" ht="14.1" customHeight="1">
      <c r="A37" s="271" t="s">
        <v>133</v>
      </c>
      <c r="B37" s="272">
        <v>3996000</v>
      </c>
      <c r="C37" s="493">
        <f>B37/'- 3 -'!$D37*100</f>
        <v>7.992943167293741</v>
      </c>
      <c r="D37" s="496">
        <f>B37/'- 7 -'!$E37</f>
        <v>973.80285122456439</v>
      </c>
      <c r="E37" s="272">
        <v>2163000</v>
      </c>
      <c r="F37" s="273">
        <f>E37/'- 3 -'!$D37*100</f>
        <v>4.3265105282423324</v>
      </c>
      <c r="G37" s="272">
        <f>E37/'- 7 -'!$E37</f>
        <v>527.1110028024857</v>
      </c>
      <c r="H37" s="272">
        <v>1282200</v>
      </c>
      <c r="I37" s="273">
        <f>H37/'- 3 -'!$D37*100</f>
        <v>2.5647026349109194</v>
      </c>
      <c r="J37" s="272">
        <f>H37/'- 7 -'!$E37</f>
        <v>312.46496892896306</v>
      </c>
    </row>
    <row r="38" spans="1:10" ht="14.1" customHeight="1">
      <c r="A38" s="15" t="s">
        <v>134</v>
      </c>
      <c r="B38" s="16">
        <v>11622450</v>
      </c>
      <c r="C38" s="492">
        <f>B38/'- 3 -'!$D38*100</f>
        <v>8.5274268282549777</v>
      </c>
      <c r="D38" s="495">
        <f>B38/'- 7 -'!$E38</f>
        <v>1055.9144180975743</v>
      </c>
      <c r="E38" s="16">
        <v>4794220</v>
      </c>
      <c r="F38" s="267">
        <f>E38/'- 3 -'!$D38*100</f>
        <v>3.5175337599694192</v>
      </c>
      <c r="G38" s="16">
        <f>E38/'- 7 -'!$E38</f>
        <v>435.56100663214318</v>
      </c>
      <c r="H38" s="16">
        <v>3299960</v>
      </c>
      <c r="I38" s="267">
        <f>H38/'- 3 -'!$D38*100</f>
        <v>2.4211906642892242</v>
      </c>
      <c r="J38" s="16">
        <f>H38/'- 7 -'!$E38</f>
        <v>299.80557826837469</v>
      </c>
    </row>
    <row r="39" spans="1:10" ht="14.1" customHeight="1">
      <c r="A39" s="271" t="s">
        <v>135</v>
      </c>
      <c r="B39" s="272">
        <v>1562600</v>
      </c>
      <c r="C39" s="493">
        <f>B39/'- 3 -'!$D39*100</f>
        <v>6.823974431014121</v>
      </c>
      <c r="D39" s="496">
        <f>B39/'- 7 -'!$E39</f>
        <v>1023.3136869679109</v>
      </c>
      <c r="E39" s="272">
        <v>655020</v>
      </c>
      <c r="F39" s="273">
        <f>E39/'- 3 -'!$D39*100</f>
        <v>2.8605143554350887</v>
      </c>
      <c r="G39" s="272">
        <f>E39/'- 7 -'!$E39</f>
        <v>428.95874263261294</v>
      </c>
      <c r="H39" s="272">
        <v>344075</v>
      </c>
      <c r="I39" s="273">
        <f>H39/'- 3 -'!$D39*100</f>
        <v>1.502597595258661</v>
      </c>
      <c r="J39" s="272">
        <f>H39/'- 7 -'!$E39</f>
        <v>225.32743942370661</v>
      </c>
    </row>
    <row r="40" spans="1:10" ht="14.1" customHeight="1">
      <c r="A40" s="15" t="s">
        <v>136</v>
      </c>
      <c r="B40" s="16">
        <v>10504362</v>
      </c>
      <c r="C40" s="492">
        <f>B40/'- 3 -'!$D40*100</f>
        <v>9.9615087820039907</v>
      </c>
      <c r="D40" s="495">
        <f>B40/'- 7 -'!$E40</f>
        <v>1321.536119568226</v>
      </c>
      <c r="E40" s="16">
        <v>6987728</v>
      </c>
      <c r="F40" s="267">
        <f>E40/'- 3 -'!$D40*100</f>
        <v>6.6266103394242482</v>
      </c>
      <c r="G40" s="16">
        <f>E40/'- 7 -'!$E40</f>
        <v>879.11430943814014</v>
      </c>
      <c r="H40" s="16">
        <v>2476127</v>
      </c>
      <c r="I40" s="267">
        <f>H40/'- 3 -'!$D40*100</f>
        <v>2.3481636348649437</v>
      </c>
      <c r="J40" s="16">
        <f>H40/'- 7 -'!$E40</f>
        <v>311.51737412877742</v>
      </c>
    </row>
    <row r="41" spans="1:10" ht="14.1" customHeight="1">
      <c r="A41" s="271" t="s">
        <v>137</v>
      </c>
      <c r="B41" s="272">
        <v>6276301</v>
      </c>
      <c r="C41" s="493">
        <f>B41/'- 3 -'!$D41*100</f>
        <v>9.8162175029340872</v>
      </c>
      <c r="D41" s="496">
        <f>B41/'- 7 -'!$E41</f>
        <v>1423.3588842272366</v>
      </c>
      <c r="E41" s="272">
        <v>1457441</v>
      </c>
      <c r="F41" s="273">
        <f>E41/'- 3 -'!$D41*100</f>
        <v>2.2794569370866316</v>
      </c>
      <c r="G41" s="272">
        <f>E41/'- 7 -'!$E41</f>
        <v>330.52296178705069</v>
      </c>
      <c r="H41" s="272">
        <v>1311977</v>
      </c>
      <c r="I41" s="273">
        <f>H41/'- 3 -'!$D41*100</f>
        <v>2.0519493234704576</v>
      </c>
      <c r="J41" s="272">
        <f>H41/'- 7 -'!$E41</f>
        <v>297.53418754960882</v>
      </c>
    </row>
    <row r="42" spans="1:10" ht="14.1" customHeight="1">
      <c r="A42" s="15" t="s">
        <v>138</v>
      </c>
      <c r="B42" s="16">
        <v>1761293</v>
      </c>
      <c r="C42" s="492">
        <f>B42/'- 3 -'!$D42*100</f>
        <v>8.3421532626318076</v>
      </c>
      <c r="D42" s="495">
        <f>B42/'- 7 -'!$E42</f>
        <v>1294.1168258633359</v>
      </c>
      <c r="E42" s="16">
        <v>823951</v>
      </c>
      <c r="F42" s="267">
        <f>E42/'- 3 -'!$D42*100</f>
        <v>3.9025451886192366</v>
      </c>
      <c r="G42" s="16">
        <f>E42/'- 7 -'!$E42</f>
        <v>605.40117560617193</v>
      </c>
      <c r="H42" s="16">
        <v>220976</v>
      </c>
      <c r="I42" s="267">
        <f>H42/'- 3 -'!$D42*100</f>
        <v>1.0466263474409574</v>
      </c>
      <c r="J42" s="16">
        <f>H42/'- 7 -'!$E42</f>
        <v>162.36296840558413</v>
      </c>
    </row>
    <row r="43" spans="1:10" ht="14.1" customHeight="1">
      <c r="A43" s="271" t="s">
        <v>139</v>
      </c>
      <c r="B43" s="272">
        <v>435339</v>
      </c>
      <c r="C43" s="493">
        <f>B43/'- 3 -'!$D43*100</f>
        <v>3.2612538199060697</v>
      </c>
      <c r="D43" s="496">
        <f>B43/'- 7 -'!$E43</f>
        <v>462.88038277511964</v>
      </c>
      <c r="E43" s="272">
        <v>1199074</v>
      </c>
      <c r="F43" s="273">
        <f>E43/'- 3 -'!$D43*100</f>
        <v>8.9826196661683202</v>
      </c>
      <c r="G43" s="272">
        <f>E43/'- 7 -'!$E43</f>
        <v>1274.9324827219564</v>
      </c>
      <c r="H43" s="272">
        <v>232656</v>
      </c>
      <c r="I43" s="273">
        <f>H43/'- 3 -'!$D43*100</f>
        <v>1.7428952350330811</v>
      </c>
      <c r="J43" s="272">
        <f>H43/'- 7 -'!$E43</f>
        <v>247.37480063795854</v>
      </c>
    </row>
    <row r="44" spans="1:10" ht="14.1" customHeight="1">
      <c r="A44" s="15" t="s">
        <v>140</v>
      </c>
      <c r="B44" s="16">
        <v>734823</v>
      </c>
      <c r="C44" s="492">
        <f>B44/'- 3 -'!$D44*100</f>
        <v>6.5586896883630992</v>
      </c>
      <c r="D44" s="495">
        <f>B44/'- 7 -'!$E44</f>
        <v>1048.249643366619</v>
      </c>
      <c r="E44" s="16">
        <v>769303</v>
      </c>
      <c r="F44" s="267">
        <f>E44/'- 3 -'!$D44*100</f>
        <v>6.8664421953678616</v>
      </c>
      <c r="G44" s="16">
        <f>E44/'- 7 -'!$E44</f>
        <v>1097.4365192582027</v>
      </c>
      <c r="H44" s="16">
        <v>74010</v>
      </c>
      <c r="I44" s="267">
        <f>H44/'- 3 -'!$D44*100</f>
        <v>0.66057897457721515</v>
      </c>
      <c r="J44" s="16">
        <f>H44/'- 7 -'!$E44</f>
        <v>105.57774607703281</v>
      </c>
    </row>
    <row r="45" spans="1:10" ht="14.1" customHeight="1">
      <c r="A45" s="271" t="s">
        <v>141</v>
      </c>
      <c r="B45" s="272">
        <v>815024</v>
      </c>
      <c r="C45" s="493">
        <f>B45/'- 3 -'!$D45*100</f>
        <v>4.1554017382731772</v>
      </c>
      <c r="D45" s="496">
        <f>B45/'- 7 -'!$E45</f>
        <v>478.86251468860166</v>
      </c>
      <c r="E45" s="272">
        <v>977967</v>
      </c>
      <c r="F45" s="273">
        <f>E45/'- 3 -'!$D45*100</f>
        <v>4.986166998485694</v>
      </c>
      <c r="G45" s="272">
        <f>E45/'- 7 -'!$E45</f>
        <v>574.59870740305519</v>
      </c>
      <c r="H45" s="272">
        <v>462583</v>
      </c>
      <c r="I45" s="273">
        <f>H45/'- 3 -'!$D45*100</f>
        <v>2.358480489280832</v>
      </c>
      <c r="J45" s="272">
        <f>H45/'- 7 -'!$E45</f>
        <v>271.78789659224441</v>
      </c>
    </row>
    <row r="46" spans="1:10" ht="14.1" customHeight="1">
      <c r="A46" s="15" t="s">
        <v>142</v>
      </c>
      <c r="B46" s="16">
        <v>19717400</v>
      </c>
      <c r="C46" s="492">
        <f>B46/'- 3 -'!$D46*100</f>
        <v>5.0331434849465682</v>
      </c>
      <c r="D46" s="495">
        <f>B46/'- 7 -'!$E46</f>
        <v>653.8249825911065</v>
      </c>
      <c r="E46" s="16">
        <v>19957950</v>
      </c>
      <c r="F46" s="267">
        <f>E46/'- 3 -'!$D46*100</f>
        <v>5.0945472534608705</v>
      </c>
      <c r="G46" s="16">
        <f>E46/'- 7 -'!$E46</f>
        <v>661.8015717743807</v>
      </c>
      <c r="H46" s="16">
        <v>5470200</v>
      </c>
      <c r="I46" s="267">
        <f>H46/'- 3 -'!$D46*100</f>
        <v>1.3963454355723735</v>
      </c>
      <c r="J46" s="16">
        <f>H46/'- 7 -'!$E46</f>
        <v>181.39072188878205</v>
      </c>
    </row>
    <row r="47" spans="1:10" ht="5.0999999999999996" customHeight="1">
      <c r="A47"/>
      <c r="B47"/>
      <c r="C47" s="500"/>
      <c r="D47" s="497"/>
      <c r="E47"/>
      <c r="F47"/>
      <c r="G47"/>
      <c r="H47" s="508"/>
      <c r="I47"/>
      <c r="J47"/>
    </row>
    <row r="48" spans="1:10" ht="14.1" customHeight="1">
      <c r="A48" s="274" t="s">
        <v>143</v>
      </c>
      <c r="B48" s="275">
        <f>SUM(B11:B46)</f>
        <v>151722993</v>
      </c>
      <c r="C48" s="501">
        <f>B48/'- 3 -'!$D48*100</f>
        <v>6.5644638516162006</v>
      </c>
      <c r="D48" s="498">
        <f>B48/'- 7 -'!$E48</f>
        <v>866.32510320056133</v>
      </c>
      <c r="E48" s="275">
        <f>SUM(E11:E46)</f>
        <v>109641582</v>
      </c>
      <c r="F48" s="276">
        <f>E48/'- 3 -'!$D48*100</f>
        <v>4.7437648535776873</v>
      </c>
      <c r="G48" s="275">
        <f>E48/'- 7 -'!$E48</f>
        <v>626.04390384800013</v>
      </c>
      <c r="H48" s="275">
        <f>SUM(H11:H46)</f>
        <v>42947073</v>
      </c>
      <c r="I48" s="276">
        <f>H48/'- 3 -'!$D48*100</f>
        <v>1.8581528261917568</v>
      </c>
      <c r="J48" s="275">
        <f>H48/'- 7 -'!$E48</f>
        <v>245.22405413454399</v>
      </c>
    </row>
    <row r="49" spans="1:10" ht="5.0999999999999996" customHeight="1">
      <c r="A49" s="17" t="s">
        <v>1</v>
      </c>
      <c r="B49" s="18"/>
      <c r="C49" s="502"/>
      <c r="D49" s="499"/>
      <c r="E49" s="18"/>
      <c r="F49" s="266"/>
      <c r="H49" s="18"/>
      <c r="I49" s="266"/>
      <c r="J49" s="18"/>
    </row>
    <row r="50" spans="1:10" ht="14.1" customHeight="1">
      <c r="A50" s="15" t="s">
        <v>144</v>
      </c>
      <c r="B50" s="16">
        <v>179672</v>
      </c>
      <c r="C50" s="492">
        <f>B50/'- 3 -'!$D50*100</f>
        <v>5.1991344421532926</v>
      </c>
      <c r="D50" s="495">
        <f>B50/'- 7 -'!$E50</f>
        <v>1115.975155279503</v>
      </c>
      <c r="E50" s="16">
        <v>97930</v>
      </c>
      <c r="F50" s="267">
        <f>E50/'- 3 -'!$D50*100</f>
        <v>2.8337817574250406</v>
      </c>
      <c r="G50" s="16">
        <f>E50/'- 7 -'!$E50</f>
        <v>608.26086956521738</v>
      </c>
      <c r="H50" s="16">
        <v>105034</v>
      </c>
      <c r="I50" s="267">
        <f>H50/'- 3 -'!$D50*100</f>
        <v>3.0393488523371972</v>
      </c>
      <c r="J50" s="16">
        <f>H50/'- 7 -'!$E50</f>
        <v>652.38509316770183</v>
      </c>
    </row>
    <row r="51" spans="1:10" ht="14.1" customHeight="1">
      <c r="A51" s="360" t="s">
        <v>523</v>
      </c>
      <c r="B51" s="272">
        <v>56971</v>
      </c>
      <c r="C51" s="493">
        <f>B51/'- 3 -'!$D51*100</f>
        <v>0.19271373555302374</v>
      </c>
      <c r="D51" s="496">
        <f>B51/'- 7 -'!$E51</f>
        <v>78.634920634920633</v>
      </c>
      <c r="E51" s="272">
        <v>0</v>
      </c>
      <c r="F51" s="273">
        <f>E51/'- 3 -'!$D51*100</f>
        <v>0</v>
      </c>
      <c r="G51" s="272">
        <f>E51/'- 7 -'!$E51</f>
        <v>0</v>
      </c>
      <c r="H51" s="272">
        <v>486416</v>
      </c>
      <c r="I51" s="273">
        <f>H51/'- 3 -'!$D51*100</f>
        <v>1.6453817625240841</v>
      </c>
      <c r="J51" s="272">
        <f>H51/'- 7 -'!$E51</f>
        <v>671.38164251207729</v>
      </c>
    </row>
    <row r="52" spans="1:10" ht="50.1" customHeight="1">
      <c r="A52" s="19"/>
      <c r="B52" s="19"/>
      <c r="C52" s="19"/>
      <c r="D52" s="19"/>
      <c r="E52" s="19"/>
      <c r="F52" s="19"/>
      <c r="G52" s="19"/>
      <c r="H52" s="19"/>
      <c r="I52" s="19"/>
      <c r="J52" s="19"/>
    </row>
    <row r="53" spans="1:10" ht="12" customHeight="1">
      <c r="A53" s="669" t="s">
        <v>412</v>
      </c>
      <c r="B53" s="670"/>
      <c r="C53" s="670"/>
      <c r="D53" s="670"/>
      <c r="E53" s="670"/>
      <c r="F53" s="670"/>
      <c r="G53" s="670"/>
      <c r="H53" s="670"/>
      <c r="I53" s="670"/>
      <c r="J53" s="670"/>
    </row>
    <row r="54" spans="1:10" ht="12" customHeight="1">
      <c r="A54" s="671"/>
      <c r="B54" s="671"/>
      <c r="C54" s="671"/>
      <c r="D54" s="671"/>
      <c r="E54" s="671"/>
      <c r="F54" s="671"/>
      <c r="G54" s="671"/>
      <c r="H54" s="671"/>
      <c r="I54" s="671"/>
      <c r="J54" s="671"/>
    </row>
    <row r="55" spans="1:10" ht="14.45" customHeight="1">
      <c r="B55" s="90"/>
      <c r="C55" s="90"/>
    </row>
    <row r="56" spans="1:10" ht="14.45" customHeight="1">
      <c r="B56" s="90"/>
      <c r="C56" s="90"/>
    </row>
    <row r="57" spans="1:10" ht="14.45" customHeight="1"/>
    <row r="58" spans="1:10" ht="14.45" customHeight="1"/>
  </sheetData>
  <mergeCells count="8">
    <mergeCell ref="A53:J54"/>
    <mergeCell ref="G8:G9"/>
    <mergeCell ref="J8:J9"/>
    <mergeCell ref="B5:J5"/>
    <mergeCell ref="B6:D7"/>
    <mergeCell ref="E6:G7"/>
    <mergeCell ref="H6:J7"/>
    <mergeCell ref="D8:D9"/>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19.xml><?xml version="1.0" encoding="utf-8"?>
<worksheet xmlns="http://schemas.openxmlformats.org/spreadsheetml/2006/main" xmlns:r="http://schemas.openxmlformats.org/officeDocument/2006/relationships">
  <sheetPr codeName="Sheet171">
    <pageSetUpPr fitToPage="1"/>
  </sheetPr>
  <dimension ref="A1:F59"/>
  <sheetViews>
    <sheetView showGridLines="0" showZeros="0" workbookViewId="0"/>
  </sheetViews>
  <sheetFormatPr defaultColWidth="15.83203125" defaultRowHeight="12"/>
  <cols>
    <col min="1" max="1" width="34.83203125" style="1" customWidth="1"/>
    <col min="2" max="2" width="19.6640625" style="1" customWidth="1"/>
    <col min="3" max="3" width="10.33203125" style="1" customWidth="1"/>
    <col min="4" max="4" width="19" style="1" customWidth="1"/>
    <col min="5" max="5" width="10.6640625" style="1" customWidth="1"/>
    <col min="6" max="6" width="25.83203125" style="1" customWidth="1"/>
    <col min="7" max="16384" width="15.83203125" style="1"/>
  </cols>
  <sheetData>
    <row r="1" spans="1:6" ht="6.95" customHeight="1">
      <c r="A1" s="3"/>
      <c r="B1" s="4"/>
      <c r="C1" s="4"/>
      <c r="D1" s="4"/>
      <c r="E1" s="4"/>
    </row>
    <row r="2" spans="1:6" ht="15.95" customHeight="1">
      <c r="A2" s="132"/>
      <c r="B2" s="5" t="str">
        <f>AEXP_BP</f>
        <v>ANALYSIS OF EXPENSE BY PROGRAM</v>
      </c>
      <c r="C2" s="6"/>
      <c r="D2" s="6"/>
      <c r="E2" s="150"/>
      <c r="F2" s="503" t="s">
        <v>549</v>
      </c>
    </row>
    <row r="3" spans="1:6" ht="15.95" customHeight="1">
      <c r="A3" s="135"/>
      <c r="B3" s="7" t="str">
        <f>OPYEAR</f>
        <v>OPERATING FUND 2016/2017 BUDGET</v>
      </c>
      <c r="C3" s="8"/>
      <c r="D3" s="8"/>
      <c r="E3" s="81"/>
      <c r="F3" s="81"/>
    </row>
    <row r="4" spans="1:6" ht="15.95" customHeight="1">
      <c r="B4" s="4"/>
      <c r="C4" s="4"/>
      <c r="D4" s="4"/>
      <c r="E4" s="4"/>
    </row>
    <row r="5" spans="1:6" ht="15.95" customHeight="1">
      <c r="B5" s="666" t="s">
        <v>190</v>
      </c>
      <c r="C5" s="667"/>
      <c r="D5" s="667"/>
      <c r="E5" s="668"/>
    </row>
    <row r="6" spans="1:6" ht="15.95" customHeight="1">
      <c r="B6" s="618" t="s">
        <v>418</v>
      </c>
      <c r="C6" s="619"/>
      <c r="D6" s="624" t="s">
        <v>71</v>
      </c>
      <c r="E6" s="611"/>
    </row>
    <row r="7" spans="1:6" ht="15.95" customHeight="1">
      <c r="B7" s="620"/>
      <c r="C7" s="621"/>
      <c r="D7" s="625"/>
      <c r="E7" s="613"/>
    </row>
    <row r="8" spans="1:6" ht="15.95" customHeight="1">
      <c r="A8" s="82"/>
      <c r="B8" s="138"/>
      <c r="C8" s="137"/>
      <c r="D8" s="137"/>
      <c r="E8" s="138"/>
    </row>
    <row r="9" spans="1:6" ht="15.95" customHeight="1">
      <c r="A9" s="27" t="s">
        <v>37</v>
      </c>
      <c r="B9" s="89" t="s">
        <v>38</v>
      </c>
      <c r="C9" s="89" t="s">
        <v>39</v>
      </c>
      <c r="D9" s="89" t="s">
        <v>38</v>
      </c>
      <c r="E9" s="89" t="s">
        <v>39</v>
      </c>
    </row>
    <row r="10" spans="1:6" ht="5.0999999999999996" customHeight="1">
      <c r="A10" s="29"/>
    </row>
    <row r="11" spans="1:6" ht="14.1" customHeight="1">
      <c r="A11" s="271" t="s">
        <v>108</v>
      </c>
      <c r="B11" s="272">
        <v>0</v>
      </c>
      <c r="C11" s="273">
        <f>B11/'- 3 -'!$D11*100</f>
        <v>0</v>
      </c>
      <c r="D11" s="272">
        <v>0</v>
      </c>
      <c r="E11" s="273">
        <f>D11/'- 3 -'!$D11*100</f>
        <v>0</v>
      </c>
    </row>
    <row r="12" spans="1:6" ht="14.1" customHeight="1">
      <c r="A12" s="15" t="s">
        <v>109</v>
      </c>
      <c r="B12" s="16">
        <v>138456</v>
      </c>
      <c r="C12" s="267">
        <f>B12/'- 3 -'!$D12*100</f>
        <v>0.39649976186703578</v>
      </c>
      <c r="D12" s="16">
        <v>501612</v>
      </c>
      <c r="E12" s="267">
        <f>D12/'- 3 -'!$D12*100</f>
        <v>1.4364782931014006</v>
      </c>
    </row>
    <row r="13" spans="1:6" ht="14.1" customHeight="1">
      <c r="A13" s="271" t="s">
        <v>110</v>
      </c>
      <c r="B13" s="272">
        <v>0</v>
      </c>
      <c r="C13" s="273">
        <f>B13/'- 3 -'!$D13*100</f>
        <v>0</v>
      </c>
      <c r="D13" s="272">
        <v>0</v>
      </c>
      <c r="E13" s="273">
        <f>D13/'- 3 -'!$D13*100</f>
        <v>0</v>
      </c>
    </row>
    <row r="14" spans="1:6" ht="14.1" customHeight="1">
      <c r="A14" s="15" t="s">
        <v>319</v>
      </c>
      <c r="B14" s="16">
        <v>106540</v>
      </c>
      <c r="C14" s="267">
        <f>B14/'- 3 -'!$D14*100</f>
        <v>0.1235751638046559</v>
      </c>
      <c r="D14" s="16">
        <v>147700</v>
      </c>
      <c r="E14" s="267">
        <f>D14/'- 3 -'!$D14*100</f>
        <v>0.17131642288293294</v>
      </c>
    </row>
    <row r="15" spans="1:6" ht="14.1" customHeight="1">
      <c r="A15" s="271" t="s">
        <v>111</v>
      </c>
      <c r="B15" s="272">
        <v>0</v>
      </c>
      <c r="C15" s="273">
        <f>B15/'- 3 -'!$D15*100</f>
        <v>0</v>
      </c>
      <c r="D15" s="272">
        <v>0</v>
      </c>
      <c r="E15" s="273">
        <f>D15/'- 3 -'!$D15*100</f>
        <v>0</v>
      </c>
    </row>
    <row r="16" spans="1:6" ht="14.1" customHeight="1">
      <c r="A16" s="15" t="s">
        <v>112</v>
      </c>
      <c r="B16" s="16">
        <v>24715</v>
      </c>
      <c r="C16" s="267">
        <f>B16/'- 3 -'!$D16*100</f>
        <v>0.16906195616209455</v>
      </c>
      <c r="D16" s="16">
        <v>67585</v>
      </c>
      <c r="E16" s="267">
        <f>D16/'- 3 -'!$D16*100</f>
        <v>0.46231245426725304</v>
      </c>
    </row>
    <row r="17" spans="1:5" ht="14.1" customHeight="1">
      <c r="A17" s="271" t="s">
        <v>113</v>
      </c>
      <c r="B17" s="272">
        <v>0</v>
      </c>
      <c r="C17" s="273">
        <f>B17/'- 3 -'!$D17*100</f>
        <v>0</v>
      </c>
      <c r="D17" s="272">
        <v>0</v>
      </c>
      <c r="E17" s="273">
        <f>D17/'- 3 -'!$D17*100</f>
        <v>0</v>
      </c>
    </row>
    <row r="18" spans="1:5" ht="14.1" customHeight="1">
      <c r="A18" s="15" t="s">
        <v>114</v>
      </c>
      <c r="B18" s="16">
        <v>241000</v>
      </c>
      <c r="C18" s="267">
        <f>B18/'- 3 -'!$D18*100</f>
        <v>0.18266042621847428</v>
      </c>
      <c r="D18" s="16">
        <v>1845070</v>
      </c>
      <c r="E18" s="267">
        <f>D18/'- 3 -'!$D18*100</f>
        <v>1.3984285170245656</v>
      </c>
    </row>
    <row r="19" spans="1:5" ht="14.1" customHeight="1">
      <c r="A19" s="271" t="s">
        <v>115</v>
      </c>
      <c r="B19" s="272">
        <v>0</v>
      </c>
      <c r="C19" s="273">
        <f>B19/'- 3 -'!$D19*100</f>
        <v>0</v>
      </c>
      <c r="D19" s="272">
        <v>0</v>
      </c>
      <c r="E19" s="273">
        <f>D19/'- 3 -'!$D19*100</f>
        <v>0</v>
      </c>
    </row>
    <row r="20" spans="1:5" ht="14.1" customHeight="1">
      <c r="A20" s="15" t="s">
        <v>116</v>
      </c>
      <c r="B20" s="16">
        <v>0</v>
      </c>
      <c r="C20" s="267">
        <f>B20/'- 3 -'!$D20*100</f>
        <v>0</v>
      </c>
      <c r="D20" s="16">
        <v>0</v>
      </c>
      <c r="E20" s="267">
        <f>D20/'- 3 -'!$D20*100</f>
        <v>0</v>
      </c>
    </row>
    <row r="21" spans="1:5" ht="14.1" customHeight="1">
      <c r="A21" s="271" t="s">
        <v>117</v>
      </c>
      <c r="B21" s="272">
        <v>0</v>
      </c>
      <c r="C21" s="273">
        <f>B21/'- 3 -'!$D21*100</f>
        <v>0</v>
      </c>
      <c r="D21" s="272">
        <v>0</v>
      </c>
      <c r="E21" s="273">
        <f>D21/'- 3 -'!$D21*100</f>
        <v>0</v>
      </c>
    </row>
    <row r="22" spans="1:5" ht="14.1" customHeight="1">
      <c r="A22" s="15" t="s">
        <v>118</v>
      </c>
      <c r="B22" s="16">
        <v>168715</v>
      </c>
      <c r="C22" s="267">
        <f>B22/'- 3 -'!$D22*100</f>
        <v>0.81616167988002186</v>
      </c>
      <c r="D22" s="16">
        <v>439360</v>
      </c>
      <c r="E22" s="267">
        <f>D22/'- 3 -'!$D22*100</f>
        <v>2.1254114671018365</v>
      </c>
    </row>
    <row r="23" spans="1:5" ht="14.1" customHeight="1">
      <c r="A23" s="271" t="s">
        <v>119</v>
      </c>
      <c r="B23" s="272">
        <v>58842</v>
      </c>
      <c r="C23" s="273">
        <f>B23/'- 3 -'!$D23*100</f>
        <v>0.35040119394374392</v>
      </c>
      <c r="D23" s="272">
        <v>180458</v>
      </c>
      <c r="E23" s="273">
        <f>D23/'- 3 -'!$D23*100</f>
        <v>1.0746184469715534</v>
      </c>
    </row>
    <row r="24" spans="1:5" ht="14.1" customHeight="1">
      <c r="A24" s="15" t="s">
        <v>120</v>
      </c>
      <c r="B24" s="16">
        <v>115240</v>
      </c>
      <c r="C24" s="267">
        <f>B24/'- 3 -'!$D24*100</f>
        <v>0.19832317787525627</v>
      </c>
      <c r="D24" s="16">
        <v>222640</v>
      </c>
      <c r="E24" s="267">
        <f>D24/'- 3 -'!$D24*100</f>
        <v>0.38315404653025908</v>
      </c>
    </row>
    <row r="25" spans="1:5" ht="14.1" customHeight="1">
      <c r="A25" s="271" t="s">
        <v>121</v>
      </c>
      <c r="B25" s="272">
        <v>0</v>
      </c>
      <c r="C25" s="273">
        <f>B25/'- 3 -'!$D25*100</f>
        <v>0</v>
      </c>
      <c r="D25" s="272">
        <v>545977</v>
      </c>
      <c r="E25" s="273">
        <f>D25/'- 3 -'!$D25*100</f>
        <v>0.31251660493278333</v>
      </c>
    </row>
    <row r="26" spans="1:5" ht="14.1" customHeight="1">
      <c r="A26" s="15" t="s">
        <v>122</v>
      </c>
      <c r="B26" s="16">
        <v>0</v>
      </c>
      <c r="C26" s="267">
        <f>B26/'- 3 -'!$D26*100</f>
        <v>0</v>
      </c>
      <c r="D26" s="16">
        <v>0</v>
      </c>
      <c r="E26" s="267">
        <f>D26/'- 3 -'!$D26*100</f>
        <v>0</v>
      </c>
    </row>
    <row r="27" spans="1:5" ht="14.1" customHeight="1">
      <c r="A27" s="271" t="s">
        <v>123</v>
      </c>
      <c r="B27" s="272">
        <v>0</v>
      </c>
      <c r="C27" s="273">
        <f>B27/'- 3 -'!$D27*100</f>
        <v>0</v>
      </c>
      <c r="D27" s="272">
        <v>0</v>
      </c>
      <c r="E27" s="273">
        <f>D27/'- 3 -'!$D27*100</f>
        <v>0</v>
      </c>
    </row>
    <row r="28" spans="1:5" ht="14.1" customHeight="1">
      <c r="A28" s="15" t="s">
        <v>124</v>
      </c>
      <c r="B28" s="16">
        <v>0</v>
      </c>
      <c r="C28" s="267">
        <f>B28/'- 3 -'!$D28*100</f>
        <v>0</v>
      </c>
      <c r="D28" s="16">
        <v>117634</v>
      </c>
      <c r="E28" s="267">
        <f>D28/'- 3 -'!$D28*100</f>
        <v>0.41028901354675029</v>
      </c>
    </row>
    <row r="29" spans="1:5" ht="14.1" customHeight="1">
      <c r="A29" s="271" t="s">
        <v>125</v>
      </c>
      <c r="B29" s="272">
        <v>0</v>
      </c>
      <c r="C29" s="273">
        <f>B29/'- 3 -'!$D29*100</f>
        <v>0</v>
      </c>
      <c r="D29" s="272">
        <v>0</v>
      </c>
      <c r="E29" s="273">
        <f>D29/'- 3 -'!$D29*100</f>
        <v>0</v>
      </c>
    </row>
    <row r="30" spans="1:5" ht="14.1" customHeight="1">
      <c r="A30" s="15" t="s">
        <v>126</v>
      </c>
      <c r="B30" s="16">
        <v>0</v>
      </c>
      <c r="C30" s="267">
        <f>B30/'- 3 -'!$D30*100</f>
        <v>0</v>
      </c>
      <c r="D30" s="16">
        <v>0</v>
      </c>
      <c r="E30" s="267">
        <f>D30/'- 3 -'!$D30*100</f>
        <v>0</v>
      </c>
    </row>
    <row r="31" spans="1:5" ht="14.1" customHeight="1">
      <c r="A31" s="271" t="s">
        <v>127</v>
      </c>
      <c r="B31" s="272">
        <v>0</v>
      </c>
      <c r="C31" s="273">
        <f>B31/'- 3 -'!$D31*100</f>
        <v>0</v>
      </c>
      <c r="D31" s="272">
        <v>0</v>
      </c>
      <c r="E31" s="273">
        <f>D31/'- 3 -'!$D31*100</f>
        <v>0</v>
      </c>
    </row>
    <row r="32" spans="1:5" ht="14.1" customHeight="1">
      <c r="A32" s="15" t="s">
        <v>128</v>
      </c>
      <c r="B32" s="16">
        <v>63967</v>
      </c>
      <c r="C32" s="267">
        <f>B32/'- 3 -'!$D32*100</f>
        <v>0.21130167141283643</v>
      </c>
      <c r="D32" s="16">
        <v>221981</v>
      </c>
      <c r="E32" s="267">
        <f>D32/'- 3 -'!$D32*100</f>
        <v>0.73326803385953443</v>
      </c>
    </row>
    <row r="33" spans="1:5" ht="14.1" customHeight="1">
      <c r="A33" s="271" t="s">
        <v>129</v>
      </c>
      <c r="B33" s="272">
        <v>0</v>
      </c>
      <c r="C33" s="273">
        <f>B33/'- 3 -'!$D33*100</f>
        <v>0</v>
      </c>
      <c r="D33" s="272">
        <v>0</v>
      </c>
      <c r="E33" s="273">
        <f>D33/'- 3 -'!$D33*100</f>
        <v>0</v>
      </c>
    </row>
    <row r="34" spans="1:5" ht="14.1" customHeight="1">
      <c r="A34" s="15" t="s">
        <v>130</v>
      </c>
      <c r="B34" s="16">
        <v>0</v>
      </c>
      <c r="C34" s="267">
        <f>B34/'- 3 -'!$D34*100</f>
        <v>0</v>
      </c>
      <c r="D34" s="16">
        <v>0</v>
      </c>
      <c r="E34" s="267">
        <f>D34/'- 3 -'!$D34*100</f>
        <v>0</v>
      </c>
    </row>
    <row r="35" spans="1:5" ht="14.1" customHeight="1">
      <c r="A35" s="271" t="s">
        <v>131</v>
      </c>
      <c r="B35" s="272">
        <v>0</v>
      </c>
      <c r="C35" s="273">
        <f>B35/'- 3 -'!$D35*100</f>
        <v>0</v>
      </c>
      <c r="D35" s="272">
        <v>0</v>
      </c>
      <c r="E35" s="273">
        <f>D35/'- 3 -'!$D35*100</f>
        <v>0</v>
      </c>
    </row>
    <row r="36" spans="1:5" ht="14.1" customHeight="1">
      <c r="A36" s="15" t="s">
        <v>132</v>
      </c>
      <c r="B36" s="16">
        <v>0</v>
      </c>
      <c r="C36" s="267">
        <f>B36/'- 3 -'!$D36*100</f>
        <v>0</v>
      </c>
      <c r="D36" s="16">
        <v>0</v>
      </c>
      <c r="E36" s="267">
        <f>D36/'- 3 -'!$D36*100</f>
        <v>0</v>
      </c>
    </row>
    <row r="37" spans="1:5" ht="14.1" customHeight="1">
      <c r="A37" s="271" t="s">
        <v>133</v>
      </c>
      <c r="B37" s="272">
        <v>0</v>
      </c>
      <c r="C37" s="273">
        <f>B37/'- 3 -'!$D37*100</f>
        <v>0</v>
      </c>
      <c r="D37" s="272">
        <v>0</v>
      </c>
      <c r="E37" s="273">
        <f>D37/'- 3 -'!$D37*100</f>
        <v>0</v>
      </c>
    </row>
    <row r="38" spans="1:5" ht="14.1" customHeight="1">
      <c r="A38" s="15" t="s">
        <v>134</v>
      </c>
      <c r="B38" s="16">
        <v>216580</v>
      </c>
      <c r="C38" s="267">
        <f>B38/'- 3 -'!$D38*100</f>
        <v>0.15890540311754087</v>
      </c>
      <c r="D38" s="16">
        <v>695660</v>
      </c>
      <c r="E38" s="267">
        <f>D38/'- 3 -'!$D38*100</f>
        <v>0.51040785267683297</v>
      </c>
    </row>
    <row r="39" spans="1:5" ht="14.1" customHeight="1">
      <c r="A39" s="271" t="s">
        <v>135</v>
      </c>
      <c r="B39" s="272">
        <v>0</v>
      </c>
      <c r="C39" s="273">
        <f>B39/'- 3 -'!$D39*100</f>
        <v>0</v>
      </c>
      <c r="D39" s="272">
        <v>0</v>
      </c>
      <c r="E39" s="273">
        <f>D39/'- 3 -'!$D39*100</f>
        <v>0</v>
      </c>
    </row>
    <row r="40" spans="1:5" ht="14.1" customHeight="1">
      <c r="A40" s="15" t="s">
        <v>136</v>
      </c>
      <c r="B40" s="16">
        <v>0</v>
      </c>
      <c r="C40" s="267">
        <f>B40/'- 3 -'!$D40*100</f>
        <v>0</v>
      </c>
      <c r="D40" s="16">
        <v>0</v>
      </c>
      <c r="E40" s="267">
        <f>D40/'- 3 -'!$D40*100</f>
        <v>0</v>
      </c>
    </row>
    <row r="41" spans="1:5" ht="14.1" customHeight="1">
      <c r="A41" s="271" t="s">
        <v>137</v>
      </c>
      <c r="B41" s="272">
        <v>294965</v>
      </c>
      <c r="C41" s="273">
        <f>B41/'- 3 -'!$D41*100</f>
        <v>0.46132914845112649</v>
      </c>
      <c r="D41" s="272">
        <v>706994</v>
      </c>
      <c r="E41" s="273">
        <f>D41/'- 3 -'!$D41*100</f>
        <v>1.1057479361282041</v>
      </c>
    </row>
    <row r="42" spans="1:5" ht="14.1" customHeight="1">
      <c r="A42" s="15" t="s">
        <v>138</v>
      </c>
      <c r="B42" s="16">
        <v>0</v>
      </c>
      <c r="C42" s="267">
        <f>B42/'- 3 -'!$D42*100</f>
        <v>0</v>
      </c>
      <c r="D42" s="16">
        <v>0</v>
      </c>
      <c r="E42" s="267">
        <f>D42/'- 3 -'!$D42*100</f>
        <v>0</v>
      </c>
    </row>
    <row r="43" spans="1:5" ht="14.1" customHeight="1">
      <c r="A43" s="271" t="s">
        <v>139</v>
      </c>
      <c r="B43" s="272">
        <v>0</v>
      </c>
      <c r="C43" s="273">
        <f>B43/'- 3 -'!$D43*100</f>
        <v>0</v>
      </c>
      <c r="D43" s="272">
        <v>229524</v>
      </c>
      <c r="E43" s="273">
        <f>D43/'- 3 -'!$D43*100</f>
        <v>1.7194324922878967</v>
      </c>
    </row>
    <row r="44" spans="1:5" ht="14.1" customHeight="1">
      <c r="A44" s="15" t="s">
        <v>140</v>
      </c>
      <c r="B44" s="16">
        <v>0</v>
      </c>
      <c r="C44" s="267">
        <f>B44/'- 3 -'!$D44*100</f>
        <v>0</v>
      </c>
      <c r="D44" s="16">
        <v>0</v>
      </c>
      <c r="E44" s="267">
        <f>D44/'- 3 -'!$D44*100</f>
        <v>0</v>
      </c>
    </row>
    <row r="45" spans="1:5" ht="14.1" customHeight="1">
      <c r="A45" s="271" t="s">
        <v>141</v>
      </c>
      <c r="B45" s="272">
        <v>169627</v>
      </c>
      <c r="C45" s="273">
        <f>B45/'- 3 -'!$D45*100</f>
        <v>0.86484364958340398</v>
      </c>
      <c r="D45" s="272">
        <v>237006</v>
      </c>
      <c r="E45" s="273">
        <f>D45/'- 3 -'!$D45*100</f>
        <v>1.2083756360317888</v>
      </c>
    </row>
    <row r="46" spans="1:5" ht="14.1" customHeight="1">
      <c r="A46" s="15" t="s">
        <v>142</v>
      </c>
      <c r="B46" s="16">
        <v>118200</v>
      </c>
      <c r="C46" s="267">
        <f>B46/'- 3 -'!$D46*100</f>
        <v>3.0172211342300932E-2</v>
      </c>
      <c r="D46" s="16">
        <v>638500</v>
      </c>
      <c r="E46" s="267">
        <f>D46/'- 3 -'!$D46*100</f>
        <v>0.1629860993406019</v>
      </c>
    </row>
    <row r="47" spans="1:5" ht="5.0999999999999996" customHeight="1">
      <c r="A47"/>
      <c r="B47"/>
      <c r="C47"/>
      <c r="D47"/>
      <c r="E47"/>
    </row>
    <row r="48" spans="1:5" ht="14.1" customHeight="1">
      <c r="A48" s="274" t="s">
        <v>143</v>
      </c>
      <c r="B48" s="275">
        <f>SUM(B11:B46)</f>
        <v>1716847</v>
      </c>
      <c r="C48" s="276">
        <f>B48/'- 3 -'!$D48*100</f>
        <v>7.4281292817995739E-2</v>
      </c>
      <c r="D48" s="275">
        <f>SUM(D11:D46)</f>
        <v>6797701</v>
      </c>
      <c r="E48" s="276">
        <f>D48/'- 3 -'!$D48*100</f>
        <v>0.29411008579691866</v>
      </c>
    </row>
    <row r="49" spans="1:5" ht="5.0999999999999996" customHeight="1">
      <c r="A49" s="17" t="s">
        <v>1</v>
      </c>
      <c r="B49" s="18"/>
      <c r="C49" s="266"/>
      <c r="D49" s="18"/>
      <c r="E49" s="266"/>
    </row>
    <row r="50" spans="1:5" ht="14.1" customHeight="1">
      <c r="A50" s="15" t="s">
        <v>144</v>
      </c>
      <c r="B50" s="16">
        <v>0</v>
      </c>
      <c r="C50" s="267">
        <f>B50/'- 3 -'!$D50*100</f>
        <v>0</v>
      </c>
      <c r="D50" s="16">
        <v>0</v>
      </c>
      <c r="E50" s="267">
        <f>D50/'- 3 -'!$D50*100</f>
        <v>0</v>
      </c>
    </row>
    <row r="51" spans="1:5" ht="14.1" customHeight="1">
      <c r="A51" s="360" t="s">
        <v>523</v>
      </c>
      <c r="B51" s="272">
        <v>2552912</v>
      </c>
      <c r="C51" s="273">
        <f>B51/'- 3 -'!$D51*100</f>
        <v>8.635642836849291</v>
      </c>
      <c r="D51" s="272">
        <v>310223</v>
      </c>
      <c r="E51" s="273">
        <f>D51/'- 3 -'!$D51*100</f>
        <v>1.0493800913528932</v>
      </c>
    </row>
    <row r="52" spans="1:5" ht="50.1" customHeight="1"/>
    <row r="53" spans="1:5" ht="15" customHeight="1">
      <c r="A53" s="131"/>
    </row>
    <row r="54" spans="1:5" ht="14.45" customHeight="1"/>
    <row r="55" spans="1:5" ht="14.45" customHeight="1"/>
    <row r="56" spans="1:5" ht="14.45" customHeight="1"/>
    <row r="57" spans="1:5" ht="14.45" customHeight="1"/>
    <row r="58" spans="1:5" ht="14.45" customHeight="1">
      <c r="A58" s="20"/>
    </row>
    <row r="59" spans="1:5" ht="14.45" customHeight="1"/>
  </sheetData>
  <mergeCells count="3">
    <mergeCell ref="B6:C7"/>
    <mergeCell ref="B5:E5"/>
    <mergeCell ref="D6:E7"/>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xml><?xml version="1.0" encoding="utf-8"?>
<worksheet xmlns="http://schemas.openxmlformats.org/spreadsheetml/2006/main" xmlns:r="http://schemas.openxmlformats.org/officeDocument/2006/relationships">
  <sheetPr transitionEntry="1" codeName="Sheet1">
    <pageSetUpPr fitToPage="1"/>
  </sheetPr>
  <dimension ref="A1:BC65536"/>
  <sheetViews>
    <sheetView showGridLines="0" showZeros="0" workbookViewId="0"/>
  </sheetViews>
  <sheetFormatPr defaultColWidth="15.83203125" defaultRowHeight="12"/>
  <cols>
    <col min="1" max="1" width="32.83203125" style="1" customWidth="1"/>
    <col min="2" max="2" width="18.83203125" style="1" customWidth="1"/>
    <col min="3" max="3" width="19.83203125" style="1" customWidth="1"/>
    <col min="4" max="4" width="20.6640625" style="1" customWidth="1"/>
    <col min="5" max="5" width="19.83203125" style="1" customWidth="1"/>
    <col min="6" max="6" width="20.83203125" style="1" customWidth="1"/>
    <col min="7" max="16384" width="15.83203125" style="1"/>
  </cols>
  <sheetData>
    <row r="1" spans="1:55" ht="6.95" customHeight="1">
      <c r="A1" s="3"/>
      <c r="B1" s="4"/>
      <c r="C1" s="4"/>
      <c r="D1" s="4"/>
      <c r="E1" s="4"/>
      <c r="F1" s="4"/>
      <c r="BA1" s="164"/>
      <c r="BB1" s="164"/>
      <c r="BC1" s="164"/>
    </row>
    <row r="2" spans="1:55" ht="15.95" customHeight="1">
      <c r="A2" s="5" t="str">
        <f>IF(Lang=1,BA2,BB2)</f>
        <v>RECONCILIATION  OF  EXPENSES</v>
      </c>
      <c r="B2" s="6"/>
      <c r="C2" s="6"/>
      <c r="D2" s="6"/>
      <c r="E2" s="6"/>
      <c r="F2" s="6"/>
      <c r="BA2" s="457" t="s">
        <v>254</v>
      </c>
      <c r="BB2" s="458" t="s">
        <v>374</v>
      </c>
      <c r="BC2" s="164"/>
    </row>
    <row r="3" spans="1:55" ht="15.95" customHeight="1">
      <c r="A3" s="7" t="str">
        <f>IF(Lang=1,BA3,BB3)</f>
        <v>OPERATING FUND 2016/2017 BUDGET</v>
      </c>
      <c r="B3" s="8"/>
      <c r="C3" s="9"/>
      <c r="D3" s="8"/>
      <c r="E3" s="8"/>
      <c r="F3" s="8"/>
      <c r="BA3" s="458" t="str">
        <f>"OPERATING FUND "&amp;YEAR&amp;"/"&amp;YEAR+1&amp;" BUDGET"</f>
        <v>OPERATING FUND 2016/2017 BUDGET</v>
      </c>
      <c r="BB3" s="458" t="str">
        <f>"FONDS DE FONCTIONNEMENT – BUDGET "&amp;YEAR&amp;" - "&amp;YEAR+1</f>
        <v>FONDS DE FONCTIONNEMENT – BUDGET 2016 - 2017</v>
      </c>
      <c r="BC3" s="164"/>
    </row>
    <row r="4" spans="1:55" ht="15.95" customHeight="1">
      <c r="B4" s="4"/>
      <c r="C4" s="4"/>
      <c r="D4" s="4"/>
      <c r="E4" s="4"/>
      <c r="F4" s="4"/>
      <c r="BA4" s="164"/>
      <c r="BB4" s="164"/>
      <c r="BC4" s="164"/>
    </row>
    <row r="5" spans="1:55" ht="15.95" customHeight="1">
      <c r="B5" s="4"/>
      <c r="C5" s="4"/>
      <c r="D5" s="4"/>
      <c r="E5" s="4"/>
      <c r="F5" s="4"/>
      <c r="BA5" s="164"/>
      <c r="BB5" s="164"/>
      <c r="BC5" s="164"/>
    </row>
    <row r="6" spans="1:55" ht="15.95" customHeight="1">
      <c r="B6" s="10"/>
      <c r="C6" s="536" t="s">
        <v>369</v>
      </c>
      <c r="D6" s="539" t="s">
        <v>370</v>
      </c>
      <c r="E6" s="536" t="s">
        <v>371</v>
      </c>
      <c r="F6" s="536" t="s">
        <v>372</v>
      </c>
      <c r="BA6" s="164"/>
      <c r="BB6" s="164"/>
      <c r="BC6" s="164"/>
    </row>
    <row r="7" spans="1:55" ht="15.95" customHeight="1">
      <c r="B7" s="10"/>
      <c r="C7" s="537"/>
      <c r="D7" s="540"/>
      <c r="E7" s="537"/>
      <c r="F7" s="537"/>
    </row>
    <row r="8" spans="1:55" ht="15.95" customHeight="1">
      <c r="A8" s="12"/>
      <c r="B8" s="542" t="s">
        <v>373</v>
      </c>
      <c r="C8" s="537"/>
      <c r="D8" s="540"/>
      <c r="E8" s="537"/>
      <c r="F8" s="537"/>
    </row>
    <row r="9" spans="1:55">
      <c r="A9" s="13" t="s">
        <v>37</v>
      </c>
      <c r="B9" s="543"/>
      <c r="C9" s="538"/>
      <c r="D9" s="541"/>
      <c r="E9" s="538"/>
      <c r="F9" s="538"/>
    </row>
    <row r="10" spans="1:55" ht="5.0999999999999996" customHeight="1">
      <c r="A10" s="14"/>
    </row>
    <row r="11" spans="1:55" ht="14.1" customHeight="1">
      <c r="A11" s="271" t="s">
        <v>108</v>
      </c>
      <c r="B11" s="272">
        <v>19623608</v>
      </c>
      <c r="C11" s="272">
        <f>-Data!L11</f>
        <v>-61400</v>
      </c>
      <c r="D11" s="272">
        <f>B11+C11</f>
        <v>19562208</v>
      </c>
      <c r="E11" s="272">
        <f>-'- 15 -'!H11-'- 16 -'!B11</f>
        <v>-22100</v>
      </c>
      <c r="F11" s="272">
        <f>D11+E11</f>
        <v>19540108</v>
      </c>
    </row>
    <row r="12" spans="1:55" ht="14.1" customHeight="1">
      <c r="A12" s="15" t="s">
        <v>109</v>
      </c>
      <c r="B12" s="16">
        <v>35200567</v>
      </c>
      <c r="C12" s="16">
        <f>-Data!L12</f>
        <v>-281000</v>
      </c>
      <c r="D12" s="16">
        <f t="shared" ref="D12:D46" si="0">B12+C12</f>
        <v>34919567</v>
      </c>
      <c r="E12" s="16">
        <f>-'- 15 -'!H12-'- 16 -'!B12</f>
        <v>-695868</v>
      </c>
      <c r="F12" s="16">
        <f t="shared" ref="F12:F46" si="1">D12+E12</f>
        <v>34223699</v>
      </c>
    </row>
    <row r="13" spans="1:55" ht="14.1" customHeight="1">
      <c r="A13" s="271" t="s">
        <v>110</v>
      </c>
      <c r="B13" s="272">
        <v>98107700</v>
      </c>
      <c r="C13" s="272">
        <f>-Data!L13</f>
        <v>-139100</v>
      </c>
      <c r="D13" s="272">
        <f t="shared" si="0"/>
        <v>97968600</v>
      </c>
      <c r="E13" s="272">
        <f>-'- 15 -'!H13-'- 16 -'!B13</f>
        <v>-377200</v>
      </c>
      <c r="F13" s="272">
        <f t="shared" si="1"/>
        <v>97591400</v>
      </c>
    </row>
    <row r="14" spans="1:55" ht="14.1" customHeight="1">
      <c r="A14" s="15" t="s">
        <v>319</v>
      </c>
      <c r="B14" s="16">
        <v>86477735</v>
      </c>
      <c r="C14" s="16">
        <f>-Data!L14</f>
        <v>-263000</v>
      </c>
      <c r="D14" s="16">
        <f t="shared" si="0"/>
        <v>86214735</v>
      </c>
      <c r="E14" s="16">
        <f>-'- 15 -'!H14-'- 16 -'!B14</f>
        <v>-1665186</v>
      </c>
      <c r="F14" s="16">
        <f t="shared" si="1"/>
        <v>84549549</v>
      </c>
    </row>
    <row r="15" spans="1:55" ht="14.1" customHeight="1">
      <c r="A15" s="271" t="s">
        <v>111</v>
      </c>
      <c r="B15" s="272">
        <v>20473054</v>
      </c>
      <c r="C15" s="272">
        <f>-Data!L15</f>
        <v>-63500</v>
      </c>
      <c r="D15" s="272">
        <f t="shared" si="0"/>
        <v>20409554</v>
      </c>
      <c r="E15" s="272">
        <f>-'- 15 -'!H15-'- 16 -'!B15</f>
        <v>-75000</v>
      </c>
      <c r="F15" s="272">
        <f t="shared" si="1"/>
        <v>20334554</v>
      </c>
    </row>
    <row r="16" spans="1:55" ht="14.1" customHeight="1">
      <c r="A16" s="15" t="s">
        <v>112</v>
      </c>
      <c r="B16" s="16">
        <v>14618901</v>
      </c>
      <c r="C16" s="16">
        <f>-Data!L16</f>
        <v>0</v>
      </c>
      <c r="D16" s="16">
        <f t="shared" si="0"/>
        <v>14618901</v>
      </c>
      <c r="E16" s="16">
        <f>-'- 15 -'!H16-'- 16 -'!B16</f>
        <v>-102670</v>
      </c>
      <c r="F16" s="16">
        <f t="shared" si="1"/>
        <v>14516231</v>
      </c>
    </row>
    <row r="17" spans="1:6" ht="14.1" customHeight="1">
      <c r="A17" s="271" t="s">
        <v>113</v>
      </c>
      <c r="B17" s="272">
        <v>18295233</v>
      </c>
      <c r="C17" s="272">
        <f>-Data!L17</f>
        <v>-78650</v>
      </c>
      <c r="D17" s="272">
        <f t="shared" si="0"/>
        <v>18216583</v>
      </c>
      <c r="E17" s="272">
        <f>-'- 15 -'!H17-'- 16 -'!B17</f>
        <v>-380898</v>
      </c>
      <c r="F17" s="272">
        <f t="shared" si="1"/>
        <v>17835685</v>
      </c>
    </row>
    <row r="18" spans="1:6" ht="14.1" customHeight="1">
      <c r="A18" s="15" t="s">
        <v>114</v>
      </c>
      <c r="B18" s="16">
        <v>136619914</v>
      </c>
      <c r="C18" s="16">
        <f>-Data!L18</f>
        <v>-4681100</v>
      </c>
      <c r="D18" s="16">
        <f t="shared" si="0"/>
        <v>131938814</v>
      </c>
      <c r="E18" s="16">
        <f>-'- 15 -'!H18-'- 16 -'!B18</f>
        <v>-4563072</v>
      </c>
      <c r="F18" s="16">
        <f t="shared" si="1"/>
        <v>127375742</v>
      </c>
    </row>
    <row r="19" spans="1:6" ht="14.1" customHeight="1">
      <c r="A19" s="271" t="s">
        <v>115</v>
      </c>
      <c r="B19" s="272">
        <v>46895420</v>
      </c>
      <c r="C19" s="272">
        <f>-Data!L19</f>
        <v>-447000</v>
      </c>
      <c r="D19" s="272">
        <f t="shared" si="0"/>
        <v>46448420</v>
      </c>
      <c r="E19" s="272">
        <f>-'- 15 -'!H19-'- 16 -'!B19</f>
        <v>-72000</v>
      </c>
      <c r="F19" s="272">
        <f t="shared" si="1"/>
        <v>46376420</v>
      </c>
    </row>
    <row r="20" spans="1:6" ht="14.1" customHeight="1">
      <c r="A20" s="15" t="s">
        <v>116</v>
      </c>
      <c r="B20" s="16">
        <v>83779300</v>
      </c>
      <c r="C20" s="16">
        <f>-Data!L20</f>
        <v>-1489300</v>
      </c>
      <c r="D20" s="16">
        <f t="shared" si="0"/>
        <v>82290000</v>
      </c>
      <c r="E20" s="16">
        <f>-'- 15 -'!H20-'- 16 -'!B20</f>
        <v>-153200</v>
      </c>
      <c r="F20" s="16">
        <f t="shared" si="1"/>
        <v>82136800</v>
      </c>
    </row>
    <row r="21" spans="1:6" ht="14.1" customHeight="1">
      <c r="A21" s="271" t="s">
        <v>117</v>
      </c>
      <c r="B21" s="272">
        <v>36707000</v>
      </c>
      <c r="C21" s="272">
        <f>-Data!L21</f>
        <v>-335315</v>
      </c>
      <c r="D21" s="272">
        <f t="shared" si="0"/>
        <v>36371685</v>
      </c>
      <c r="E21" s="272">
        <f>-'- 15 -'!H21-'- 16 -'!B21</f>
        <v>-257000</v>
      </c>
      <c r="F21" s="272">
        <f t="shared" si="1"/>
        <v>36114685</v>
      </c>
    </row>
    <row r="22" spans="1:6" ht="14.1" customHeight="1">
      <c r="A22" s="15" t="s">
        <v>118</v>
      </c>
      <c r="B22" s="16">
        <v>20689762</v>
      </c>
      <c r="C22" s="16">
        <f>-Data!L22</f>
        <v>-18000</v>
      </c>
      <c r="D22" s="16">
        <f t="shared" si="0"/>
        <v>20671762</v>
      </c>
      <c r="E22" s="16">
        <f>-'- 15 -'!H22-'- 16 -'!B22</f>
        <v>-694845</v>
      </c>
      <c r="F22" s="16">
        <f t="shared" si="1"/>
        <v>19976917</v>
      </c>
    </row>
    <row r="23" spans="1:6" ht="14.1" customHeight="1">
      <c r="A23" s="271" t="s">
        <v>119</v>
      </c>
      <c r="B23" s="272">
        <v>16828451</v>
      </c>
      <c r="C23" s="272">
        <f>-Data!L23</f>
        <v>-35700</v>
      </c>
      <c r="D23" s="272">
        <f t="shared" si="0"/>
        <v>16792751</v>
      </c>
      <c r="E23" s="272">
        <f>-'- 15 -'!H23-'- 16 -'!B23</f>
        <v>-527630</v>
      </c>
      <c r="F23" s="272">
        <f t="shared" si="1"/>
        <v>16265121</v>
      </c>
    </row>
    <row r="24" spans="1:6" ht="14.1" customHeight="1">
      <c r="A24" s="15" t="s">
        <v>120</v>
      </c>
      <c r="B24" s="16">
        <v>58285042</v>
      </c>
      <c r="C24" s="16">
        <f>-Data!L24</f>
        <v>-177865</v>
      </c>
      <c r="D24" s="16">
        <f t="shared" si="0"/>
        <v>58107177</v>
      </c>
      <c r="E24" s="16">
        <f>-'- 15 -'!H24-'- 16 -'!B24</f>
        <v>-794200</v>
      </c>
      <c r="F24" s="16">
        <f t="shared" si="1"/>
        <v>57312977</v>
      </c>
    </row>
    <row r="25" spans="1:6" ht="14.1" customHeight="1">
      <c r="A25" s="271" t="s">
        <v>121</v>
      </c>
      <c r="B25" s="272">
        <v>175834757</v>
      </c>
      <c r="C25" s="272">
        <f>-Data!L25</f>
        <v>-1131400</v>
      </c>
      <c r="D25" s="272">
        <f t="shared" si="0"/>
        <v>174703357</v>
      </c>
      <c r="E25" s="272">
        <f>-'- 15 -'!H25-'- 16 -'!B25</f>
        <v>-2463213</v>
      </c>
      <c r="F25" s="272">
        <f t="shared" si="1"/>
        <v>172240144</v>
      </c>
    </row>
    <row r="26" spans="1:6" ht="14.1" customHeight="1">
      <c r="A26" s="15" t="s">
        <v>122</v>
      </c>
      <c r="B26" s="16">
        <v>40826697</v>
      </c>
      <c r="C26" s="16">
        <f>-Data!L26</f>
        <v>-7500</v>
      </c>
      <c r="D26" s="16">
        <f t="shared" si="0"/>
        <v>40819197</v>
      </c>
      <c r="E26" s="16">
        <f>-'- 15 -'!H26-'- 16 -'!B26</f>
        <v>-107500</v>
      </c>
      <c r="F26" s="16">
        <f t="shared" si="1"/>
        <v>40711697</v>
      </c>
    </row>
    <row r="27" spans="1:6" ht="14.1" customHeight="1">
      <c r="A27" s="271" t="s">
        <v>123</v>
      </c>
      <c r="B27" s="272">
        <v>43776300</v>
      </c>
      <c r="C27" s="272">
        <f>-Data!L27</f>
        <v>-10300</v>
      </c>
      <c r="D27" s="272">
        <f t="shared" si="0"/>
        <v>43766000</v>
      </c>
      <c r="E27" s="272">
        <f>-'- 15 -'!H27-'- 16 -'!B27</f>
        <v>-53722</v>
      </c>
      <c r="F27" s="272">
        <f t="shared" si="1"/>
        <v>43712278</v>
      </c>
    </row>
    <row r="28" spans="1:6" ht="14.1" customHeight="1">
      <c r="A28" s="15" t="s">
        <v>124</v>
      </c>
      <c r="B28" s="16">
        <v>28821009</v>
      </c>
      <c r="C28" s="16">
        <f>-Data!L28</f>
        <v>-150000</v>
      </c>
      <c r="D28" s="16">
        <f t="shared" si="0"/>
        <v>28671009</v>
      </c>
      <c r="E28" s="16">
        <f>-'- 15 -'!H28-'- 16 -'!B28</f>
        <v>-233708</v>
      </c>
      <c r="F28" s="16">
        <f t="shared" si="1"/>
        <v>28437301</v>
      </c>
    </row>
    <row r="29" spans="1:6" ht="14.1" customHeight="1">
      <c r="A29" s="271" t="s">
        <v>125</v>
      </c>
      <c r="B29" s="272">
        <v>160367597</v>
      </c>
      <c r="C29" s="272">
        <f>-Data!L29</f>
        <v>-2039000</v>
      </c>
      <c r="D29" s="272">
        <f t="shared" si="0"/>
        <v>158328597</v>
      </c>
      <c r="E29" s="272">
        <f>-'- 15 -'!H29-'- 16 -'!B29</f>
        <v>-541094</v>
      </c>
      <c r="F29" s="272">
        <f t="shared" si="1"/>
        <v>157787503</v>
      </c>
    </row>
    <row r="30" spans="1:6" ht="14.1" customHeight="1">
      <c r="A30" s="15" t="s">
        <v>126</v>
      </c>
      <c r="B30" s="16">
        <v>14754395</v>
      </c>
      <c r="C30" s="16">
        <f>-Data!L30</f>
        <v>-44587</v>
      </c>
      <c r="D30" s="16">
        <f t="shared" si="0"/>
        <v>14709808</v>
      </c>
      <c r="E30" s="16">
        <f>-'- 15 -'!H30-'- 16 -'!B30</f>
        <v>-10880</v>
      </c>
      <c r="F30" s="16">
        <f t="shared" si="1"/>
        <v>14698928</v>
      </c>
    </row>
    <row r="31" spans="1:6" ht="14.1" customHeight="1">
      <c r="A31" s="271" t="s">
        <v>127</v>
      </c>
      <c r="B31" s="272">
        <v>37716076</v>
      </c>
      <c r="C31" s="272">
        <f>-Data!L31</f>
        <v>-43000</v>
      </c>
      <c r="D31" s="272">
        <f t="shared" si="0"/>
        <v>37673076</v>
      </c>
      <c r="E31" s="272">
        <f>-'- 15 -'!H31-'- 16 -'!B31</f>
        <v>-51955</v>
      </c>
      <c r="F31" s="272">
        <f t="shared" si="1"/>
        <v>37621121</v>
      </c>
    </row>
    <row r="32" spans="1:6" ht="14.1" customHeight="1">
      <c r="A32" s="15" t="s">
        <v>128</v>
      </c>
      <c r="B32" s="16">
        <v>30448882</v>
      </c>
      <c r="C32" s="16">
        <f>-Data!L32</f>
        <v>-176050</v>
      </c>
      <c r="D32" s="16">
        <f t="shared" si="0"/>
        <v>30272832</v>
      </c>
      <c r="E32" s="16">
        <f>-'- 15 -'!H32-'- 16 -'!B32</f>
        <v>-320118</v>
      </c>
      <c r="F32" s="16">
        <f t="shared" si="1"/>
        <v>29952714</v>
      </c>
    </row>
    <row r="33" spans="1:7" ht="14.1" customHeight="1">
      <c r="A33" s="271" t="s">
        <v>129</v>
      </c>
      <c r="B33" s="272">
        <v>28023650</v>
      </c>
      <c r="C33" s="272">
        <f>-Data!L33</f>
        <v>-92500</v>
      </c>
      <c r="D33" s="272">
        <f t="shared" si="0"/>
        <v>27931150</v>
      </c>
      <c r="E33" s="272">
        <f>-'- 15 -'!H33-'- 16 -'!B33</f>
        <v>-32000</v>
      </c>
      <c r="F33" s="272">
        <f t="shared" si="1"/>
        <v>27899150</v>
      </c>
    </row>
    <row r="34" spans="1:7" ht="14.1" customHeight="1">
      <c r="A34" s="15" t="s">
        <v>130</v>
      </c>
      <c r="B34" s="16">
        <v>29990775</v>
      </c>
      <c r="C34" s="16">
        <f>-Data!L34</f>
        <v>-435519</v>
      </c>
      <c r="D34" s="16">
        <f t="shared" si="0"/>
        <v>29555256</v>
      </c>
      <c r="E34" s="16">
        <f>-'- 15 -'!H34-'- 16 -'!B34</f>
        <v>-65791</v>
      </c>
      <c r="F34" s="16">
        <f t="shared" si="1"/>
        <v>29489465</v>
      </c>
    </row>
    <row r="35" spans="1:7" ht="14.1" customHeight="1">
      <c r="A35" s="271" t="s">
        <v>131</v>
      </c>
      <c r="B35" s="272">
        <v>181091869</v>
      </c>
      <c r="C35" s="272">
        <f>-Data!L35</f>
        <v>-48300</v>
      </c>
      <c r="D35" s="272">
        <f t="shared" si="0"/>
        <v>181043569</v>
      </c>
      <c r="E35" s="272">
        <f>-'- 15 -'!H35-'- 16 -'!B35</f>
        <v>-569790</v>
      </c>
      <c r="F35" s="272">
        <f t="shared" si="1"/>
        <v>180473779</v>
      </c>
    </row>
    <row r="36" spans="1:7" ht="14.1" customHeight="1">
      <c r="A36" s="15" t="s">
        <v>132</v>
      </c>
      <c r="B36" s="16">
        <v>24015155</v>
      </c>
      <c r="C36" s="16">
        <f>-Data!L36</f>
        <v>-347900</v>
      </c>
      <c r="D36" s="16">
        <f t="shared" si="0"/>
        <v>23667255</v>
      </c>
      <c r="E36" s="16">
        <f>-'- 15 -'!H36-'- 16 -'!B36</f>
        <v>-61195</v>
      </c>
      <c r="F36" s="16">
        <f t="shared" si="1"/>
        <v>23606060</v>
      </c>
    </row>
    <row r="37" spans="1:7" ht="14.1" customHeight="1">
      <c r="A37" s="271" t="s">
        <v>133</v>
      </c>
      <c r="B37" s="272">
        <v>50504000</v>
      </c>
      <c r="C37" s="272">
        <f>-Data!L37</f>
        <v>-509900</v>
      </c>
      <c r="D37" s="272">
        <f t="shared" si="0"/>
        <v>49994100</v>
      </c>
      <c r="E37" s="272">
        <f>-'- 15 -'!H37-'- 16 -'!B37</f>
        <v>-368005</v>
      </c>
      <c r="F37" s="272">
        <f t="shared" si="1"/>
        <v>49626095</v>
      </c>
    </row>
    <row r="38" spans="1:7" ht="14.1" customHeight="1">
      <c r="A38" s="15" t="s">
        <v>134</v>
      </c>
      <c r="B38" s="16">
        <v>137507425</v>
      </c>
      <c r="C38" s="16">
        <f>-Data!L38</f>
        <v>-1212500</v>
      </c>
      <c r="D38" s="16">
        <f t="shared" si="0"/>
        <v>136294925</v>
      </c>
      <c r="E38" s="16">
        <f>-'- 15 -'!H38-'- 16 -'!B38</f>
        <v>-3064390</v>
      </c>
      <c r="F38" s="16">
        <f t="shared" si="1"/>
        <v>133230535</v>
      </c>
    </row>
    <row r="39" spans="1:7" ht="14.1" customHeight="1">
      <c r="A39" s="271" t="s">
        <v>135</v>
      </c>
      <c r="B39" s="272">
        <v>23073679</v>
      </c>
      <c r="C39" s="272">
        <f>-Data!L39</f>
        <v>-175000</v>
      </c>
      <c r="D39" s="272">
        <f t="shared" si="0"/>
        <v>22898679</v>
      </c>
      <c r="E39" s="272">
        <f>-'- 15 -'!H39-'- 16 -'!B39</f>
        <v>-152000</v>
      </c>
      <c r="F39" s="272">
        <f t="shared" si="1"/>
        <v>22746679</v>
      </c>
    </row>
    <row r="40" spans="1:7" ht="14.1" customHeight="1">
      <c r="A40" s="15" t="s">
        <v>136</v>
      </c>
      <c r="B40" s="16">
        <v>105912508</v>
      </c>
      <c r="C40" s="16">
        <f>-Data!L40</f>
        <v>-463000</v>
      </c>
      <c r="D40" s="16">
        <f t="shared" si="0"/>
        <v>105449508</v>
      </c>
      <c r="E40" s="16">
        <f>-'- 15 -'!H40-'- 16 -'!B40</f>
        <v>-1014162</v>
      </c>
      <c r="F40" s="16">
        <f t="shared" si="1"/>
        <v>104435346</v>
      </c>
    </row>
    <row r="41" spans="1:7" ht="14.1" customHeight="1">
      <c r="A41" s="271" t="s">
        <v>137</v>
      </c>
      <c r="B41" s="272">
        <v>64660580</v>
      </c>
      <c r="C41" s="272">
        <f>-Data!L41</f>
        <v>-722500</v>
      </c>
      <c r="D41" s="272">
        <f t="shared" si="0"/>
        <v>63938080</v>
      </c>
      <c r="E41" s="272">
        <f>-'- 15 -'!H41-'- 16 -'!B41</f>
        <v>-1289151</v>
      </c>
      <c r="F41" s="272">
        <f t="shared" si="1"/>
        <v>62648929</v>
      </c>
    </row>
    <row r="42" spans="1:7" ht="14.1" customHeight="1">
      <c r="A42" s="15" t="s">
        <v>138</v>
      </c>
      <c r="B42" s="16">
        <v>21115770</v>
      </c>
      <c r="C42" s="16">
        <f>-Data!L42</f>
        <v>-2600</v>
      </c>
      <c r="D42" s="16">
        <f t="shared" si="0"/>
        <v>21113170</v>
      </c>
      <c r="E42" s="16">
        <f>-'- 15 -'!H42-'- 16 -'!B42</f>
        <v>-199053</v>
      </c>
      <c r="F42" s="16">
        <f t="shared" si="1"/>
        <v>20914117</v>
      </c>
    </row>
    <row r="43" spans="1:7" ht="14.1" customHeight="1">
      <c r="A43" s="271" t="s">
        <v>139</v>
      </c>
      <c r="B43" s="272">
        <v>13374823</v>
      </c>
      <c r="C43" s="272">
        <f>-Data!L43</f>
        <v>-26000</v>
      </c>
      <c r="D43" s="272">
        <f t="shared" si="0"/>
        <v>13348823</v>
      </c>
      <c r="E43" s="272">
        <f>-'- 15 -'!H43-'- 16 -'!B43</f>
        <v>-241764</v>
      </c>
      <c r="F43" s="272">
        <f t="shared" si="1"/>
        <v>13107059</v>
      </c>
    </row>
    <row r="44" spans="1:7" ht="14.1" customHeight="1">
      <c r="A44" s="15" t="s">
        <v>140</v>
      </c>
      <c r="B44" s="16">
        <v>11412245</v>
      </c>
      <c r="C44" s="16">
        <f>-Data!L44</f>
        <v>-208437</v>
      </c>
      <c r="D44" s="16">
        <f t="shared" si="0"/>
        <v>11203808</v>
      </c>
      <c r="E44" s="16">
        <f>-'- 15 -'!H44-'- 16 -'!B44</f>
        <v>-24414</v>
      </c>
      <c r="F44" s="16">
        <f t="shared" si="1"/>
        <v>11179394</v>
      </c>
    </row>
    <row r="45" spans="1:7" ht="14.1" customHeight="1">
      <c r="A45" s="271" t="s">
        <v>141</v>
      </c>
      <c r="B45" s="272">
        <v>19861353</v>
      </c>
      <c r="C45" s="272">
        <f>-Data!L45</f>
        <v>-247750</v>
      </c>
      <c r="D45" s="272">
        <f t="shared" si="0"/>
        <v>19613603</v>
      </c>
      <c r="E45" s="272">
        <f>-'- 15 -'!H45-'- 16 -'!B45</f>
        <v>-461558</v>
      </c>
      <c r="F45" s="272">
        <f t="shared" si="1"/>
        <v>19152045</v>
      </c>
    </row>
    <row r="46" spans="1:7" ht="14.1" customHeight="1">
      <c r="A46" s="15" t="s">
        <v>142</v>
      </c>
      <c r="B46" s="16">
        <v>394256700</v>
      </c>
      <c r="C46" s="16">
        <f>-Data!L46</f>
        <v>-2505500</v>
      </c>
      <c r="D46" s="16">
        <f t="shared" si="0"/>
        <v>391751200</v>
      </c>
      <c r="E46" s="16">
        <f>-'- 15 -'!H46-'- 16 -'!B46</f>
        <v>-9952000</v>
      </c>
      <c r="F46" s="16">
        <f t="shared" si="1"/>
        <v>381799200</v>
      </c>
    </row>
    <row r="47" spans="1:7" ht="5.0999999999999996" customHeight="1">
      <c r="A47"/>
      <c r="B47"/>
      <c r="C47"/>
      <c r="D47"/>
      <c r="E47"/>
      <c r="F47"/>
      <c r="G47"/>
    </row>
    <row r="48" spans="1:7" ht="14.1" customHeight="1">
      <c r="A48" s="274" t="s">
        <v>143</v>
      </c>
      <c r="B48" s="275">
        <f>SUM(B11:B46)</f>
        <v>2329947932</v>
      </c>
      <c r="C48" s="275">
        <f>SUM(C11:C46)</f>
        <v>-18670173</v>
      </c>
      <c r="D48" s="275">
        <f>SUM(D11:D46)</f>
        <v>2311277759</v>
      </c>
      <c r="E48" s="275">
        <f>SUM(E11:E46)</f>
        <v>-31658332</v>
      </c>
      <c r="F48" s="275">
        <f>SUM(F11:F46)</f>
        <v>2279619427</v>
      </c>
    </row>
    <row r="49" spans="1:6" ht="5.0999999999999996" customHeight="1">
      <c r="A49" s="17" t="s">
        <v>1</v>
      </c>
      <c r="B49" s="18"/>
      <c r="C49" s="18"/>
      <c r="D49" s="18"/>
      <c r="E49" s="18"/>
      <c r="F49" s="18"/>
    </row>
    <row r="50" spans="1:6" ht="14.1" customHeight="1">
      <c r="A50" s="15" t="s">
        <v>144</v>
      </c>
      <c r="B50" s="16">
        <v>3468806</v>
      </c>
      <c r="C50" s="16">
        <f>-Data!L50</f>
        <v>-13000</v>
      </c>
      <c r="D50" s="16">
        <f>B50+C50</f>
        <v>3455806</v>
      </c>
      <c r="E50" s="16">
        <f>-'- 15 -'!H50-'- 16 -'!B50</f>
        <v>-187427</v>
      </c>
      <c r="F50" s="16">
        <f>D50+E50</f>
        <v>3268379</v>
      </c>
    </row>
    <row r="51" spans="1:6" ht="14.1" customHeight="1">
      <c r="A51" s="360" t="s">
        <v>523</v>
      </c>
      <c r="B51" s="272">
        <v>29937429</v>
      </c>
      <c r="C51" s="272">
        <f>-Data!L51</f>
        <v>-374928</v>
      </c>
      <c r="D51" s="272">
        <f>B51+C51</f>
        <v>29562501</v>
      </c>
      <c r="E51" s="272">
        <f>-'- 15 -'!H51-'- 16 -'!B51</f>
        <v>-14754550</v>
      </c>
      <c r="F51" s="272">
        <f>D51+E51</f>
        <v>14807951</v>
      </c>
    </row>
    <row r="52" spans="1:6" ht="50.1" customHeight="1">
      <c r="A52" s="19"/>
      <c r="B52" s="19"/>
      <c r="C52" s="19"/>
      <c r="D52" s="19"/>
      <c r="E52" s="19"/>
      <c r="F52" s="19"/>
    </row>
    <row r="53" spans="1:6" ht="15" customHeight="1">
      <c r="A53" s="2" t="s">
        <v>327</v>
      </c>
      <c r="B53" s="20"/>
      <c r="C53" s="20"/>
      <c r="D53" s="20"/>
      <c r="E53" s="20"/>
      <c r="F53" s="20"/>
    </row>
    <row r="54" spans="1:6" ht="12" customHeight="1">
      <c r="A54" s="427" t="s">
        <v>328</v>
      </c>
      <c r="B54" s="20"/>
      <c r="C54" s="20"/>
      <c r="D54" s="20"/>
      <c r="E54" s="20"/>
      <c r="F54" s="20"/>
    </row>
    <row r="55" spans="1:6" ht="12" customHeight="1">
      <c r="A55" s="356" t="s">
        <v>362</v>
      </c>
      <c r="B55" s="20"/>
      <c r="C55" s="20"/>
      <c r="D55" s="20"/>
      <c r="E55" s="20"/>
      <c r="F55" s="20"/>
    </row>
    <row r="56" spans="1:6" ht="12" customHeight="1">
      <c r="A56" s="427" t="s">
        <v>329</v>
      </c>
      <c r="B56" s="20"/>
      <c r="C56" s="20"/>
      <c r="D56" s="20"/>
      <c r="E56" s="20"/>
      <c r="F56" s="20"/>
    </row>
    <row r="57" spans="1:6" ht="12" customHeight="1">
      <c r="A57" s="427" t="s">
        <v>330</v>
      </c>
    </row>
    <row r="58" spans="1:6" ht="12" customHeight="1">
      <c r="A58" s="427" t="s">
        <v>331</v>
      </c>
    </row>
    <row r="59" spans="1:6" ht="14.45" customHeight="1"/>
    <row r="64" spans="1:6">
      <c r="B64" s="1">
        <v>0</v>
      </c>
    </row>
    <row r="65536" spans="2:2">
      <c r="B65536" s="1">
        <v>0</v>
      </c>
    </row>
  </sheetData>
  <mergeCells count="5">
    <mergeCell ref="C6:C9"/>
    <mergeCell ref="D6:D9"/>
    <mergeCell ref="E6:E9"/>
    <mergeCell ref="F6:F9"/>
    <mergeCell ref="B8:B9"/>
  </mergeCells>
  <phoneticPr fontId="0" type="noConversion"/>
  <printOptions horizontalCentered="1"/>
  <pageMargins left="0.5" right="0.5" top="0.6" bottom="0" header="0.3" footer="0"/>
  <pageSetup scale="90" orientation="portrait" horizontalDpi="1200" verticalDpi="1200" r:id="rId1"/>
  <headerFooter alignWithMargins="0">
    <oddHeader>&amp;C&amp;"Arial,Bold"&amp;10&amp;A</oddHeader>
  </headerFooter>
</worksheet>
</file>

<file path=xl/worksheets/sheet20.xml><?xml version="1.0" encoding="utf-8"?>
<worksheet xmlns="http://schemas.openxmlformats.org/spreadsheetml/2006/main" xmlns:r="http://schemas.openxmlformats.org/officeDocument/2006/relationships">
  <sheetPr codeName="Sheet20">
    <pageSetUpPr fitToPage="1"/>
  </sheetPr>
  <dimension ref="A1:I59"/>
  <sheetViews>
    <sheetView showGridLines="0" showZeros="0" workbookViewId="0"/>
  </sheetViews>
  <sheetFormatPr defaultColWidth="15.83203125" defaultRowHeight="12"/>
  <cols>
    <col min="1" max="1" width="29.33203125" style="1" customWidth="1"/>
    <col min="2" max="2" width="12.83203125" style="1" customWidth="1"/>
    <col min="3" max="3" width="8.83203125" style="1" customWidth="1"/>
    <col min="4" max="4" width="16.83203125" style="1" customWidth="1"/>
    <col min="5" max="5" width="8.83203125" style="1" customWidth="1"/>
    <col min="6" max="6" width="16.1640625" style="1" customWidth="1"/>
    <col min="7" max="7" width="8.83203125" style="1" customWidth="1"/>
    <col min="8" max="8" width="15.33203125" style="1" customWidth="1"/>
    <col min="9" max="9" width="8.83203125" style="1" customWidth="1"/>
    <col min="10" max="16384" width="15.83203125" style="1"/>
  </cols>
  <sheetData>
    <row r="1" spans="1:9" ht="6.95" customHeight="1">
      <c r="A1" s="3"/>
      <c r="B1" s="4"/>
      <c r="C1" s="4"/>
      <c r="D1" s="4"/>
      <c r="E1" s="4"/>
      <c r="F1" s="4"/>
      <c r="G1" s="4"/>
      <c r="H1" s="4"/>
      <c r="I1" s="4"/>
    </row>
    <row r="2" spans="1:9" ht="15.95" customHeight="1">
      <c r="A2" s="132"/>
      <c r="B2" s="5" t="str">
        <f>AEXP_BP</f>
        <v>ANALYSIS OF EXPENSE BY PROGRAM</v>
      </c>
      <c r="C2" s="6"/>
      <c r="D2" s="6"/>
      <c r="E2" s="6"/>
      <c r="F2" s="6"/>
      <c r="G2" s="85"/>
      <c r="H2" s="85"/>
      <c r="I2" s="503" t="s">
        <v>539</v>
      </c>
    </row>
    <row r="3" spans="1:9" ht="15.95" customHeight="1">
      <c r="A3" s="135"/>
      <c r="B3" s="7" t="str">
        <f>OPYEAR</f>
        <v>OPERATING FUND 2016/2017 BUDGET</v>
      </c>
      <c r="C3" s="8"/>
      <c r="D3" s="8"/>
      <c r="E3" s="8"/>
      <c r="F3" s="8"/>
      <c r="G3" s="87"/>
      <c r="H3" s="87"/>
      <c r="I3" s="81"/>
    </row>
    <row r="4" spans="1:9" ht="15.95" customHeight="1">
      <c r="B4" s="4"/>
      <c r="C4" s="4"/>
      <c r="D4" s="4"/>
      <c r="E4" s="4"/>
      <c r="F4" s="4"/>
      <c r="G4" s="4"/>
      <c r="H4" s="4"/>
      <c r="I4" s="4"/>
    </row>
    <row r="5" spans="1:9" ht="15.95" customHeight="1">
      <c r="B5" s="677" t="s">
        <v>7</v>
      </c>
      <c r="C5" s="678"/>
      <c r="D5" s="667"/>
      <c r="E5" s="667"/>
      <c r="F5" s="667"/>
      <c r="G5" s="667"/>
      <c r="H5" s="667"/>
      <c r="I5" s="668"/>
    </row>
    <row r="6" spans="1:9" ht="15.95" customHeight="1">
      <c r="B6" s="504"/>
      <c r="C6" s="505"/>
      <c r="D6" s="628" t="s">
        <v>421</v>
      </c>
      <c r="E6" s="619"/>
      <c r="F6" s="301"/>
      <c r="G6" s="302"/>
      <c r="H6" s="268"/>
      <c r="I6" s="270"/>
    </row>
    <row r="7" spans="1:9" ht="15.95" customHeight="1">
      <c r="B7" s="679" t="s">
        <v>419</v>
      </c>
      <c r="C7" s="680"/>
      <c r="D7" s="683"/>
      <c r="E7" s="684"/>
      <c r="F7" s="685" t="s">
        <v>422</v>
      </c>
      <c r="G7" s="684"/>
      <c r="H7" s="685" t="s">
        <v>423</v>
      </c>
      <c r="I7" s="684"/>
    </row>
    <row r="8" spans="1:9" ht="15.95" customHeight="1">
      <c r="A8" s="249"/>
      <c r="B8" s="681"/>
      <c r="C8" s="682"/>
      <c r="D8" s="629"/>
      <c r="E8" s="621"/>
      <c r="F8" s="620"/>
      <c r="G8" s="621"/>
      <c r="H8" s="620"/>
      <c r="I8" s="621"/>
    </row>
    <row r="9" spans="1:9" ht="15.95" customHeight="1">
      <c r="A9" s="27" t="s">
        <v>37</v>
      </c>
      <c r="B9" s="89" t="s">
        <v>38</v>
      </c>
      <c r="C9" s="89" t="s">
        <v>39</v>
      </c>
      <c r="D9" s="151" t="s">
        <v>38</v>
      </c>
      <c r="E9" s="151" t="s">
        <v>39</v>
      </c>
      <c r="F9" s="151" t="s">
        <v>38</v>
      </c>
      <c r="G9" s="151" t="s">
        <v>39</v>
      </c>
      <c r="H9" s="151" t="s">
        <v>38</v>
      </c>
      <c r="I9" s="151" t="s">
        <v>39</v>
      </c>
    </row>
    <row r="10" spans="1:9" ht="5.0999999999999996" customHeight="1">
      <c r="A10" s="29"/>
    </row>
    <row r="11" spans="1:9" ht="14.1" customHeight="1">
      <c r="A11" s="271" t="s">
        <v>108</v>
      </c>
      <c r="B11" s="272">
        <v>0</v>
      </c>
      <c r="C11" s="273">
        <f>B11/'- 3 -'!$D11*100</f>
        <v>0</v>
      </c>
      <c r="D11" s="272">
        <v>0</v>
      </c>
      <c r="E11" s="273">
        <f>D11/'- 3 -'!$D11*100</f>
        <v>0</v>
      </c>
      <c r="F11" s="272">
        <v>0</v>
      </c>
      <c r="G11" s="273">
        <f>F11/'- 3 -'!$D11*100</f>
        <v>0</v>
      </c>
      <c r="H11" s="272">
        <v>22100</v>
      </c>
      <c r="I11" s="273">
        <f>H11/'- 3 -'!$D11*100</f>
        <v>0.11297293229884889</v>
      </c>
    </row>
    <row r="12" spans="1:9" ht="14.1" customHeight="1">
      <c r="A12" s="15" t="s">
        <v>109</v>
      </c>
      <c r="B12" s="16">
        <v>0</v>
      </c>
      <c r="C12" s="267">
        <f>B12/'- 3 -'!$D12*100</f>
        <v>0</v>
      </c>
      <c r="D12" s="16">
        <v>0</v>
      </c>
      <c r="E12" s="267">
        <f>D12/'- 3 -'!$D12*100</f>
        <v>0</v>
      </c>
      <c r="F12" s="16">
        <v>0</v>
      </c>
      <c r="G12" s="267">
        <f>F12/'- 3 -'!$D12*100</f>
        <v>0</v>
      </c>
      <c r="H12" s="16">
        <v>55800</v>
      </c>
      <c r="I12" s="267">
        <f>H12/'- 3 -'!$D12*100</f>
        <v>0.15979579586424997</v>
      </c>
    </row>
    <row r="13" spans="1:9" ht="14.1" customHeight="1">
      <c r="A13" s="271" t="s">
        <v>110</v>
      </c>
      <c r="B13" s="272">
        <v>0</v>
      </c>
      <c r="C13" s="273">
        <f>B13/'- 3 -'!$D13*100</f>
        <v>0</v>
      </c>
      <c r="D13" s="272">
        <v>0</v>
      </c>
      <c r="E13" s="273">
        <f>D13/'- 3 -'!$D13*100</f>
        <v>0</v>
      </c>
      <c r="F13" s="272">
        <v>191100</v>
      </c>
      <c r="G13" s="273">
        <f>F13/'- 3 -'!$D13*100</f>
        <v>0.1950624996172243</v>
      </c>
      <c r="H13" s="272">
        <v>186100</v>
      </c>
      <c r="I13" s="273">
        <f>H13/'- 3 -'!$D13*100</f>
        <v>0.18995882354142041</v>
      </c>
    </row>
    <row r="14" spans="1:9" ht="14.1" customHeight="1">
      <c r="A14" s="15" t="s">
        <v>319</v>
      </c>
      <c r="B14" s="16">
        <v>0</v>
      </c>
      <c r="C14" s="267">
        <f>B14/'- 3 -'!$D14*100</f>
        <v>0</v>
      </c>
      <c r="D14" s="16">
        <v>0</v>
      </c>
      <c r="E14" s="267">
        <f>D14/'- 3 -'!$D14*100</f>
        <v>0</v>
      </c>
      <c r="F14" s="16">
        <v>0</v>
      </c>
      <c r="G14" s="267">
        <f>F14/'- 3 -'!$D14*100</f>
        <v>0</v>
      </c>
      <c r="H14" s="16">
        <v>1410946</v>
      </c>
      <c r="I14" s="267">
        <f>H14/'- 3 -'!$D14*100</f>
        <v>1.6365485551860712</v>
      </c>
    </row>
    <row r="15" spans="1:9" ht="14.1" customHeight="1">
      <c r="A15" s="271" t="s">
        <v>111</v>
      </c>
      <c r="B15" s="272">
        <v>0</v>
      </c>
      <c r="C15" s="273">
        <f>B15/'- 3 -'!$D15*100</f>
        <v>0</v>
      </c>
      <c r="D15" s="272">
        <v>0</v>
      </c>
      <c r="E15" s="273">
        <f>D15/'- 3 -'!$D15*100</f>
        <v>0</v>
      </c>
      <c r="F15" s="272">
        <v>0</v>
      </c>
      <c r="G15" s="273">
        <f>F15/'- 3 -'!$D15*100</f>
        <v>0</v>
      </c>
      <c r="H15" s="272">
        <v>75000</v>
      </c>
      <c r="I15" s="273">
        <f>H15/'- 3 -'!$D15*100</f>
        <v>0.36747495805150865</v>
      </c>
    </row>
    <row r="16" spans="1:9" ht="14.1" customHeight="1">
      <c r="A16" s="15" t="s">
        <v>112</v>
      </c>
      <c r="B16" s="16">
        <v>0</v>
      </c>
      <c r="C16" s="267">
        <f>B16/'- 3 -'!$D16*100</f>
        <v>0</v>
      </c>
      <c r="D16" s="16">
        <v>0</v>
      </c>
      <c r="E16" s="267">
        <f>D16/'- 3 -'!$D16*100</f>
        <v>0</v>
      </c>
      <c r="F16" s="16">
        <v>0</v>
      </c>
      <c r="G16" s="267">
        <f>F16/'- 3 -'!$D16*100</f>
        <v>0</v>
      </c>
      <c r="H16" s="16">
        <v>10370</v>
      </c>
      <c r="I16" s="267">
        <f>H16/'- 3 -'!$D16*100</f>
        <v>7.0935564855388239E-2</v>
      </c>
    </row>
    <row r="17" spans="1:9" ht="14.1" customHeight="1">
      <c r="A17" s="271" t="s">
        <v>113</v>
      </c>
      <c r="B17" s="272">
        <v>0</v>
      </c>
      <c r="C17" s="273">
        <f>B17/'- 3 -'!$D17*100</f>
        <v>0</v>
      </c>
      <c r="D17" s="272">
        <v>0</v>
      </c>
      <c r="E17" s="273">
        <f>D17/'- 3 -'!$D17*100</f>
        <v>0</v>
      </c>
      <c r="F17" s="272">
        <v>100428</v>
      </c>
      <c r="G17" s="273">
        <f>F17/'- 3 -'!$D17*100</f>
        <v>0.55129987879724751</v>
      </c>
      <c r="H17" s="272">
        <v>280470</v>
      </c>
      <c r="I17" s="273">
        <f>H17/'- 3 -'!$D17*100</f>
        <v>1.5396411061284105</v>
      </c>
    </row>
    <row r="18" spans="1:9" ht="14.1" customHeight="1">
      <c r="A18" s="15" t="s">
        <v>114</v>
      </c>
      <c r="B18" s="16">
        <v>0</v>
      </c>
      <c r="C18" s="267">
        <f>B18/'- 3 -'!$D18*100</f>
        <v>0</v>
      </c>
      <c r="D18" s="16">
        <v>0</v>
      </c>
      <c r="E18" s="267">
        <f>D18/'- 3 -'!$D18*100</f>
        <v>0</v>
      </c>
      <c r="F18" s="16">
        <v>953191</v>
      </c>
      <c r="G18" s="267">
        <f>F18/'- 3 -'!$D18*100</f>
        <v>0.72244927106893653</v>
      </c>
      <c r="H18" s="16">
        <v>1523811</v>
      </c>
      <c r="I18" s="267">
        <f>H18/'- 3 -'!$D18*100</f>
        <v>1.154937621312861</v>
      </c>
    </row>
    <row r="19" spans="1:9" ht="14.1" customHeight="1">
      <c r="A19" s="271" t="s">
        <v>115</v>
      </c>
      <c r="B19" s="272">
        <v>0</v>
      </c>
      <c r="C19" s="273">
        <f>B19/'- 3 -'!$D19*100</f>
        <v>0</v>
      </c>
      <c r="D19" s="272">
        <v>0</v>
      </c>
      <c r="E19" s="273">
        <f>D19/'- 3 -'!$D19*100</f>
        <v>0</v>
      </c>
      <c r="F19" s="272">
        <v>0</v>
      </c>
      <c r="G19" s="273">
        <f>F19/'- 3 -'!$D19*100</f>
        <v>0</v>
      </c>
      <c r="H19" s="272">
        <v>72000</v>
      </c>
      <c r="I19" s="273">
        <f>H19/'- 3 -'!$D19*100</f>
        <v>0.15501065482959378</v>
      </c>
    </row>
    <row r="20" spans="1:9" ht="14.1" customHeight="1">
      <c r="A20" s="15" t="s">
        <v>116</v>
      </c>
      <c r="B20" s="16">
        <v>0</v>
      </c>
      <c r="C20" s="267">
        <f>B20/'- 3 -'!$D20*100</f>
        <v>0</v>
      </c>
      <c r="D20" s="16">
        <v>0</v>
      </c>
      <c r="E20" s="267">
        <f>D20/'- 3 -'!$D20*100</f>
        <v>0</v>
      </c>
      <c r="F20" s="16">
        <v>0</v>
      </c>
      <c r="G20" s="267">
        <f>F20/'- 3 -'!$D20*100</f>
        <v>0</v>
      </c>
      <c r="H20" s="16">
        <v>153200</v>
      </c>
      <c r="I20" s="267">
        <f>H20/'- 3 -'!$D20*100</f>
        <v>0.18617085915664114</v>
      </c>
    </row>
    <row r="21" spans="1:9" ht="14.1" customHeight="1">
      <c r="A21" s="271" t="s">
        <v>117</v>
      </c>
      <c r="B21" s="272">
        <v>160000</v>
      </c>
      <c r="C21" s="273">
        <f>B21/'- 3 -'!$D21*100</f>
        <v>0.43990263305095706</v>
      </c>
      <c r="D21" s="272">
        <v>0</v>
      </c>
      <c r="E21" s="273">
        <f>D21/'- 3 -'!$D21*100</f>
        <v>0</v>
      </c>
      <c r="F21" s="272">
        <v>0</v>
      </c>
      <c r="G21" s="273">
        <f>F21/'- 3 -'!$D21*100</f>
        <v>0</v>
      </c>
      <c r="H21" s="272">
        <v>97000</v>
      </c>
      <c r="I21" s="273">
        <f>H21/'- 3 -'!$D21*100</f>
        <v>0.2666909712871427</v>
      </c>
    </row>
    <row r="22" spans="1:9" ht="14.1" customHeight="1">
      <c r="A22" s="15" t="s">
        <v>118</v>
      </c>
      <c r="B22" s="16">
        <v>0</v>
      </c>
      <c r="C22" s="267">
        <f>B22/'- 3 -'!$D22*100</f>
        <v>0</v>
      </c>
      <c r="D22" s="16">
        <v>0</v>
      </c>
      <c r="E22" s="267">
        <f>D22/'- 3 -'!$D22*100</f>
        <v>0</v>
      </c>
      <c r="F22" s="16">
        <v>86770</v>
      </c>
      <c r="G22" s="267">
        <f>F22/'- 3 -'!$D22*100</f>
        <v>0.41975134969142924</v>
      </c>
      <c r="H22" s="16">
        <v>0</v>
      </c>
      <c r="I22" s="267">
        <f>H22/'- 3 -'!$D22*100</f>
        <v>0</v>
      </c>
    </row>
    <row r="23" spans="1:9" ht="14.1" customHeight="1">
      <c r="A23" s="271" t="s">
        <v>119</v>
      </c>
      <c r="B23" s="272">
        <v>129330</v>
      </c>
      <c r="C23" s="273">
        <f>B23/'- 3 -'!$D23*100</f>
        <v>0.77015374074206189</v>
      </c>
      <c r="D23" s="272">
        <v>0</v>
      </c>
      <c r="E23" s="273">
        <f>D23/'- 3 -'!$D23*100</f>
        <v>0</v>
      </c>
      <c r="F23" s="272">
        <v>119000</v>
      </c>
      <c r="G23" s="273">
        <f>F23/'- 3 -'!$D23*100</f>
        <v>0.70863910266995567</v>
      </c>
      <c r="H23" s="272">
        <v>40000</v>
      </c>
      <c r="I23" s="273">
        <f>H23/'- 3 -'!$D23*100</f>
        <v>0.23819801770418678</v>
      </c>
    </row>
    <row r="24" spans="1:9" ht="14.1" customHeight="1">
      <c r="A24" s="15" t="s">
        <v>120</v>
      </c>
      <c r="B24" s="16">
        <v>206125</v>
      </c>
      <c r="C24" s="267">
        <f>B24/'- 3 -'!$D24*100</f>
        <v>0.35473242831948282</v>
      </c>
      <c r="D24" s="16">
        <v>0</v>
      </c>
      <c r="E24" s="267">
        <f>D24/'- 3 -'!$D24*100</f>
        <v>0</v>
      </c>
      <c r="F24" s="16">
        <v>250195</v>
      </c>
      <c r="G24" s="267">
        <f>F24/'- 3 -'!$D24*100</f>
        <v>0.43057503894914734</v>
      </c>
      <c r="H24" s="16">
        <v>0</v>
      </c>
      <c r="I24" s="267">
        <f>H24/'- 3 -'!$D24*100</f>
        <v>0</v>
      </c>
    </row>
    <row r="25" spans="1:9" ht="14.1" customHeight="1">
      <c r="A25" s="271" t="s">
        <v>121</v>
      </c>
      <c r="B25" s="272">
        <v>348502</v>
      </c>
      <c r="C25" s="273">
        <f>B25/'- 3 -'!$D25*100</f>
        <v>0.19948214275012471</v>
      </c>
      <c r="D25" s="272">
        <v>0</v>
      </c>
      <c r="E25" s="273">
        <f>D25/'- 3 -'!$D25*100</f>
        <v>0</v>
      </c>
      <c r="F25" s="272">
        <v>602764</v>
      </c>
      <c r="G25" s="273">
        <f>F25/'- 3 -'!$D25*100</f>
        <v>0.34502141822037224</v>
      </c>
      <c r="H25" s="272">
        <v>965970</v>
      </c>
      <c r="I25" s="273">
        <f>H25/'- 3 -'!$D25*100</f>
        <v>0.55292011360720439</v>
      </c>
    </row>
    <row r="26" spans="1:9" ht="14.1" customHeight="1">
      <c r="A26" s="15" t="s">
        <v>122</v>
      </c>
      <c r="B26" s="16">
        <v>0</v>
      </c>
      <c r="C26" s="267">
        <f>B26/'- 3 -'!$D26*100</f>
        <v>0</v>
      </c>
      <c r="D26" s="16">
        <v>0</v>
      </c>
      <c r="E26" s="267">
        <f>D26/'- 3 -'!$D26*100</f>
        <v>0</v>
      </c>
      <c r="F26" s="16">
        <v>0</v>
      </c>
      <c r="G26" s="267">
        <f>F26/'- 3 -'!$D26*100</f>
        <v>0</v>
      </c>
      <c r="H26" s="16">
        <v>107500</v>
      </c>
      <c r="I26" s="267">
        <f>H26/'- 3 -'!$D26*100</f>
        <v>0.26335647906057535</v>
      </c>
    </row>
    <row r="27" spans="1:9" ht="14.1" customHeight="1">
      <c r="A27" s="271" t="s">
        <v>123</v>
      </c>
      <c r="B27" s="272">
        <v>0</v>
      </c>
      <c r="C27" s="273">
        <f>B27/'- 3 -'!$D27*100</f>
        <v>0</v>
      </c>
      <c r="D27" s="272">
        <v>0</v>
      </c>
      <c r="E27" s="273">
        <f>D27/'- 3 -'!$D27*100</f>
        <v>0</v>
      </c>
      <c r="F27" s="272">
        <v>0</v>
      </c>
      <c r="G27" s="273">
        <f>F27/'- 3 -'!$D27*100</f>
        <v>0</v>
      </c>
      <c r="H27" s="272">
        <v>53722</v>
      </c>
      <c r="I27" s="273">
        <f>H27/'- 3 -'!$D27*100</f>
        <v>0.12274825206781521</v>
      </c>
    </row>
    <row r="28" spans="1:9" ht="14.1" customHeight="1">
      <c r="A28" s="15" t="s">
        <v>124</v>
      </c>
      <c r="B28" s="16">
        <v>0</v>
      </c>
      <c r="C28" s="267">
        <f>B28/'- 3 -'!$D28*100</f>
        <v>0</v>
      </c>
      <c r="D28" s="16">
        <v>0</v>
      </c>
      <c r="E28" s="267">
        <f>D28/'- 3 -'!$D28*100</f>
        <v>0</v>
      </c>
      <c r="F28" s="16">
        <v>0</v>
      </c>
      <c r="G28" s="267">
        <f>F28/'- 3 -'!$D28*100</f>
        <v>0</v>
      </c>
      <c r="H28" s="16">
        <v>116074</v>
      </c>
      <c r="I28" s="267">
        <f>H28/'- 3 -'!$D28*100</f>
        <v>0.40484797727209393</v>
      </c>
    </row>
    <row r="29" spans="1:9" ht="14.1" customHeight="1">
      <c r="A29" s="271" t="s">
        <v>125</v>
      </c>
      <c r="B29" s="272">
        <v>0</v>
      </c>
      <c r="C29" s="273">
        <f>B29/'- 3 -'!$D29*100</f>
        <v>0</v>
      </c>
      <c r="D29" s="272">
        <v>0</v>
      </c>
      <c r="E29" s="273">
        <f>D29/'- 3 -'!$D29*100</f>
        <v>0</v>
      </c>
      <c r="F29" s="272">
        <v>205407</v>
      </c>
      <c r="G29" s="273">
        <f>F29/'- 3 -'!$D29*100</f>
        <v>0.12973461768248978</v>
      </c>
      <c r="H29" s="272">
        <v>335687</v>
      </c>
      <c r="I29" s="273">
        <f>H29/'- 3 -'!$D29*100</f>
        <v>0.21201918438019129</v>
      </c>
    </row>
    <row r="30" spans="1:9" ht="14.1" customHeight="1">
      <c r="A30" s="15" t="s">
        <v>126</v>
      </c>
      <c r="B30" s="16">
        <v>0</v>
      </c>
      <c r="C30" s="267">
        <f>B30/'- 3 -'!$D30*100</f>
        <v>0</v>
      </c>
      <c r="D30" s="16">
        <v>0</v>
      </c>
      <c r="E30" s="267">
        <f>D30/'- 3 -'!$D30*100</f>
        <v>0</v>
      </c>
      <c r="F30" s="16">
        <v>0</v>
      </c>
      <c r="G30" s="267">
        <f>F30/'- 3 -'!$D30*100</f>
        <v>0</v>
      </c>
      <c r="H30" s="16">
        <v>10880</v>
      </c>
      <c r="I30" s="267">
        <f>H30/'- 3 -'!$D30*100</f>
        <v>7.3964255685730229E-2</v>
      </c>
    </row>
    <row r="31" spans="1:9" ht="14.1" customHeight="1">
      <c r="A31" s="271" t="s">
        <v>127</v>
      </c>
      <c r="B31" s="272">
        <v>0</v>
      </c>
      <c r="C31" s="273">
        <f>B31/'- 3 -'!$D31*100</f>
        <v>0</v>
      </c>
      <c r="D31" s="272">
        <v>0</v>
      </c>
      <c r="E31" s="273">
        <f>D31/'- 3 -'!$D31*100</f>
        <v>0</v>
      </c>
      <c r="F31" s="272">
        <v>0</v>
      </c>
      <c r="G31" s="273">
        <f>F31/'- 3 -'!$D31*100</f>
        <v>0</v>
      </c>
      <c r="H31" s="272">
        <v>51955</v>
      </c>
      <c r="I31" s="273">
        <f>H31/'- 3 -'!$D31*100</f>
        <v>0.13791016162311778</v>
      </c>
    </row>
    <row r="32" spans="1:9" ht="14.1" customHeight="1">
      <c r="A32" s="15" t="s">
        <v>128</v>
      </c>
      <c r="B32" s="16">
        <v>0</v>
      </c>
      <c r="C32" s="267">
        <f>B32/'- 3 -'!$D32*100</f>
        <v>0</v>
      </c>
      <c r="D32" s="16">
        <v>0</v>
      </c>
      <c r="E32" s="267">
        <f>D32/'- 3 -'!$D32*100</f>
        <v>0</v>
      </c>
      <c r="F32" s="16">
        <v>0</v>
      </c>
      <c r="G32" s="267">
        <f>F32/'- 3 -'!$D32*100</f>
        <v>0</v>
      </c>
      <c r="H32" s="16">
        <v>34170</v>
      </c>
      <c r="I32" s="267">
        <f>H32/'- 3 -'!$D32*100</f>
        <v>0.11287348339263402</v>
      </c>
    </row>
    <row r="33" spans="1:9" ht="14.1" customHeight="1">
      <c r="A33" s="271" t="s">
        <v>129</v>
      </c>
      <c r="B33" s="272">
        <v>0</v>
      </c>
      <c r="C33" s="273">
        <f>B33/'- 3 -'!$D33*100</f>
        <v>0</v>
      </c>
      <c r="D33" s="272">
        <v>0</v>
      </c>
      <c r="E33" s="273">
        <f>D33/'- 3 -'!$D33*100</f>
        <v>0</v>
      </c>
      <c r="F33" s="272">
        <v>0</v>
      </c>
      <c r="G33" s="273">
        <f>F33/'- 3 -'!$D33*100</f>
        <v>0</v>
      </c>
      <c r="H33" s="272">
        <v>32000</v>
      </c>
      <c r="I33" s="273">
        <f>H33/'- 3 -'!$D33*100</f>
        <v>0.11456742740631874</v>
      </c>
    </row>
    <row r="34" spans="1:9" ht="14.1" customHeight="1">
      <c r="A34" s="15" t="s">
        <v>130</v>
      </c>
      <c r="B34" s="16">
        <v>0</v>
      </c>
      <c r="C34" s="267">
        <f>B34/'- 3 -'!$D34*100</f>
        <v>0</v>
      </c>
      <c r="D34" s="16">
        <v>0</v>
      </c>
      <c r="E34" s="267">
        <f>D34/'- 3 -'!$D34*100</f>
        <v>0</v>
      </c>
      <c r="F34" s="16">
        <v>0</v>
      </c>
      <c r="G34" s="267">
        <f>F34/'- 3 -'!$D34*100</f>
        <v>0</v>
      </c>
      <c r="H34" s="16">
        <v>65791</v>
      </c>
      <c r="I34" s="267">
        <f>H34/'- 3 -'!$D34*100</f>
        <v>0.22260338398016247</v>
      </c>
    </row>
    <row r="35" spans="1:9" ht="14.1" customHeight="1">
      <c r="A35" s="271" t="s">
        <v>131</v>
      </c>
      <c r="B35" s="272">
        <v>361600</v>
      </c>
      <c r="C35" s="273">
        <f>B35/'- 3 -'!$D35*100</f>
        <v>0.19973092775253451</v>
      </c>
      <c r="D35" s="272">
        <v>0</v>
      </c>
      <c r="E35" s="273">
        <f>D35/'- 3 -'!$D35*100</f>
        <v>0</v>
      </c>
      <c r="F35" s="272">
        <v>0</v>
      </c>
      <c r="G35" s="273">
        <f>F35/'- 3 -'!$D35*100</f>
        <v>0</v>
      </c>
      <c r="H35" s="272">
        <v>208190</v>
      </c>
      <c r="I35" s="273">
        <f>H35/'- 3 -'!$D35*100</f>
        <v>0.11499441882964648</v>
      </c>
    </row>
    <row r="36" spans="1:9" ht="14.1" customHeight="1">
      <c r="A36" s="15" t="s">
        <v>132</v>
      </c>
      <c r="B36" s="16">
        <v>0</v>
      </c>
      <c r="C36" s="267">
        <f>B36/'- 3 -'!$D36*100</f>
        <v>0</v>
      </c>
      <c r="D36" s="16">
        <v>0</v>
      </c>
      <c r="E36" s="267">
        <f>D36/'- 3 -'!$D36*100</f>
        <v>0</v>
      </c>
      <c r="F36" s="16">
        <v>0</v>
      </c>
      <c r="G36" s="267">
        <f>F36/'- 3 -'!$D36*100</f>
        <v>0</v>
      </c>
      <c r="H36" s="16">
        <v>61195</v>
      </c>
      <c r="I36" s="267">
        <f>H36/'- 3 -'!$D36*100</f>
        <v>0.25856399485280401</v>
      </c>
    </row>
    <row r="37" spans="1:9" ht="14.1" customHeight="1">
      <c r="A37" s="271" t="s">
        <v>133</v>
      </c>
      <c r="B37" s="272">
        <v>0</v>
      </c>
      <c r="C37" s="273">
        <f>B37/'- 3 -'!$D37*100</f>
        <v>0</v>
      </c>
      <c r="D37" s="272">
        <v>0</v>
      </c>
      <c r="E37" s="273">
        <f>D37/'- 3 -'!$D37*100</f>
        <v>0</v>
      </c>
      <c r="F37" s="272">
        <v>5000</v>
      </c>
      <c r="G37" s="273">
        <f>F37/'- 3 -'!$D37*100</f>
        <v>1.0001180139256431E-2</v>
      </c>
      <c r="H37" s="272">
        <v>363005</v>
      </c>
      <c r="I37" s="273">
        <f>H37/'- 3 -'!$D37*100</f>
        <v>0.72609567929015628</v>
      </c>
    </row>
    <row r="38" spans="1:9" ht="14.1" customHeight="1">
      <c r="A38" s="15" t="s">
        <v>134</v>
      </c>
      <c r="B38" s="16">
        <v>109700</v>
      </c>
      <c r="C38" s="267">
        <f>B38/'- 3 -'!$D38*100</f>
        <v>8.0487222836800418E-2</v>
      </c>
      <c r="D38" s="16">
        <v>625590</v>
      </c>
      <c r="E38" s="267">
        <f>D38/'- 3 -'!$D38*100</f>
        <v>0.4589972810799815</v>
      </c>
      <c r="F38" s="16">
        <v>914590</v>
      </c>
      <c r="G38" s="267">
        <f>F38/'- 3 -'!$D38*100</f>
        <v>0.67103745792442382</v>
      </c>
      <c r="H38" s="16">
        <v>502270</v>
      </c>
      <c r="I38" s="267">
        <f>H38/'- 3 -'!$D38*100</f>
        <v>0.36851702291923194</v>
      </c>
    </row>
    <row r="39" spans="1:9" ht="14.1" customHeight="1">
      <c r="A39" s="271" t="s">
        <v>135</v>
      </c>
      <c r="B39" s="272">
        <v>0</v>
      </c>
      <c r="C39" s="273">
        <f>B39/'- 3 -'!$D39*100</f>
        <v>0</v>
      </c>
      <c r="D39" s="272">
        <v>0</v>
      </c>
      <c r="E39" s="273">
        <f>D39/'- 3 -'!$D39*100</f>
        <v>0</v>
      </c>
      <c r="F39" s="272">
        <v>0</v>
      </c>
      <c r="G39" s="273">
        <f>F39/'- 3 -'!$D39*100</f>
        <v>0</v>
      </c>
      <c r="H39" s="272">
        <v>152000</v>
      </c>
      <c r="I39" s="273">
        <f>H39/'- 3 -'!$D39*100</f>
        <v>0.66379374984906336</v>
      </c>
    </row>
    <row r="40" spans="1:9" ht="14.1" customHeight="1">
      <c r="A40" s="15" t="s">
        <v>136</v>
      </c>
      <c r="B40" s="16">
        <v>506366</v>
      </c>
      <c r="C40" s="267">
        <f>B40/'- 3 -'!$D40*100</f>
        <v>0.48019759371470944</v>
      </c>
      <c r="D40" s="16">
        <v>0</v>
      </c>
      <c r="E40" s="267">
        <f>D40/'- 3 -'!$D40*100</f>
        <v>0</v>
      </c>
      <c r="F40" s="16">
        <v>415895</v>
      </c>
      <c r="G40" s="267">
        <f>F40/'- 3 -'!$D40*100</f>
        <v>0.3944020298321354</v>
      </c>
      <c r="H40" s="16">
        <v>91901</v>
      </c>
      <c r="I40" s="267">
        <f>H40/'- 3 -'!$D40*100</f>
        <v>8.715166314479153E-2</v>
      </c>
    </row>
    <row r="41" spans="1:9" ht="14.1" customHeight="1">
      <c r="A41" s="271" t="s">
        <v>137</v>
      </c>
      <c r="B41" s="272">
        <v>0</v>
      </c>
      <c r="C41" s="273">
        <f>B41/'- 3 -'!$D41*100</f>
        <v>0</v>
      </c>
      <c r="D41" s="272">
        <v>0</v>
      </c>
      <c r="E41" s="273">
        <f>D41/'- 3 -'!$D41*100</f>
        <v>0</v>
      </c>
      <c r="F41" s="272">
        <v>0</v>
      </c>
      <c r="G41" s="273">
        <f>F41/'- 3 -'!$D41*100</f>
        <v>0</v>
      </c>
      <c r="H41" s="272">
        <v>287192</v>
      </c>
      <c r="I41" s="273">
        <f>H41/'- 3 -'!$D41*100</f>
        <v>0.44917207398157716</v>
      </c>
    </row>
    <row r="42" spans="1:9" ht="14.1" customHeight="1">
      <c r="A42" s="15" t="s">
        <v>138</v>
      </c>
      <c r="B42" s="16">
        <v>0</v>
      </c>
      <c r="C42" s="267">
        <f>B42/'- 3 -'!$D42*100</f>
        <v>0</v>
      </c>
      <c r="D42" s="16">
        <v>0</v>
      </c>
      <c r="E42" s="267">
        <f>D42/'- 3 -'!$D42*100</f>
        <v>0</v>
      </c>
      <c r="F42" s="16">
        <v>0</v>
      </c>
      <c r="G42" s="267">
        <f>F42/'- 3 -'!$D42*100</f>
        <v>0</v>
      </c>
      <c r="H42" s="16">
        <v>199053</v>
      </c>
      <c r="I42" s="267">
        <f>H42/'- 3 -'!$D42*100</f>
        <v>0.9427906846769103</v>
      </c>
    </row>
    <row r="43" spans="1:9" ht="14.1" customHeight="1">
      <c r="A43" s="271" t="s">
        <v>139</v>
      </c>
      <c r="B43" s="272">
        <v>0</v>
      </c>
      <c r="C43" s="273">
        <f>B43/'- 3 -'!$D43*100</f>
        <v>0</v>
      </c>
      <c r="D43" s="272">
        <v>0</v>
      </c>
      <c r="E43" s="273">
        <f>D43/'- 3 -'!$D43*100</f>
        <v>0</v>
      </c>
      <c r="F43" s="272">
        <v>0</v>
      </c>
      <c r="G43" s="273">
        <f>F43/'- 3 -'!$D43*100</f>
        <v>0</v>
      </c>
      <c r="H43" s="272">
        <v>12240</v>
      </c>
      <c r="I43" s="273">
        <f>H43/'- 3 -'!$D43*100</f>
        <v>9.1693477394973327E-2</v>
      </c>
    </row>
    <row r="44" spans="1:9" ht="14.1" customHeight="1">
      <c r="A44" s="15" t="s">
        <v>140</v>
      </c>
      <c r="B44" s="16">
        <v>0</v>
      </c>
      <c r="C44" s="267">
        <f>B44/'- 3 -'!$D44*100</f>
        <v>0</v>
      </c>
      <c r="D44" s="16">
        <v>0</v>
      </c>
      <c r="E44" s="267">
        <f>D44/'- 3 -'!$D44*100</f>
        <v>0</v>
      </c>
      <c r="F44" s="16">
        <v>0</v>
      </c>
      <c r="G44" s="267">
        <f>F44/'- 3 -'!$D44*100</f>
        <v>0</v>
      </c>
      <c r="H44" s="16">
        <v>24414</v>
      </c>
      <c r="I44" s="267">
        <f>H44/'- 3 -'!$D44*100</f>
        <v>0.21790805411874248</v>
      </c>
    </row>
    <row r="45" spans="1:9" ht="14.1" customHeight="1">
      <c r="A45" s="271" t="s">
        <v>141</v>
      </c>
      <c r="B45" s="272">
        <v>0</v>
      </c>
      <c r="C45" s="273">
        <f>B45/'- 3 -'!$D45*100</f>
        <v>0</v>
      </c>
      <c r="D45" s="272">
        <v>0</v>
      </c>
      <c r="E45" s="273">
        <f>D45/'- 3 -'!$D45*100</f>
        <v>0</v>
      </c>
      <c r="F45" s="272">
        <v>7000</v>
      </c>
      <c r="G45" s="273">
        <f>F45/'- 3 -'!$D45*100</f>
        <v>3.5689516097577791E-2</v>
      </c>
      <c r="H45" s="272">
        <v>47925</v>
      </c>
      <c r="I45" s="273">
        <f>H45/'- 3 -'!$D45*100</f>
        <v>0.24434572271091648</v>
      </c>
    </row>
    <row r="46" spans="1:9" ht="14.1" customHeight="1">
      <c r="A46" s="15" t="s">
        <v>142</v>
      </c>
      <c r="B46" s="16">
        <v>0</v>
      </c>
      <c r="C46" s="267">
        <f>B46/'- 3 -'!$D46*100</f>
        <v>0</v>
      </c>
      <c r="D46" s="16">
        <v>3500000</v>
      </c>
      <c r="E46" s="267">
        <f>D46/'- 3 -'!$D46*100</f>
        <v>0.89342419372295478</v>
      </c>
      <c r="F46" s="16">
        <v>182600</v>
      </c>
      <c r="G46" s="267">
        <f>F46/'- 3 -'!$D46*100</f>
        <v>4.6611216506803298E-2</v>
      </c>
      <c r="H46" s="16">
        <v>5512700</v>
      </c>
      <c r="I46" s="267">
        <f>H46/'- 3 -'!$D46*100</f>
        <v>1.4071941579247236</v>
      </c>
    </row>
    <row r="47" spans="1:9" ht="5.0999999999999996" customHeight="1">
      <c r="A47"/>
      <c r="B47"/>
      <c r="C47"/>
      <c r="D47"/>
      <c r="E47"/>
      <c r="F47"/>
      <c r="G47"/>
      <c r="H47" s="508"/>
      <c r="I47"/>
    </row>
    <row r="48" spans="1:9" ht="14.1" customHeight="1">
      <c r="A48" s="274" t="s">
        <v>143</v>
      </c>
      <c r="B48" s="275">
        <f>SUM(B11:B46)</f>
        <v>1821623</v>
      </c>
      <c r="C48" s="276">
        <f>B48/'- 3 -'!$D48*100</f>
        <v>7.8814542860834932E-2</v>
      </c>
      <c r="D48" s="275">
        <f>SUM(D11:D46)</f>
        <v>4125590</v>
      </c>
      <c r="E48" s="276">
        <f>D48/'- 3 -'!$D48*100</f>
        <v>0.17849823475067672</v>
      </c>
      <c r="F48" s="275">
        <f>SUM(F11:F46)</f>
        <v>4033940</v>
      </c>
      <c r="G48" s="276">
        <f>F48/'- 3 -'!$D48*100</f>
        <v>0.1745328956804105</v>
      </c>
      <c r="H48" s="275">
        <f>SUM(H11:H46)</f>
        <v>13162631</v>
      </c>
      <c r="I48" s="276">
        <f>H48/'- 3 -'!$D48*100</f>
        <v>0.56949585348387377</v>
      </c>
    </row>
    <row r="49" spans="1:9" ht="5.0999999999999996" customHeight="1">
      <c r="A49" s="17" t="s">
        <v>1</v>
      </c>
      <c r="B49" s="18"/>
      <c r="C49" s="266"/>
      <c r="D49" s="18"/>
      <c r="E49" s="266"/>
      <c r="F49" s="18"/>
      <c r="G49" s="266"/>
      <c r="H49" s="18"/>
      <c r="I49" s="266"/>
    </row>
    <row r="50" spans="1:9" ht="14.1" customHeight="1">
      <c r="A50" s="15" t="s">
        <v>144</v>
      </c>
      <c r="B50" s="16">
        <v>54514</v>
      </c>
      <c r="C50" s="267">
        <f>B50/'- 3 -'!$D50*100</f>
        <v>1.5774612348031112</v>
      </c>
      <c r="D50" s="16">
        <v>0</v>
      </c>
      <c r="E50" s="267">
        <f>D50/'- 3 -'!$D50*100</f>
        <v>0</v>
      </c>
      <c r="F50" s="16">
        <v>51722</v>
      </c>
      <c r="G50" s="267">
        <f>F50/'- 3 -'!$D50*100</f>
        <v>1.4966696625910134</v>
      </c>
      <c r="H50" s="16">
        <v>81191</v>
      </c>
      <c r="I50" s="267">
        <f>H50/'- 3 -'!$D50*100</f>
        <v>2.3494085026763654</v>
      </c>
    </row>
    <row r="51" spans="1:9" ht="14.1" customHeight="1">
      <c r="A51" s="360" t="s">
        <v>523</v>
      </c>
      <c r="B51" s="272">
        <v>0</v>
      </c>
      <c r="C51" s="273">
        <f>B51/'- 3 -'!$D51*100</f>
        <v>0</v>
      </c>
      <c r="D51" s="272">
        <v>4093349</v>
      </c>
      <c r="E51" s="273">
        <f>D51/'- 3 -'!$D51*100</f>
        <v>13.846423210268982</v>
      </c>
      <c r="F51" s="272">
        <v>7798066</v>
      </c>
      <c r="G51" s="273">
        <f>F51/'- 3 -'!$D51*100</f>
        <v>26.378235048516363</v>
      </c>
      <c r="H51" s="272">
        <v>0</v>
      </c>
      <c r="I51" s="273">
        <f>H51/'- 3 -'!$D51*100</f>
        <v>0</v>
      </c>
    </row>
    <row r="52" spans="1:9" ht="50.1" customHeight="1"/>
    <row r="53" spans="1:9" ht="15" customHeight="1"/>
    <row r="54" spans="1:9" ht="14.45" customHeight="1"/>
    <row r="55" spans="1:9" ht="14.45" customHeight="1"/>
    <row r="56" spans="1:9" ht="14.45" customHeight="1"/>
    <row r="57" spans="1:9" ht="14.45" customHeight="1"/>
    <row r="58" spans="1:9" ht="14.45" customHeight="1"/>
    <row r="59" spans="1:9" ht="14.45" customHeight="1"/>
  </sheetData>
  <mergeCells count="5">
    <mergeCell ref="B5:I5"/>
    <mergeCell ref="B7:C8"/>
    <mergeCell ref="D6:E8"/>
    <mergeCell ref="F7:G8"/>
    <mergeCell ref="H7:I8"/>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1.xml><?xml version="1.0" encoding="utf-8"?>
<worksheet xmlns="http://schemas.openxmlformats.org/spreadsheetml/2006/main" xmlns:r="http://schemas.openxmlformats.org/officeDocument/2006/relationships">
  <sheetPr codeName="Sheet21">
    <pageSetUpPr fitToPage="1"/>
  </sheetPr>
  <dimension ref="A1:J59"/>
  <sheetViews>
    <sheetView showGridLines="0" showZeros="0" workbookViewId="0"/>
  </sheetViews>
  <sheetFormatPr defaultColWidth="15.83203125" defaultRowHeight="12"/>
  <cols>
    <col min="1" max="1" width="30.83203125" style="1" customWidth="1"/>
    <col min="2" max="2" width="15.1640625" style="1" customWidth="1"/>
    <col min="3" max="3" width="7.83203125" style="1" customWidth="1"/>
    <col min="4" max="4" width="8" style="1" customWidth="1"/>
    <col min="5" max="5" width="12.6640625" style="1" customWidth="1"/>
    <col min="6" max="6" width="7.83203125" style="1" customWidth="1"/>
    <col min="7" max="7" width="7.33203125" style="1" customWidth="1"/>
    <col min="8" max="8" width="12.6640625" style="1" customWidth="1"/>
    <col min="9" max="9" width="7.83203125" style="1" customWidth="1"/>
    <col min="10" max="10" width="9.5" style="1" customWidth="1"/>
    <col min="11" max="16384" width="15.83203125" style="1"/>
  </cols>
  <sheetData>
    <row r="1" spans="1:10" ht="6.95" customHeight="1">
      <c r="A1" s="3"/>
      <c r="B1" s="4"/>
      <c r="C1" s="4"/>
      <c r="D1" s="4"/>
      <c r="E1" s="4"/>
      <c r="F1" s="4"/>
      <c r="G1" s="4"/>
      <c r="H1" s="4"/>
      <c r="I1" s="4"/>
      <c r="J1" s="4"/>
    </row>
    <row r="2" spans="1:10" ht="15.95" customHeight="1">
      <c r="A2" s="132"/>
      <c r="B2" s="5" t="str">
        <f>AEXP_BP</f>
        <v>ANALYSIS OF EXPENSE BY PROGRAM</v>
      </c>
      <c r="C2" s="6"/>
      <c r="D2" s="6"/>
      <c r="E2" s="6"/>
      <c r="F2" s="6"/>
      <c r="G2" s="85"/>
      <c r="H2" s="85"/>
      <c r="I2" s="141"/>
      <c r="J2" s="503" t="s">
        <v>540</v>
      </c>
    </row>
    <row r="3" spans="1:10" ht="15.95" customHeight="1">
      <c r="A3" s="135"/>
      <c r="B3" s="7" t="str">
        <f>OPYEAR</f>
        <v>OPERATING FUND 2016/2017 BUDGET</v>
      </c>
      <c r="C3" s="8"/>
      <c r="D3" s="8"/>
      <c r="E3" s="8"/>
      <c r="F3" s="8"/>
      <c r="G3" s="87"/>
      <c r="H3" s="87"/>
      <c r="I3" s="87"/>
      <c r="J3" s="81"/>
    </row>
    <row r="4" spans="1:10" ht="15.95" customHeight="1">
      <c r="B4" s="4"/>
      <c r="C4" s="4"/>
      <c r="D4" s="4"/>
      <c r="E4" s="4"/>
      <c r="F4" s="4"/>
      <c r="G4" s="4"/>
      <c r="H4" s="4"/>
      <c r="I4" s="4"/>
      <c r="J4" s="4"/>
    </row>
    <row r="5" spans="1:10" ht="15.95" customHeight="1">
      <c r="B5" s="666" t="s">
        <v>87</v>
      </c>
      <c r="C5" s="667"/>
      <c r="D5" s="667"/>
      <c r="E5" s="667"/>
      <c r="F5" s="667"/>
      <c r="G5" s="667"/>
      <c r="H5" s="667"/>
      <c r="I5" s="667"/>
      <c r="J5" s="668"/>
    </row>
    <row r="6" spans="1:10" ht="15.95" customHeight="1">
      <c r="B6" s="268"/>
      <c r="C6" s="269"/>
      <c r="D6" s="270"/>
      <c r="E6" s="618" t="s">
        <v>424</v>
      </c>
      <c r="F6" s="628"/>
      <c r="G6" s="619"/>
      <c r="H6" s="618" t="s">
        <v>425</v>
      </c>
      <c r="I6" s="628"/>
      <c r="J6" s="619"/>
    </row>
    <row r="7" spans="1:10" ht="15.95" customHeight="1">
      <c r="B7" s="625" t="s">
        <v>18</v>
      </c>
      <c r="C7" s="627"/>
      <c r="D7" s="613"/>
      <c r="E7" s="620"/>
      <c r="F7" s="629"/>
      <c r="G7" s="621"/>
      <c r="H7" s="620"/>
      <c r="I7" s="629"/>
      <c r="J7" s="621"/>
    </row>
    <row r="8" spans="1:10" ht="15.95" customHeight="1">
      <c r="A8" s="82"/>
      <c r="B8" s="138"/>
      <c r="C8" s="137"/>
      <c r="D8" s="536" t="s">
        <v>401</v>
      </c>
      <c r="E8" s="138"/>
      <c r="F8" s="137"/>
      <c r="G8" s="536" t="s">
        <v>401</v>
      </c>
      <c r="H8" s="138"/>
      <c r="I8" s="137"/>
      <c r="J8" s="536" t="s">
        <v>401</v>
      </c>
    </row>
    <row r="9" spans="1:10" ht="15.95" customHeight="1">
      <c r="A9" s="27" t="s">
        <v>37</v>
      </c>
      <c r="B9" s="89" t="s">
        <v>38</v>
      </c>
      <c r="C9" s="89" t="s">
        <v>39</v>
      </c>
      <c r="D9" s="576"/>
      <c r="E9" s="89" t="s">
        <v>38</v>
      </c>
      <c r="F9" s="89" t="s">
        <v>39</v>
      </c>
      <c r="G9" s="576"/>
      <c r="H9" s="89" t="s">
        <v>38</v>
      </c>
      <c r="I9" s="89" t="s">
        <v>39</v>
      </c>
      <c r="J9" s="576"/>
    </row>
    <row r="10" spans="1:10" ht="5.0999999999999996" customHeight="1">
      <c r="A10" s="29"/>
    </row>
    <row r="11" spans="1:10" ht="14.1" customHeight="1">
      <c r="A11" s="271" t="s">
        <v>108</v>
      </c>
      <c r="B11" s="272">
        <v>120750</v>
      </c>
      <c r="C11" s="273">
        <f>B11/'- 3 -'!$D11*100</f>
        <v>0.6172616097323983</v>
      </c>
      <c r="D11" s="272">
        <f>B11/'- 7 -'!$E11</f>
        <v>68.881916714204223</v>
      </c>
      <c r="E11" s="272">
        <v>145800</v>
      </c>
      <c r="F11" s="273">
        <f>E11/'- 3 -'!$D11*100</f>
        <v>0.74531463932905739</v>
      </c>
      <c r="G11" s="272">
        <f>E11/'- 7 -'!$E11</f>
        <v>83.171705647461494</v>
      </c>
      <c r="H11" s="272">
        <v>348310</v>
      </c>
      <c r="I11" s="273">
        <f>H11/'- 3 -'!$D11*100</f>
        <v>1.7805249795933058</v>
      </c>
      <c r="J11" s="272">
        <f>H11/'- 7 -'!$E11</f>
        <v>198.69366799771819</v>
      </c>
    </row>
    <row r="12" spans="1:10" ht="14.1" customHeight="1">
      <c r="A12" s="15" t="s">
        <v>109</v>
      </c>
      <c r="B12" s="16">
        <v>173320</v>
      </c>
      <c r="C12" s="267">
        <f>B12/'- 3 -'!$D12*100</f>
        <v>0.49634063331884959</v>
      </c>
      <c r="D12" s="16">
        <f>B12/'- 7 -'!$E12</f>
        <v>80.61395348837209</v>
      </c>
      <c r="E12" s="16">
        <v>304345</v>
      </c>
      <c r="F12" s="267">
        <f>E12/'- 3 -'!$D12*100</f>
        <v>0.87156006258611396</v>
      </c>
      <c r="G12" s="16">
        <f>E12/'- 7 -'!$E12</f>
        <v>141.55581395348838</v>
      </c>
      <c r="H12" s="16">
        <v>616808</v>
      </c>
      <c r="I12" s="267">
        <f>H12/'- 3 -'!$D12*100</f>
        <v>1.7663678361189303</v>
      </c>
      <c r="J12" s="16">
        <f>H12/'- 7 -'!$E12</f>
        <v>286.88744186046512</v>
      </c>
    </row>
    <row r="13" spans="1:10" ht="14.1" customHeight="1">
      <c r="A13" s="271" t="s">
        <v>110</v>
      </c>
      <c r="B13" s="272">
        <v>353600</v>
      </c>
      <c r="C13" s="273">
        <f>B13/'- 3 -'!$D13*100</f>
        <v>0.36093197208085037</v>
      </c>
      <c r="D13" s="272">
        <f>B13/'- 7 -'!$E13</f>
        <v>42.36252545824847</v>
      </c>
      <c r="E13" s="272">
        <v>638500</v>
      </c>
      <c r="F13" s="273">
        <f>E13/'- 3 -'!$D13*100</f>
        <v>0.65173943488015551</v>
      </c>
      <c r="G13" s="272">
        <f>E13/'- 7 -'!$E13</f>
        <v>76.494548939738834</v>
      </c>
      <c r="H13" s="272">
        <v>1920400</v>
      </c>
      <c r="I13" s="273">
        <f>H13/'- 3 -'!$D13*100</f>
        <v>1.9602199071947541</v>
      </c>
      <c r="J13" s="272">
        <f>H13/'- 7 -'!$E13</f>
        <v>230.0706840781119</v>
      </c>
    </row>
    <row r="14" spans="1:10" ht="14.1" customHeight="1">
      <c r="A14" s="15" t="s">
        <v>319</v>
      </c>
      <c r="B14" s="16">
        <v>789634</v>
      </c>
      <c r="C14" s="267">
        <f>B14/'- 3 -'!$D14*100</f>
        <v>0.9158921615893153</v>
      </c>
      <c r="D14" s="16">
        <f>B14/'- 7 -'!$E14</f>
        <v>143.88374635568513</v>
      </c>
      <c r="E14" s="16">
        <v>1490789</v>
      </c>
      <c r="F14" s="267">
        <f>E14/'- 3 -'!$D14*100</f>
        <v>1.7291580145783665</v>
      </c>
      <c r="G14" s="16">
        <f>E14/'- 7 -'!$E14</f>
        <v>271.64522594752185</v>
      </c>
      <c r="H14" s="16">
        <v>967748</v>
      </c>
      <c r="I14" s="267">
        <f>H14/'- 3 -'!$D14*100</f>
        <v>1.1224856168728001</v>
      </c>
      <c r="J14" s="16">
        <f>H14/'- 7 -'!$E14</f>
        <v>176.33892128279882</v>
      </c>
    </row>
    <row r="15" spans="1:10" ht="14.1" customHeight="1">
      <c r="A15" s="271" t="s">
        <v>111</v>
      </c>
      <c r="B15" s="272">
        <v>209500</v>
      </c>
      <c r="C15" s="273">
        <f>B15/'- 3 -'!$D15*100</f>
        <v>1.0264800494905473</v>
      </c>
      <c r="D15" s="272">
        <f>B15/'- 7 -'!$E15</f>
        <v>152.97553851770718</v>
      </c>
      <c r="E15" s="272">
        <v>193900</v>
      </c>
      <c r="F15" s="273">
        <f>E15/'- 3 -'!$D15*100</f>
        <v>0.95004525821583363</v>
      </c>
      <c r="G15" s="272">
        <f>E15/'- 7 -'!$E15</f>
        <v>141.58451989777291</v>
      </c>
      <c r="H15" s="272">
        <v>408600</v>
      </c>
      <c r="I15" s="273">
        <f>H15/'- 3 -'!$D15*100</f>
        <v>2.0020035714646189</v>
      </c>
      <c r="J15" s="272">
        <f>H15/'- 7 -'!$E15</f>
        <v>298.35706462212488</v>
      </c>
    </row>
    <row r="16" spans="1:10" ht="14.1" customHeight="1">
      <c r="A16" s="15" t="s">
        <v>112</v>
      </c>
      <c r="B16" s="16">
        <v>133693</v>
      </c>
      <c r="C16" s="267">
        <f>B16/'- 3 -'!$D16*100</f>
        <v>0.91452154987573964</v>
      </c>
      <c r="D16" s="16">
        <f>B16/'- 7 -'!$E16</f>
        <v>139.62715404699739</v>
      </c>
      <c r="E16" s="16">
        <v>200091</v>
      </c>
      <c r="F16" s="267">
        <f>E16/'- 3 -'!$D16*100</f>
        <v>1.3687143787347626</v>
      </c>
      <c r="G16" s="16">
        <f>E16/'- 7 -'!$E16</f>
        <v>208.97232375979112</v>
      </c>
      <c r="H16" s="16">
        <v>321100</v>
      </c>
      <c r="I16" s="267">
        <f>H16/'- 3 -'!$D16*100</f>
        <v>2.1964715405077304</v>
      </c>
      <c r="J16" s="16">
        <f>H16/'- 7 -'!$E16</f>
        <v>335.35248041775458</v>
      </c>
    </row>
    <row r="17" spans="1:10" ht="14.1" customHeight="1">
      <c r="A17" s="271" t="s">
        <v>113</v>
      </c>
      <c r="B17" s="272">
        <v>232340</v>
      </c>
      <c r="C17" s="273">
        <f>B17/'- 3 -'!$D17*100</f>
        <v>1.2754312924657714</v>
      </c>
      <c r="D17" s="272">
        <f>B17/'- 7 -'!$E17</f>
        <v>170.9010665685914</v>
      </c>
      <c r="E17" s="272">
        <v>171354</v>
      </c>
      <c r="F17" s="273">
        <f>E17/'- 3 -'!$D17*100</f>
        <v>0.94064841908057073</v>
      </c>
      <c r="G17" s="272">
        <f>E17/'- 7 -'!$E17</f>
        <v>126.04192717910996</v>
      </c>
      <c r="H17" s="272">
        <v>320138</v>
      </c>
      <c r="I17" s="273">
        <f>H17/'- 3 -'!$D17*100</f>
        <v>1.7573987393793886</v>
      </c>
      <c r="J17" s="272">
        <f>H17/'- 7 -'!$E17</f>
        <v>235.48216255976462</v>
      </c>
    </row>
    <row r="18" spans="1:10" ht="14.1" customHeight="1">
      <c r="A18" s="15" t="s">
        <v>114</v>
      </c>
      <c r="B18" s="16">
        <v>1238988</v>
      </c>
      <c r="C18" s="267">
        <f>B18/'- 3 -'!$D18*100</f>
        <v>0.93906255667873439</v>
      </c>
      <c r="D18" s="16">
        <f>B18/'- 7 -'!$E18</f>
        <v>199.04700703659671</v>
      </c>
      <c r="E18" s="16">
        <v>2231126</v>
      </c>
      <c r="F18" s="267">
        <f>E18/'- 3 -'!$D18*100</f>
        <v>1.6910308137224879</v>
      </c>
      <c r="G18" s="16">
        <f>E18/'- 7 -'!$E18</f>
        <v>358.4368473476207</v>
      </c>
      <c r="H18" s="16">
        <v>3491269</v>
      </c>
      <c r="I18" s="267">
        <f>H18/'- 3 -'!$D18*100</f>
        <v>2.6461273177732219</v>
      </c>
      <c r="J18" s="16">
        <f>H18/'- 7 -'!$E18</f>
        <v>560.88246634321877</v>
      </c>
    </row>
    <row r="19" spans="1:10" ht="14.1" customHeight="1">
      <c r="A19" s="271" t="s">
        <v>115</v>
      </c>
      <c r="B19" s="272">
        <v>207605</v>
      </c>
      <c r="C19" s="273">
        <f>B19/'- 3 -'!$D19*100</f>
        <v>0.44695815272080303</v>
      </c>
      <c r="D19" s="272">
        <f>B19/'- 7 -'!$E19</f>
        <v>49.218824087245139</v>
      </c>
      <c r="E19" s="272">
        <v>475750</v>
      </c>
      <c r="F19" s="273">
        <f>E19/'- 3 -'!$D19*100</f>
        <v>1.0242544310441561</v>
      </c>
      <c r="G19" s="272">
        <f>E19/'- 7 -'!$E19</f>
        <v>112.79042200094831</v>
      </c>
      <c r="H19" s="272">
        <v>775115</v>
      </c>
      <c r="I19" s="273">
        <f>H19/'- 3 -'!$D19*100</f>
        <v>1.6687650516422303</v>
      </c>
      <c r="J19" s="272">
        <f>H19/'- 7 -'!$E19</f>
        <v>183.76363205310574</v>
      </c>
    </row>
    <row r="20" spans="1:10" ht="14.1" customHeight="1">
      <c r="A20" s="15" t="s">
        <v>116</v>
      </c>
      <c r="B20" s="16">
        <v>281700</v>
      </c>
      <c r="C20" s="267">
        <f>B20/'- 3 -'!$D20*100</f>
        <v>0.34232592052497268</v>
      </c>
      <c r="D20" s="16">
        <f>B20/'- 7 -'!$E20</f>
        <v>37.161137128157776</v>
      </c>
      <c r="E20" s="16">
        <v>583800</v>
      </c>
      <c r="F20" s="267">
        <f>E20/'- 3 -'!$D20*100</f>
        <v>0.70944221655122131</v>
      </c>
      <c r="G20" s="16">
        <f>E20/'- 7 -'!$E20</f>
        <v>77.013389618099069</v>
      </c>
      <c r="H20" s="16">
        <v>1347900</v>
      </c>
      <c r="I20" s="267">
        <f>H20/'- 3 -'!$D20*100</f>
        <v>1.6379876048122495</v>
      </c>
      <c r="J20" s="16">
        <f>H20/'- 7 -'!$E20</f>
        <v>177.81149000725546</v>
      </c>
    </row>
    <row r="21" spans="1:10" ht="14.1" customHeight="1">
      <c r="A21" s="271" t="s">
        <v>117</v>
      </c>
      <c r="B21" s="272">
        <v>224100</v>
      </c>
      <c r="C21" s="273">
        <f>B21/'- 3 -'!$D21*100</f>
        <v>0.61613862541699671</v>
      </c>
      <c r="D21" s="272">
        <f>B21/'- 7 -'!$E21</f>
        <v>82.815964523281593</v>
      </c>
      <c r="E21" s="272">
        <v>399000</v>
      </c>
      <c r="F21" s="273">
        <f>E21/'- 3 -'!$D21*100</f>
        <v>1.0970071911708241</v>
      </c>
      <c r="G21" s="272">
        <f>E21/'- 7 -'!$E21</f>
        <v>147.450110864745</v>
      </c>
      <c r="H21" s="272">
        <v>692000</v>
      </c>
      <c r="I21" s="273">
        <f>H21/'- 3 -'!$D21*100</f>
        <v>1.9025788879453893</v>
      </c>
      <c r="J21" s="272">
        <f>H21/'- 7 -'!$E21</f>
        <v>255.72801182557279</v>
      </c>
    </row>
    <row r="22" spans="1:10" ht="14.1" customHeight="1">
      <c r="A22" s="15" t="s">
        <v>118</v>
      </c>
      <c r="B22" s="16">
        <v>114090</v>
      </c>
      <c r="C22" s="267">
        <f>B22/'- 3 -'!$D22*100</f>
        <v>0.55191231400593721</v>
      </c>
      <c r="D22" s="16">
        <f>B22/'- 7 -'!$E22</f>
        <v>73.219098960338854</v>
      </c>
      <c r="E22" s="16">
        <v>147070</v>
      </c>
      <c r="F22" s="267">
        <f>E22/'- 3 -'!$D22*100</f>
        <v>0.71145362451444627</v>
      </c>
      <c r="G22" s="16">
        <f>E22/'- 7 -'!$E22</f>
        <v>94.384546271338721</v>
      </c>
      <c r="H22" s="16">
        <v>590150</v>
      </c>
      <c r="I22" s="267">
        <f>H22/'- 3 -'!$D22*100</f>
        <v>2.8548606548391957</v>
      </c>
      <c r="J22" s="16">
        <f>H22/'- 7 -'!$E22</f>
        <v>378.73828776793738</v>
      </c>
    </row>
    <row r="23" spans="1:10" ht="14.1" customHeight="1">
      <c r="A23" s="271" t="s">
        <v>119</v>
      </c>
      <c r="B23" s="272">
        <v>112200</v>
      </c>
      <c r="C23" s="273">
        <f>B23/'- 3 -'!$D23*100</f>
        <v>0.66814543966024387</v>
      </c>
      <c r="D23" s="272">
        <f>B23/'- 7 -'!$E23</f>
        <v>100.7181328545781</v>
      </c>
      <c r="E23" s="272">
        <v>171100</v>
      </c>
      <c r="F23" s="273">
        <f>E23/'- 3 -'!$D23*100</f>
        <v>1.0188920207296588</v>
      </c>
      <c r="G23" s="272">
        <f>E23/'- 7 -'!$E23</f>
        <v>153.59066427289048</v>
      </c>
      <c r="H23" s="272">
        <v>320850</v>
      </c>
      <c r="I23" s="273">
        <f>H23/'- 3 -'!$D23*100</f>
        <v>1.9106458495097081</v>
      </c>
      <c r="J23" s="272">
        <f>H23/'- 7 -'!$E23</f>
        <v>288.01615798922802</v>
      </c>
    </row>
    <row r="24" spans="1:10" ht="14.1" customHeight="1">
      <c r="A24" s="15" t="s">
        <v>120</v>
      </c>
      <c r="B24" s="16">
        <v>354085</v>
      </c>
      <c r="C24" s="267">
        <f>B24/'- 3 -'!$D24*100</f>
        <v>0.60936534569559275</v>
      </c>
      <c r="D24" s="16">
        <f>B24/'- 7 -'!$E24</f>
        <v>89.630426528287558</v>
      </c>
      <c r="E24" s="16">
        <v>342880</v>
      </c>
      <c r="F24" s="267">
        <f>E24/'- 3 -'!$D24*100</f>
        <v>0.59008201344904432</v>
      </c>
      <c r="G24" s="16">
        <f>E24/'- 7 -'!$E24</f>
        <v>86.794076699152001</v>
      </c>
      <c r="H24" s="16">
        <v>1177790</v>
      </c>
      <c r="I24" s="267">
        <f>H24/'- 3 -'!$D24*100</f>
        <v>2.0269268975156027</v>
      </c>
      <c r="J24" s="16">
        <f>H24/'- 7 -'!$E24</f>
        <v>298.13694469054548</v>
      </c>
    </row>
    <row r="25" spans="1:10" ht="14.1" customHeight="1">
      <c r="A25" s="271" t="s">
        <v>121</v>
      </c>
      <c r="B25" s="272">
        <v>491958</v>
      </c>
      <c r="C25" s="273">
        <f>B25/'- 3 -'!$D25*100</f>
        <v>0.28159619165188682</v>
      </c>
      <c r="D25" s="272">
        <f>B25/'- 7 -'!$E25</f>
        <v>34.449634116452508</v>
      </c>
      <c r="E25" s="272">
        <v>611595</v>
      </c>
      <c r="F25" s="273">
        <f>E25/'- 3 -'!$D25*100</f>
        <v>0.35007627243247535</v>
      </c>
      <c r="G25" s="272">
        <f>E25/'- 7 -'!$E25</f>
        <v>42.827281957914636</v>
      </c>
      <c r="H25" s="272">
        <v>4060890</v>
      </c>
      <c r="I25" s="273">
        <f>H25/'- 3 -'!$D25*100</f>
        <v>2.3244487511479246</v>
      </c>
      <c r="J25" s="272">
        <f>H25/'- 7 -'!$E25</f>
        <v>284.36609362417283</v>
      </c>
    </row>
    <row r="26" spans="1:10" ht="14.1" customHeight="1">
      <c r="A26" s="15" t="s">
        <v>122</v>
      </c>
      <c r="B26" s="16">
        <v>225114</v>
      </c>
      <c r="C26" s="267">
        <f>B26/'- 3 -'!$D26*100</f>
        <v>0.55149051560225448</v>
      </c>
      <c r="D26" s="16">
        <f>B26/'- 7 -'!$E26</f>
        <v>71.236353279959502</v>
      </c>
      <c r="E26" s="16">
        <v>429920</v>
      </c>
      <c r="F26" s="267">
        <f>E26/'- 3 -'!$D26*100</f>
        <v>1.0532299300253261</v>
      </c>
      <c r="G26" s="16">
        <f>E26/'- 7 -'!$E26</f>
        <v>136.04632764785924</v>
      </c>
      <c r="H26" s="16">
        <v>762482</v>
      </c>
      <c r="I26" s="267">
        <f>H26/'- 3 -'!$D26*100</f>
        <v>1.8679495336471219</v>
      </c>
      <c r="J26" s="16">
        <f>H26/'- 7 -'!$E26</f>
        <v>241.28413657795639</v>
      </c>
    </row>
    <row r="27" spans="1:10" ht="14.1" customHeight="1">
      <c r="A27" s="271" t="s">
        <v>123</v>
      </c>
      <c r="B27" s="272">
        <v>261939</v>
      </c>
      <c r="C27" s="273">
        <f>B27/'- 3 -'!$D27*100</f>
        <v>0.59849883471187681</v>
      </c>
      <c r="D27" s="272">
        <f>B27/'- 7 -'!$E27</f>
        <v>90.012960172016818</v>
      </c>
      <c r="E27" s="272">
        <v>551492</v>
      </c>
      <c r="F27" s="273">
        <f>E27/'- 3 -'!$D27*100</f>
        <v>1.2600923090983869</v>
      </c>
      <c r="G27" s="272">
        <f>E27/'- 7 -'!$E27</f>
        <v>189.51522083838566</v>
      </c>
      <c r="H27" s="272">
        <v>918724</v>
      </c>
      <c r="I27" s="273">
        <f>H27/'- 3 -'!$D27*100</f>
        <v>2.099172873920395</v>
      </c>
      <c r="J27" s="272">
        <f>H27/'- 7 -'!$E27</f>
        <v>315.71116489364312</v>
      </c>
    </row>
    <row r="28" spans="1:10" ht="14.1" customHeight="1">
      <c r="A28" s="15" t="s">
        <v>124</v>
      </c>
      <c r="B28" s="16">
        <v>180150</v>
      </c>
      <c r="C28" s="267">
        <f>B28/'- 3 -'!$D28*100</f>
        <v>0.62833505440983961</v>
      </c>
      <c r="D28" s="16">
        <f>B28/'- 7 -'!$E28</f>
        <v>92.598303777949113</v>
      </c>
      <c r="E28" s="16">
        <v>391096</v>
      </c>
      <c r="F28" s="267">
        <f>E28/'- 3 -'!$D28*100</f>
        <v>1.3640817454314216</v>
      </c>
      <c r="G28" s="16">
        <f>E28/'- 7 -'!$E28</f>
        <v>201.02595733744539</v>
      </c>
      <c r="H28" s="16">
        <v>552083</v>
      </c>
      <c r="I28" s="267">
        <f>H28/'- 3 -'!$D28*100</f>
        <v>1.9255792497571329</v>
      </c>
      <c r="J28" s="16">
        <f>H28/'- 7 -'!$E28</f>
        <v>283.77435106656384</v>
      </c>
    </row>
    <row r="29" spans="1:10" ht="14.1" customHeight="1">
      <c r="A29" s="271" t="s">
        <v>125</v>
      </c>
      <c r="B29" s="272">
        <v>417273</v>
      </c>
      <c r="C29" s="273">
        <f>B29/'- 3 -'!$D29*100</f>
        <v>0.26354872581862138</v>
      </c>
      <c r="D29" s="272">
        <f>B29/'- 7 -'!$E29</f>
        <v>32.910560769776794</v>
      </c>
      <c r="E29" s="272">
        <v>2200500</v>
      </c>
      <c r="F29" s="273">
        <f>E29/'- 3 -'!$D29*100</f>
        <v>1.3898310486513057</v>
      </c>
      <c r="G29" s="272">
        <f>E29/'- 7 -'!$E29</f>
        <v>173.55469674264532</v>
      </c>
      <c r="H29" s="272">
        <v>1738988</v>
      </c>
      <c r="I29" s="273">
        <f>H29/'- 3 -'!$D29*100</f>
        <v>1.0983410659541182</v>
      </c>
      <c r="J29" s="272">
        <f>H29/'- 7 -'!$E29</f>
        <v>137.15498067670953</v>
      </c>
    </row>
    <row r="30" spans="1:10" ht="14.1" customHeight="1">
      <c r="A30" s="15" t="s">
        <v>126</v>
      </c>
      <c r="B30" s="16">
        <v>108109</v>
      </c>
      <c r="C30" s="267">
        <f>B30/'- 3 -'!$D30*100</f>
        <v>0.73494501083902664</v>
      </c>
      <c r="D30" s="16">
        <f>B30/'- 7 -'!$E30</f>
        <v>107.67828685258964</v>
      </c>
      <c r="E30" s="16">
        <v>106196</v>
      </c>
      <c r="F30" s="267">
        <f>E30/'- 3 -'!$D30*100</f>
        <v>0.72194008242663665</v>
      </c>
      <c r="G30" s="16">
        <f>E30/'- 7 -'!$E30</f>
        <v>105.77290836653387</v>
      </c>
      <c r="H30" s="16">
        <v>275432</v>
      </c>
      <c r="I30" s="267">
        <f>H30/'- 3 -'!$D30*100</f>
        <v>1.8724377639735339</v>
      </c>
      <c r="J30" s="16">
        <f>H30/'- 7 -'!$E30</f>
        <v>274.33466135458167</v>
      </c>
    </row>
    <row r="31" spans="1:10" ht="14.1" customHeight="1">
      <c r="A31" s="271" t="s">
        <v>127</v>
      </c>
      <c r="B31" s="272">
        <v>164822</v>
      </c>
      <c r="C31" s="273">
        <f>B31/'- 3 -'!$D31*100</f>
        <v>0.43750608524772444</v>
      </c>
      <c r="D31" s="272">
        <f>B31/'- 7 -'!$E31</f>
        <v>51.186956521739127</v>
      </c>
      <c r="E31" s="272">
        <v>328088</v>
      </c>
      <c r="F31" s="273">
        <f>E31/'- 3 -'!$D31*100</f>
        <v>0.87088189984805064</v>
      </c>
      <c r="G31" s="272">
        <f>E31/'- 7 -'!$E31</f>
        <v>101.89068322981366</v>
      </c>
      <c r="H31" s="272">
        <v>606464</v>
      </c>
      <c r="I31" s="273">
        <f>H31/'- 3 -'!$D31*100</f>
        <v>1.609807492226013</v>
      </c>
      <c r="J31" s="272">
        <f>H31/'- 7 -'!$E31</f>
        <v>188.34285714285716</v>
      </c>
    </row>
    <row r="32" spans="1:10" ht="14.1" customHeight="1">
      <c r="A32" s="15" t="s">
        <v>128</v>
      </c>
      <c r="B32" s="16">
        <v>192590</v>
      </c>
      <c r="C32" s="267">
        <f>B32/'- 3 -'!$D32*100</f>
        <v>0.63618098234086595</v>
      </c>
      <c r="D32" s="16">
        <f>B32/'- 7 -'!$E32</f>
        <v>88.303530490600636</v>
      </c>
      <c r="E32" s="16">
        <v>224358</v>
      </c>
      <c r="F32" s="267">
        <f>E32/'- 3 -'!$D32*100</f>
        <v>0.74111995864807101</v>
      </c>
      <c r="G32" s="16">
        <f>E32/'- 7 -'!$E32</f>
        <v>102.86932599724896</v>
      </c>
      <c r="H32" s="16">
        <v>640644</v>
      </c>
      <c r="I32" s="267">
        <f>H32/'- 3 -'!$D32*100</f>
        <v>2.1162341204152955</v>
      </c>
      <c r="J32" s="16">
        <f>H32/'- 7 -'!$E32</f>
        <v>293.73865199449796</v>
      </c>
    </row>
    <row r="33" spans="1:10" ht="14.1" customHeight="1">
      <c r="A33" s="271" t="s">
        <v>129</v>
      </c>
      <c r="B33" s="272">
        <v>231000</v>
      </c>
      <c r="C33" s="273">
        <f>B33/'- 3 -'!$D33*100</f>
        <v>0.82703361658936347</v>
      </c>
      <c r="D33" s="272">
        <f>B33/'- 7 -'!$E33</f>
        <v>114.69712015888778</v>
      </c>
      <c r="E33" s="272">
        <v>236800</v>
      </c>
      <c r="F33" s="273">
        <f>E33/'- 3 -'!$D33*100</f>
        <v>0.8477989628067587</v>
      </c>
      <c r="G33" s="272">
        <f>E33/'- 7 -'!$E33</f>
        <v>117.57696127110228</v>
      </c>
      <c r="H33" s="272">
        <v>401300</v>
      </c>
      <c r="I33" s="273">
        <f>H33/'- 3 -'!$D33*100</f>
        <v>1.4367471443173661</v>
      </c>
      <c r="J33" s="272">
        <f>H33/'- 7 -'!$E33</f>
        <v>199.25521350546177</v>
      </c>
    </row>
    <row r="34" spans="1:10" ht="14.1" customHeight="1">
      <c r="A34" s="15" t="s">
        <v>130</v>
      </c>
      <c r="B34" s="16">
        <v>181700</v>
      </c>
      <c r="C34" s="267">
        <f>B34/'- 3 -'!$D34*100</f>
        <v>0.61478066710029511</v>
      </c>
      <c r="D34" s="16">
        <f>B34/'- 7 -'!$E34</f>
        <v>91.169091821374806</v>
      </c>
      <c r="E34" s="16">
        <v>298199</v>
      </c>
      <c r="F34" s="267">
        <f>E34/'- 3 -'!$D34*100</f>
        <v>1.0089542110547107</v>
      </c>
      <c r="G34" s="16">
        <f>E34/'- 7 -'!$E34</f>
        <v>149.6231811339689</v>
      </c>
      <c r="H34" s="16">
        <v>629820</v>
      </c>
      <c r="I34" s="267">
        <f>H34/'- 3 -'!$D34*100</f>
        <v>2.130991523132129</v>
      </c>
      <c r="J34" s="16">
        <f>H34/'- 7 -'!$E34</f>
        <v>316.0160561966884</v>
      </c>
    </row>
    <row r="35" spans="1:10" ht="14.1" customHeight="1">
      <c r="A35" s="271" t="s">
        <v>131</v>
      </c>
      <c r="B35" s="272">
        <v>455400</v>
      </c>
      <c r="C35" s="273">
        <f>B35/'- 3 -'!$D35*100</f>
        <v>0.25154166067064221</v>
      </c>
      <c r="D35" s="272">
        <f>B35/'- 7 -'!$E35</f>
        <v>29.464285714285715</v>
      </c>
      <c r="E35" s="272">
        <v>1092210</v>
      </c>
      <c r="F35" s="273">
        <f>E35/'- 3 -'!$D35*100</f>
        <v>0.6032857206874882</v>
      </c>
      <c r="G35" s="272">
        <f>E35/'- 7 -'!$E35</f>
        <v>70.665760869565219</v>
      </c>
      <c r="H35" s="272">
        <v>2200070</v>
      </c>
      <c r="I35" s="273">
        <f>H35/'- 3 -'!$D35*100</f>
        <v>1.2152157694151511</v>
      </c>
      <c r="J35" s="272">
        <f>H35/'- 7 -'!$E35</f>
        <v>142.3440734989648</v>
      </c>
    </row>
    <row r="36" spans="1:10" ht="14.1" customHeight="1">
      <c r="A36" s="15" t="s">
        <v>132</v>
      </c>
      <c r="B36" s="16">
        <v>234350</v>
      </c>
      <c r="C36" s="267">
        <f>B36/'- 3 -'!$D36*100</f>
        <v>0.99018665240223258</v>
      </c>
      <c r="D36" s="16">
        <f>B36/'- 7 -'!$E36</f>
        <v>141.38763197586727</v>
      </c>
      <c r="E36" s="16">
        <v>202020</v>
      </c>
      <c r="F36" s="267">
        <f>E36/'- 3 -'!$D36*100</f>
        <v>0.85358441441561339</v>
      </c>
      <c r="G36" s="16">
        <f>E36/'- 7 -'!$E36</f>
        <v>121.88235294117646</v>
      </c>
      <c r="H36" s="16">
        <v>481055</v>
      </c>
      <c r="I36" s="267">
        <f>H36/'- 3 -'!$D36*100</f>
        <v>2.032576232435912</v>
      </c>
      <c r="J36" s="16">
        <f>H36/'- 7 -'!$E36</f>
        <v>290.22926093514332</v>
      </c>
    </row>
    <row r="37" spans="1:10" ht="14.1" customHeight="1">
      <c r="A37" s="271" t="s">
        <v>133</v>
      </c>
      <c r="B37" s="272">
        <v>209000</v>
      </c>
      <c r="C37" s="273">
        <f>B37/'- 3 -'!$D37*100</f>
        <v>0.41804932982091886</v>
      </c>
      <c r="D37" s="272">
        <f>B37/'- 7 -'!$E37</f>
        <v>50.932131107591083</v>
      </c>
      <c r="E37" s="272">
        <v>467000</v>
      </c>
      <c r="F37" s="273">
        <f>E37/'- 3 -'!$D37*100</f>
        <v>0.93411022500655072</v>
      </c>
      <c r="G37" s="272">
        <f>E37/'- 7 -'!$E37</f>
        <v>113.80528816863654</v>
      </c>
      <c r="H37" s="272">
        <v>815900</v>
      </c>
      <c r="I37" s="273">
        <f>H37/'- 3 -'!$D37*100</f>
        <v>1.6319925751238646</v>
      </c>
      <c r="J37" s="272">
        <f>H37/'- 7 -'!$E37</f>
        <v>198.83026684537589</v>
      </c>
    </row>
    <row r="38" spans="1:10" ht="14.1" customHeight="1">
      <c r="A38" s="15" t="s">
        <v>134</v>
      </c>
      <c r="B38" s="16">
        <v>419540</v>
      </c>
      <c r="C38" s="267">
        <f>B38/'- 3 -'!$D38*100</f>
        <v>0.3078177709111326</v>
      </c>
      <c r="D38" s="16">
        <f>B38/'- 7 -'!$E38</f>
        <v>38.115744526210591</v>
      </c>
      <c r="E38" s="16">
        <v>1155070</v>
      </c>
      <c r="F38" s="267">
        <f>E38/'- 3 -'!$D38*100</f>
        <v>0.84747836355608985</v>
      </c>
      <c r="G38" s="16">
        <f>E38/'- 7 -'!$E38</f>
        <v>104.93958390115381</v>
      </c>
      <c r="H38" s="16">
        <v>1830946</v>
      </c>
      <c r="I38" s="267">
        <f>H38/'- 3 -'!$D38*100</f>
        <v>1.3433706354070043</v>
      </c>
      <c r="J38" s="16">
        <f>H38/'- 7 -'!$E38</f>
        <v>166.3437812301263</v>
      </c>
    </row>
    <row r="39" spans="1:10" ht="14.1" customHeight="1">
      <c r="A39" s="271" t="s">
        <v>135</v>
      </c>
      <c r="B39" s="272">
        <v>190469</v>
      </c>
      <c r="C39" s="273">
        <f>B39/'- 3 -'!$D39*100</f>
        <v>0.83179034039474498</v>
      </c>
      <c r="D39" s="272">
        <f>B39/'- 7 -'!$E39</f>
        <v>124.73411918795023</v>
      </c>
      <c r="E39" s="272">
        <v>233100</v>
      </c>
      <c r="F39" s="273">
        <f>E39/'- 3 -'!$D39*100</f>
        <v>1.0179626519066887</v>
      </c>
      <c r="G39" s="272">
        <f>E39/'- 7 -'!$E39</f>
        <v>152.65225933202356</v>
      </c>
      <c r="H39" s="272">
        <v>440100</v>
      </c>
      <c r="I39" s="273">
        <f>H39/'- 3 -'!$D39*100</f>
        <v>1.9219449296616631</v>
      </c>
      <c r="J39" s="272">
        <f>H39/'- 7 -'!$E39</f>
        <v>288.2121807465619</v>
      </c>
    </row>
    <row r="40" spans="1:10" ht="14.1" customHeight="1">
      <c r="A40" s="15" t="s">
        <v>136</v>
      </c>
      <c r="B40" s="16">
        <v>425286</v>
      </c>
      <c r="C40" s="267">
        <f>B40/'- 3 -'!$D40*100</f>
        <v>0.40330771386813868</v>
      </c>
      <c r="D40" s="16">
        <f>B40/'- 7 -'!$E40</f>
        <v>53.504516518632215</v>
      </c>
      <c r="E40" s="16">
        <v>1339763</v>
      </c>
      <c r="F40" s="267">
        <f>E40/'- 3 -'!$D40*100</f>
        <v>1.2705256054869407</v>
      </c>
      <c r="G40" s="16">
        <f>E40/'- 7 -'!$E40</f>
        <v>168.55333014618927</v>
      </c>
      <c r="H40" s="16">
        <v>1528101</v>
      </c>
      <c r="I40" s="267">
        <f>H40/'- 3 -'!$D40*100</f>
        <v>1.4491305165691244</v>
      </c>
      <c r="J40" s="16">
        <f>H40/'- 7 -'!$E40</f>
        <v>192.24781722567496</v>
      </c>
    </row>
    <row r="41" spans="1:10" ht="14.1" customHeight="1">
      <c r="A41" s="271" t="s">
        <v>137</v>
      </c>
      <c r="B41" s="272">
        <v>309090</v>
      </c>
      <c r="C41" s="273">
        <f>B41/'- 3 -'!$D41*100</f>
        <v>0.48342083465753116</v>
      </c>
      <c r="D41" s="272">
        <f>B41/'- 7 -'!$E41</f>
        <v>70.096382809842382</v>
      </c>
      <c r="E41" s="272">
        <v>730279</v>
      </c>
      <c r="F41" s="273">
        <f>E41/'- 3 -'!$D41*100</f>
        <v>1.1421659830886384</v>
      </c>
      <c r="G41" s="272">
        <f>E41/'- 7 -'!$E41</f>
        <v>165.61492232679441</v>
      </c>
      <c r="H41" s="272">
        <v>1192063</v>
      </c>
      <c r="I41" s="273">
        <f>H41/'- 3 -'!$D41*100</f>
        <v>1.8644022466736569</v>
      </c>
      <c r="J41" s="272">
        <f>H41/'- 7 -'!$E41</f>
        <v>270.33972105680914</v>
      </c>
    </row>
    <row r="42" spans="1:10" ht="14.1" customHeight="1">
      <c r="A42" s="15" t="s">
        <v>138</v>
      </c>
      <c r="B42" s="16">
        <v>210964</v>
      </c>
      <c r="C42" s="267">
        <f>B42/'- 3 -'!$D42*100</f>
        <v>0.99920570904321815</v>
      </c>
      <c r="D42" s="16">
        <f>B42/'- 7 -'!$E42</f>
        <v>155.00661278471711</v>
      </c>
      <c r="E42" s="16">
        <v>214583</v>
      </c>
      <c r="F42" s="267">
        <f>E42/'- 3 -'!$D42*100</f>
        <v>1.0163466689274987</v>
      </c>
      <c r="G42" s="16">
        <f>E42/'- 7 -'!$E42</f>
        <v>157.66568699485671</v>
      </c>
      <c r="H42" s="16">
        <v>394722</v>
      </c>
      <c r="I42" s="267">
        <f>H42/'- 3 -'!$D42*100</f>
        <v>1.8695534588126748</v>
      </c>
      <c r="J42" s="16">
        <f>H42/'- 7 -'!$E42</f>
        <v>290.02351212343865</v>
      </c>
    </row>
    <row r="43" spans="1:10" ht="14.1" customHeight="1">
      <c r="A43" s="271" t="s">
        <v>139</v>
      </c>
      <c r="B43" s="272">
        <v>126571</v>
      </c>
      <c r="C43" s="273">
        <f>B43/'- 3 -'!$D43*100</f>
        <v>0.94818097445744842</v>
      </c>
      <c r="D43" s="272">
        <f>B43/'- 7 -'!$E43</f>
        <v>134.57841573631046</v>
      </c>
      <c r="E43" s="272">
        <v>128925</v>
      </c>
      <c r="F43" s="273">
        <f>E43/'- 3 -'!$D43*100</f>
        <v>0.96581548800220074</v>
      </c>
      <c r="G43" s="272">
        <f>E43/'- 7 -'!$E43</f>
        <v>137.08133971291866</v>
      </c>
      <c r="H43" s="272">
        <v>282673</v>
      </c>
      <c r="I43" s="273">
        <f>H43/'- 3 -'!$D43*100</f>
        <v>2.1175874457246153</v>
      </c>
      <c r="J43" s="272">
        <f>H43/'- 7 -'!$E43</f>
        <v>300.55608718766615</v>
      </c>
    </row>
    <row r="44" spans="1:10" ht="14.1" customHeight="1">
      <c r="A44" s="15" t="s">
        <v>140</v>
      </c>
      <c r="B44" s="16">
        <v>104400</v>
      </c>
      <c r="C44" s="267">
        <f>B44/'- 3 -'!$D44*100</f>
        <v>0.9318260362905183</v>
      </c>
      <c r="D44" s="16">
        <f>B44/'- 7 -'!$E44</f>
        <v>148.93009985734665</v>
      </c>
      <c r="E44" s="16">
        <v>53105</v>
      </c>
      <c r="F44" s="267">
        <f>E44/'- 3 -'!$D44*100</f>
        <v>0.47399062890045957</v>
      </c>
      <c r="G44" s="16">
        <f>E44/'- 7 -'!$E44</f>
        <v>75.756062767475029</v>
      </c>
      <c r="H44" s="16">
        <v>255434</v>
      </c>
      <c r="I44" s="267">
        <f>H44/'- 3 -'!$D44*100</f>
        <v>2.279885553197627</v>
      </c>
      <c r="J44" s="16">
        <f>H44/'- 7 -'!$E44</f>
        <v>364.38516405135522</v>
      </c>
    </row>
    <row r="45" spans="1:10" ht="14.1" customHeight="1">
      <c r="A45" s="271" t="s">
        <v>141</v>
      </c>
      <c r="B45" s="272">
        <v>135357</v>
      </c>
      <c r="C45" s="273">
        <f>B45/'- 3 -'!$D45*100</f>
        <v>0.69011797577426237</v>
      </c>
      <c r="D45" s="272">
        <f>B45/'- 7 -'!$E45</f>
        <v>79.528202115158635</v>
      </c>
      <c r="E45" s="272">
        <v>169368</v>
      </c>
      <c r="F45" s="273">
        <f>E45/'- 3 -'!$D45*100</f>
        <v>0.86352313748779364</v>
      </c>
      <c r="G45" s="272">
        <f>E45/'- 7 -'!$E45</f>
        <v>99.511163337250295</v>
      </c>
      <c r="H45" s="272">
        <v>404589</v>
      </c>
      <c r="I45" s="273">
        <f>H45/'- 3 -'!$D45*100</f>
        <v>2.0627979469147002</v>
      </c>
      <c r="J45" s="272">
        <f>H45/'- 7 -'!$E45</f>
        <v>237.71386603995299</v>
      </c>
    </row>
    <row r="46" spans="1:10" ht="14.1" customHeight="1">
      <c r="A46" s="15" t="s">
        <v>142</v>
      </c>
      <c r="B46" s="16">
        <v>886600</v>
      </c>
      <c r="C46" s="267">
        <f>B46/'- 3 -'!$D46*100</f>
        <v>0.2263171114727919</v>
      </c>
      <c r="D46" s="16">
        <f>B46/'- 7 -'!$E46</f>
        <v>29.399476075206419</v>
      </c>
      <c r="E46" s="16">
        <v>2863400</v>
      </c>
      <c r="F46" s="267">
        <f>E46/'- 3 -'!$D46*100</f>
        <v>0.73092309608751671</v>
      </c>
      <c r="G46" s="16">
        <f>E46/'- 7 -'!$E46</f>
        <v>94.949762907451003</v>
      </c>
      <c r="H46" s="16">
        <v>6155800</v>
      </c>
      <c r="I46" s="267">
        <f>H46/'- 3 -'!$D46*100</f>
        <v>1.5713544719199328</v>
      </c>
      <c r="J46" s="16">
        <f>H46/'- 7 -'!$E46</f>
        <v>204.12507875451803</v>
      </c>
    </row>
    <row r="47" spans="1:10" ht="5.0999999999999996" customHeight="1">
      <c r="A47"/>
      <c r="B47" s="508"/>
      <c r="C47"/>
      <c r="D47"/>
      <c r="E47"/>
      <c r="F47"/>
      <c r="G47"/>
      <c r="H47"/>
      <c r="I47"/>
      <c r="J47"/>
    </row>
    <row r="48" spans="1:10" ht="14.1" customHeight="1">
      <c r="A48" s="274" t="s">
        <v>143</v>
      </c>
      <c r="B48" s="275">
        <f>SUM(B11:B46)</f>
        <v>10707287</v>
      </c>
      <c r="C48" s="276">
        <f>B48/'- 3 -'!$D48*100</f>
        <v>0.46326266751394807</v>
      </c>
      <c r="D48" s="275">
        <f>B48/'- 7 -'!$E48</f>
        <v>61.137678158464936</v>
      </c>
      <c r="E48" s="275">
        <f>SUM(E11:E46)</f>
        <v>21522572</v>
      </c>
      <c r="F48" s="276">
        <f>E48/'- 3 -'!$D48*100</f>
        <v>0.93119798848027591</v>
      </c>
      <c r="G48" s="275">
        <f>E48/'- 7 -'!$E48</f>
        <v>122.89201551040792</v>
      </c>
      <c r="H48" s="275">
        <f>SUM(H11:H46)</f>
        <v>39866458</v>
      </c>
      <c r="I48" s="276">
        <f>H48/'- 3 -'!$D48*100</f>
        <v>1.7248665957504246</v>
      </c>
      <c r="J48" s="275">
        <f>H48/'- 7 -'!$E48</f>
        <v>227.63401023265368</v>
      </c>
    </row>
    <row r="49" spans="1:10" ht="5.0999999999999996" customHeight="1">
      <c r="A49" s="17" t="s">
        <v>1</v>
      </c>
      <c r="B49" s="18"/>
      <c r="C49" s="266"/>
      <c r="D49" s="18"/>
      <c r="E49" s="18"/>
      <c r="F49" s="266"/>
      <c r="H49" s="18"/>
      <c r="I49" s="266"/>
      <c r="J49" s="18"/>
    </row>
    <row r="50" spans="1:10" ht="14.1" customHeight="1">
      <c r="A50" s="15" t="s">
        <v>144</v>
      </c>
      <c r="B50" s="16">
        <v>44162</v>
      </c>
      <c r="C50" s="267">
        <f>B50/'- 3 -'!$D50*100</f>
        <v>1.2779073825324685</v>
      </c>
      <c r="D50" s="16">
        <f>B50/'- 7 -'!$E50</f>
        <v>274.29813664596276</v>
      </c>
      <c r="E50" s="16">
        <v>23632</v>
      </c>
      <c r="F50" s="267">
        <f>E50/'- 3 -'!$D50*100</f>
        <v>0.68383468284967386</v>
      </c>
      <c r="G50" s="16">
        <f>E50/'- 7 -'!$E50</f>
        <v>146.78260869565219</v>
      </c>
      <c r="H50" s="16">
        <v>94132</v>
      </c>
      <c r="I50" s="267">
        <f>H50/'- 3 -'!$D50*100</f>
        <v>2.7238797548242002</v>
      </c>
      <c r="J50" s="16">
        <f>H50/'- 7 -'!$E50</f>
        <v>584.67080745341616</v>
      </c>
    </row>
    <row r="51" spans="1:10" ht="14.1" customHeight="1">
      <c r="A51" s="360" t="s">
        <v>523</v>
      </c>
      <c r="B51" s="272">
        <v>88900</v>
      </c>
      <c r="C51" s="273">
        <f>B51/'- 3 -'!$D51*100</f>
        <v>0.30071880589534694</v>
      </c>
      <c r="D51" s="272">
        <f>B51/'- 7 -'!$E51</f>
        <v>122.70531400966183</v>
      </c>
      <c r="E51" s="272">
        <v>353086</v>
      </c>
      <c r="F51" s="273">
        <f>E51/'- 3 -'!$D51*100</f>
        <v>1.1943712069557308</v>
      </c>
      <c r="G51" s="272">
        <f>E51/'- 7 -'!$E51</f>
        <v>487.35127674258109</v>
      </c>
      <c r="H51" s="272">
        <v>2779400</v>
      </c>
      <c r="I51" s="273">
        <f>H51/'- 3 -'!$D51*100</f>
        <v>9.4017755804896215</v>
      </c>
      <c r="J51" s="272">
        <f>H51/'- 7 -'!$E51</f>
        <v>3836.3008971704626</v>
      </c>
    </row>
    <row r="52" spans="1:10" ht="50.1" customHeight="1">
      <c r="B52"/>
      <c r="C52"/>
      <c r="D52"/>
      <c r="E52"/>
      <c r="F52"/>
      <c r="G52"/>
      <c r="H52"/>
      <c r="I52"/>
      <c r="J52"/>
    </row>
    <row r="53" spans="1:10" ht="15" customHeight="1"/>
    <row r="54" spans="1:10" ht="14.45" customHeight="1"/>
    <row r="55" spans="1:10" ht="14.45" customHeight="1"/>
    <row r="56" spans="1:10" ht="14.45" customHeight="1"/>
    <row r="57" spans="1:10" ht="14.45" customHeight="1"/>
    <row r="58" spans="1:10" ht="14.45" customHeight="1"/>
    <row r="59" spans="1:10" ht="14.45" customHeight="1"/>
  </sheetData>
  <mergeCells count="7">
    <mergeCell ref="B5:J5"/>
    <mergeCell ref="D8:D9"/>
    <mergeCell ref="G8:G9"/>
    <mergeCell ref="J8:J9"/>
    <mergeCell ref="B7:D7"/>
    <mergeCell ref="E6:G7"/>
    <mergeCell ref="H6:J7"/>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2.xml><?xml version="1.0" encoding="utf-8"?>
<worksheet xmlns="http://schemas.openxmlformats.org/spreadsheetml/2006/main" xmlns:r="http://schemas.openxmlformats.org/officeDocument/2006/relationships">
  <sheetPr codeName="Sheet22">
    <pageSetUpPr fitToPage="1"/>
  </sheetPr>
  <dimension ref="A1:E59"/>
  <sheetViews>
    <sheetView showGridLines="0" showZeros="0" workbookViewId="0"/>
  </sheetViews>
  <sheetFormatPr defaultColWidth="15.83203125" defaultRowHeight="12"/>
  <cols>
    <col min="1" max="1" width="36.83203125" style="1" customWidth="1"/>
    <col min="2" max="2" width="19.83203125" style="1" customWidth="1"/>
    <col min="3" max="3" width="11.5" style="1" customWidth="1"/>
    <col min="4" max="4" width="12.6640625" style="1" customWidth="1"/>
    <col min="5" max="5" width="44.83203125" style="1" customWidth="1"/>
    <col min="6" max="16384" width="15.83203125" style="1"/>
  </cols>
  <sheetData>
    <row r="1" spans="1:5" ht="6.95" customHeight="1">
      <c r="A1" s="3"/>
      <c r="B1" s="4"/>
      <c r="C1" s="4"/>
      <c r="D1" s="4"/>
      <c r="E1" s="4"/>
    </row>
    <row r="2" spans="1:5" ht="15.95" customHeight="1">
      <c r="A2" s="132"/>
      <c r="B2" s="5" t="str">
        <f>AEXP_BP</f>
        <v>ANALYSIS OF EXPENSE BY PROGRAM</v>
      </c>
      <c r="C2" s="6"/>
      <c r="D2" s="6"/>
      <c r="E2" s="503" t="s">
        <v>541</v>
      </c>
    </row>
    <row r="3" spans="1:5" ht="15.95" customHeight="1">
      <c r="A3" s="135"/>
      <c r="B3" s="7" t="str">
        <f>OPYEAR</f>
        <v>OPERATING FUND 2016/2017 BUDGET</v>
      </c>
      <c r="C3" s="8"/>
      <c r="D3" s="8"/>
      <c r="E3" s="81"/>
    </row>
    <row r="4" spans="1:5" ht="15.95" customHeight="1">
      <c r="B4" s="4"/>
      <c r="C4" s="4"/>
      <c r="D4" s="4"/>
      <c r="E4" s="4"/>
    </row>
    <row r="5" spans="1:5" ht="15.95" customHeight="1">
      <c r="B5" s="666" t="s">
        <v>238</v>
      </c>
      <c r="C5" s="667"/>
      <c r="D5" s="668"/>
      <c r="E5" s="55"/>
    </row>
    <row r="6" spans="1:5" ht="15.95" customHeight="1">
      <c r="B6" s="618" t="s">
        <v>426</v>
      </c>
      <c r="C6" s="628"/>
      <c r="D6" s="619"/>
      <c r="E6" s="84"/>
    </row>
    <row r="7" spans="1:5" ht="15.95" customHeight="1">
      <c r="B7" s="620"/>
      <c r="C7" s="629"/>
      <c r="D7" s="621"/>
      <c r="E7" s="84"/>
    </row>
    <row r="8" spans="1:5" ht="15.95" customHeight="1">
      <c r="A8" s="82"/>
      <c r="B8" s="138"/>
      <c r="C8" s="137"/>
      <c r="D8" s="536" t="s">
        <v>401</v>
      </c>
      <c r="E8" s="84"/>
    </row>
    <row r="9" spans="1:5" ht="15.95" customHeight="1">
      <c r="A9" s="27" t="s">
        <v>37</v>
      </c>
      <c r="B9" s="89" t="s">
        <v>38</v>
      </c>
      <c r="C9" s="89" t="s">
        <v>39</v>
      </c>
      <c r="D9" s="576"/>
    </row>
    <row r="10" spans="1:5" ht="5.0999999999999996" customHeight="1">
      <c r="A10" s="29"/>
    </row>
    <row r="11" spans="1:5" ht="14.1" customHeight="1">
      <c r="A11" s="271" t="s">
        <v>108</v>
      </c>
      <c r="B11" s="272">
        <v>8000</v>
      </c>
      <c r="C11" s="273">
        <f>B11/'- 3 -'!$D11*100</f>
        <v>4.0895179112705474E-2</v>
      </c>
      <c r="D11" s="272">
        <f>B11/'- 7 -'!$E11</f>
        <v>4.5636052481460352</v>
      </c>
    </row>
    <row r="12" spans="1:5" ht="14.1" customHeight="1">
      <c r="A12" s="15" t="s">
        <v>109</v>
      </c>
      <c r="B12" s="16">
        <v>251652</v>
      </c>
      <c r="C12" s="267">
        <f>B12/'- 3 -'!$D12*100</f>
        <v>0.72066185700412599</v>
      </c>
      <c r="D12" s="16">
        <f>B12/'- 7 -'!$E12</f>
        <v>117.04744186046511</v>
      </c>
    </row>
    <row r="13" spans="1:5" ht="14.1" customHeight="1">
      <c r="A13" s="271" t="s">
        <v>110</v>
      </c>
      <c r="B13" s="272">
        <v>289900</v>
      </c>
      <c r="C13" s="273">
        <f>B13/'- 3 -'!$D13*100</f>
        <v>0.29591113887510895</v>
      </c>
      <c r="D13" s="272">
        <f>B13/'- 7 -'!$E13</f>
        <v>34.731041092608123</v>
      </c>
    </row>
    <row r="14" spans="1:5" ht="14.1" customHeight="1">
      <c r="A14" s="15" t="s">
        <v>319</v>
      </c>
      <c r="B14" s="16">
        <v>119829</v>
      </c>
      <c r="C14" s="267">
        <f>B14/'- 3 -'!$D14*100</f>
        <v>0.13898900228597816</v>
      </c>
      <c r="D14" s="16">
        <f>B14/'- 7 -'!$E14</f>
        <v>21.834730320699709</v>
      </c>
    </row>
    <row r="15" spans="1:5" ht="14.1" customHeight="1">
      <c r="A15" s="271" t="s">
        <v>111</v>
      </c>
      <c r="B15" s="272">
        <v>44500</v>
      </c>
      <c r="C15" s="273">
        <f>B15/'- 3 -'!$D15*100</f>
        <v>0.21803514177722844</v>
      </c>
      <c r="D15" s="272">
        <f>B15/'- 7 -'!$E15</f>
        <v>32.493610806863821</v>
      </c>
    </row>
    <row r="16" spans="1:5" ht="14.1" customHeight="1">
      <c r="A16" s="15" t="s">
        <v>112</v>
      </c>
      <c r="B16" s="16">
        <v>34569</v>
      </c>
      <c r="C16" s="267">
        <f>B16/'- 3 -'!$D16*100</f>
        <v>0.2364678439234249</v>
      </c>
      <c r="D16" s="16">
        <f>B16/'- 7 -'!$E16</f>
        <v>36.103394255874676</v>
      </c>
    </row>
    <row r="17" spans="1:4" ht="14.1" customHeight="1">
      <c r="A17" s="271" t="s">
        <v>113</v>
      </c>
      <c r="B17" s="272">
        <v>75570</v>
      </c>
      <c r="C17" s="273">
        <f>B17/'- 3 -'!$D17*100</f>
        <v>0.41484179552224476</v>
      </c>
      <c r="D17" s="272">
        <f>B17/'- 7 -'!$E17</f>
        <v>55.58661272526664</v>
      </c>
    </row>
    <row r="18" spans="1:4" ht="14.1" customHeight="1">
      <c r="A18" s="15" t="s">
        <v>114</v>
      </c>
      <c r="B18" s="16">
        <v>645868</v>
      </c>
      <c r="C18" s="267">
        <f>B18/'- 3 -'!$D18*100</f>
        <v>0.48952084714055411</v>
      </c>
      <c r="D18" s="16">
        <f>B18/'- 7 -'!$E18</f>
        <v>103.76056292773832</v>
      </c>
    </row>
    <row r="19" spans="1:4" ht="14.1" customHeight="1">
      <c r="A19" s="271" t="s">
        <v>115</v>
      </c>
      <c r="B19" s="272">
        <v>61300</v>
      </c>
      <c r="C19" s="273">
        <f>B19/'- 3 -'!$D19*100</f>
        <v>0.1319743491813069</v>
      </c>
      <c r="D19" s="272">
        <f>B19/'- 7 -'!$E19</f>
        <v>14.532954006638217</v>
      </c>
    </row>
    <row r="20" spans="1:4" ht="14.1" customHeight="1">
      <c r="A20" s="15" t="s">
        <v>116</v>
      </c>
      <c r="B20" s="16">
        <v>98800</v>
      </c>
      <c r="C20" s="267">
        <f>B20/'- 3 -'!$D20*100</f>
        <v>0.12006319115323856</v>
      </c>
      <c r="D20" s="16">
        <f>B20/'- 7 -'!$E20</f>
        <v>13.033441065892751</v>
      </c>
    </row>
    <row r="21" spans="1:4" ht="14.1" customHeight="1">
      <c r="A21" s="271" t="s">
        <v>117</v>
      </c>
      <c r="B21" s="272">
        <v>65000</v>
      </c>
      <c r="C21" s="273">
        <f>B21/'- 3 -'!$D21*100</f>
        <v>0.17871044467695132</v>
      </c>
      <c r="D21" s="272">
        <f>B21/'- 7 -'!$E21</f>
        <v>24.020694752402068</v>
      </c>
    </row>
    <row r="22" spans="1:4" ht="14.1" customHeight="1">
      <c r="A22" s="15" t="s">
        <v>118</v>
      </c>
      <c r="B22" s="16">
        <v>65000</v>
      </c>
      <c r="C22" s="267">
        <f>B22/'- 3 -'!$D22*100</f>
        <v>0.31443860470142793</v>
      </c>
      <c r="D22" s="16">
        <f>B22/'- 7 -'!$E22</f>
        <v>41.714799127198049</v>
      </c>
    </row>
    <row r="23" spans="1:4" ht="14.1" customHeight="1">
      <c r="A23" s="271" t="s">
        <v>119</v>
      </c>
      <c r="B23" s="272">
        <v>47000</v>
      </c>
      <c r="C23" s="273">
        <f>B23/'- 3 -'!$D23*100</f>
        <v>0.27988267080241941</v>
      </c>
      <c r="D23" s="272">
        <f>B23/'- 7 -'!$E23</f>
        <v>42.190305206463194</v>
      </c>
    </row>
    <row r="24" spans="1:4" ht="14.1" customHeight="1">
      <c r="A24" s="15" t="s">
        <v>120</v>
      </c>
      <c r="B24" s="16">
        <v>172535</v>
      </c>
      <c r="C24" s="267">
        <f>B24/'- 3 -'!$D24*100</f>
        <v>0.296925455525055</v>
      </c>
      <c r="D24" s="16">
        <f>B24/'- 7 -'!$E24</f>
        <v>43.674218453360332</v>
      </c>
    </row>
    <row r="25" spans="1:4" ht="14.1" customHeight="1">
      <c r="A25" s="271" t="s">
        <v>121</v>
      </c>
      <c r="B25" s="272">
        <v>821158</v>
      </c>
      <c r="C25" s="273">
        <f>B25/'- 3 -'!$D25*100</f>
        <v>0.47002989186979394</v>
      </c>
      <c r="D25" s="272">
        <f>B25/'- 7 -'!$E25</f>
        <v>57.502048247610375</v>
      </c>
    </row>
    <row r="26" spans="1:4" ht="14.1" customHeight="1">
      <c r="A26" s="15" t="s">
        <v>122</v>
      </c>
      <c r="B26" s="16">
        <v>25000</v>
      </c>
      <c r="C26" s="267">
        <f>B26/'- 3 -'!$D26*100</f>
        <v>6.1245692804784965E-2</v>
      </c>
      <c r="D26" s="16">
        <f>B26/'- 7 -'!$E26</f>
        <v>7.911142052466694</v>
      </c>
    </row>
    <row r="27" spans="1:4" ht="14.1" customHeight="1">
      <c r="A27" s="271" t="s">
        <v>123</v>
      </c>
      <c r="B27" s="272">
        <v>230159</v>
      </c>
      <c r="C27" s="273">
        <f>B27/'- 3 -'!$D27*100</f>
        <v>0.52588539048576521</v>
      </c>
      <c r="D27" s="272">
        <f>B27/'- 7 -'!$E27</f>
        <v>79.092051585411951</v>
      </c>
    </row>
    <row r="28" spans="1:4" ht="14.1" customHeight="1">
      <c r="A28" s="15" t="s">
        <v>124</v>
      </c>
      <c r="B28" s="16">
        <v>74500</v>
      </c>
      <c r="C28" s="267">
        <f>B28/'- 3 -'!$D28*100</f>
        <v>0.25984436055250099</v>
      </c>
      <c r="D28" s="16">
        <f>B28/'- 7 -'!$E28</f>
        <v>38.293497815471603</v>
      </c>
    </row>
    <row r="29" spans="1:4" ht="14.1" customHeight="1">
      <c r="A29" s="271" t="s">
        <v>125</v>
      </c>
      <c r="B29" s="272">
        <v>1264572</v>
      </c>
      <c r="C29" s="273">
        <f>B29/'- 3 -'!$D29*100</f>
        <v>0.79870094471941788</v>
      </c>
      <c r="D29" s="272">
        <f>B29/'- 7 -'!$E29</f>
        <v>99.737518731761185</v>
      </c>
    </row>
    <row r="30" spans="1:4" ht="14.1" customHeight="1">
      <c r="A30" s="15" t="s">
        <v>126</v>
      </c>
      <c r="B30" s="16">
        <v>42800</v>
      </c>
      <c r="C30" s="267">
        <f>B30/'- 3 -'!$D30*100</f>
        <v>0.29096232935195349</v>
      </c>
      <c r="D30" s="16">
        <f>B30/'- 7 -'!$E30</f>
        <v>42.629482071713149</v>
      </c>
    </row>
    <row r="31" spans="1:4" ht="14.1" customHeight="1">
      <c r="A31" s="271" t="s">
        <v>127</v>
      </c>
      <c r="B31" s="272">
        <v>140421</v>
      </c>
      <c r="C31" s="273">
        <f>B31/'- 3 -'!$D31*100</f>
        <v>0.37273569060301848</v>
      </c>
      <c r="D31" s="272">
        <f>B31/'- 7 -'!$E31</f>
        <v>43.609006211180123</v>
      </c>
    </row>
    <row r="32" spans="1:4" ht="14.1" customHeight="1">
      <c r="A32" s="15" t="s">
        <v>128</v>
      </c>
      <c r="B32" s="16">
        <v>70000</v>
      </c>
      <c r="C32" s="267">
        <f>B32/'- 3 -'!$D32*100</f>
        <v>0.23123043129892837</v>
      </c>
      <c r="D32" s="16">
        <f>B32/'- 7 -'!$E32</f>
        <v>32.095369096744612</v>
      </c>
    </row>
    <row r="33" spans="1:5" ht="14.1" customHeight="1">
      <c r="A33" s="271" t="s">
        <v>129</v>
      </c>
      <c r="B33" s="272">
        <v>71000</v>
      </c>
      <c r="C33" s="273">
        <f>B33/'- 3 -'!$D33*100</f>
        <v>0.25419647955776975</v>
      </c>
      <c r="D33" s="272">
        <f>B33/'- 7 -'!$E33</f>
        <v>35.253227408142997</v>
      </c>
    </row>
    <row r="34" spans="1:5" ht="14.1" customHeight="1">
      <c r="A34" s="15" t="s">
        <v>130</v>
      </c>
      <c r="B34" s="16">
        <v>106698</v>
      </c>
      <c r="C34" s="267">
        <f>B34/'- 3 -'!$D34*100</f>
        <v>0.36101192965474571</v>
      </c>
      <c r="D34" s="16">
        <f>B34/'- 7 -'!$E34</f>
        <v>53.536377320622179</v>
      </c>
    </row>
    <row r="35" spans="1:5" ht="14.1" customHeight="1">
      <c r="A35" s="271" t="s">
        <v>131</v>
      </c>
      <c r="B35" s="272">
        <v>973445</v>
      </c>
      <c r="C35" s="273">
        <f>B35/'- 3 -'!$D35*100</f>
        <v>0.53768548939730632</v>
      </c>
      <c r="D35" s="272">
        <f>B35/'- 7 -'!$E35</f>
        <v>62.981689958592135</v>
      </c>
    </row>
    <row r="36" spans="1:5" ht="14.1" customHeight="1">
      <c r="A36" s="15" t="s">
        <v>132</v>
      </c>
      <c r="B36" s="16">
        <v>40600</v>
      </c>
      <c r="C36" s="267">
        <f>B36/'- 3 -'!$D36*100</f>
        <v>0.17154503131013715</v>
      </c>
      <c r="D36" s="16">
        <f>B36/'- 7 -'!$E36</f>
        <v>24.494720965309199</v>
      </c>
    </row>
    <row r="37" spans="1:5" ht="14.1" customHeight="1">
      <c r="A37" s="271" t="s">
        <v>133</v>
      </c>
      <c r="B37" s="272">
        <v>197500</v>
      </c>
      <c r="C37" s="273">
        <f>B37/'- 3 -'!$D37*100</f>
        <v>0.39504661550062903</v>
      </c>
      <c r="D37" s="272">
        <f>B37/'- 7 -'!$E37</f>
        <v>48.129645424637502</v>
      </c>
    </row>
    <row r="38" spans="1:5" ht="14.1" customHeight="1">
      <c r="A38" s="15" t="s">
        <v>134</v>
      </c>
      <c r="B38" s="16">
        <v>481620</v>
      </c>
      <c r="C38" s="267">
        <f>B38/'- 3 -'!$D38*100</f>
        <v>0.35336605526581422</v>
      </c>
      <c r="D38" s="16">
        <f>B38/'- 7 -'!$E38</f>
        <v>43.755791768874353</v>
      </c>
    </row>
    <row r="39" spans="1:5" ht="14.1" customHeight="1">
      <c r="A39" s="271" t="s">
        <v>135</v>
      </c>
      <c r="B39" s="272">
        <v>68000</v>
      </c>
      <c r="C39" s="273">
        <f>B39/'- 3 -'!$D39*100</f>
        <v>0.29696036177458096</v>
      </c>
      <c r="D39" s="272">
        <f>B39/'- 7 -'!$E39</f>
        <v>44.531761624099545</v>
      </c>
    </row>
    <row r="40" spans="1:5" ht="14.1" customHeight="1">
      <c r="A40" s="15" t="s">
        <v>136</v>
      </c>
      <c r="B40" s="16">
        <v>420654</v>
      </c>
      <c r="C40" s="267">
        <f>B40/'- 3 -'!$D40*100</f>
        <v>0.39891509024394878</v>
      </c>
      <c r="D40" s="16">
        <f>B40/'- 7 -'!$E40</f>
        <v>52.921772387590273</v>
      </c>
    </row>
    <row r="41" spans="1:5" ht="14.1" customHeight="1">
      <c r="A41" s="271" t="s">
        <v>137</v>
      </c>
      <c r="B41" s="272">
        <v>112715</v>
      </c>
      <c r="C41" s="273">
        <f>B41/'- 3 -'!$D41*100</f>
        <v>0.17628774589415261</v>
      </c>
      <c r="D41" s="272">
        <f>B41/'- 7 -'!$E41</f>
        <v>25.561855085610613</v>
      </c>
    </row>
    <row r="42" spans="1:5" ht="14.1" customHeight="1">
      <c r="A42" s="15" t="s">
        <v>138</v>
      </c>
      <c r="B42" s="16">
        <v>32800</v>
      </c>
      <c r="C42" s="267">
        <f>B42/'- 3 -'!$D42*100</f>
        <v>0.15535327002056062</v>
      </c>
      <c r="D42" s="16">
        <f>B42/'- 7 -'!$E42</f>
        <v>24.099926524614254</v>
      </c>
    </row>
    <row r="43" spans="1:5" ht="14.1" customHeight="1">
      <c r="A43" s="271" t="s">
        <v>139</v>
      </c>
      <c r="B43" s="272">
        <v>32300</v>
      </c>
      <c r="C43" s="273">
        <f>B43/'- 3 -'!$D43*100</f>
        <v>0.2419688986811796</v>
      </c>
      <c r="D43" s="272">
        <f>B43/'- 7 -'!$E43</f>
        <v>34.343434343434346</v>
      </c>
    </row>
    <row r="44" spans="1:5" ht="14.1" customHeight="1">
      <c r="A44" s="15" t="s">
        <v>140</v>
      </c>
      <c r="B44" s="16">
        <v>8000</v>
      </c>
      <c r="C44" s="267">
        <f>B44/'- 3 -'!$D44*100</f>
        <v>7.1404293968622107E-2</v>
      </c>
      <c r="D44" s="16">
        <f>B44/'- 7 -'!$E44</f>
        <v>11.412268188302425</v>
      </c>
    </row>
    <row r="45" spans="1:5" ht="14.1" customHeight="1">
      <c r="A45" s="271" t="s">
        <v>141</v>
      </c>
      <c r="B45" s="272">
        <v>71000</v>
      </c>
      <c r="C45" s="273">
        <f>B45/'- 3 -'!$D45*100</f>
        <v>0.36199366327543181</v>
      </c>
      <c r="D45" s="272">
        <f>B45/'- 7 -'!$E45</f>
        <v>41.715628672150409</v>
      </c>
    </row>
    <row r="46" spans="1:5" ht="14.1" customHeight="1">
      <c r="A46" s="15" t="s">
        <v>142</v>
      </c>
      <c r="B46" s="16">
        <v>1338700</v>
      </c>
      <c r="C46" s="267">
        <f>B46/'- 3 -'!$D46*100</f>
        <v>0.34172199089626276</v>
      </c>
      <c r="D46" s="16">
        <f>B46/'- 7 -'!$E46</f>
        <v>44.391020326955598</v>
      </c>
    </row>
    <row r="47" spans="1:5" ht="5.0999999999999996" customHeight="1">
      <c r="A47"/>
      <c r="B47"/>
      <c r="C47"/>
      <c r="D47"/>
    </row>
    <row r="48" spans="1:5" ht="14.1" customHeight="1">
      <c r="A48" s="274" t="s">
        <v>143</v>
      </c>
      <c r="B48" s="275">
        <f>SUM(B11:B46)</f>
        <v>8603165</v>
      </c>
      <c r="C48" s="276">
        <f>B48/'- 3 -'!$D48*100</f>
        <v>0.37222549157061308</v>
      </c>
      <c r="D48" s="275">
        <f>B48/'- 7 -'!$E48</f>
        <v>49.123324415808597</v>
      </c>
      <c r="E48" s="29"/>
    </row>
    <row r="49" spans="1:4" ht="5.0999999999999996" customHeight="1">
      <c r="A49" s="17" t="s">
        <v>1</v>
      </c>
      <c r="B49" s="18"/>
      <c r="C49" s="266"/>
      <c r="D49" s="18"/>
    </row>
    <row r="50" spans="1:4" ht="14.1" customHeight="1">
      <c r="A50" s="15" t="s">
        <v>144</v>
      </c>
      <c r="B50" s="16">
        <v>5000</v>
      </c>
      <c r="C50" s="267">
        <f>B50/'- 3 -'!$D50*100</f>
        <v>0.14468404765776782</v>
      </c>
      <c r="D50" s="16">
        <f>B50/'- 7 -'!$E50</f>
        <v>31.055900621118013</v>
      </c>
    </row>
    <row r="51" spans="1:4" ht="14.1" customHeight="1">
      <c r="A51" s="360" t="s">
        <v>523</v>
      </c>
      <c r="B51" s="272">
        <v>1335588</v>
      </c>
      <c r="C51" s="273">
        <f>B51/'- 3 -'!$D51*100</f>
        <v>4.5178450903054514</v>
      </c>
      <c r="D51" s="272">
        <f>B51/'- 7 -'!$E51</f>
        <v>1843.4616977225674</v>
      </c>
    </row>
    <row r="52" spans="1:4" ht="50.1" customHeight="1"/>
    <row r="53" spans="1:4" ht="15" customHeight="1"/>
    <row r="54" spans="1:4" ht="14.45" customHeight="1"/>
    <row r="55" spans="1:4" ht="14.45" customHeight="1"/>
    <row r="56" spans="1:4" ht="14.45" customHeight="1"/>
    <row r="57" spans="1:4" ht="14.45" customHeight="1"/>
    <row r="58" spans="1:4" ht="14.45" customHeight="1"/>
    <row r="59" spans="1:4" ht="14.45" customHeight="1"/>
  </sheetData>
  <mergeCells count="3">
    <mergeCell ref="D8:D9"/>
    <mergeCell ref="B6:D7"/>
    <mergeCell ref="B5:D5"/>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3.xml><?xml version="1.0" encoding="utf-8"?>
<worksheet xmlns="http://schemas.openxmlformats.org/spreadsheetml/2006/main" xmlns:r="http://schemas.openxmlformats.org/officeDocument/2006/relationships">
  <sheetPr codeName="Sheet24">
    <pageSetUpPr fitToPage="1"/>
  </sheetPr>
  <dimension ref="A1:J59"/>
  <sheetViews>
    <sheetView showGridLines="0" showZeros="0" workbookViewId="0"/>
  </sheetViews>
  <sheetFormatPr defaultColWidth="15.83203125" defaultRowHeight="12"/>
  <cols>
    <col min="1" max="1" width="29.83203125" style="1" customWidth="1"/>
    <col min="2" max="2" width="15" style="1" customWidth="1"/>
    <col min="3" max="3" width="9.1640625" style="1" customWidth="1"/>
    <col min="4" max="4" width="9.83203125" style="1" customWidth="1"/>
    <col min="5" max="5" width="12.6640625" style="1" customWidth="1"/>
    <col min="6" max="6" width="8.1640625" style="1" customWidth="1"/>
    <col min="7" max="7" width="9.1640625" style="1" customWidth="1"/>
    <col min="8" max="8" width="12.6640625" style="1" customWidth="1"/>
    <col min="9" max="9" width="8.5" style="1" customWidth="1"/>
    <col min="10" max="10" width="9.1640625" style="1" customWidth="1"/>
    <col min="11" max="16384" width="15.83203125" style="1"/>
  </cols>
  <sheetData>
    <row r="1" spans="1:10" ht="6.95" customHeight="1">
      <c r="A1" s="3"/>
      <c r="B1" s="4"/>
      <c r="C1" s="4"/>
      <c r="D1" s="4"/>
      <c r="E1" s="4"/>
      <c r="F1" s="4"/>
      <c r="G1" s="4"/>
      <c r="H1" s="4"/>
      <c r="I1" s="4"/>
      <c r="J1" s="4"/>
    </row>
    <row r="2" spans="1:10" ht="15.95" customHeight="1">
      <c r="A2" s="132"/>
      <c r="B2" s="5" t="str">
        <f>AEXP_BP</f>
        <v>ANALYSIS OF EXPENSE BY PROGRAM</v>
      </c>
      <c r="C2" s="6"/>
      <c r="D2" s="133"/>
      <c r="E2" s="6"/>
      <c r="F2" s="6"/>
      <c r="G2" s="6"/>
      <c r="H2" s="85"/>
      <c r="I2" s="85"/>
      <c r="J2" s="503" t="s">
        <v>542</v>
      </c>
    </row>
    <row r="3" spans="1:10" ht="15.95" customHeight="1">
      <c r="A3" s="135"/>
      <c r="B3" s="7" t="str">
        <f>OPYEAR</f>
        <v>OPERATING FUND 2016/2017 BUDGET</v>
      </c>
      <c r="C3" s="8"/>
      <c r="D3" s="144"/>
      <c r="E3" s="8"/>
      <c r="F3" s="8"/>
      <c r="G3" s="8"/>
      <c r="H3" s="87"/>
      <c r="I3" s="87"/>
      <c r="J3" s="8"/>
    </row>
    <row r="4" spans="1:10" ht="15.95" customHeight="1">
      <c r="B4" s="4"/>
      <c r="C4" s="4"/>
      <c r="D4" s="4"/>
      <c r="E4" s="4"/>
      <c r="F4" s="4"/>
      <c r="G4" s="4"/>
      <c r="H4" s="4"/>
      <c r="I4" s="4"/>
      <c r="J4" s="4"/>
    </row>
    <row r="5" spans="1:10" ht="15.95" customHeight="1">
      <c r="B5" s="686" t="s">
        <v>250</v>
      </c>
      <c r="C5" s="687"/>
      <c r="D5" s="687"/>
      <c r="E5" s="687"/>
      <c r="F5" s="687"/>
      <c r="G5" s="687"/>
      <c r="H5" s="687"/>
      <c r="I5" s="687"/>
      <c r="J5" s="688"/>
    </row>
    <row r="6" spans="1:10" ht="15.95" customHeight="1">
      <c r="B6" s="622" t="s">
        <v>427</v>
      </c>
      <c r="C6" s="628"/>
      <c r="D6" s="619"/>
      <c r="E6" s="622" t="s">
        <v>428</v>
      </c>
      <c r="F6" s="628"/>
      <c r="G6" s="619"/>
      <c r="H6" s="618" t="s">
        <v>429</v>
      </c>
      <c r="I6" s="626"/>
      <c r="J6" s="611"/>
    </row>
    <row r="7" spans="1:10" ht="15.95" customHeight="1">
      <c r="B7" s="620"/>
      <c r="C7" s="629"/>
      <c r="D7" s="621"/>
      <c r="E7" s="620"/>
      <c r="F7" s="629"/>
      <c r="G7" s="621"/>
      <c r="H7" s="625"/>
      <c r="I7" s="627"/>
      <c r="J7" s="613"/>
    </row>
    <row r="8" spans="1:10" ht="15.95" customHeight="1">
      <c r="A8" s="82"/>
      <c r="B8" s="138"/>
      <c r="C8" s="137"/>
      <c r="D8" s="536" t="s">
        <v>401</v>
      </c>
      <c r="E8" s="138"/>
      <c r="F8" s="137"/>
      <c r="G8" s="536" t="s">
        <v>401</v>
      </c>
      <c r="H8" s="138"/>
      <c r="I8" s="137"/>
      <c r="J8" s="536" t="s">
        <v>401</v>
      </c>
    </row>
    <row r="9" spans="1:10" ht="15.95" customHeight="1">
      <c r="A9" s="27" t="s">
        <v>37</v>
      </c>
      <c r="B9" s="89" t="s">
        <v>38</v>
      </c>
      <c r="C9" s="89" t="s">
        <v>39</v>
      </c>
      <c r="D9" s="576"/>
      <c r="E9" s="89" t="s">
        <v>38</v>
      </c>
      <c r="F9" s="89" t="s">
        <v>39</v>
      </c>
      <c r="G9" s="576"/>
      <c r="H9" s="89" t="s">
        <v>38</v>
      </c>
      <c r="I9" s="89" t="s">
        <v>39</v>
      </c>
      <c r="J9" s="576"/>
    </row>
    <row r="10" spans="1:10" ht="5.0999999999999996" customHeight="1">
      <c r="A10" s="29"/>
    </row>
    <row r="11" spans="1:10" ht="14.1" customHeight="1">
      <c r="A11" s="271" t="s">
        <v>108</v>
      </c>
      <c r="B11" s="272">
        <v>0</v>
      </c>
      <c r="C11" s="273">
        <f>B11/'- 3 -'!$D11*100</f>
        <v>0</v>
      </c>
      <c r="D11" s="272">
        <f>B11/'- 7 -'!$C11</f>
        <v>0</v>
      </c>
      <c r="E11" s="272">
        <v>116130</v>
      </c>
      <c r="F11" s="273">
        <f>E11/'- 3 -'!$D11*100</f>
        <v>0.59364464379481086</v>
      </c>
      <c r="G11" s="272">
        <f>E11/'- 7 -'!$E11</f>
        <v>66.246434683399883</v>
      </c>
      <c r="H11" s="272">
        <v>238923</v>
      </c>
      <c r="I11" s="273">
        <f>H11/'- 3 -'!$D11*100</f>
        <v>1.2213498598931163</v>
      </c>
      <c r="J11" s="272">
        <f>H11/'- 7 -'!$E11</f>
        <v>136.29378208784939</v>
      </c>
    </row>
    <row r="12" spans="1:10" ht="14.1" customHeight="1">
      <c r="A12" s="15" t="s">
        <v>109</v>
      </c>
      <c r="B12" s="16">
        <v>0</v>
      </c>
      <c r="C12" s="267">
        <f>B12/'- 3 -'!$D12*100</f>
        <v>0</v>
      </c>
      <c r="D12" s="16">
        <f>B12/'- 7 -'!$C12</f>
        <v>0</v>
      </c>
      <c r="E12" s="16">
        <v>0</v>
      </c>
      <c r="F12" s="267">
        <f>E12/'- 3 -'!$D12*100</f>
        <v>0</v>
      </c>
      <c r="G12" s="16">
        <f>E12/'- 7 -'!$E12</f>
        <v>0</v>
      </c>
      <c r="H12" s="16">
        <v>242829</v>
      </c>
      <c r="I12" s="267">
        <f>H12/'- 3 -'!$D12*100</f>
        <v>0.69539522067956905</v>
      </c>
      <c r="J12" s="16">
        <f>H12/'- 7 -'!$E12</f>
        <v>112.94372093023256</v>
      </c>
    </row>
    <row r="13" spans="1:10" ht="14.1" customHeight="1">
      <c r="A13" s="271" t="s">
        <v>110</v>
      </c>
      <c r="B13" s="272">
        <v>79500</v>
      </c>
      <c r="C13" s="273">
        <f>B13/'- 3 -'!$D13*100</f>
        <v>8.1148449605281683E-2</v>
      </c>
      <c r="D13" s="272">
        <f>B13/'- 7 -'!$C13</f>
        <v>9.5243800167724935</v>
      </c>
      <c r="E13" s="272">
        <v>508400</v>
      </c>
      <c r="F13" s="273">
        <f>E13/'- 3 -'!$D13*100</f>
        <v>0.51894178338773855</v>
      </c>
      <c r="G13" s="272">
        <f>E13/'- 7 -'!$E13</f>
        <v>60.908110698454536</v>
      </c>
      <c r="H13" s="272">
        <v>1089300</v>
      </c>
      <c r="I13" s="273">
        <f>H13/'- 3 -'!$D13*100</f>
        <v>1.1118868698746334</v>
      </c>
      <c r="J13" s="272">
        <f>H13/'- 7 -'!$E13</f>
        <v>130.50197675811668</v>
      </c>
    </row>
    <row r="14" spans="1:10" ht="14.1" customHeight="1">
      <c r="A14" s="15" t="s">
        <v>319</v>
      </c>
      <c r="B14" s="16">
        <v>176639</v>
      </c>
      <c r="C14" s="267">
        <f>B14/'- 3 -'!$D14*100</f>
        <v>0.20488261084372641</v>
      </c>
      <c r="D14" s="16">
        <f>B14/'- 7 -'!$C14</f>
        <v>32.186406705539362</v>
      </c>
      <c r="E14" s="16">
        <v>1640678</v>
      </c>
      <c r="F14" s="267">
        <f>E14/'- 3 -'!$D14*100</f>
        <v>1.9030134465993547</v>
      </c>
      <c r="G14" s="16">
        <f>E14/'- 7 -'!$E14</f>
        <v>298.95736151603501</v>
      </c>
      <c r="H14" s="16">
        <v>895066</v>
      </c>
      <c r="I14" s="267">
        <f>H14/'- 3 -'!$D14*100</f>
        <v>1.0381821622487153</v>
      </c>
      <c r="J14" s="16">
        <f>H14/'- 7 -'!$E14</f>
        <v>163.09511661807579</v>
      </c>
    </row>
    <row r="15" spans="1:10" ht="14.1" customHeight="1">
      <c r="A15" s="271" t="s">
        <v>111</v>
      </c>
      <c r="B15" s="272">
        <v>65200</v>
      </c>
      <c r="C15" s="273">
        <f>B15/'- 3 -'!$D15*100</f>
        <v>0.3194582301994448</v>
      </c>
      <c r="D15" s="272">
        <f>B15/'- 7 -'!$C15</f>
        <v>47.608616283315079</v>
      </c>
      <c r="E15" s="272">
        <v>97000</v>
      </c>
      <c r="F15" s="273">
        <f>E15/'- 3 -'!$D15*100</f>
        <v>0.47526761241328447</v>
      </c>
      <c r="G15" s="272">
        <f>E15/'- 7 -'!$E15</f>
        <v>70.82876962395035</v>
      </c>
      <c r="H15" s="272">
        <v>217600</v>
      </c>
      <c r="I15" s="273">
        <f>H15/'- 3 -'!$D15*100</f>
        <v>1.0661673449601103</v>
      </c>
      <c r="J15" s="272">
        <f>H15/'- 7 -'!$E15</f>
        <v>158.89010587805768</v>
      </c>
    </row>
    <row r="16" spans="1:10" ht="14.1" customHeight="1">
      <c r="A16" s="15" t="s">
        <v>112</v>
      </c>
      <c r="B16" s="16">
        <v>0</v>
      </c>
      <c r="C16" s="267">
        <f>B16/'- 3 -'!$D16*100</f>
        <v>0</v>
      </c>
      <c r="D16" s="16">
        <f>B16/'- 7 -'!$C16</f>
        <v>0</v>
      </c>
      <c r="E16" s="16">
        <v>0</v>
      </c>
      <c r="F16" s="267">
        <f>E16/'- 3 -'!$D16*100</f>
        <v>0</v>
      </c>
      <c r="G16" s="16">
        <f>E16/'- 7 -'!$E16</f>
        <v>0</v>
      </c>
      <c r="H16" s="16">
        <v>155275</v>
      </c>
      <c r="I16" s="267">
        <f>H16/'- 3 -'!$D16*100</f>
        <v>1.0621523464725562</v>
      </c>
      <c r="J16" s="16">
        <f>H16/'- 7 -'!$E16</f>
        <v>162.16710182767625</v>
      </c>
    </row>
    <row r="17" spans="1:10" ht="14.1" customHeight="1">
      <c r="A17" s="271" t="s">
        <v>113</v>
      </c>
      <c r="B17" s="272">
        <v>0</v>
      </c>
      <c r="C17" s="273">
        <f>B17/'- 3 -'!$D17*100</f>
        <v>0</v>
      </c>
      <c r="D17" s="272">
        <f>B17/'- 7 -'!$C17</f>
        <v>0</v>
      </c>
      <c r="E17" s="272">
        <v>111670</v>
      </c>
      <c r="F17" s="273">
        <f>E17/'- 3 -'!$D17*100</f>
        <v>0.61301287952850425</v>
      </c>
      <c r="G17" s="272">
        <f>E17/'- 7 -'!$E17</f>
        <v>82.140492828245684</v>
      </c>
      <c r="H17" s="272">
        <v>229220</v>
      </c>
      <c r="I17" s="273">
        <f>H17/'- 3 -'!$D17*100</f>
        <v>1.2583040408840669</v>
      </c>
      <c r="J17" s="272">
        <f>H17/'- 7 -'!$E17</f>
        <v>168.60610518573006</v>
      </c>
    </row>
    <row r="18" spans="1:10" ht="14.1" customHeight="1">
      <c r="A18" s="15" t="s">
        <v>114</v>
      </c>
      <c r="B18" s="16">
        <v>0</v>
      </c>
      <c r="C18" s="267">
        <f>B18/'- 3 -'!$D18*100</f>
        <v>0</v>
      </c>
      <c r="D18" s="16">
        <f>B18/'- 7 -'!$C18</f>
        <v>0</v>
      </c>
      <c r="E18" s="16">
        <v>2780952</v>
      </c>
      <c r="F18" s="267">
        <f>E18/'- 3 -'!$D18*100</f>
        <v>2.1077588282702013</v>
      </c>
      <c r="G18" s="16">
        <f>E18/'- 7 -'!$E18</f>
        <v>446.76798509141145</v>
      </c>
      <c r="H18" s="16">
        <v>1928573</v>
      </c>
      <c r="I18" s="267">
        <f>H18/'- 3 -'!$D18*100</f>
        <v>1.4617177019644878</v>
      </c>
      <c r="J18" s="16">
        <f>H18/'- 7 -'!$E18</f>
        <v>309.83083250329338</v>
      </c>
    </row>
    <row r="19" spans="1:10" ht="14.1" customHeight="1">
      <c r="A19" s="271" t="s">
        <v>115</v>
      </c>
      <c r="B19" s="272">
        <v>0</v>
      </c>
      <c r="C19" s="273">
        <f>B19/'- 3 -'!$D19*100</f>
        <v>0</v>
      </c>
      <c r="D19" s="272">
        <f>B19/'- 7 -'!$C19</f>
        <v>0</v>
      </c>
      <c r="E19" s="272">
        <v>197200</v>
      </c>
      <c r="F19" s="273">
        <f>E19/'- 3 -'!$D19*100</f>
        <v>0.42455696017216521</v>
      </c>
      <c r="G19" s="272">
        <f>E19/'- 7 -'!$E19</f>
        <v>46.752015173067804</v>
      </c>
      <c r="H19" s="272">
        <v>482200</v>
      </c>
      <c r="I19" s="273">
        <f>H19/'- 3 -'!$D19*100</f>
        <v>1.0381408022059737</v>
      </c>
      <c r="J19" s="272">
        <f>H19/'- 7 -'!$E19</f>
        <v>114.31958274063537</v>
      </c>
    </row>
    <row r="20" spans="1:10" ht="14.1" customHeight="1">
      <c r="A20" s="15" t="s">
        <v>116</v>
      </c>
      <c r="B20" s="16">
        <v>39300</v>
      </c>
      <c r="C20" s="267">
        <f>B20/'- 3 -'!$D20*100</f>
        <v>4.7757929274516955E-2</v>
      </c>
      <c r="D20" s="16">
        <f>B20/'- 7 -'!$C20</f>
        <v>5.1843545940241409</v>
      </c>
      <c r="E20" s="16">
        <v>592300</v>
      </c>
      <c r="F20" s="267">
        <f>E20/'- 3 -'!$D20*100</f>
        <v>0.719771539676753</v>
      </c>
      <c r="G20" s="16">
        <f>E20/'- 7 -'!$E20</f>
        <v>78.134687685508865</v>
      </c>
      <c r="H20" s="16">
        <v>840500</v>
      </c>
      <c r="I20" s="267">
        <f>H20/'- 3 -'!$D20*100</f>
        <v>1.0213877749422773</v>
      </c>
      <c r="J20" s="16">
        <f>H20/'- 7 -'!$E20</f>
        <v>110.87659125387508</v>
      </c>
    </row>
    <row r="21" spans="1:10" ht="14.1" customHeight="1">
      <c r="A21" s="271" t="s">
        <v>117</v>
      </c>
      <c r="B21" s="272">
        <v>0</v>
      </c>
      <c r="C21" s="273">
        <f>B21/'- 3 -'!$D21*100</f>
        <v>0</v>
      </c>
      <c r="D21" s="272">
        <f>B21/'- 7 -'!$C21</f>
        <v>0</v>
      </c>
      <c r="E21" s="272">
        <v>101000</v>
      </c>
      <c r="F21" s="273">
        <f>E21/'- 3 -'!$D21*100</f>
        <v>0.27768853711341668</v>
      </c>
      <c r="G21" s="272">
        <f>E21/'- 7 -'!$E21</f>
        <v>37.32446415373245</v>
      </c>
      <c r="H21" s="272">
        <v>587770</v>
      </c>
      <c r="I21" s="273">
        <f>H21/'- 3 -'!$D21*100</f>
        <v>1.6160098164272565</v>
      </c>
      <c r="J21" s="272">
        <f>H21/'- 7 -'!$E21</f>
        <v>217.209903917221</v>
      </c>
    </row>
    <row r="22" spans="1:10" ht="14.1" customHeight="1">
      <c r="A22" s="15" t="s">
        <v>118</v>
      </c>
      <c r="B22" s="16">
        <v>22835</v>
      </c>
      <c r="C22" s="267">
        <f>B22/'- 3 -'!$D22*100</f>
        <v>0.11046470059010935</v>
      </c>
      <c r="D22" s="16">
        <f>B22/'- 7 -'!$C22</f>
        <v>14.654729816454884</v>
      </c>
      <c r="E22" s="16">
        <v>93860</v>
      </c>
      <c r="F22" s="267">
        <f>E22/'- 3 -'!$D22*100</f>
        <v>0.45404934518886197</v>
      </c>
      <c r="G22" s="16">
        <f>E22/'- 7 -'!$E22</f>
        <v>60.236169939673978</v>
      </c>
      <c r="H22" s="16">
        <v>205750</v>
      </c>
      <c r="I22" s="267">
        <f>H22/'- 3 -'!$D22*100</f>
        <v>0.99531912180490456</v>
      </c>
      <c r="J22" s="16">
        <f>H22/'- 7 -'!$E22</f>
        <v>132.04338339109228</v>
      </c>
    </row>
    <row r="23" spans="1:10" ht="14.1" customHeight="1">
      <c r="A23" s="271" t="s">
        <v>119</v>
      </c>
      <c r="B23" s="272">
        <v>0</v>
      </c>
      <c r="C23" s="273">
        <f>B23/'- 3 -'!$D23*100</f>
        <v>0</v>
      </c>
      <c r="D23" s="272">
        <f>B23/'- 7 -'!$C23</f>
        <v>0</v>
      </c>
      <c r="E23" s="272">
        <v>0</v>
      </c>
      <c r="F23" s="273">
        <f>E23/'- 3 -'!$D23*100</f>
        <v>0</v>
      </c>
      <c r="G23" s="272">
        <f>E23/'- 7 -'!$E23</f>
        <v>0</v>
      </c>
      <c r="H23" s="272">
        <v>151800</v>
      </c>
      <c r="I23" s="273">
        <f>H23/'- 3 -'!$D23*100</f>
        <v>0.90396147718738873</v>
      </c>
      <c r="J23" s="272">
        <f>H23/'- 7 -'!$E23</f>
        <v>136.26570915619391</v>
      </c>
    </row>
    <row r="24" spans="1:10" ht="14.1" customHeight="1">
      <c r="A24" s="15" t="s">
        <v>120</v>
      </c>
      <c r="B24" s="16">
        <v>72215</v>
      </c>
      <c r="C24" s="267">
        <f>B24/'- 3 -'!$D24*100</f>
        <v>0.12427896815568927</v>
      </c>
      <c r="D24" s="16">
        <f>B24/'- 7 -'!$C24</f>
        <v>18.279964561447919</v>
      </c>
      <c r="E24" s="16">
        <v>142610</v>
      </c>
      <c r="F24" s="267">
        <f>E24/'- 3 -'!$D24*100</f>
        <v>0.245425793099534</v>
      </c>
      <c r="G24" s="16">
        <f>E24/'- 7 -'!$E24</f>
        <v>36.099227945829639</v>
      </c>
      <c r="H24" s="16">
        <v>716940</v>
      </c>
      <c r="I24" s="267">
        <f>H24/'- 3 -'!$D24*100</f>
        <v>1.2338234913735355</v>
      </c>
      <c r="J24" s="16">
        <f>H24/'- 7 -'!$E24</f>
        <v>181.48082521199848</v>
      </c>
    </row>
    <row r="25" spans="1:10" ht="14.1" customHeight="1">
      <c r="A25" s="271" t="s">
        <v>121</v>
      </c>
      <c r="B25" s="272">
        <v>234390</v>
      </c>
      <c r="C25" s="273">
        <f>B25/'- 3 -'!$D25*100</f>
        <v>0.1341645655956113</v>
      </c>
      <c r="D25" s="272">
        <f>B25/'- 7 -'!$C25</f>
        <v>16.413290851160674</v>
      </c>
      <c r="E25" s="272">
        <v>1129470</v>
      </c>
      <c r="F25" s="273">
        <f>E25/'- 3 -'!$D25*100</f>
        <v>0.64650732498517471</v>
      </c>
      <c r="G25" s="272">
        <f>E25/'- 7 -'!$E25</f>
        <v>79.091768495500858</v>
      </c>
      <c r="H25" s="272">
        <v>4024190</v>
      </c>
      <c r="I25" s="273">
        <f>H25/'- 3 -'!$D25*100</f>
        <v>2.3034417134869365</v>
      </c>
      <c r="J25" s="272">
        <f>H25/'- 7 -'!$E25</f>
        <v>281.79615559679286</v>
      </c>
    </row>
    <row r="26" spans="1:10" ht="14.1" customHeight="1">
      <c r="A26" s="15" t="s">
        <v>122</v>
      </c>
      <c r="B26" s="16">
        <v>16640</v>
      </c>
      <c r="C26" s="267">
        <f>B26/'- 3 -'!$D26*100</f>
        <v>4.0765133130864876E-2</v>
      </c>
      <c r="D26" s="16">
        <f>B26/'- 7 -'!$C26</f>
        <v>5.2656561501218313</v>
      </c>
      <c r="E26" s="16">
        <v>188010</v>
      </c>
      <c r="F26" s="267">
        <f>E26/'- 3 -'!$D26*100</f>
        <v>0.4605921081691049</v>
      </c>
      <c r="G26" s="16">
        <f>E26/'- 7 -'!$E26</f>
        <v>59.494952691370528</v>
      </c>
      <c r="H26" s="16">
        <v>552500</v>
      </c>
      <c r="I26" s="267">
        <f>H26/'- 3 -'!$D26*100</f>
        <v>1.3535298109857477</v>
      </c>
      <c r="J26" s="16">
        <f>H26/'- 7 -'!$E26</f>
        <v>174.83623935951394</v>
      </c>
    </row>
    <row r="27" spans="1:10" ht="14.1" customHeight="1">
      <c r="A27" s="271" t="s">
        <v>123</v>
      </c>
      <c r="B27" s="272">
        <v>0</v>
      </c>
      <c r="C27" s="273">
        <f>B27/'- 3 -'!$D27*100</f>
        <v>0</v>
      </c>
      <c r="D27" s="272">
        <f>B27/'- 7 -'!$C27</f>
        <v>0</v>
      </c>
      <c r="E27" s="272">
        <v>723765</v>
      </c>
      <c r="F27" s="273">
        <f>E27/'- 3 -'!$D27*100</f>
        <v>1.6537152127222046</v>
      </c>
      <c r="G27" s="272">
        <f>E27/'- 7 -'!$E27</f>
        <v>248.71527385727117</v>
      </c>
      <c r="H27" s="272">
        <v>1126520</v>
      </c>
      <c r="I27" s="273">
        <f>H27/'- 3 -'!$D27*100</f>
        <v>2.573961522643148</v>
      </c>
      <c r="J27" s="272">
        <f>H27/'- 7 -'!$E27</f>
        <v>387.11837448024306</v>
      </c>
    </row>
    <row r="28" spans="1:10" ht="14.1" customHeight="1">
      <c r="A28" s="15" t="s">
        <v>124</v>
      </c>
      <c r="B28" s="16">
        <v>110238</v>
      </c>
      <c r="C28" s="267">
        <f>B28/'- 3 -'!$D28*100</f>
        <v>0.38449292105485366</v>
      </c>
      <c r="D28" s="16">
        <f>B28/'- 7 -'!$C28</f>
        <v>56.663068619892059</v>
      </c>
      <c r="E28" s="16">
        <v>0</v>
      </c>
      <c r="F28" s="267">
        <f>E28/'- 3 -'!$D28*100</f>
        <v>0</v>
      </c>
      <c r="G28" s="16">
        <f>E28/'- 7 -'!$E28</f>
        <v>0</v>
      </c>
      <c r="H28" s="16">
        <v>289342</v>
      </c>
      <c r="I28" s="267">
        <f>H28/'- 3 -'!$D28*100</f>
        <v>1.0091796908856607</v>
      </c>
      <c r="J28" s="16">
        <f>H28/'- 7 -'!$E28</f>
        <v>148.72372140837831</v>
      </c>
    </row>
    <row r="29" spans="1:10" ht="14.1" customHeight="1">
      <c r="A29" s="271" t="s">
        <v>125</v>
      </c>
      <c r="B29" s="272">
        <v>375414</v>
      </c>
      <c r="C29" s="273">
        <f>B29/'- 3 -'!$D29*100</f>
        <v>0.23711067180112763</v>
      </c>
      <c r="D29" s="272">
        <f>B29/'- 7 -'!$C29</f>
        <v>29.609117438283775</v>
      </c>
      <c r="E29" s="272">
        <v>613936</v>
      </c>
      <c r="F29" s="273">
        <f>E29/'- 3 -'!$D29*100</f>
        <v>0.38776065198127158</v>
      </c>
      <c r="G29" s="272">
        <f>E29/'- 7 -'!$E29</f>
        <v>48.421484344191185</v>
      </c>
      <c r="H29" s="272">
        <v>3518931</v>
      </c>
      <c r="I29" s="273">
        <f>H29/'- 3 -'!$D29*100</f>
        <v>2.2225492214776588</v>
      </c>
      <c r="J29" s="272">
        <f>H29/'- 7 -'!$E29</f>
        <v>277.54010568656832</v>
      </c>
    </row>
    <row r="30" spans="1:10" ht="14.1" customHeight="1">
      <c r="A30" s="15" t="s">
        <v>126</v>
      </c>
      <c r="B30" s="16">
        <v>0</v>
      </c>
      <c r="C30" s="267">
        <f>B30/'- 3 -'!$D30*100</f>
        <v>0</v>
      </c>
      <c r="D30" s="16">
        <f>B30/'- 7 -'!$C30</f>
        <v>0</v>
      </c>
      <c r="E30" s="16">
        <v>0</v>
      </c>
      <c r="F30" s="267">
        <f>E30/'- 3 -'!$D30*100</f>
        <v>0</v>
      </c>
      <c r="G30" s="16">
        <f>E30/'- 7 -'!$E30</f>
        <v>0</v>
      </c>
      <c r="H30" s="16">
        <v>432286</v>
      </c>
      <c r="I30" s="267">
        <f>H30/'- 3 -'!$D30*100</f>
        <v>2.9387603155663213</v>
      </c>
      <c r="J30" s="16">
        <f>H30/'- 7 -'!$E30</f>
        <v>430.5637450199203</v>
      </c>
    </row>
    <row r="31" spans="1:10" ht="14.1" customHeight="1">
      <c r="A31" s="271" t="s">
        <v>127</v>
      </c>
      <c r="B31" s="272">
        <v>0</v>
      </c>
      <c r="C31" s="273">
        <f>B31/'- 3 -'!$D31*100</f>
        <v>0</v>
      </c>
      <c r="D31" s="272">
        <f>B31/'- 7 -'!$C31</f>
        <v>0</v>
      </c>
      <c r="E31" s="272">
        <v>107251</v>
      </c>
      <c r="F31" s="273">
        <f>E31/'- 3 -'!$D31*100</f>
        <v>0.28468872570957571</v>
      </c>
      <c r="G31" s="272">
        <f>E31/'- 7 -'!$E31</f>
        <v>33.307763975155282</v>
      </c>
      <c r="H31" s="272">
        <v>502189</v>
      </c>
      <c r="I31" s="273">
        <f>H31/'- 3 -'!$D31*100</f>
        <v>1.3330183072919237</v>
      </c>
      <c r="J31" s="272">
        <f>H31/'- 7 -'!$E31</f>
        <v>155.95931677018635</v>
      </c>
    </row>
    <row r="32" spans="1:10" ht="14.1" customHeight="1">
      <c r="A32" s="15" t="s">
        <v>128</v>
      </c>
      <c r="B32" s="16">
        <v>0</v>
      </c>
      <c r="C32" s="267">
        <f>B32/'- 3 -'!$D32*100</f>
        <v>0</v>
      </c>
      <c r="D32" s="16">
        <f>B32/'- 7 -'!$C32</f>
        <v>0</v>
      </c>
      <c r="E32" s="16">
        <v>66446</v>
      </c>
      <c r="F32" s="267">
        <f>E32/'- 3 -'!$D32*100</f>
        <v>0.21949053197269419</v>
      </c>
      <c r="G32" s="16">
        <f>E32/'- 7 -'!$E32</f>
        <v>30.465841357175609</v>
      </c>
      <c r="H32" s="16">
        <v>343144</v>
      </c>
      <c r="I32" s="267">
        <f>H32/'- 3 -'!$D32*100</f>
        <v>1.1335047873948496</v>
      </c>
      <c r="J32" s="16">
        <f>H32/'- 7 -'!$E32</f>
        <v>157.33333333333334</v>
      </c>
    </row>
    <row r="33" spans="1:10" ht="14.1" customHeight="1">
      <c r="A33" s="271" t="s">
        <v>129</v>
      </c>
      <c r="B33" s="272">
        <v>0</v>
      </c>
      <c r="C33" s="273">
        <f>B33/'- 3 -'!$D33*100</f>
        <v>0</v>
      </c>
      <c r="D33" s="272">
        <f>B33/'- 7 -'!$C33</f>
        <v>0</v>
      </c>
      <c r="E33" s="272">
        <v>136200</v>
      </c>
      <c r="F33" s="273">
        <f>E33/'- 3 -'!$D33*100</f>
        <v>0.48762761289814416</v>
      </c>
      <c r="G33" s="272">
        <f>E33/'- 7 -'!$E33</f>
        <v>67.626613704071502</v>
      </c>
      <c r="H33" s="272">
        <v>385800</v>
      </c>
      <c r="I33" s="273">
        <f>H33/'- 3 -'!$D33*100</f>
        <v>1.3812535466674305</v>
      </c>
      <c r="J33" s="272">
        <f>H33/'- 7 -'!$E33</f>
        <v>191.55908639523338</v>
      </c>
    </row>
    <row r="34" spans="1:10" ht="14.1" customHeight="1">
      <c r="A34" s="15" t="s">
        <v>130</v>
      </c>
      <c r="B34" s="16">
        <v>7311</v>
      </c>
      <c r="C34" s="267">
        <f>B34/'- 3 -'!$D34*100</f>
        <v>2.4736716880408682E-2</v>
      </c>
      <c r="D34" s="16">
        <f>B34/'- 7 -'!$C34</f>
        <v>3.6683391871550426</v>
      </c>
      <c r="E34" s="16">
        <v>162540</v>
      </c>
      <c r="F34" s="267">
        <f>E34/'- 3 -'!$D34*100</f>
        <v>0.54995294238019798</v>
      </c>
      <c r="G34" s="16">
        <f>E34/'- 7 -'!$E34</f>
        <v>81.555444054189664</v>
      </c>
      <c r="H34" s="16">
        <v>242716</v>
      </c>
      <c r="I34" s="267">
        <f>H34/'- 3 -'!$D34*100</f>
        <v>0.82122787229452521</v>
      </c>
      <c r="J34" s="16">
        <f>H34/'- 7 -'!$E34</f>
        <v>121.78424485699949</v>
      </c>
    </row>
    <row r="35" spans="1:10" ht="14.1" customHeight="1">
      <c r="A35" s="271" t="s">
        <v>131</v>
      </c>
      <c r="B35" s="272">
        <v>411920</v>
      </c>
      <c r="C35" s="273">
        <f>B35/'- 3 -'!$D35*100</f>
        <v>0.22752534225615051</v>
      </c>
      <c r="D35" s="272">
        <f>B35/'- 7 -'!$C35</f>
        <v>26.651138716356108</v>
      </c>
      <c r="E35" s="272">
        <v>603027</v>
      </c>
      <c r="F35" s="273">
        <f>E35/'- 3 -'!$D35*100</f>
        <v>0.33308391086788619</v>
      </c>
      <c r="G35" s="272">
        <f>E35/'- 7 -'!$E35</f>
        <v>39.015722049689444</v>
      </c>
      <c r="H35" s="272">
        <v>4028140</v>
      </c>
      <c r="I35" s="273">
        <f>H35/'- 3 -'!$D35*100</f>
        <v>2.2249561374919646</v>
      </c>
      <c r="J35" s="272">
        <f>H35/'- 7 -'!$E35</f>
        <v>260.61982401656314</v>
      </c>
    </row>
    <row r="36" spans="1:10" ht="14.1" customHeight="1">
      <c r="A36" s="15" t="s">
        <v>132</v>
      </c>
      <c r="B36" s="16">
        <v>19910</v>
      </c>
      <c r="C36" s="267">
        <f>B36/'- 3 -'!$D36*100</f>
        <v>8.4124669295192869E-2</v>
      </c>
      <c r="D36" s="16">
        <f>B36/'- 7 -'!$C36</f>
        <v>12.012066365007541</v>
      </c>
      <c r="E36" s="16">
        <v>309545</v>
      </c>
      <c r="F36" s="267">
        <f>E36/'- 3 -'!$D36*100</f>
        <v>1.3079041063274977</v>
      </c>
      <c r="G36" s="16">
        <f>E36/'- 7 -'!$E36</f>
        <v>186.75414781297135</v>
      </c>
      <c r="H36" s="16">
        <v>290465</v>
      </c>
      <c r="I36" s="267">
        <f>H36/'- 3 -'!$D36*100</f>
        <v>1.2272863921058863</v>
      </c>
      <c r="J36" s="16">
        <f>H36/'- 7 -'!$E36</f>
        <v>175.24283559577677</v>
      </c>
    </row>
    <row r="37" spans="1:10" ht="14.1" customHeight="1">
      <c r="A37" s="271" t="s">
        <v>133</v>
      </c>
      <c r="B37" s="272">
        <v>60000</v>
      </c>
      <c r="C37" s="273">
        <f>B37/'- 3 -'!$D37*100</f>
        <v>0.12001416167107719</v>
      </c>
      <c r="D37" s="272">
        <f>B37/'- 7 -'!$C37</f>
        <v>14.621664432801268</v>
      </c>
      <c r="E37" s="272">
        <v>384000</v>
      </c>
      <c r="F37" s="273">
        <f>E37/'- 3 -'!$D37*100</f>
        <v>0.76809063469489391</v>
      </c>
      <c r="G37" s="272">
        <f>E37/'- 7 -'!$E37</f>
        <v>93.578652369928108</v>
      </c>
      <c r="H37" s="272">
        <v>552750</v>
      </c>
      <c r="I37" s="273">
        <f>H37/'- 3 -'!$D37*100</f>
        <v>1.1056304643947987</v>
      </c>
      <c r="J37" s="272">
        <f>H37/'- 7 -'!$E37</f>
        <v>134.70208358718168</v>
      </c>
    </row>
    <row r="38" spans="1:10" ht="14.1" customHeight="1">
      <c r="A38" s="15" t="s">
        <v>134</v>
      </c>
      <c r="B38" s="16">
        <v>82640</v>
      </c>
      <c r="C38" s="267">
        <f>B38/'- 3 -'!$D38*100</f>
        <v>6.0633218735033599E-2</v>
      </c>
      <c r="D38" s="16">
        <f>B38/'- 7 -'!$C38</f>
        <v>7.5079494866902881</v>
      </c>
      <c r="E38" s="16">
        <v>350120</v>
      </c>
      <c r="F38" s="267">
        <f>E38/'- 3 -'!$D38*100</f>
        <v>0.25688410628642261</v>
      </c>
      <c r="G38" s="16">
        <f>E38/'- 7 -'!$E38</f>
        <v>31.808848914327246</v>
      </c>
      <c r="H38" s="16">
        <v>1847856</v>
      </c>
      <c r="I38" s="267">
        <f>H38/'- 3 -'!$D38*100</f>
        <v>1.3557775537130234</v>
      </c>
      <c r="J38" s="16">
        <f>H38/'- 7 -'!$E38</f>
        <v>167.88007631507222</v>
      </c>
    </row>
    <row r="39" spans="1:10" ht="14.1" customHeight="1">
      <c r="A39" s="271" t="s">
        <v>135</v>
      </c>
      <c r="B39" s="272">
        <v>0</v>
      </c>
      <c r="C39" s="273">
        <f>B39/'- 3 -'!$D39*100</f>
        <v>0</v>
      </c>
      <c r="D39" s="272">
        <f>B39/'- 7 -'!$C39</f>
        <v>0</v>
      </c>
      <c r="E39" s="272">
        <v>113200</v>
      </c>
      <c r="F39" s="273">
        <f>E39/'- 3 -'!$D39*100</f>
        <v>0.4943516610718024</v>
      </c>
      <c r="G39" s="272">
        <f>E39/'- 7 -'!$E39</f>
        <v>74.132285527177473</v>
      </c>
      <c r="H39" s="272">
        <v>276400</v>
      </c>
      <c r="I39" s="273">
        <f>H39/'- 3 -'!$D39*100</f>
        <v>1.2070565293307969</v>
      </c>
      <c r="J39" s="272">
        <f>H39/'- 7 -'!$E39</f>
        <v>181.00851342501636</v>
      </c>
    </row>
    <row r="40" spans="1:10" ht="14.1" customHeight="1">
      <c r="A40" s="15" t="s">
        <v>136</v>
      </c>
      <c r="B40" s="16">
        <v>45057</v>
      </c>
      <c r="C40" s="267">
        <f>B40/'- 3 -'!$D40*100</f>
        <v>4.2728506613800413E-2</v>
      </c>
      <c r="D40" s="16">
        <f>B40/'- 7 -'!$C40</f>
        <v>5.6685454042221277</v>
      </c>
      <c r="E40" s="16">
        <v>1205655</v>
      </c>
      <c r="F40" s="267">
        <f>E40/'- 3 -'!$D40*100</f>
        <v>1.1433481510411598</v>
      </c>
      <c r="G40" s="16">
        <f>E40/'- 7 -'!$E40</f>
        <v>151.68142817603101</v>
      </c>
      <c r="H40" s="16">
        <v>1301440</v>
      </c>
      <c r="I40" s="267">
        <f>H40/'- 3 -'!$D40*100</f>
        <v>1.2341830935806737</v>
      </c>
      <c r="J40" s="16">
        <f>H40/'- 7 -'!$E40</f>
        <v>163.73197795838263</v>
      </c>
    </row>
    <row r="41" spans="1:10" ht="14.1" customHeight="1">
      <c r="A41" s="271" t="s">
        <v>137</v>
      </c>
      <c r="B41" s="272">
        <v>65008</v>
      </c>
      <c r="C41" s="273">
        <f>B41/'- 3 -'!$D41*100</f>
        <v>0.1016733689844925</v>
      </c>
      <c r="D41" s="272">
        <f>B41/'- 7 -'!$C41</f>
        <v>14.742714593491325</v>
      </c>
      <c r="E41" s="272">
        <v>513441</v>
      </c>
      <c r="F41" s="273">
        <f>E41/'- 3 -'!$D41*100</f>
        <v>0.80302849256655806</v>
      </c>
      <c r="G41" s="272">
        <f>E41/'- 7 -'!$E41</f>
        <v>116.43973239596326</v>
      </c>
      <c r="H41" s="272">
        <v>549691</v>
      </c>
      <c r="I41" s="273">
        <f>H41/'- 3 -'!$D41*100</f>
        <v>0.85972397044140192</v>
      </c>
      <c r="J41" s="272">
        <f>H41/'- 7 -'!$E41</f>
        <v>124.66061911781381</v>
      </c>
    </row>
    <row r="42" spans="1:10" ht="14.1" customHeight="1">
      <c r="A42" s="15" t="s">
        <v>138</v>
      </c>
      <c r="B42" s="16">
        <v>0</v>
      </c>
      <c r="C42" s="267">
        <f>B42/'- 3 -'!$D42*100</f>
        <v>0</v>
      </c>
      <c r="D42" s="16">
        <f>B42/'- 7 -'!$C42</f>
        <v>0</v>
      </c>
      <c r="E42" s="16">
        <v>0</v>
      </c>
      <c r="F42" s="267">
        <f>E42/'- 3 -'!$D42*100</f>
        <v>0</v>
      </c>
      <c r="G42" s="16">
        <f>E42/'- 7 -'!$E42</f>
        <v>0</v>
      </c>
      <c r="H42" s="16">
        <v>320350</v>
      </c>
      <c r="I42" s="267">
        <f>H42/'- 3 -'!$D42*100</f>
        <v>1.5172993918014206</v>
      </c>
      <c r="J42" s="16">
        <f>H42/'- 7 -'!$E42</f>
        <v>235.37839823659075</v>
      </c>
    </row>
    <row r="43" spans="1:10" ht="14.1" customHeight="1">
      <c r="A43" s="271" t="s">
        <v>139</v>
      </c>
      <c r="B43" s="272">
        <v>0</v>
      </c>
      <c r="C43" s="273">
        <f>B43/'- 3 -'!$D43*100</f>
        <v>0</v>
      </c>
      <c r="D43" s="272">
        <f>B43/'- 7 -'!$C43</f>
        <v>0</v>
      </c>
      <c r="E43" s="272">
        <v>46515</v>
      </c>
      <c r="F43" s="273">
        <f>E43/'- 3 -'!$D43*100</f>
        <v>0.348457687992417</v>
      </c>
      <c r="G43" s="272">
        <f>E43/'- 7 -'!$E43</f>
        <v>49.45773524720893</v>
      </c>
      <c r="H43" s="272">
        <v>220999</v>
      </c>
      <c r="I43" s="273">
        <f>H43/'- 3 -'!$D43*100</f>
        <v>1.6555691838898454</v>
      </c>
      <c r="J43" s="272">
        <f>H43/'- 7 -'!$E43</f>
        <v>234.98032961190856</v>
      </c>
    </row>
    <row r="44" spans="1:10" ht="14.1" customHeight="1">
      <c r="A44" s="15" t="s">
        <v>140</v>
      </c>
      <c r="B44" s="16">
        <v>0</v>
      </c>
      <c r="C44" s="267">
        <f>B44/'- 3 -'!$D44*100</f>
        <v>0</v>
      </c>
      <c r="D44" s="16">
        <f>B44/'- 7 -'!$C44</f>
        <v>0</v>
      </c>
      <c r="E44" s="16">
        <v>0</v>
      </c>
      <c r="F44" s="267">
        <f>E44/'- 3 -'!$D44*100</f>
        <v>0</v>
      </c>
      <c r="G44" s="16">
        <f>E44/'- 7 -'!$E44</f>
        <v>0</v>
      </c>
      <c r="H44" s="16">
        <v>126441</v>
      </c>
      <c r="I44" s="267">
        <f>H44/'- 3 -'!$D44*100</f>
        <v>1.1285537917108184</v>
      </c>
      <c r="J44" s="16">
        <f>H44/'- 7 -'!$E44</f>
        <v>180.37232524964335</v>
      </c>
    </row>
    <row r="45" spans="1:10" ht="14.1" customHeight="1">
      <c r="A45" s="271" t="s">
        <v>141</v>
      </c>
      <c r="B45" s="272">
        <v>0</v>
      </c>
      <c r="C45" s="273">
        <f>B45/'- 3 -'!$D45*100</f>
        <v>0</v>
      </c>
      <c r="D45" s="272">
        <f>B45/'- 7 -'!$C45</f>
        <v>0</v>
      </c>
      <c r="E45" s="272">
        <v>0</v>
      </c>
      <c r="F45" s="273">
        <f>E45/'- 3 -'!$D45*100</f>
        <v>0</v>
      </c>
      <c r="G45" s="272">
        <f>E45/'- 7 -'!$E45</f>
        <v>0</v>
      </c>
      <c r="H45" s="272">
        <v>221061</v>
      </c>
      <c r="I45" s="273">
        <f>H45/'- 3 -'!$D45*100</f>
        <v>1.1270800168638062</v>
      </c>
      <c r="J45" s="272">
        <f>H45/'- 7 -'!$E45</f>
        <v>129.88307873090483</v>
      </c>
    </row>
    <row r="46" spans="1:10" ht="14.1" customHeight="1">
      <c r="A46" s="15" t="s">
        <v>142</v>
      </c>
      <c r="B46" s="16">
        <v>36100</v>
      </c>
      <c r="C46" s="267">
        <f>B46/'- 3 -'!$D46*100</f>
        <v>9.2150323981139044E-3</v>
      </c>
      <c r="D46" s="16">
        <f>B46/'- 7 -'!$C46</f>
        <v>1.1970686739397154</v>
      </c>
      <c r="E46" s="16">
        <v>735500</v>
      </c>
      <c r="F46" s="267">
        <f>E46/'- 3 -'!$D46*100</f>
        <v>0.18774671270949519</v>
      </c>
      <c r="G46" s="16">
        <f>E46/'- 7 -'!$E46</f>
        <v>24.389030739131876</v>
      </c>
      <c r="H46" s="16">
        <v>2202400</v>
      </c>
      <c r="I46" s="267">
        <f>H46/'- 3 -'!$D46*100</f>
        <v>0.56219355550155303</v>
      </c>
      <c r="J46" s="16">
        <f>H46/'- 7 -'!$E46</f>
        <v>73.031137049441256</v>
      </c>
    </row>
    <row r="47" spans="1:10" ht="5.0999999999999996" customHeight="1">
      <c r="A47"/>
      <c r="B47"/>
      <c r="C47"/>
      <c r="D47"/>
      <c r="E47"/>
      <c r="F47"/>
      <c r="G47"/>
      <c r="H47"/>
      <c r="I47"/>
      <c r="J47"/>
    </row>
    <row r="48" spans="1:10" ht="14.1" customHeight="1">
      <c r="A48" s="274" t="s">
        <v>143</v>
      </c>
      <c r="B48" s="275">
        <f>SUM(B11:B46)</f>
        <v>1920317</v>
      </c>
      <c r="C48" s="276">
        <f>B48/'- 3 -'!$D48*100</f>
        <v>8.3084648416763482E-2</v>
      </c>
      <c r="D48" s="275">
        <f>B48/'- 7 -'!$C48</f>
        <v>10.964843167856518</v>
      </c>
      <c r="E48" s="275">
        <f>SUM(E11:E46)</f>
        <v>13770421</v>
      </c>
      <c r="F48" s="276">
        <f>E48/'- 3 -'!$D48*100</f>
        <v>0.5957925630694394</v>
      </c>
      <c r="G48" s="275">
        <f>E48/'- 7 -'!$E48</f>
        <v>78.627907069696263</v>
      </c>
      <c r="H48" s="275">
        <f>SUM(H11:H46)</f>
        <v>31337357</v>
      </c>
      <c r="I48" s="276">
        <f>H48/'- 3 -'!$D48*100</f>
        <v>1.3558455654225849</v>
      </c>
      <c r="J48" s="275">
        <f>H48/'- 7 -'!$E48</f>
        <v>178.93358481965771</v>
      </c>
    </row>
    <row r="49" spans="1:10" ht="5.0999999999999996" customHeight="1">
      <c r="A49" s="17" t="s">
        <v>1</v>
      </c>
      <c r="B49" s="18"/>
      <c r="C49" s="266"/>
      <c r="D49" s="18"/>
      <c r="E49" s="18"/>
      <c r="F49" s="266"/>
      <c r="H49" s="18"/>
      <c r="I49" s="266"/>
      <c r="J49" s="18"/>
    </row>
    <row r="50" spans="1:10" ht="14.1" customHeight="1">
      <c r="A50" s="15" t="s">
        <v>144</v>
      </c>
      <c r="B50" s="16">
        <v>0</v>
      </c>
      <c r="C50" s="267">
        <f>B50/'- 3 -'!$D50*100</f>
        <v>0</v>
      </c>
      <c r="D50" s="16">
        <f>B50/'- 7 -'!$C50</f>
        <v>0</v>
      </c>
      <c r="E50" s="16">
        <v>0</v>
      </c>
      <c r="F50" s="267">
        <f>E50/'- 3 -'!$D50*100</f>
        <v>0</v>
      </c>
      <c r="G50" s="16">
        <f>E50/'- 7 -'!$E50</f>
        <v>0</v>
      </c>
      <c r="H50" s="16">
        <v>23933</v>
      </c>
      <c r="I50" s="267">
        <f>H50/'- 3 -'!$D50*100</f>
        <v>0.69254466251867153</v>
      </c>
      <c r="J50" s="16">
        <f>H50/'- 7 -'!$E50</f>
        <v>148.65217391304347</v>
      </c>
    </row>
    <row r="51" spans="1:10" ht="14.1" customHeight="1">
      <c r="A51" s="360" t="s">
        <v>523</v>
      </c>
      <c r="B51" s="272">
        <v>0</v>
      </c>
      <c r="C51" s="273">
        <f>B51/'- 3 -'!$D51*100</f>
        <v>0</v>
      </c>
      <c r="D51" s="272">
        <f>B51/'- 7 -'!$C51</f>
        <v>0</v>
      </c>
      <c r="E51" s="272">
        <v>332590</v>
      </c>
      <c r="F51" s="273">
        <f>E51/'- 3 -'!$D51*100</f>
        <v>1.1250401310768665</v>
      </c>
      <c r="G51" s="272">
        <f>E51/'- 7 -'!$E51</f>
        <v>459.06142167011734</v>
      </c>
      <c r="H51" s="272">
        <v>27772</v>
      </c>
      <c r="I51" s="273">
        <f>H51/'- 3 -'!$D51*100</f>
        <v>9.3943337202762378E-2</v>
      </c>
      <c r="J51" s="272">
        <f>H51/'- 7 -'!$E51</f>
        <v>38.332643202208416</v>
      </c>
    </row>
    <row r="52" spans="1:10" ht="50.1" customHeight="1">
      <c r="A52" s="164"/>
      <c r="B52" s="164"/>
      <c r="C52" s="164"/>
      <c r="D52" s="164"/>
      <c r="E52" s="164"/>
      <c r="F52" s="164"/>
      <c r="G52" s="164"/>
      <c r="H52" s="164"/>
      <c r="I52" s="164"/>
      <c r="J52" s="164"/>
    </row>
    <row r="53" spans="1:10" ht="15" customHeight="1">
      <c r="A53" s="130"/>
      <c r="B53" s="164"/>
      <c r="C53" s="164"/>
      <c r="D53" s="164"/>
      <c r="E53" s="164"/>
      <c r="F53" s="164"/>
      <c r="G53" s="164"/>
      <c r="H53" s="164"/>
      <c r="I53" s="164"/>
      <c r="J53" s="164"/>
    </row>
    <row r="54" spans="1:10" ht="14.45" customHeight="1"/>
    <row r="55" spans="1:10" ht="14.45" customHeight="1"/>
    <row r="56" spans="1:10" ht="14.45" customHeight="1"/>
    <row r="57" spans="1:10" ht="14.45" customHeight="1"/>
    <row r="58" spans="1:10" ht="14.45" customHeight="1"/>
    <row r="59" spans="1:10" ht="14.45" customHeight="1"/>
  </sheetData>
  <mergeCells count="7">
    <mergeCell ref="D8:D9"/>
    <mergeCell ref="G8:G9"/>
    <mergeCell ref="J8:J9"/>
    <mergeCell ref="B5:J5"/>
    <mergeCell ref="B6:D7"/>
    <mergeCell ref="E6:G7"/>
    <mergeCell ref="H6:J7"/>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4.xml><?xml version="1.0" encoding="utf-8"?>
<worksheet xmlns="http://schemas.openxmlformats.org/spreadsheetml/2006/main" xmlns:r="http://schemas.openxmlformats.org/officeDocument/2006/relationships">
  <sheetPr codeName="Sheet25">
    <pageSetUpPr fitToPage="1"/>
  </sheetPr>
  <dimension ref="A1:G59"/>
  <sheetViews>
    <sheetView showGridLines="0" showZeros="0" workbookViewId="0"/>
  </sheetViews>
  <sheetFormatPr defaultColWidth="15.83203125" defaultRowHeight="12"/>
  <cols>
    <col min="1" max="1" width="35.83203125" style="1" customWidth="1"/>
    <col min="2" max="2" width="15.6640625" style="1" customWidth="1"/>
    <col min="3" max="3" width="8.6640625" style="1" customWidth="1"/>
    <col min="4" max="4" width="11.6640625" style="1" customWidth="1"/>
    <col min="5" max="5" width="16.83203125" style="1" customWidth="1"/>
    <col min="6" max="6" width="8.33203125" style="1" customWidth="1"/>
    <col min="7" max="7" width="11.6640625" style="1" customWidth="1"/>
    <col min="8" max="16384" width="15.83203125" style="1"/>
  </cols>
  <sheetData>
    <row r="1" spans="1:7" ht="6.95" customHeight="1">
      <c r="A1" s="3"/>
      <c r="B1" s="32"/>
      <c r="C1" s="32"/>
      <c r="D1" s="32"/>
      <c r="E1" s="32"/>
      <c r="F1" s="32"/>
      <c r="G1" s="32"/>
    </row>
    <row r="2" spans="1:7" ht="15.95" customHeight="1">
      <c r="A2" s="132"/>
      <c r="B2" s="5" t="str">
        <f>AEXP_BP</f>
        <v>ANALYSIS OF EXPENSE BY PROGRAM</v>
      </c>
      <c r="C2" s="155"/>
      <c r="D2" s="35"/>
      <c r="E2" s="35"/>
      <c r="F2" s="35"/>
      <c r="G2" s="503" t="s">
        <v>543</v>
      </c>
    </row>
    <row r="3" spans="1:7" ht="15.95" customHeight="1">
      <c r="A3" s="135"/>
      <c r="B3" s="175" t="str">
        <f>OPYEAR</f>
        <v>OPERATING FUND 2016/2017 BUDGET</v>
      </c>
      <c r="C3" s="39"/>
      <c r="D3" s="156"/>
      <c r="E3" s="39"/>
      <c r="F3" s="39"/>
      <c r="G3" s="41"/>
    </row>
    <row r="4" spans="1:7" ht="15.95" customHeight="1">
      <c r="B4" s="32"/>
      <c r="C4" s="32"/>
      <c r="D4" s="32"/>
      <c r="E4" s="32"/>
      <c r="F4" s="32"/>
      <c r="G4" s="32"/>
    </row>
    <row r="5" spans="1:7" ht="15.95" customHeight="1">
      <c r="B5" s="367" t="s">
        <v>251</v>
      </c>
      <c r="C5" s="157"/>
      <c r="D5" s="158"/>
      <c r="E5" s="158"/>
      <c r="F5" s="158"/>
      <c r="G5" s="159"/>
    </row>
    <row r="6" spans="1:7" ht="15.95" customHeight="1">
      <c r="B6" s="644" t="s">
        <v>430</v>
      </c>
      <c r="C6" s="645"/>
      <c r="D6" s="646"/>
      <c r="E6" s="346"/>
      <c r="F6" s="347"/>
      <c r="G6" s="348"/>
    </row>
    <row r="7" spans="1:7" ht="15.95" customHeight="1">
      <c r="B7" s="647"/>
      <c r="C7" s="648"/>
      <c r="D7" s="649"/>
      <c r="E7" s="641" t="s">
        <v>298</v>
      </c>
      <c r="F7" s="642"/>
      <c r="G7" s="643"/>
    </row>
    <row r="8" spans="1:7" ht="15.95" customHeight="1">
      <c r="A8" s="82"/>
      <c r="B8" s="160"/>
      <c r="C8" s="161"/>
      <c r="D8" s="536" t="s">
        <v>401</v>
      </c>
      <c r="E8" s="162"/>
      <c r="F8" s="161"/>
      <c r="G8" s="536" t="s">
        <v>401</v>
      </c>
    </row>
    <row r="9" spans="1:7" ht="15.95" customHeight="1">
      <c r="A9" s="27" t="s">
        <v>37</v>
      </c>
      <c r="B9" s="43" t="s">
        <v>38</v>
      </c>
      <c r="C9" s="43" t="s">
        <v>39</v>
      </c>
      <c r="D9" s="576"/>
      <c r="E9" s="163" t="s">
        <v>38</v>
      </c>
      <c r="F9" s="43" t="s">
        <v>39</v>
      </c>
      <c r="G9" s="576"/>
    </row>
    <row r="10" spans="1:7" ht="5.0999999999999996" customHeight="1">
      <c r="A10" s="29"/>
      <c r="B10" s="46"/>
      <c r="C10" s="46"/>
      <c r="D10" s="46"/>
      <c r="E10" s="46"/>
      <c r="F10" s="46"/>
      <c r="G10" s="46"/>
    </row>
    <row r="11" spans="1:7" ht="14.1" customHeight="1">
      <c r="A11" s="271" t="s">
        <v>108</v>
      </c>
      <c r="B11" s="272">
        <v>160780</v>
      </c>
      <c r="C11" s="273">
        <f>B11/'- 3 -'!$D11*100</f>
        <v>0.82189086221759833</v>
      </c>
      <c r="D11" s="272">
        <f>B11/'- 7 -'!$E11</f>
        <v>91.717056474614949</v>
      </c>
      <c r="E11" s="272">
        <v>8810</v>
      </c>
      <c r="F11" s="273">
        <f>E11/'- 3 -'!$D11*100</f>
        <v>4.5035815997866907E-2</v>
      </c>
      <c r="G11" s="272">
        <f>E11/'- 7 -'!$E11</f>
        <v>5.0256702795208215</v>
      </c>
    </row>
    <row r="12" spans="1:7" ht="14.1" customHeight="1">
      <c r="A12" s="15" t="s">
        <v>109</v>
      </c>
      <c r="B12" s="16">
        <v>507490</v>
      </c>
      <c r="C12" s="267">
        <f>B12/'- 3 -'!$D12*100</f>
        <v>1.4533112624220113</v>
      </c>
      <c r="D12" s="16">
        <f>B12/'- 7 -'!$E12</f>
        <v>236.04186046511629</v>
      </c>
      <c r="E12" s="16">
        <v>126044</v>
      </c>
      <c r="F12" s="267">
        <f>E12/'- 3 -'!$D12*100</f>
        <v>0.36095522032103089</v>
      </c>
      <c r="G12" s="16">
        <f>E12/'- 7 -'!$E12</f>
        <v>58.625116279069765</v>
      </c>
    </row>
    <row r="13" spans="1:7" ht="14.1" customHeight="1">
      <c r="A13" s="271" t="s">
        <v>110</v>
      </c>
      <c r="B13" s="272">
        <v>1341300</v>
      </c>
      <c r="C13" s="273">
        <f>B13/'- 3 -'!$D13*100</f>
        <v>1.369112144095149</v>
      </c>
      <c r="D13" s="272">
        <f>B13/'- 7 -'!$E13</f>
        <v>160.69246435845213</v>
      </c>
      <c r="E13" s="272">
        <v>113800</v>
      </c>
      <c r="F13" s="273">
        <f>E13/'- 3 -'!$D13*100</f>
        <v>0.1161596674852963</v>
      </c>
      <c r="G13" s="272">
        <f>E13/'- 7 -'!$E13</f>
        <v>13.633640829040374</v>
      </c>
    </row>
    <row r="14" spans="1:7" ht="14.1" customHeight="1">
      <c r="A14" s="15" t="s">
        <v>319</v>
      </c>
      <c r="B14" s="16">
        <v>543441</v>
      </c>
      <c r="C14" s="267">
        <f>B14/'- 3 -'!$D14*100</f>
        <v>0.63033424622832745</v>
      </c>
      <c r="D14" s="16">
        <f>B14/'- 7 -'!$E14</f>
        <v>99.023505830903787</v>
      </c>
      <c r="E14" s="16">
        <v>5843</v>
      </c>
      <c r="F14" s="267">
        <f>E14/'- 3 -'!$D14*100</f>
        <v>6.7772637705144027E-3</v>
      </c>
      <c r="G14" s="16">
        <f>E14/'- 7 -'!$E14</f>
        <v>1.0646865889212829</v>
      </c>
    </row>
    <row r="15" spans="1:7" ht="14.1" customHeight="1">
      <c r="A15" s="271" t="s">
        <v>111</v>
      </c>
      <c r="B15" s="272">
        <v>332421</v>
      </c>
      <c r="C15" s="273">
        <f>B15/'- 3 -'!$D15*100</f>
        <v>1.6287519070725405</v>
      </c>
      <c r="D15" s="272">
        <f>B15/'- 7 -'!$E15</f>
        <v>242.73165388828039</v>
      </c>
      <c r="E15" s="272">
        <v>5700</v>
      </c>
      <c r="F15" s="273">
        <f>E15/'- 3 -'!$D15*100</f>
        <v>2.7928096811914657E-2</v>
      </c>
      <c r="G15" s="272">
        <f>E15/'- 7 -'!$E15</f>
        <v>4.1621029572836798</v>
      </c>
    </row>
    <row r="16" spans="1:7" ht="14.1" customHeight="1">
      <c r="A16" s="15" t="s">
        <v>112</v>
      </c>
      <c r="B16" s="16">
        <v>99567</v>
      </c>
      <c r="C16" s="267">
        <f>B16/'- 3 -'!$D16*100</f>
        <v>0.68108402950399627</v>
      </c>
      <c r="D16" s="16">
        <f>B16/'- 7 -'!$E16</f>
        <v>103.9864229765013</v>
      </c>
      <c r="E16" s="16">
        <v>53046</v>
      </c>
      <c r="F16" s="267">
        <f>E16/'- 3 -'!$D16*100</f>
        <v>0.36285901382053276</v>
      </c>
      <c r="G16" s="16">
        <f>E16/'- 7 -'!$E16</f>
        <v>55.400522193211486</v>
      </c>
    </row>
    <row r="17" spans="1:7" ht="14.1" customHeight="1">
      <c r="A17" s="271" t="s">
        <v>113</v>
      </c>
      <c r="B17" s="272">
        <v>139340</v>
      </c>
      <c r="C17" s="273">
        <f>B17/'- 3 -'!$D17*100</f>
        <v>0.76490744724188942</v>
      </c>
      <c r="D17" s="272">
        <f>B17/'- 7 -'!$E17</f>
        <v>102.49356381022434</v>
      </c>
      <c r="E17" s="272">
        <v>1500</v>
      </c>
      <c r="F17" s="273">
        <f>E17/'- 3 -'!$D17*100</f>
        <v>8.2342555681271298E-3</v>
      </c>
      <c r="G17" s="272">
        <f>E17/'- 7 -'!$E17</f>
        <v>1.1033468186833395</v>
      </c>
    </row>
    <row r="18" spans="1:7" ht="14.1" customHeight="1">
      <c r="A18" s="15" t="s">
        <v>114</v>
      </c>
      <c r="B18" s="16">
        <v>848631</v>
      </c>
      <c r="C18" s="267">
        <f>B18/'- 3 -'!$D18*100</f>
        <v>0.64320041561083008</v>
      </c>
      <c r="D18" s="16">
        <f>B18/'- 7 -'!$E18</f>
        <v>136.33502554381005</v>
      </c>
      <c r="E18" s="16">
        <v>1617916</v>
      </c>
      <c r="F18" s="267">
        <f>E18/'- 3 -'!$D18*100</f>
        <v>1.2262623491522366</v>
      </c>
      <c r="G18" s="16">
        <f>E18/'- 7 -'!$E18</f>
        <v>259.92288661118783</v>
      </c>
    </row>
    <row r="19" spans="1:7" ht="14.1" customHeight="1">
      <c r="A19" s="271" t="s">
        <v>115</v>
      </c>
      <c r="B19" s="272">
        <v>482500</v>
      </c>
      <c r="C19" s="273">
        <f>B19/'- 3 -'!$D19*100</f>
        <v>1.0387866799344305</v>
      </c>
      <c r="D19" s="272">
        <f>B19/'- 7 -'!$E19</f>
        <v>114.39070649596965</v>
      </c>
      <c r="E19" s="272">
        <v>230150</v>
      </c>
      <c r="F19" s="273">
        <f>E19/'- 3 -'!$D19*100</f>
        <v>0.4954958640143195</v>
      </c>
      <c r="G19" s="272">
        <f>E19/'- 7 -'!$E19</f>
        <v>54.563774300616409</v>
      </c>
    </row>
    <row r="20" spans="1:7" ht="14.1" customHeight="1">
      <c r="A20" s="15" t="s">
        <v>116</v>
      </c>
      <c r="B20" s="16">
        <v>991100</v>
      </c>
      <c r="C20" s="267">
        <f>B20/'- 3 -'!$D20*100</f>
        <v>1.2043990764369912</v>
      </c>
      <c r="D20" s="16">
        <f>B20/'- 7 -'!$E20</f>
        <v>130.74335465998286</v>
      </c>
      <c r="E20" s="16">
        <v>195200</v>
      </c>
      <c r="F20" s="267">
        <f>E20/'- 3 -'!$D20*100</f>
        <v>0.23720986754162107</v>
      </c>
      <c r="G20" s="16">
        <f>E20/'- 7 -'!$E20</f>
        <v>25.750280324516851</v>
      </c>
    </row>
    <row r="21" spans="1:7" ht="14.1" customHeight="1">
      <c r="A21" s="271" t="s">
        <v>117</v>
      </c>
      <c r="B21" s="272">
        <v>650485</v>
      </c>
      <c r="C21" s="273">
        <f>B21/'- 3 -'!$D21*100</f>
        <v>1.7884379016259488</v>
      </c>
      <c r="D21" s="272">
        <f>B21/'- 7 -'!$E21</f>
        <v>240.38617886178861</v>
      </c>
      <c r="E21" s="272">
        <v>102040</v>
      </c>
      <c r="F21" s="273">
        <f>E21/'- 3 -'!$D21*100</f>
        <v>0.28054790422824788</v>
      </c>
      <c r="G21" s="272">
        <f>E21/'- 7 -'!$E21</f>
        <v>37.708795269770881</v>
      </c>
    </row>
    <row r="22" spans="1:7" ht="14.1" customHeight="1">
      <c r="A22" s="15" t="s">
        <v>118</v>
      </c>
      <c r="B22" s="16">
        <v>123175</v>
      </c>
      <c r="C22" s="267">
        <f>B22/'- 3 -'!$D22*100</f>
        <v>0.59586115590920596</v>
      </c>
      <c r="D22" s="16">
        <f>B22/'- 7 -'!$E22</f>
        <v>79.049544346040307</v>
      </c>
      <c r="E22" s="16">
        <v>27970</v>
      </c>
      <c r="F22" s="267">
        <f>E22/'- 3 -'!$D22*100</f>
        <v>0.13530535036152214</v>
      </c>
      <c r="G22" s="16">
        <f>E22/'- 7 -'!$E22</f>
        <v>17.95019894750353</v>
      </c>
    </row>
    <row r="23" spans="1:7" ht="14.1" customHeight="1">
      <c r="A23" s="271" t="s">
        <v>119</v>
      </c>
      <c r="B23" s="272">
        <v>200000</v>
      </c>
      <c r="C23" s="273">
        <f>B23/'- 3 -'!$D23*100</f>
        <v>1.1909900885209337</v>
      </c>
      <c r="D23" s="272">
        <f>B23/'- 7 -'!$E23</f>
        <v>179.53321364452424</v>
      </c>
      <c r="E23" s="272">
        <v>7000</v>
      </c>
      <c r="F23" s="273">
        <f>E23/'- 3 -'!$D23*100</f>
        <v>4.1684653098232688E-2</v>
      </c>
      <c r="G23" s="272">
        <f>E23/'- 7 -'!$E23</f>
        <v>6.2836624775583481</v>
      </c>
    </row>
    <row r="24" spans="1:7" ht="14.1" customHeight="1">
      <c r="A24" s="15" t="s">
        <v>120</v>
      </c>
      <c r="B24" s="16">
        <v>729955</v>
      </c>
      <c r="C24" s="267">
        <f>B24/'- 3 -'!$D24*100</f>
        <v>1.2562217572538414</v>
      </c>
      <c r="D24" s="16">
        <f>B24/'- 7 -'!$E24</f>
        <v>184.77534489305151</v>
      </c>
      <c r="E24" s="16">
        <v>42690</v>
      </c>
      <c r="F24" s="267">
        <f>E24/'- 3 -'!$D24*100</f>
        <v>7.3467688853650556E-2</v>
      </c>
      <c r="G24" s="16">
        <f>E24/'- 7 -'!$E24</f>
        <v>10.80622705986584</v>
      </c>
    </row>
    <row r="25" spans="1:7" ht="14.1" customHeight="1">
      <c r="A25" s="271" t="s">
        <v>121</v>
      </c>
      <c r="B25" s="272">
        <v>1595380</v>
      </c>
      <c r="C25" s="273">
        <f>B25/'- 3 -'!$D25*100</f>
        <v>0.91319367148737729</v>
      </c>
      <c r="D25" s="272">
        <f>B25/'- 7 -'!$E25</f>
        <v>111.71737684254752</v>
      </c>
      <c r="E25" s="272">
        <v>250061</v>
      </c>
      <c r="F25" s="273">
        <f>E25/'- 3 -'!$D25*100</f>
        <v>0.14313462791673773</v>
      </c>
      <c r="G25" s="272">
        <f>E25/'- 7 -'!$E25</f>
        <v>17.510661391407865</v>
      </c>
    </row>
    <row r="26" spans="1:7" ht="14.1" customHeight="1">
      <c r="A26" s="15" t="s">
        <v>122</v>
      </c>
      <c r="B26" s="16">
        <v>282000</v>
      </c>
      <c r="C26" s="267">
        <f>B26/'- 3 -'!$D26*100</f>
        <v>0.69085141483797441</v>
      </c>
      <c r="D26" s="16">
        <f>B26/'- 7 -'!$E26</f>
        <v>89.237682351824319</v>
      </c>
      <c r="E26" s="16">
        <v>288028</v>
      </c>
      <c r="F26" s="267">
        <f>E26/'- 3 -'!$D26*100</f>
        <v>0.70561897628706416</v>
      </c>
      <c r="G26" s="16">
        <f>E26/'- 7 -'!$E26</f>
        <v>91.145216923515079</v>
      </c>
    </row>
    <row r="27" spans="1:7" ht="14.1" customHeight="1">
      <c r="A27" s="271" t="s">
        <v>123</v>
      </c>
      <c r="B27" s="272">
        <v>265550</v>
      </c>
      <c r="C27" s="273">
        <f>B27/'- 3 -'!$D27*100</f>
        <v>0.60674953159987199</v>
      </c>
      <c r="D27" s="272">
        <f>B27/'- 7 -'!$E27</f>
        <v>91.253847551067494</v>
      </c>
      <c r="E27" s="272">
        <v>54000</v>
      </c>
      <c r="F27" s="273">
        <f>E27/'- 3 -'!$D27*100</f>
        <v>0.1233834483388932</v>
      </c>
      <c r="G27" s="272">
        <f>E27/'- 7 -'!$E27</f>
        <v>18.556609933186383</v>
      </c>
    </row>
    <row r="28" spans="1:7" ht="14.1" customHeight="1">
      <c r="A28" s="15" t="s">
        <v>124</v>
      </c>
      <c r="B28" s="16">
        <v>347787</v>
      </c>
      <c r="C28" s="267">
        <f>B28/'- 3 -'!$D28*100</f>
        <v>1.2130267197781563</v>
      </c>
      <c r="D28" s="16">
        <f>B28/'- 7 -'!$E28</f>
        <v>178.76484194294525</v>
      </c>
      <c r="E28" s="16">
        <v>0</v>
      </c>
      <c r="F28" s="267">
        <f>E28/'- 3 -'!$D28*100</f>
        <v>0</v>
      </c>
      <c r="G28" s="16">
        <f>E28/'- 7 -'!$E28</f>
        <v>0</v>
      </c>
    </row>
    <row r="29" spans="1:7" ht="14.1" customHeight="1">
      <c r="A29" s="271" t="s">
        <v>125</v>
      </c>
      <c r="B29" s="272">
        <v>1642905</v>
      </c>
      <c r="C29" s="273">
        <f>B29/'- 3 -'!$D29*100</f>
        <v>1.0376552506178023</v>
      </c>
      <c r="D29" s="272">
        <f>B29/'- 7 -'!$E29</f>
        <v>129.57685937376766</v>
      </c>
      <c r="E29" s="272">
        <v>482374</v>
      </c>
      <c r="F29" s="273">
        <f>E29/'- 3 -'!$D29*100</f>
        <v>0.30466637685168141</v>
      </c>
      <c r="G29" s="272">
        <f>E29/'- 7 -'!$E29</f>
        <v>38.045113967978544</v>
      </c>
    </row>
    <row r="30" spans="1:7" ht="14.1" customHeight="1">
      <c r="A30" s="15" t="s">
        <v>126</v>
      </c>
      <c r="B30" s="16">
        <v>147543</v>
      </c>
      <c r="C30" s="267">
        <f>B30/'- 3 -'!$D30*100</f>
        <v>1.0030246485882073</v>
      </c>
      <c r="D30" s="16">
        <f>B30/'- 7 -'!$E30</f>
        <v>146.95517928286853</v>
      </c>
      <c r="E30" s="16">
        <v>5320</v>
      </c>
      <c r="F30" s="267">
        <f>E30/'- 3 -'!$D30*100</f>
        <v>3.6166345611037209E-2</v>
      </c>
      <c r="G30" s="16">
        <f>E30/'- 7 -'!$E30</f>
        <v>5.2988047808764938</v>
      </c>
    </row>
    <row r="31" spans="1:7" ht="14.1" customHeight="1">
      <c r="A31" s="271" t="s">
        <v>127</v>
      </c>
      <c r="B31" s="272">
        <v>271100</v>
      </c>
      <c r="C31" s="273">
        <f>B31/'- 3 -'!$D31*100</f>
        <v>0.71961206459488469</v>
      </c>
      <c r="D31" s="272">
        <f>B31/'- 7 -'!$E31</f>
        <v>84.192546583850927</v>
      </c>
      <c r="E31" s="272">
        <v>476864</v>
      </c>
      <c r="F31" s="273">
        <f>E31/'- 3 -'!$D31*100</f>
        <v>1.2657952326483772</v>
      </c>
      <c r="G31" s="272">
        <f>E31/'- 7 -'!$E31</f>
        <v>148.0944099378882</v>
      </c>
    </row>
    <row r="32" spans="1:7" ht="14.1" customHeight="1">
      <c r="A32" s="15" t="s">
        <v>128</v>
      </c>
      <c r="B32" s="16">
        <v>393459</v>
      </c>
      <c r="C32" s="267">
        <f>B32/'- 3 -'!$D32*100</f>
        <v>1.2997099181206437</v>
      </c>
      <c r="D32" s="16">
        <f>B32/'- 7 -'!$E32</f>
        <v>180.40302613480054</v>
      </c>
      <c r="E32" s="16">
        <v>2836</v>
      </c>
      <c r="F32" s="267">
        <f>E32/'- 3 -'!$D32*100</f>
        <v>9.3681357594822979E-3</v>
      </c>
      <c r="G32" s="16">
        <f>E32/'- 7 -'!$E32</f>
        <v>1.3003209536909675</v>
      </c>
    </row>
    <row r="33" spans="1:7" ht="14.1" customHeight="1">
      <c r="A33" s="271" t="s">
        <v>129</v>
      </c>
      <c r="B33" s="272">
        <v>296000</v>
      </c>
      <c r="C33" s="273">
        <f>B33/'- 3 -'!$D33*100</f>
        <v>1.0597487035084485</v>
      </c>
      <c r="D33" s="272">
        <f>B33/'- 7 -'!$E33</f>
        <v>146.97120158887785</v>
      </c>
      <c r="E33" s="272">
        <v>8000</v>
      </c>
      <c r="F33" s="273">
        <f>E33/'- 3 -'!$D33*100</f>
        <v>2.8641856851579686E-2</v>
      </c>
      <c r="G33" s="272">
        <f>E33/'- 7 -'!$E33</f>
        <v>3.9721946375372394</v>
      </c>
    </row>
    <row r="34" spans="1:7" ht="14.1" customHeight="1">
      <c r="A34" s="15" t="s">
        <v>130</v>
      </c>
      <c r="B34" s="16">
        <v>356374</v>
      </c>
      <c r="C34" s="267">
        <f>B34/'- 3 -'!$D34*100</f>
        <v>1.2057889128079284</v>
      </c>
      <c r="D34" s="16">
        <f>B34/'- 7 -'!$E34</f>
        <v>178.81284495735073</v>
      </c>
      <c r="E34" s="16">
        <v>58599</v>
      </c>
      <c r="F34" s="267">
        <f>E34/'- 3 -'!$D34*100</f>
        <v>0.19826930275954976</v>
      </c>
      <c r="G34" s="16">
        <f>E34/'- 7 -'!$E34</f>
        <v>29.402408429503261</v>
      </c>
    </row>
    <row r="35" spans="1:7" ht="14.1" customHeight="1">
      <c r="A35" s="271" t="s">
        <v>131</v>
      </c>
      <c r="B35" s="272">
        <v>2015852</v>
      </c>
      <c r="C35" s="273">
        <f>B35/'- 3 -'!$D35*100</f>
        <v>1.1134623622007804</v>
      </c>
      <c r="D35" s="272">
        <f>B35/'- 7 -'!$E35</f>
        <v>130.42520703933747</v>
      </c>
      <c r="E35" s="272">
        <v>487900</v>
      </c>
      <c r="F35" s="273">
        <f>E35/'- 3 -'!$D35*100</f>
        <v>0.26949314062627655</v>
      </c>
      <c r="G35" s="272">
        <f>E35/'- 7 -'!$E35</f>
        <v>31.567028985507246</v>
      </c>
    </row>
    <row r="36" spans="1:7" ht="14.1" customHeight="1">
      <c r="A36" s="15" t="s">
        <v>132</v>
      </c>
      <c r="B36" s="16">
        <v>191500</v>
      </c>
      <c r="C36" s="267">
        <f>B36/'- 3 -'!$D36*100</f>
        <v>0.80913481516973562</v>
      </c>
      <c r="D36" s="16">
        <f>B36/'- 7 -'!$E36</f>
        <v>115.53544494720965</v>
      </c>
      <c r="E36" s="16">
        <v>11900</v>
      </c>
      <c r="F36" s="267">
        <f>E36/'- 3 -'!$D36*100</f>
        <v>5.0280440211591927E-2</v>
      </c>
      <c r="G36" s="16">
        <f>E36/'- 7 -'!$E36</f>
        <v>7.1794871794871797</v>
      </c>
    </row>
    <row r="37" spans="1:7" ht="14.1" customHeight="1">
      <c r="A37" s="271" t="s">
        <v>133</v>
      </c>
      <c r="B37" s="272">
        <v>384792</v>
      </c>
      <c r="C37" s="273">
        <f>B37/'- 3 -'!$D37*100</f>
        <v>0.76967482162895229</v>
      </c>
      <c r="D37" s="272">
        <f>B37/'- 7 -'!$E37</f>
        <v>93.771658340441093</v>
      </c>
      <c r="E37" s="272">
        <v>40500</v>
      </c>
      <c r="F37" s="273">
        <f>E37/'- 3 -'!$D37*100</f>
        <v>8.100955912797711E-2</v>
      </c>
      <c r="G37" s="272">
        <f>E37/'- 7 -'!$E37</f>
        <v>9.869623492140855</v>
      </c>
    </row>
    <row r="38" spans="1:7" ht="14.1" customHeight="1">
      <c r="A38" s="15" t="s">
        <v>134</v>
      </c>
      <c r="B38" s="16">
        <v>1165300</v>
      </c>
      <c r="C38" s="267">
        <f>B38/'- 3 -'!$D38*100</f>
        <v>0.85498414559456271</v>
      </c>
      <c r="D38" s="16">
        <f>B38/'- 7 -'!$E38</f>
        <v>105.86899245934406</v>
      </c>
      <c r="E38" s="16">
        <v>1933020</v>
      </c>
      <c r="F38" s="267">
        <f>E38/'- 3 -'!$D38*100</f>
        <v>1.4182626389060342</v>
      </c>
      <c r="G38" s="16">
        <f>E38/'- 7 -'!$E38</f>
        <v>175.61733442354864</v>
      </c>
    </row>
    <row r="39" spans="1:7" ht="14.1" customHeight="1">
      <c r="A39" s="271" t="s">
        <v>135</v>
      </c>
      <c r="B39" s="272">
        <v>182400</v>
      </c>
      <c r="C39" s="273">
        <f>B39/'- 3 -'!$D39*100</f>
        <v>0.7965524998188761</v>
      </c>
      <c r="D39" s="272">
        <f>B39/'- 7 -'!$E39</f>
        <v>119.44990176817289</v>
      </c>
      <c r="E39" s="272">
        <v>64000</v>
      </c>
      <c r="F39" s="273">
        <f>E39/'- 3 -'!$D39*100</f>
        <v>0.2794921051996056</v>
      </c>
      <c r="G39" s="272">
        <f>E39/'- 7 -'!$E39</f>
        <v>41.912246234446627</v>
      </c>
    </row>
    <row r="40" spans="1:7" ht="14.1" customHeight="1">
      <c r="A40" s="15" t="s">
        <v>136</v>
      </c>
      <c r="B40" s="16">
        <v>909497</v>
      </c>
      <c r="C40" s="267">
        <f>B40/'- 3 -'!$D40*100</f>
        <v>0.86249525223010048</v>
      </c>
      <c r="D40" s="16">
        <f>B40/'- 7 -'!$E40</f>
        <v>114.42228820169591</v>
      </c>
      <c r="E40" s="16">
        <v>274034</v>
      </c>
      <c r="F40" s="267">
        <f>E40/'- 3 -'!$D40*100</f>
        <v>0.25987224141434589</v>
      </c>
      <c r="G40" s="16">
        <f>E40/'- 7 -'!$E40</f>
        <v>34.475756737035454</v>
      </c>
    </row>
    <row r="41" spans="1:7" ht="14.1" customHeight="1">
      <c r="A41" s="271" t="s">
        <v>137</v>
      </c>
      <c r="B41" s="272">
        <v>384406</v>
      </c>
      <c r="C41" s="273">
        <f>B41/'- 3 -'!$D41*100</f>
        <v>0.60121605152985513</v>
      </c>
      <c r="D41" s="272">
        <f>B41/'- 7 -'!$E41</f>
        <v>87.176777412405031</v>
      </c>
      <c r="E41" s="272">
        <v>40896</v>
      </c>
      <c r="F41" s="273">
        <f>E41/'- 3 -'!$D41*100</f>
        <v>6.3961883121920457E-2</v>
      </c>
      <c r="G41" s="272">
        <f>E41/'- 7 -'!$E41</f>
        <v>9.2745209207393131</v>
      </c>
    </row>
    <row r="42" spans="1:7" ht="14.1" customHeight="1">
      <c r="A42" s="15" t="s">
        <v>138</v>
      </c>
      <c r="B42" s="16">
        <v>124879</v>
      </c>
      <c r="C42" s="267">
        <f>B42/'- 3 -'!$D42*100</f>
        <v>0.59147442094199976</v>
      </c>
      <c r="D42" s="16">
        <f>B42/'- 7 -'!$E42</f>
        <v>91.755326965466566</v>
      </c>
      <c r="E42" s="16">
        <v>2500</v>
      </c>
      <c r="F42" s="267">
        <f>E42/'- 3 -'!$D42*100</f>
        <v>1.1840950458884194E-2</v>
      </c>
      <c r="G42" s="16">
        <f>E42/'- 7 -'!$E42</f>
        <v>1.8368846436443791</v>
      </c>
    </row>
    <row r="43" spans="1:7" ht="14.1" customHeight="1">
      <c r="A43" s="271" t="s">
        <v>139</v>
      </c>
      <c r="B43" s="272">
        <v>142708</v>
      </c>
      <c r="C43" s="273">
        <f>B43/'- 3 -'!$D43*100</f>
        <v>1.069068036934792</v>
      </c>
      <c r="D43" s="272">
        <f>B43/'- 7 -'!$E43</f>
        <v>151.73631047315257</v>
      </c>
      <c r="E43" s="272">
        <v>25546</v>
      </c>
      <c r="F43" s="273">
        <f>E43/'- 3 -'!$D43*100</f>
        <v>0.19137267757614285</v>
      </c>
      <c r="G43" s="272">
        <f>E43/'- 7 -'!$E43</f>
        <v>27.162147793726742</v>
      </c>
    </row>
    <row r="44" spans="1:7" ht="14.1" customHeight="1">
      <c r="A44" s="15" t="s">
        <v>140</v>
      </c>
      <c r="B44" s="16">
        <v>32094</v>
      </c>
      <c r="C44" s="267">
        <f>B44/'- 3 -'!$D44*100</f>
        <v>0.28645617632861969</v>
      </c>
      <c r="D44" s="16">
        <f>B44/'- 7 -'!$E44</f>
        <v>45.783166904422252</v>
      </c>
      <c r="E44" s="16">
        <v>100000</v>
      </c>
      <c r="F44" s="267">
        <f>E44/'- 3 -'!$D44*100</f>
        <v>0.89255367460777613</v>
      </c>
      <c r="G44" s="16">
        <f>E44/'- 7 -'!$E44</f>
        <v>142.65335235378032</v>
      </c>
    </row>
    <row r="45" spans="1:7" ht="14.1" customHeight="1">
      <c r="A45" s="271" t="s">
        <v>141</v>
      </c>
      <c r="B45" s="272">
        <v>177965</v>
      </c>
      <c r="C45" s="273">
        <f>B45/'- 3 -'!$D45*100</f>
        <v>0.90735496175791874</v>
      </c>
      <c r="D45" s="272">
        <f>B45/'- 7 -'!$E45</f>
        <v>104.56227967097533</v>
      </c>
      <c r="E45" s="272">
        <v>198918</v>
      </c>
      <c r="F45" s="273">
        <f>E45/'- 3 -'!$D45*100</f>
        <v>1.0141838804425685</v>
      </c>
      <c r="G45" s="272">
        <f>E45/'- 7 -'!$E45</f>
        <v>116.87309048178614</v>
      </c>
    </row>
    <row r="46" spans="1:7" ht="14.1" customHeight="1">
      <c r="A46" s="15" t="s">
        <v>142</v>
      </c>
      <c r="B46" s="16">
        <v>3561000</v>
      </c>
      <c r="C46" s="267">
        <f>B46/'- 3 -'!$D46*100</f>
        <v>0.90899530109926907</v>
      </c>
      <c r="D46" s="16">
        <f>B46/'- 7 -'!$E46</f>
        <v>118.0820373379315</v>
      </c>
      <c r="E46" s="16">
        <v>2815000</v>
      </c>
      <c r="F46" s="267">
        <f>E46/'- 3 -'!$D46*100</f>
        <v>0.71856831580860503</v>
      </c>
      <c r="G46" s="16">
        <f>E46/'- 7 -'!$E46</f>
        <v>93.344828729648171</v>
      </c>
    </row>
    <row r="47" spans="1:7" ht="5.0999999999999996" customHeight="1">
      <c r="A47"/>
      <c r="B47" s="508"/>
      <c r="C47"/>
      <c r="D47"/>
      <c r="E47"/>
      <c r="F47"/>
      <c r="G47"/>
    </row>
    <row r="48" spans="1:7" ht="14.1" customHeight="1">
      <c r="A48" s="274" t="s">
        <v>143</v>
      </c>
      <c r="B48" s="275">
        <f>SUM(B11:B46)</f>
        <v>22020676</v>
      </c>
      <c r="C48" s="276">
        <f>B48/'- 3 -'!$D48*100</f>
        <v>0.95274901141814694</v>
      </c>
      <c r="D48" s="275">
        <f>B48/'- 7 -'!$E48</f>
        <v>125.73614605827163</v>
      </c>
      <c r="E48" s="275">
        <f>SUM(E11:E46)</f>
        <v>10158005</v>
      </c>
      <c r="F48" s="276">
        <f>E48/'- 3 -'!$D48*100</f>
        <v>0.43949737154892943</v>
      </c>
      <c r="G48" s="275">
        <f>E48/'- 7 -'!$E48</f>
        <v>58.001325678678235</v>
      </c>
    </row>
    <row r="49" spans="1:7" ht="5.0999999999999996" customHeight="1">
      <c r="A49" s="17" t="s">
        <v>1</v>
      </c>
      <c r="B49" s="18"/>
      <c r="C49" s="266"/>
      <c r="D49" s="18"/>
      <c r="E49" s="18"/>
      <c r="F49" s="266"/>
    </row>
    <row r="50" spans="1:7" ht="14.1" customHeight="1">
      <c r="A50" s="15" t="s">
        <v>144</v>
      </c>
      <c r="B50" s="16">
        <v>46423</v>
      </c>
      <c r="C50" s="267">
        <f>B50/'- 3 -'!$D50*100</f>
        <v>1.3433335088833112</v>
      </c>
      <c r="D50" s="16">
        <f>B50/'- 7 -'!$E50</f>
        <v>288.34161490683232</v>
      </c>
      <c r="E50" s="16">
        <v>65525</v>
      </c>
      <c r="F50" s="267">
        <f>E50/'- 3 -'!$D50*100</f>
        <v>1.8960844445550473</v>
      </c>
      <c r="G50" s="16">
        <f>E50/'- 7 -'!$E50</f>
        <v>406.98757763975158</v>
      </c>
    </row>
    <row r="51" spans="1:7" ht="14.1" customHeight="1">
      <c r="A51" s="360" t="s">
        <v>523</v>
      </c>
      <c r="B51" s="272">
        <v>16000</v>
      </c>
      <c r="C51" s="273">
        <f>B51/'- 3 -'!$D51*100</f>
        <v>5.4122619733695733E-2</v>
      </c>
      <c r="D51" s="272">
        <f>B51/'- 7 -'!$E51</f>
        <v>22.084195997239476</v>
      </c>
      <c r="E51" s="272">
        <v>43500</v>
      </c>
      <c r="F51" s="273">
        <f>E51/'- 3 -'!$D51*100</f>
        <v>0.14714587240098528</v>
      </c>
      <c r="G51" s="272">
        <f>E51/'- 7 -'!$E51</f>
        <v>60.041407867494826</v>
      </c>
    </row>
    <row r="52" spans="1:7" ht="50.1" customHeight="1">
      <c r="A52" s="19"/>
      <c r="B52" s="51"/>
      <c r="C52" s="51"/>
      <c r="D52" s="51"/>
      <c r="E52" s="51"/>
      <c r="F52" s="51"/>
      <c r="G52" s="51"/>
    </row>
    <row r="53" spans="1:7" ht="15" customHeight="1">
      <c r="A53" s="564" t="s">
        <v>431</v>
      </c>
      <c r="B53" s="595"/>
      <c r="C53" s="595"/>
      <c r="D53" s="595"/>
      <c r="E53" s="595"/>
      <c r="F53" s="595"/>
      <c r="G53" s="595"/>
    </row>
    <row r="54" spans="1:7">
      <c r="A54" s="585"/>
      <c r="B54" s="585"/>
      <c r="C54" s="585"/>
      <c r="D54" s="585"/>
      <c r="E54" s="585"/>
      <c r="F54" s="585"/>
      <c r="G54" s="585"/>
    </row>
    <row r="56" spans="1:7" ht="14.45" customHeight="1"/>
    <row r="57" spans="1:7" ht="14.45" customHeight="1"/>
    <row r="58" spans="1:7" ht="14.45" customHeight="1"/>
    <row r="59" spans="1:7" ht="14.45" customHeight="1"/>
  </sheetData>
  <mergeCells count="5">
    <mergeCell ref="D8:D9"/>
    <mergeCell ref="G8:G9"/>
    <mergeCell ref="E7:G7"/>
    <mergeCell ref="B6:D7"/>
    <mergeCell ref="A53:G54"/>
  </mergeCells>
  <phoneticPr fontId="0" type="noConversion"/>
  <printOptions horizontalCentered="1"/>
  <pageMargins left="0.51181102362204722" right="0.51181102362204722" top="0.59055118110236227" bottom="0" header="0.31496062992125984" footer="0"/>
  <pageSetup scale="91" orientation="portrait" r:id="rId1"/>
  <headerFooter alignWithMargins="0">
    <oddHeader>&amp;C&amp;"Arial,Bold"&amp;10&amp;A</oddHeader>
  </headerFooter>
</worksheet>
</file>

<file path=xl/worksheets/sheet25.xml><?xml version="1.0" encoding="utf-8"?>
<worksheet xmlns="http://schemas.openxmlformats.org/spreadsheetml/2006/main" xmlns:r="http://schemas.openxmlformats.org/officeDocument/2006/relationships">
  <sheetPr codeName="Sheet27">
    <pageSetUpPr fitToPage="1"/>
  </sheetPr>
  <dimension ref="A1:G66"/>
  <sheetViews>
    <sheetView showGridLines="0" showZeros="0" workbookViewId="0"/>
  </sheetViews>
  <sheetFormatPr defaultColWidth="15.83203125" defaultRowHeight="12"/>
  <cols>
    <col min="1" max="1" width="33.83203125" style="1" customWidth="1"/>
    <col min="2" max="2" width="16.83203125" style="1" customWidth="1"/>
    <col min="3" max="3" width="12.83203125" style="1" customWidth="1"/>
    <col min="4" max="4" width="16.83203125" style="1" customWidth="1"/>
    <col min="5" max="5" width="12.5" style="1" customWidth="1"/>
    <col min="6" max="6" width="17.83203125" style="1" customWidth="1"/>
    <col min="7" max="7" width="13.5" style="1" customWidth="1"/>
    <col min="8" max="16384" width="15.83203125" style="1"/>
  </cols>
  <sheetData>
    <row r="1" spans="1:7" ht="6.95" customHeight="1">
      <c r="A1" s="3"/>
      <c r="B1" s="4"/>
      <c r="C1" s="4"/>
      <c r="D1" s="4"/>
      <c r="E1" s="4"/>
      <c r="F1" s="4"/>
      <c r="G1" s="4"/>
    </row>
    <row r="2" spans="1:7" ht="15.95" customHeight="1">
      <c r="A2" s="132"/>
      <c r="B2" s="5" t="str">
        <f>AEXP_BP</f>
        <v>ANALYSIS OF EXPENSE BY PROGRAM</v>
      </c>
      <c r="C2" s="6"/>
      <c r="D2" s="6"/>
      <c r="E2" s="6"/>
      <c r="F2" s="85"/>
      <c r="G2" s="503" t="s">
        <v>544</v>
      </c>
    </row>
    <row r="3" spans="1:7" ht="15.95" customHeight="1">
      <c r="A3" s="135"/>
      <c r="B3" s="7" t="str">
        <f>OPYEAR</f>
        <v>OPERATING FUND 2016/2017 BUDGET</v>
      </c>
      <c r="C3" s="8"/>
      <c r="D3" s="8"/>
      <c r="E3" s="8"/>
      <c r="F3" s="87"/>
      <c r="G3" s="81"/>
    </row>
    <row r="4" spans="1:7" ht="15.95" customHeight="1">
      <c r="B4" s="4"/>
      <c r="C4" s="4"/>
      <c r="D4" s="4"/>
      <c r="E4" s="4"/>
      <c r="F4" s="4"/>
      <c r="G4" s="4"/>
    </row>
    <row r="5" spans="1:7" ht="15.95" customHeight="1">
      <c r="B5" s="4"/>
      <c r="C5" s="4"/>
      <c r="D5" s="4"/>
      <c r="E5" s="4"/>
      <c r="F5" s="4"/>
      <c r="G5" s="4"/>
    </row>
    <row r="6" spans="1:7" ht="15.95" customHeight="1">
      <c r="B6" s="666" t="s">
        <v>8</v>
      </c>
      <c r="C6" s="667"/>
      <c r="D6" s="667"/>
      <c r="E6" s="667"/>
      <c r="F6" s="667"/>
      <c r="G6" s="668"/>
    </row>
    <row r="7" spans="1:7" ht="15.95" customHeight="1">
      <c r="B7" s="277"/>
      <c r="C7" s="270"/>
      <c r="D7" s="268"/>
      <c r="E7" s="270"/>
      <c r="F7" s="618" t="s">
        <v>432</v>
      </c>
      <c r="G7" s="619"/>
    </row>
    <row r="8" spans="1:7" ht="15.95" customHeight="1">
      <c r="A8" s="82"/>
      <c r="B8" s="612" t="s">
        <v>14</v>
      </c>
      <c r="C8" s="613"/>
      <c r="D8" s="625" t="s">
        <v>29</v>
      </c>
      <c r="E8" s="613"/>
      <c r="F8" s="620"/>
      <c r="G8" s="621"/>
    </row>
    <row r="9" spans="1:7" ht="15.95" customHeight="1">
      <c r="A9" s="27" t="s">
        <v>37</v>
      </c>
      <c r="B9" s="151" t="s">
        <v>38</v>
      </c>
      <c r="C9" s="151" t="s">
        <v>39</v>
      </c>
      <c r="D9" s="151" t="s">
        <v>38</v>
      </c>
      <c r="E9" s="151" t="s">
        <v>39</v>
      </c>
      <c r="F9" s="151" t="s">
        <v>38</v>
      </c>
      <c r="G9" s="151" t="s">
        <v>39</v>
      </c>
    </row>
    <row r="10" spans="1:7" ht="5.0999999999999996" customHeight="1">
      <c r="A10" s="29"/>
    </row>
    <row r="11" spans="1:7" ht="14.1" customHeight="1">
      <c r="A11" s="271" t="s">
        <v>108</v>
      </c>
      <c r="B11" s="272">
        <v>89330</v>
      </c>
      <c r="C11" s="273">
        <f>B11/'- 3 -'!$D11*100</f>
        <v>0.45664579376724757</v>
      </c>
      <c r="D11" s="272">
        <v>1053765</v>
      </c>
      <c r="E11" s="273">
        <f>D11/'- 3 -'!$D11*100</f>
        <v>5.3867385522125115</v>
      </c>
      <c r="F11" s="272">
        <v>7000</v>
      </c>
      <c r="G11" s="273">
        <f>F11/'- 3 -'!$D11*100</f>
        <v>3.5783281723617291E-2</v>
      </c>
    </row>
    <row r="12" spans="1:7" ht="14.1" customHeight="1">
      <c r="A12" s="15" t="s">
        <v>109</v>
      </c>
      <c r="B12" s="16">
        <v>123158</v>
      </c>
      <c r="C12" s="267">
        <f>B12/'- 3 -'!$D12*100</f>
        <v>0.35269051302955734</v>
      </c>
      <c r="D12" s="16">
        <v>2166817</v>
      </c>
      <c r="E12" s="267">
        <f>D12/'- 3 -'!$D12*100</f>
        <v>6.205165716974669</v>
      </c>
      <c r="F12" s="16">
        <v>0</v>
      </c>
      <c r="G12" s="267">
        <f>F12/'- 3 -'!$D12*100</f>
        <v>0</v>
      </c>
    </row>
    <row r="13" spans="1:7" ht="14.1" customHeight="1">
      <c r="A13" s="271" t="s">
        <v>110</v>
      </c>
      <c r="B13" s="272">
        <v>205900</v>
      </c>
      <c r="C13" s="273">
        <f>B13/'- 3 -'!$D13*100</f>
        <v>0.21016938080160377</v>
      </c>
      <c r="D13" s="272">
        <v>2255500</v>
      </c>
      <c r="E13" s="273">
        <f>D13/'- 3 -'!$D13*100</f>
        <v>2.3022682777951302</v>
      </c>
      <c r="F13" s="272">
        <v>0</v>
      </c>
      <c r="G13" s="273">
        <f>F13/'- 3 -'!$D13*100</f>
        <v>0</v>
      </c>
    </row>
    <row r="14" spans="1:7" ht="14.1" customHeight="1">
      <c r="A14" s="15" t="s">
        <v>319</v>
      </c>
      <c r="B14" s="16">
        <v>260104</v>
      </c>
      <c r="C14" s="267">
        <f>B14/'- 3 -'!$D14*100</f>
        <v>0.30169320824334728</v>
      </c>
      <c r="D14" s="16">
        <v>8180431</v>
      </c>
      <c r="E14" s="267">
        <f>D14/'- 3 -'!$D14*100</f>
        <v>9.4884372143578481</v>
      </c>
      <c r="F14" s="16">
        <v>332919</v>
      </c>
      <c r="G14" s="267">
        <f>F14/'- 3 -'!$D14*100</f>
        <v>0.38615092884064423</v>
      </c>
    </row>
    <row r="15" spans="1:7" ht="14.1" customHeight="1">
      <c r="A15" s="271" t="s">
        <v>111</v>
      </c>
      <c r="B15" s="272">
        <v>88500</v>
      </c>
      <c r="C15" s="273">
        <f>B15/'- 3 -'!$D15*100</f>
        <v>0.43362045050078019</v>
      </c>
      <c r="D15" s="272">
        <v>1431300</v>
      </c>
      <c r="E15" s="273">
        <f>D15/'- 3 -'!$D15*100</f>
        <v>7.0128920994549908</v>
      </c>
      <c r="F15" s="272">
        <v>3000</v>
      </c>
      <c r="G15" s="273">
        <f>F15/'- 3 -'!$D15*100</f>
        <v>1.4698998322060345E-2</v>
      </c>
    </row>
    <row r="16" spans="1:7" ht="14.1" customHeight="1">
      <c r="A16" s="15" t="s">
        <v>112</v>
      </c>
      <c r="B16" s="16">
        <v>0</v>
      </c>
      <c r="C16" s="267">
        <f>B16/'- 3 -'!$D16*100</f>
        <v>0</v>
      </c>
      <c r="D16" s="16">
        <v>427145</v>
      </c>
      <c r="E16" s="267">
        <f>D16/'- 3 -'!$D16*100</f>
        <v>2.9218680665530194</v>
      </c>
      <c r="F16" s="16">
        <v>0</v>
      </c>
      <c r="G16" s="267">
        <f>F16/'- 3 -'!$D16*100</f>
        <v>0</v>
      </c>
    </row>
    <row r="17" spans="1:7" ht="14.1" customHeight="1">
      <c r="A17" s="271" t="s">
        <v>113</v>
      </c>
      <c r="B17" s="272">
        <v>57208</v>
      </c>
      <c r="C17" s="273">
        <f>B17/'- 3 -'!$D17*100</f>
        <v>0.31404352836094451</v>
      </c>
      <c r="D17" s="272">
        <v>1291536</v>
      </c>
      <c r="E17" s="273">
        <f>D17/'- 3 -'!$D17*100</f>
        <v>7.0898916662910931</v>
      </c>
      <c r="F17" s="272">
        <v>1500</v>
      </c>
      <c r="G17" s="273">
        <f>F17/'- 3 -'!$D17*100</f>
        <v>8.2342555681271298E-3</v>
      </c>
    </row>
    <row r="18" spans="1:7" ht="14.1" customHeight="1">
      <c r="A18" s="15" t="s">
        <v>114</v>
      </c>
      <c r="B18" s="16">
        <v>332943</v>
      </c>
      <c r="C18" s="267">
        <f>B18/'- 3 -'!$D18*100</f>
        <v>0.25234651571144184</v>
      </c>
      <c r="D18" s="16">
        <v>7368708</v>
      </c>
      <c r="E18" s="267">
        <f>D18/'- 3 -'!$D18*100</f>
        <v>5.5849433359314569</v>
      </c>
      <c r="F18" s="16">
        <v>116502</v>
      </c>
      <c r="G18" s="267">
        <f>F18/'- 3 -'!$D18*100</f>
        <v>8.830002064441779E-2</v>
      </c>
    </row>
    <row r="19" spans="1:7" ht="14.1" customHeight="1">
      <c r="A19" s="271" t="s">
        <v>115</v>
      </c>
      <c r="B19" s="272">
        <v>170700</v>
      </c>
      <c r="C19" s="273">
        <f>B19/'- 3 -'!$D19*100</f>
        <v>0.3675044274918286</v>
      </c>
      <c r="D19" s="272">
        <v>2626900</v>
      </c>
      <c r="E19" s="273">
        <f>D19/'- 3 -'!$D19*100</f>
        <v>5.6555206829424982</v>
      </c>
      <c r="F19" s="272">
        <v>30000</v>
      </c>
      <c r="G19" s="273">
        <f>F19/'- 3 -'!$D19*100</f>
        <v>6.4587772845664068E-2</v>
      </c>
    </row>
    <row r="20" spans="1:7" ht="14.1" customHeight="1">
      <c r="A20" s="15" t="s">
        <v>116</v>
      </c>
      <c r="B20" s="16">
        <v>235300</v>
      </c>
      <c r="C20" s="267">
        <f>B20/'- 3 -'!$D20*100</f>
        <v>0.28593996840442337</v>
      </c>
      <c r="D20" s="16">
        <v>3305100</v>
      </c>
      <c r="E20" s="267">
        <f>D20/'- 3 -'!$D20*100</f>
        <v>4.0164053955523151</v>
      </c>
      <c r="F20" s="16">
        <v>3100</v>
      </c>
      <c r="G20" s="267">
        <f>F20/'- 3 -'!$D20*100</f>
        <v>3.7671649046056633E-3</v>
      </c>
    </row>
    <row r="21" spans="1:7" ht="14.1" customHeight="1">
      <c r="A21" s="271" t="s">
        <v>117</v>
      </c>
      <c r="B21" s="272">
        <v>124000</v>
      </c>
      <c r="C21" s="273">
        <f>B21/'- 3 -'!$D21*100</f>
        <v>0.34092454061449173</v>
      </c>
      <c r="D21" s="272">
        <v>1910000</v>
      </c>
      <c r="E21" s="273">
        <f>D21/'- 3 -'!$D21*100</f>
        <v>5.2513376820457998</v>
      </c>
      <c r="F21" s="272">
        <v>4000</v>
      </c>
      <c r="G21" s="273">
        <f>F21/'- 3 -'!$D21*100</f>
        <v>1.0997565826273927E-2</v>
      </c>
    </row>
    <row r="22" spans="1:7" ht="14.1" customHeight="1">
      <c r="A22" s="15" t="s">
        <v>118</v>
      </c>
      <c r="B22" s="16">
        <v>97180</v>
      </c>
      <c r="C22" s="267">
        <f>B22/'- 3 -'!$D22*100</f>
        <v>0.47010990161361188</v>
      </c>
      <c r="D22" s="16">
        <v>485485</v>
      </c>
      <c r="E22" s="267">
        <f>D22/'- 3 -'!$D22*100</f>
        <v>2.3485419385149657</v>
      </c>
      <c r="F22" s="16">
        <v>15750</v>
      </c>
      <c r="G22" s="267">
        <f>F22/'- 3 -'!$D22*100</f>
        <v>7.6190892677653693E-2</v>
      </c>
    </row>
    <row r="23" spans="1:7" ht="14.1" customHeight="1">
      <c r="A23" s="271" t="s">
        <v>119</v>
      </c>
      <c r="B23" s="272">
        <v>69325</v>
      </c>
      <c r="C23" s="273">
        <f>B23/'- 3 -'!$D23*100</f>
        <v>0.41282693943356868</v>
      </c>
      <c r="D23" s="272">
        <v>1560890</v>
      </c>
      <c r="E23" s="273">
        <f>D23/'- 3 -'!$D23*100</f>
        <v>9.2950225963572031</v>
      </c>
      <c r="F23" s="272">
        <v>4500</v>
      </c>
      <c r="G23" s="273">
        <f>F23/'- 3 -'!$D23*100</f>
        <v>2.6797276991721013E-2</v>
      </c>
    </row>
    <row r="24" spans="1:7" ht="14.1" customHeight="1">
      <c r="A24" s="15" t="s">
        <v>120</v>
      </c>
      <c r="B24" s="16">
        <v>170410</v>
      </c>
      <c r="C24" s="267">
        <f>B24/'- 3 -'!$D24*100</f>
        <v>0.29326842018155524</v>
      </c>
      <c r="D24" s="16">
        <v>2429315</v>
      </c>
      <c r="E24" s="267">
        <f>D24/'- 3 -'!$D24*100</f>
        <v>4.1807486190561276</v>
      </c>
      <c r="F24" s="16">
        <v>5000</v>
      </c>
      <c r="G24" s="267">
        <f>F24/'- 3 -'!$D24*100</f>
        <v>8.6047890435289945E-3</v>
      </c>
    </row>
    <row r="25" spans="1:7" ht="14.1" customHeight="1">
      <c r="A25" s="271" t="s">
        <v>121</v>
      </c>
      <c r="B25" s="272">
        <v>272482</v>
      </c>
      <c r="C25" s="273">
        <f>B25/'- 3 -'!$D25*100</f>
        <v>0.15596838245071618</v>
      </c>
      <c r="D25" s="272">
        <v>3654519</v>
      </c>
      <c r="E25" s="273">
        <f>D25/'- 3 -'!$D25*100</f>
        <v>2.0918424595584617</v>
      </c>
      <c r="F25" s="272">
        <v>10000</v>
      </c>
      <c r="G25" s="273">
        <f>F25/'- 3 -'!$D25*100</f>
        <v>5.7239884634844194E-3</v>
      </c>
    </row>
    <row r="26" spans="1:7" ht="14.1" customHeight="1">
      <c r="A26" s="15" t="s">
        <v>122</v>
      </c>
      <c r="B26" s="16">
        <v>234038</v>
      </c>
      <c r="C26" s="267">
        <f>B26/'- 3 -'!$D26*100</f>
        <v>0.57335277810585061</v>
      </c>
      <c r="D26" s="16">
        <v>2709677</v>
      </c>
      <c r="E26" s="267">
        <f>D26/'- 3 -'!$D26*100</f>
        <v>6.6382418056876533</v>
      </c>
      <c r="F26" s="16">
        <v>10500</v>
      </c>
      <c r="G26" s="267">
        <f>F26/'- 3 -'!$D26*100</f>
        <v>2.5723190978009687E-2</v>
      </c>
    </row>
    <row r="27" spans="1:7" ht="14.1" customHeight="1">
      <c r="A27" s="271" t="s">
        <v>123</v>
      </c>
      <c r="B27" s="272">
        <v>0</v>
      </c>
      <c r="C27" s="273">
        <f>B27/'- 3 -'!$D27*100</f>
        <v>0</v>
      </c>
      <c r="D27" s="272">
        <v>0</v>
      </c>
      <c r="E27" s="273">
        <f>D27/'- 3 -'!$D27*100</f>
        <v>0</v>
      </c>
      <c r="F27" s="272">
        <v>235000</v>
      </c>
      <c r="G27" s="273">
        <f>F27/'- 3 -'!$D27*100</f>
        <v>0.53694648814147972</v>
      </c>
    </row>
    <row r="28" spans="1:7" ht="14.1" customHeight="1">
      <c r="A28" s="15" t="s">
        <v>124</v>
      </c>
      <c r="B28" s="16">
        <v>58074</v>
      </c>
      <c r="C28" s="267">
        <f>B28/'- 3 -'!$D28*100</f>
        <v>0.20255303885538173</v>
      </c>
      <c r="D28" s="16">
        <v>1845756</v>
      </c>
      <c r="E28" s="267">
        <f>D28/'- 3 -'!$D28*100</f>
        <v>6.4377085577978788</v>
      </c>
      <c r="F28" s="16">
        <v>13650</v>
      </c>
      <c r="G28" s="267">
        <f>F28/'- 3 -'!$D28*100</f>
        <v>4.7609067403243464E-2</v>
      </c>
    </row>
    <row r="29" spans="1:7" ht="14.1" customHeight="1">
      <c r="A29" s="271" t="s">
        <v>125</v>
      </c>
      <c r="B29" s="272">
        <v>187558</v>
      </c>
      <c r="C29" s="273">
        <f>B29/'- 3 -'!$D29*100</f>
        <v>0.11846122782228657</v>
      </c>
      <c r="D29" s="272">
        <v>2842918</v>
      </c>
      <c r="E29" s="273">
        <f>D29/'- 3 -'!$D29*100</f>
        <v>1.7955808703338665</v>
      </c>
      <c r="F29" s="272">
        <v>90000</v>
      </c>
      <c r="G29" s="273">
        <f>F29/'- 3 -'!$D29*100</f>
        <v>5.6843805670810058E-2</v>
      </c>
    </row>
    <row r="30" spans="1:7" ht="14.1" customHeight="1">
      <c r="A30" s="15" t="s">
        <v>126</v>
      </c>
      <c r="B30" s="16">
        <v>63306</v>
      </c>
      <c r="C30" s="267">
        <f>B30/'- 3 -'!$D30*100</f>
        <v>0.43036591640081229</v>
      </c>
      <c r="D30" s="16">
        <v>1159298</v>
      </c>
      <c r="E30" s="267">
        <f>D30/'- 3 -'!$D30*100</f>
        <v>7.8811225816135737</v>
      </c>
      <c r="F30" s="16">
        <v>0</v>
      </c>
      <c r="G30" s="267">
        <f>F30/'- 3 -'!$D30*100</f>
        <v>0</v>
      </c>
    </row>
    <row r="31" spans="1:7" ht="14.1" customHeight="1">
      <c r="A31" s="271" t="s">
        <v>127</v>
      </c>
      <c r="B31" s="272">
        <v>96021</v>
      </c>
      <c r="C31" s="273">
        <f>B31/'- 3 -'!$D31*100</f>
        <v>0.25487963871068026</v>
      </c>
      <c r="D31" s="272">
        <v>992156</v>
      </c>
      <c r="E31" s="273">
        <f>D31/'- 3 -'!$D31*100</f>
        <v>2.6335943473264569</v>
      </c>
      <c r="F31" s="272">
        <v>5000</v>
      </c>
      <c r="G31" s="273">
        <f>F31/'- 3 -'!$D31*100</f>
        <v>1.3272077915803848E-2</v>
      </c>
    </row>
    <row r="32" spans="1:7" ht="14.1" customHeight="1">
      <c r="A32" s="15" t="s">
        <v>128</v>
      </c>
      <c r="B32" s="16">
        <v>118979</v>
      </c>
      <c r="C32" s="267">
        <f>B32/'- 3 -'!$D32*100</f>
        <v>0.39302236407878854</v>
      </c>
      <c r="D32" s="16">
        <v>2035227</v>
      </c>
      <c r="E32" s="267">
        <f>D32/'- 3 -'!$D32*100</f>
        <v>6.7229488143032006</v>
      </c>
      <c r="F32" s="16">
        <v>8000</v>
      </c>
      <c r="G32" s="267">
        <f>F32/'- 3 -'!$D32*100</f>
        <v>2.642633500559181E-2</v>
      </c>
    </row>
    <row r="33" spans="1:7" ht="14.1" customHeight="1">
      <c r="A33" s="271" t="s">
        <v>129</v>
      </c>
      <c r="B33" s="272">
        <v>115000</v>
      </c>
      <c r="C33" s="273">
        <f>B33/'- 3 -'!$D33*100</f>
        <v>0.41172669224145803</v>
      </c>
      <c r="D33" s="272">
        <v>2124700</v>
      </c>
      <c r="E33" s="273">
        <f>D33/'- 3 -'!$D33*100</f>
        <v>7.60691915656892</v>
      </c>
      <c r="F33" s="272">
        <v>0</v>
      </c>
      <c r="G33" s="273">
        <f>F33/'- 3 -'!$D33*100</f>
        <v>0</v>
      </c>
    </row>
    <row r="34" spans="1:7" ht="14.1" customHeight="1">
      <c r="A34" s="15" t="s">
        <v>130</v>
      </c>
      <c r="B34" s="16">
        <v>151280</v>
      </c>
      <c r="C34" s="267">
        <f>B34/'- 3 -'!$D34*100</f>
        <v>0.51185481188185278</v>
      </c>
      <c r="D34" s="16">
        <v>2518605</v>
      </c>
      <c r="E34" s="267">
        <f>D34/'- 3 -'!$D34*100</f>
        <v>8.5216822347943797</v>
      </c>
      <c r="F34" s="16">
        <v>0</v>
      </c>
      <c r="G34" s="267">
        <f>F34/'- 3 -'!$D34*100</f>
        <v>0</v>
      </c>
    </row>
    <row r="35" spans="1:7" ht="14.1" customHeight="1">
      <c r="A35" s="271" t="s">
        <v>131</v>
      </c>
      <c r="B35" s="272">
        <v>374840</v>
      </c>
      <c r="C35" s="273">
        <f>B35/'- 3 -'!$D35*100</f>
        <v>0.20704408450984524</v>
      </c>
      <c r="D35" s="272">
        <v>3927500</v>
      </c>
      <c r="E35" s="273">
        <f>D35/'- 3 -'!$D35*100</f>
        <v>2.1693673084847327</v>
      </c>
      <c r="F35" s="272">
        <v>22700</v>
      </c>
      <c r="G35" s="273">
        <f>F35/'- 3 -'!$D35*100</f>
        <v>1.2538418307473822E-2</v>
      </c>
    </row>
    <row r="36" spans="1:7" ht="14.1" customHeight="1">
      <c r="A36" s="15" t="s">
        <v>132</v>
      </c>
      <c r="B36" s="16">
        <v>55710</v>
      </c>
      <c r="C36" s="267">
        <f>B36/'- 3 -'!$D36*100</f>
        <v>0.23538851463762908</v>
      </c>
      <c r="D36" s="16">
        <v>1486210</v>
      </c>
      <c r="E36" s="267">
        <f>D36/'- 3 -'!$D36*100</f>
        <v>6.2796044577201711</v>
      </c>
      <c r="F36" s="16">
        <v>6000</v>
      </c>
      <c r="G36" s="267">
        <f>F36/'- 3 -'!$D36*100</f>
        <v>2.5351482459626182E-2</v>
      </c>
    </row>
    <row r="37" spans="1:7" ht="14.1" customHeight="1">
      <c r="A37" s="271" t="s">
        <v>133</v>
      </c>
      <c r="B37" s="272">
        <v>209650</v>
      </c>
      <c r="C37" s="273">
        <f>B37/'- 3 -'!$D37*100</f>
        <v>0.41934948323902216</v>
      </c>
      <c r="D37" s="272">
        <v>2843443</v>
      </c>
      <c r="E37" s="273">
        <f>D37/'- 3 -'!$D37*100</f>
        <v>5.6875571317415456</v>
      </c>
      <c r="F37" s="272">
        <v>2000</v>
      </c>
      <c r="G37" s="273">
        <f>F37/'- 3 -'!$D37*100</f>
        <v>4.0004720557025725E-3</v>
      </c>
    </row>
    <row r="38" spans="1:7" ht="14.1" customHeight="1">
      <c r="A38" s="15" t="s">
        <v>134</v>
      </c>
      <c r="B38" s="16">
        <v>299386</v>
      </c>
      <c r="C38" s="267">
        <f>B38/'- 3 -'!$D38*100</f>
        <v>0.21966041655622909</v>
      </c>
      <c r="D38" s="16">
        <v>2891350</v>
      </c>
      <c r="E38" s="267">
        <f>D38/'- 3 -'!$D38*100</f>
        <v>2.1213922675404091</v>
      </c>
      <c r="F38" s="16">
        <v>195000</v>
      </c>
      <c r="G38" s="267">
        <f>F38/'- 3 -'!$D38*100</f>
        <v>0.14307209164244378</v>
      </c>
    </row>
    <row r="39" spans="1:7" ht="14.1" customHeight="1">
      <c r="A39" s="271" t="s">
        <v>135</v>
      </c>
      <c r="B39" s="272">
        <v>89500</v>
      </c>
      <c r="C39" s="273">
        <f>B39/'- 3 -'!$D39*100</f>
        <v>0.39085224086507347</v>
      </c>
      <c r="D39" s="272">
        <v>2082200</v>
      </c>
      <c r="E39" s="273">
        <f>D39/'- 3 -'!$D39*100</f>
        <v>9.0931009601034187</v>
      </c>
      <c r="F39" s="272">
        <v>1000</v>
      </c>
      <c r="G39" s="273">
        <f>F39/'- 3 -'!$D39*100</f>
        <v>4.3670641437438375E-3</v>
      </c>
    </row>
    <row r="40" spans="1:7" ht="14.1" customHeight="1">
      <c r="A40" s="15" t="s">
        <v>136</v>
      </c>
      <c r="B40" s="16">
        <v>134174</v>
      </c>
      <c r="C40" s="267">
        <f>B40/'- 3 -'!$D40*100</f>
        <v>0.12724004364249855</v>
      </c>
      <c r="D40" s="16">
        <v>1940399</v>
      </c>
      <c r="E40" s="267">
        <f>D40/'- 3 -'!$D40*100</f>
        <v>1.8401214351801434</v>
      </c>
      <c r="F40" s="16">
        <v>5000</v>
      </c>
      <c r="G40" s="267">
        <f>F40/'- 3 -'!$D40*100</f>
        <v>4.7416058119493544E-3</v>
      </c>
    </row>
    <row r="41" spans="1:7" ht="14.1" customHeight="1">
      <c r="A41" s="271" t="s">
        <v>137</v>
      </c>
      <c r="B41" s="272">
        <v>408223</v>
      </c>
      <c r="C41" s="273">
        <f>B41/'- 3 -'!$D41*100</f>
        <v>0.63846615350351466</v>
      </c>
      <c r="D41" s="272">
        <v>4689808</v>
      </c>
      <c r="E41" s="273">
        <f>D41/'- 3 -'!$D41*100</f>
        <v>7.3349215365866467</v>
      </c>
      <c r="F41" s="272">
        <v>8000</v>
      </c>
      <c r="G41" s="273">
        <f>F41/'- 3 -'!$D41*100</f>
        <v>1.2512105462034517E-2</v>
      </c>
    </row>
    <row r="42" spans="1:7" ht="14.1" customHeight="1">
      <c r="A42" s="15" t="s">
        <v>138</v>
      </c>
      <c r="B42" s="16">
        <v>106595</v>
      </c>
      <c r="C42" s="267">
        <f>B42/'- 3 -'!$D42*100</f>
        <v>0.50487444566590434</v>
      </c>
      <c r="D42" s="16">
        <v>1620436</v>
      </c>
      <c r="E42" s="267">
        <f>D42/'- 3 -'!$D42*100</f>
        <v>7.6750009591169874</v>
      </c>
      <c r="F42" s="16">
        <v>0</v>
      </c>
      <c r="G42" s="267">
        <f>F42/'- 3 -'!$D42*100</f>
        <v>0</v>
      </c>
    </row>
    <row r="43" spans="1:7" ht="14.1" customHeight="1">
      <c r="A43" s="271" t="s">
        <v>139</v>
      </c>
      <c r="B43" s="272">
        <v>13159</v>
      </c>
      <c r="C43" s="273">
        <f>B43/'- 3 -'!$D43*100</f>
        <v>9.8577979496769108E-2</v>
      </c>
      <c r="D43" s="272">
        <v>1081765</v>
      </c>
      <c r="E43" s="273">
        <f>D43/'- 3 -'!$D43*100</f>
        <v>8.1038230861252707</v>
      </c>
      <c r="F43" s="272">
        <v>16000</v>
      </c>
      <c r="G43" s="273">
        <f>F43/'- 3 -'!$D43*100</f>
        <v>0.11986075476467101</v>
      </c>
    </row>
    <row r="44" spans="1:7" ht="14.1" customHeight="1">
      <c r="A44" s="15" t="s">
        <v>140</v>
      </c>
      <c r="B44" s="16">
        <v>33029</v>
      </c>
      <c r="C44" s="267">
        <f>B44/'- 3 -'!$D44*100</f>
        <v>0.29480155318620238</v>
      </c>
      <c r="D44" s="16">
        <v>1059659</v>
      </c>
      <c r="E44" s="267">
        <f>D44/'- 3 -'!$D44*100</f>
        <v>9.4580253428120145</v>
      </c>
      <c r="F44" s="16">
        <v>0</v>
      </c>
      <c r="G44" s="267">
        <f>F44/'- 3 -'!$D44*100</f>
        <v>0</v>
      </c>
    </row>
    <row r="45" spans="1:7" ht="14.1" customHeight="1">
      <c r="A45" s="271" t="s">
        <v>141</v>
      </c>
      <c r="B45" s="272">
        <v>50181</v>
      </c>
      <c r="C45" s="273">
        <f>B45/'- 3 -'!$D45*100</f>
        <v>0.25584794389893584</v>
      </c>
      <c r="D45" s="272">
        <v>695058</v>
      </c>
      <c r="E45" s="273">
        <f>D45/'- 3 -'!$D45*100</f>
        <v>3.5437548113928887</v>
      </c>
      <c r="F45" s="272">
        <v>18000</v>
      </c>
      <c r="G45" s="273">
        <f>F45/'- 3 -'!$D45*100</f>
        <v>9.177304139377146E-2</v>
      </c>
    </row>
    <row r="46" spans="1:7" ht="14.1" customHeight="1">
      <c r="A46" s="15" t="s">
        <v>142</v>
      </c>
      <c r="B46" s="16">
        <v>703900</v>
      </c>
      <c r="C46" s="267">
        <f>B46/'- 3 -'!$D46*100</f>
        <v>0.17968036856045366</v>
      </c>
      <c r="D46" s="16">
        <v>5570500</v>
      </c>
      <c r="E46" s="267">
        <f>D46/'- 3 -'!$D46*100</f>
        <v>1.4219484203239199</v>
      </c>
      <c r="F46" s="16">
        <v>0</v>
      </c>
      <c r="G46" s="267">
        <f>F46/'- 3 -'!$D46*100</f>
        <v>0</v>
      </c>
    </row>
    <row r="47" spans="1:7" ht="5.0999999999999996" customHeight="1">
      <c r="A47"/>
      <c r="B47"/>
      <c r="C47"/>
      <c r="D47"/>
      <c r="E47"/>
      <c r="F47"/>
      <c r="G47"/>
    </row>
    <row r="48" spans="1:7" ht="14.1" customHeight="1">
      <c r="A48" s="274" t="s">
        <v>143</v>
      </c>
      <c r="B48" s="275">
        <f>SUM(B11:B46)</f>
        <v>5799143</v>
      </c>
      <c r="C48" s="276">
        <f>B48/'- 3 -'!$D48*100</f>
        <v>0.25090636456040072</v>
      </c>
      <c r="D48" s="275">
        <f>SUM(D11:D46)</f>
        <v>86264076</v>
      </c>
      <c r="E48" s="276">
        <f>D48/'- 3 -'!$D48*100</f>
        <v>3.7323110848141035</v>
      </c>
      <c r="F48" s="275">
        <f>SUM(F11:F46)</f>
        <v>1169121</v>
      </c>
      <c r="G48" s="276">
        <f>F48/'- 3 -'!$D48*100</f>
        <v>5.0583318921644159E-2</v>
      </c>
    </row>
    <row r="49" spans="1:7" ht="5.0999999999999996" customHeight="1">
      <c r="A49" s="17" t="s">
        <v>1</v>
      </c>
      <c r="B49" s="18"/>
      <c r="C49" s="266"/>
      <c r="D49" s="18"/>
      <c r="E49" s="266"/>
      <c r="F49" s="18"/>
      <c r="G49" s="266"/>
    </row>
    <row r="50" spans="1:7" ht="14.1" customHeight="1">
      <c r="A50" s="15" t="s">
        <v>144</v>
      </c>
      <c r="B50" s="16">
        <v>0</v>
      </c>
      <c r="C50" s="267">
        <f>B50/'- 3 -'!$D50*100</f>
        <v>0</v>
      </c>
      <c r="D50" s="16">
        <v>0</v>
      </c>
      <c r="E50" s="267">
        <f>D50/'- 3 -'!$D50*100</f>
        <v>0</v>
      </c>
      <c r="F50" s="16">
        <v>12000</v>
      </c>
      <c r="G50" s="267">
        <f>F50/'- 3 -'!$D50*100</f>
        <v>0.34724171437864276</v>
      </c>
    </row>
    <row r="51" spans="1:7" ht="14.1" customHeight="1">
      <c r="A51" s="360" t="s">
        <v>523</v>
      </c>
      <c r="B51" s="272">
        <v>0</v>
      </c>
      <c r="C51" s="273">
        <f>B51/'- 3 -'!$D51*100</f>
        <v>0</v>
      </c>
      <c r="D51" s="272">
        <v>0</v>
      </c>
      <c r="E51" s="273">
        <f>D51/'- 3 -'!$D51*100</f>
        <v>0</v>
      </c>
      <c r="F51" s="272">
        <v>0</v>
      </c>
      <c r="G51" s="273">
        <f>F51/'- 3 -'!$D51*100</f>
        <v>0</v>
      </c>
    </row>
    <row r="52" spans="1:7" ht="50.1" customHeight="1"/>
    <row r="53" spans="1:7" ht="15" customHeight="1">
      <c r="D53" s="72"/>
      <c r="E53" s="72"/>
    </row>
    <row r="54" spans="1:7" ht="14.45" customHeight="1">
      <c r="D54" s="72"/>
      <c r="E54" s="72"/>
    </row>
    <row r="55" spans="1:7" ht="14.45" customHeight="1">
      <c r="D55" s="72"/>
      <c r="E55" s="72"/>
    </row>
    <row r="56" spans="1:7" ht="14.45" customHeight="1">
      <c r="D56" s="72"/>
      <c r="E56" s="72"/>
    </row>
    <row r="57" spans="1:7" ht="14.45" customHeight="1"/>
    <row r="58" spans="1:7" ht="14.45" customHeight="1"/>
    <row r="59" spans="1:7" ht="14.45" customHeight="1"/>
    <row r="60" spans="1:7" ht="12" customHeight="1"/>
    <row r="61" spans="1:7" ht="12" customHeight="1"/>
    <row r="62" spans="1:7" ht="12" customHeight="1"/>
    <row r="63" spans="1:7" ht="12" customHeight="1"/>
    <row r="64" spans="1:7" ht="12" customHeight="1"/>
    <row r="65" ht="12" customHeight="1"/>
    <row r="66" ht="12" customHeight="1"/>
  </sheetData>
  <mergeCells count="4">
    <mergeCell ref="B6:G6"/>
    <mergeCell ref="B8:C8"/>
    <mergeCell ref="D8:E8"/>
    <mergeCell ref="F7:G8"/>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6.xml><?xml version="1.0" encoding="utf-8"?>
<worksheet xmlns="http://schemas.openxmlformats.org/spreadsheetml/2006/main" xmlns:r="http://schemas.openxmlformats.org/officeDocument/2006/relationships">
  <sheetPr codeName="Sheet28">
    <pageSetUpPr fitToPage="1"/>
  </sheetPr>
  <dimension ref="A1:F59"/>
  <sheetViews>
    <sheetView showGridLines="0" showZeros="0" workbookViewId="0"/>
  </sheetViews>
  <sheetFormatPr defaultColWidth="15.83203125" defaultRowHeight="12"/>
  <cols>
    <col min="1" max="1" width="35.83203125" style="1" customWidth="1"/>
    <col min="2" max="2" width="19.83203125" style="1" customWidth="1"/>
    <col min="3" max="3" width="12" style="1" customWidth="1"/>
    <col min="4" max="4" width="19.83203125" style="1" customWidth="1"/>
    <col min="5" max="5" width="12.1640625" style="1" customWidth="1"/>
    <col min="6" max="6" width="25.83203125" style="1" customWidth="1"/>
    <col min="7" max="16384" width="15.83203125" style="1"/>
  </cols>
  <sheetData>
    <row r="1" spans="1:6" ht="6.95" customHeight="1">
      <c r="A1" s="3"/>
      <c r="B1" s="4"/>
      <c r="C1" s="4"/>
      <c r="D1" s="4"/>
      <c r="E1" s="4"/>
      <c r="F1" s="4"/>
    </row>
    <row r="2" spans="1:6" ht="15.95" customHeight="1">
      <c r="A2" s="132"/>
      <c r="B2" s="5" t="str">
        <f>AEXP_BP</f>
        <v>ANALYSIS OF EXPENSE BY PROGRAM</v>
      </c>
      <c r="C2" s="6"/>
      <c r="D2" s="6"/>
      <c r="E2" s="6"/>
      <c r="F2" s="503" t="s">
        <v>545</v>
      </c>
    </row>
    <row r="3" spans="1:6" ht="15.95" customHeight="1">
      <c r="A3" s="135"/>
      <c r="B3" s="7" t="str">
        <f>OPYEAR</f>
        <v>OPERATING FUND 2016/2017 BUDGET</v>
      </c>
      <c r="C3" s="8"/>
      <c r="D3" s="8"/>
      <c r="E3" s="8"/>
      <c r="F3" s="81"/>
    </row>
    <row r="4" spans="1:6" ht="15.95" customHeight="1">
      <c r="B4" s="4"/>
      <c r="C4" s="4"/>
      <c r="D4" s="4"/>
      <c r="E4" s="4"/>
      <c r="F4" s="4"/>
    </row>
    <row r="5" spans="1:6" ht="15.95" customHeight="1">
      <c r="B5" s="4"/>
      <c r="C5" s="4"/>
      <c r="D5" s="4"/>
      <c r="E5" s="4"/>
      <c r="F5" s="4"/>
    </row>
    <row r="6" spans="1:6" ht="15.95" customHeight="1">
      <c r="B6" s="677" t="s">
        <v>237</v>
      </c>
      <c r="C6" s="678"/>
      <c r="D6" s="667"/>
      <c r="E6" s="668"/>
      <c r="F6" s="55"/>
    </row>
    <row r="7" spans="1:6" ht="15.95" customHeight="1">
      <c r="B7" s="689" t="s">
        <v>433</v>
      </c>
      <c r="C7" s="690"/>
      <c r="D7" s="672" t="s">
        <v>434</v>
      </c>
      <c r="E7" s="611"/>
      <c r="F7" s="4"/>
    </row>
    <row r="8" spans="1:6" ht="15.95" customHeight="1">
      <c r="A8" s="249"/>
      <c r="B8" s="691"/>
      <c r="C8" s="692"/>
      <c r="D8" s="627"/>
      <c r="E8" s="613"/>
      <c r="F8" s="4"/>
    </row>
    <row r="9" spans="1:6" ht="15.95" customHeight="1">
      <c r="A9" s="27" t="s">
        <v>37</v>
      </c>
      <c r="B9" s="89" t="s">
        <v>38</v>
      </c>
      <c r="C9" s="89" t="s">
        <v>39</v>
      </c>
      <c r="D9" s="151" t="s">
        <v>38</v>
      </c>
      <c r="E9" s="151" t="s">
        <v>39</v>
      </c>
    </row>
    <row r="10" spans="1:6" ht="5.0999999999999996" customHeight="1">
      <c r="A10" s="29"/>
    </row>
    <row r="11" spans="1:6" ht="14.1" customHeight="1">
      <c r="A11" s="271" t="s">
        <v>108</v>
      </c>
      <c r="B11" s="272">
        <v>0</v>
      </c>
      <c r="C11" s="273">
        <f>B11/'- 3 -'!$D11*100</f>
        <v>0</v>
      </c>
      <c r="D11" s="272">
        <v>136000</v>
      </c>
      <c r="E11" s="273">
        <f>D11/'- 3 -'!$D11*100</f>
        <v>0.69521804491599315</v>
      </c>
    </row>
    <row r="12" spans="1:6" ht="14.1" customHeight="1">
      <c r="A12" s="15" t="s">
        <v>109</v>
      </c>
      <c r="B12" s="16">
        <v>0</v>
      </c>
      <c r="C12" s="267">
        <f>B12/'- 3 -'!$D12*100</f>
        <v>0</v>
      </c>
      <c r="D12" s="16">
        <v>285000</v>
      </c>
      <c r="E12" s="267">
        <f>D12/'- 3 -'!$D12*100</f>
        <v>0.81616132296256705</v>
      </c>
    </row>
    <row r="13" spans="1:6" ht="14.1" customHeight="1">
      <c r="A13" s="271" t="s">
        <v>110</v>
      </c>
      <c r="B13" s="272">
        <v>0</v>
      </c>
      <c r="C13" s="273">
        <f>B13/'- 3 -'!$D13*100</f>
        <v>0</v>
      </c>
      <c r="D13" s="272">
        <v>77500</v>
      </c>
      <c r="E13" s="273">
        <f>D13/'- 3 -'!$D13*100</f>
        <v>7.9106979174960138E-2</v>
      </c>
    </row>
    <row r="14" spans="1:6" ht="14.1" customHeight="1">
      <c r="A14" s="15" t="s">
        <v>319</v>
      </c>
      <c r="B14" s="16">
        <v>5150</v>
      </c>
      <c r="C14" s="267">
        <f>B14/'- 3 -'!$D14*100</f>
        <v>5.973456857461778E-3</v>
      </c>
      <c r="D14" s="16">
        <v>132142</v>
      </c>
      <c r="E14" s="267">
        <f>D14/'- 3 -'!$D14*100</f>
        <v>0.15327078370072122</v>
      </c>
    </row>
    <row r="15" spans="1:6" ht="14.1" customHeight="1">
      <c r="A15" s="271" t="s">
        <v>111</v>
      </c>
      <c r="B15" s="272">
        <v>0</v>
      </c>
      <c r="C15" s="273">
        <f>B15/'- 3 -'!$D15*100</f>
        <v>0</v>
      </c>
      <c r="D15" s="272">
        <v>24000</v>
      </c>
      <c r="E15" s="273">
        <f>D15/'- 3 -'!$D15*100</f>
        <v>0.11759198657648276</v>
      </c>
    </row>
    <row r="16" spans="1:6" ht="14.1" customHeight="1">
      <c r="A16" s="15" t="s">
        <v>112</v>
      </c>
      <c r="B16" s="16">
        <v>0</v>
      </c>
      <c r="C16" s="267">
        <f>B16/'- 3 -'!$D16*100</f>
        <v>0</v>
      </c>
      <c r="D16" s="16">
        <v>145990</v>
      </c>
      <c r="E16" s="267">
        <f>D16/'- 3 -'!$D16*100</f>
        <v>0.99863868015796808</v>
      </c>
    </row>
    <row r="17" spans="1:5" ht="14.1" customHeight="1">
      <c r="A17" s="271" t="s">
        <v>113</v>
      </c>
      <c r="B17" s="272">
        <v>0</v>
      </c>
      <c r="C17" s="273">
        <f>B17/'- 3 -'!$D17*100</f>
        <v>0</v>
      </c>
      <c r="D17" s="272">
        <v>36750</v>
      </c>
      <c r="E17" s="273">
        <f>D17/'- 3 -'!$D17*100</f>
        <v>0.20173926141911466</v>
      </c>
    </row>
    <row r="18" spans="1:5" ht="14.1" customHeight="1">
      <c r="A18" s="15" t="s">
        <v>114</v>
      </c>
      <c r="B18" s="16">
        <v>2948618</v>
      </c>
      <c r="C18" s="267">
        <f>B18/'- 3 -'!$D18*100</f>
        <v>2.2348374300226772</v>
      </c>
      <c r="D18" s="16">
        <v>857578</v>
      </c>
      <c r="E18" s="267">
        <f>D18/'- 3 -'!$D18*100</f>
        <v>0.64998158919330595</v>
      </c>
    </row>
    <row r="19" spans="1:5" ht="14.1" customHeight="1">
      <c r="A19" s="271" t="s">
        <v>115</v>
      </c>
      <c r="B19" s="272">
        <v>0</v>
      </c>
      <c r="C19" s="273">
        <f>B19/'- 3 -'!$D19*100</f>
        <v>0</v>
      </c>
      <c r="D19" s="272">
        <v>169800</v>
      </c>
      <c r="E19" s="273">
        <f>D19/'- 3 -'!$D19*100</f>
        <v>0.36556679430645866</v>
      </c>
    </row>
    <row r="20" spans="1:5" ht="14.1" customHeight="1">
      <c r="A20" s="15" t="s">
        <v>116</v>
      </c>
      <c r="B20" s="16">
        <v>0</v>
      </c>
      <c r="C20" s="267">
        <f>B20/'- 3 -'!$D20*100</f>
        <v>0</v>
      </c>
      <c r="D20" s="16">
        <v>258900</v>
      </c>
      <c r="E20" s="267">
        <f>D20/'- 3 -'!$D20*100</f>
        <v>0.31461903025884069</v>
      </c>
    </row>
    <row r="21" spans="1:5" ht="14.1" customHeight="1">
      <c r="A21" s="271" t="s">
        <v>117</v>
      </c>
      <c r="B21" s="272">
        <v>0</v>
      </c>
      <c r="C21" s="273">
        <f>B21/'- 3 -'!$D21*100</f>
        <v>0</v>
      </c>
      <c r="D21" s="272">
        <v>140000</v>
      </c>
      <c r="E21" s="273">
        <f>D21/'- 3 -'!$D21*100</f>
        <v>0.38491480391958743</v>
      </c>
    </row>
    <row r="22" spans="1:5" ht="14.1" customHeight="1">
      <c r="A22" s="15" t="s">
        <v>118</v>
      </c>
      <c r="B22" s="16">
        <v>0</v>
      </c>
      <c r="C22" s="267">
        <f>B22/'- 3 -'!$D22*100</f>
        <v>0</v>
      </c>
      <c r="D22" s="16">
        <v>59364</v>
      </c>
      <c r="E22" s="267">
        <f>D22/'- 3 -'!$D22*100</f>
        <v>0.28717435891531645</v>
      </c>
    </row>
    <row r="23" spans="1:5" ht="14.1" customHeight="1">
      <c r="A23" s="271" t="s">
        <v>119</v>
      </c>
      <c r="B23" s="272">
        <v>0</v>
      </c>
      <c r="C23" s="273">
        <f>B23/'- 3 -'!$D23*100</f>
        <v>0</v>
      </c>
      <c r="D23" s="272">
        <v>20000</v>
      </c>
      <c r="E23" s="273">
        <f>D23/'- 3 -'!$D23*100</f>
        <v>0.11909900885209339</v>
      </c>
    </row>
    <row r="24" spans="1:5" ht="14.1" customHeight="1">
      <c r="A24" s="15" t="s">
        <v>120</v>
      </c>
      <c r="B24" s="16">
        <v>0</v>
      </c>
      <c r="C24" s="267">
        <f>B24/'- 3 -'!$D24*100</f>
        <v>0</v>
      </c>
      <c r="D24" s="16">
        <v>92000</v>
      </c>
      <c r="E24" s="267">
        <f>D24/'- 3 -'!$D24*100</f>
        <v>0.1583281184009335</v>
      </c>
    </row>
    <row r="25" spans="1:5" ht="14.1" customHeight="1">
      <c r="A25" s="271" t="s">
        <v>121</v>
      </c>
      <c r="B25" s="272">
        <v>0</v>
      </c>
      <c r="C25" s="273">
        <f>B25/'- 3 -'!$D25*100</f>
        <v>0</v>
      </c>
      <c r="D25" s="272">
        <v>63500</v>
      </c>
      <c r="E25" s="273">
        <f>D25/'- 3 -'!$D25*100</f>
        <v>3.634732674312606E-2</v>
      </c>
    </row>
    <row r="26" spans="1:5" ht="14.1" customHeight="1">
      <c r="A26" s="15" t="s">
        <v>122</v>
      </c>
      <c r="B26" s="16">
        <v>0</v>
      </c>
      <c r="C26" s="267">
        <f>B26/'- 3 -'!$D26*100</f>
        <v>0</v>
      </c>
      <c r="D26" s="16">
        <v>228631</v>
      </c>
      <c r="E26" s="267">
        <f>D26/'- 3 -'!$D26*100</f>
        <v>0.56010655966603162</v>
      </c>
    </row>
    <row r="27" spans="1:5" ht="14.1" customHeight="1">
      <c r="A27" s="271" t="s">
        <v>123</v>
      </c>
      <c r="B27" s="272">
        <v>0</v>
      </c>
      <c r="C27" s="273">
        <f>B27/'- 3 -'!$D27*100</f>
        <v>0</v>
      </c>
      <c r="D27" s="272">
        <v>130000</v>
      </c>
      <c r="E27" s="273">
        <f>D27/'- 3 -'!$D27*100</f>
        <v>0.29703422748252067</v>
      </c>
    </row>
    <row r="28" spans="1:5" ht="14.1" customHeight="1">
      <c r="A28" s="15" t="s">
        <v>124</v>
      </c>
      <c r="B28" s="16">
        <v>0</v>
      </c>
      <c r="C28" s="267">
        <f>B28/'- 3 -'!$D28*100</f>
        <v>0</v>
      </c>
      <c r="D28" s="16">
        <v>181922</v>
      </c>
      <c r="E28" s="267">
        <f>D28/'- 3 -'!$D28*100</f>
        <v>0.63451551356284663</v>
      </c>
    </row>
    <row r="29" spans="1:5" ht="14.1" customHeight="1">
      <c r="A29" s="271" t="s">
        <v>125</v>
      </c>
      <c r="B29" s="272">
        <v>0</v>
      </c>
      <c r="C29" s="273">
        <f>B29/'- 3 -'!$D29*100</f>
        <v>0</v>
      </c>
      <c r="D29" s="272">
        <v>120000</v>
      </c>
      <c r="E29" s="273">
        <f>D29/'- 3 -'!$D29*100</f>
        <v>7.5791740894413401E-2</v>
      </c>
    </row>
    <row r="30" spans="1:5" ht="14.1" customHeight="1">
      <c r="A30" s="15" t="s">
        <v>126</v>
      </c>
      <c r="B30" s="16">
        <v>0</v>
      </c>
      <c r="C30" s="267">
        <f>B30/'- 3 -'!$D30*100</f>
        <v>0</v>
      </c>
      <c r="D30" s="16">
        <v>38850</v>
      </c>
      <c r="E30" s="267">
        <f>D30/'- 3 -'!$D30*100</f>
        <v>0.26410949755428487</v>
      </c>
    </row>
    <row r="31" spans="1:5" ht="14.1" customHeight="1">
      <c r="A31" s="271" t="s">
        <v>127</v>
      </c>
      <c r="B31" s="272">
        <v>0</v>
      </c>
      <c r="C31" s="273">
        <f>B31/'- 3 -'!$D31*100</f>
        <v>0</v>
      </c>
      <c r="D31" s="272">
        <v>34600</v>
      </c>
      <c r="E31" s="273">
        <f>D31/'- 3 -'!$D31*100</f>
        <v>9.1842779177362638E-2</v>
      </c>
    </row>
    <row r="32" spans="1:5" ht="14.1" customHeight="1">
      <c r="A32" s="15" t="s">
        <v>128</v>
      </c>
      <c r="B32" s="16">
        <v>0</v>
      </c>
      <c r="C32" s="267">
        <f>B32/'- 3 -'!$D32*100</f>
        <v>0</v>
      </c>
      <c r="D32" s="16">
        <v>59354</v>
      </c>
      <c r="E32" s="267">
        <f>D32/'- 3 -'!$D32*100</f>
        <v>0.19606358599023707</v>
      </c>
    </row>
    <row r="33" spans="1:5" ht="14.1" customHeight="1">
      <c r="A33" s="271" t="s">
        <v>129</v>
      </c>
      <c r="B33" s="272">
        <v>0</v>
      </c>
      <c r="C33" s="273">
        <f>B33/'- 3 -'!$D33*100</f>
        <v>0</v>
      </c>
      <c r="D33" s="272">
        <v>85000</v>
      </c>
      <c r="E33" s="273">
        <f>D33/'- 3 -'!$D33*100</f>
        <v>0.30431972904803417</v>
      </c>
    </row>
    <row r="34" spans="1:5" ht="14.1" customHeight="1">
      <c r="A34" s="15" t="s">
        <v>130</v>
      </c>
      <c r="B34" s="16">
        <v>0</v>
      </c>
      <c r="C34" s="267">
        <f>B34/'- 3 -'!$D34*100</f>
        <v>0</v>
      </c>
      <c r="D34" s="16">
        <v>235961</v>
      </c>
      <c r="E34" s="267">
        <f>D34/'- 3 -'!$D34*100</f>
        <v>0.79837237748845746</v>
      </c>
    </row>
    <row r="35" spans="1:5" ht="14.1" customHeight="1">
      <c r="A35" s="271" t="s">
        <v>131</v>
      </c>
      <c r="B35" s="272">
        <v>0</v>
      </c>
      <c r="C35" s="273">
        <f>B35/'- 3 -'!$D35*100</f>
        <v>0</v>
      </c>
      <c r="D35" s="272">
        <v>188120</v>
      </c>
      <c r="E35" s="273">
        <f>D35/'- 3 -'!$D35*100</f>
        <v>0.10390868951550551</v>
      </c>
    </row>
    <row r="36" spans="1:5" ht="14.1" customHeight="1">
      <c r="A36" s="15" t="s">
        <v>132</v>
      </c>
      <c r="B36" s="16">
        <v>0</v>
      </c>
      <c r="C36" s="267">
        <f>B36/'- 3 -'!$D36*100</f>
        <v>0</v>
      </c>
      <c r="D36" s="16">
        <v>103000</v>
      </c>
      <c r="E36" s="267">
        <f>D36/'- 3 -'!$D36*100</f>
        <v>0.43520044889024945</v>
      </c>
    </row>
    <row r="37" spans="1:5" ht="14.1" customHeight="1">
      <c r="A37" s="271" t="s">
        <v>133</v>
      </c>
      <c r="B37" s="272">
        <v>0</v>
      </c>
      <c r="C37" s="273">
        <f>B37/'- 3 -'!$D37*100</f>
        <v>0</v>
      </c>
      <c r="D37" s="272">
        <v>78621</v>
      </c>
      <c r="E37" s="273">
        <f>D37/'- 3 -'!$D37*100</f>
        <v>0.15726055674569597</v>
      </c>
    </row>
    <row r="38" spans="1:5" ht="14.1" customHeight="1">
      <c r="A38" s="15" t="s">
        <v>134</v>
      </c>
      <c r="B38" s="16">
        <v>0</v>
      </c>
      <c r="C38" s="267">
        <f>B38/'- 3 -'!$D38*100</f>
        <v>0</v>
      </c>
      <c r="D38" s="16">
        <v>383000</v>
      </c>
      <c r="E38" s="267">
        <f>D38/'- 3 -'!$D38*100</f>
        <v>0.28100826204644086</v>
      </c>
    </row>
    <row r="39" spans="1:5" ht="14.1" customHeight="1">
      <c r="A39" s="271" t="s">
        <v>135</v>
      </c>
      <c r="B39" s="272">
        <v>0</v>
      </c>
      <c r="C39" s="273">
        <f>B39/'- 3 -'!$D39*100</f>
        <v>0</v>
      </c>
      <c r="D39" s="272">
        <v>16400</v>
      </c>
      <c r="E39" s="273">
        <f>D39/'- 3 -'!$D39*100</f>
        <v>7.161985195739895E-2</v>
      </c>
    </row>
    <row r="40" spans="1:5" ht="14.1" customHeight="1">
      <c r="A40" s="15" t="s">
        <v>136</v>
      </c>
      <c r="B40" s="16">
        <v>0</v>
      </c>
      <c r="C40" s="267">
        <f>B40/'- 3 -'!$D40*100</f>
        <v>0</v>
      </c>
      <c r="D40" s="16">
        <v>112119</v>
      </c>
      <c r="E40" s="267">
        <f>D40/'- 3 -'!$D40*100</f>
        <v>0.10632482040598995</v>
      </c>
    </row>
    <row r="41" spans="1:5" ht="14.1" customHeight="1">
      <c r="A41" s="271" t="s">
        <v>137</v>
      </c>
      <c r="B41" s="272">
        <v>0</v>
      </c>
      <c r="C41" s="273">
        <f>B41/'- 3 -'!$D41*100</f>
        <v>0</v>
      </c>
      <c r="D41" s="272">
        <v>158000</v>
      </c>
      <c r="E41" s="273">
        <f>D41/'- 3 -'!$D41*100</f>
        <v>0.24711408287518172</v>
      </c>
    </row>
    <row r="42" spans="1:5" ht="14.1" customHeight="1">
      <c r="A42" s="15" t="s">
        <v>138</v>
      </c>
      <c r="B42" s="16">
        <v>0</v>
      </c>
      <c r="C42" s="267">
        <f>B42/'- 3 -'!$D42*100</f>
        <v>0</v>
      </c>
      <c r="D42" s="16">
        <v>86924</v>
      </c>
      <c r="E42" s="267">
        <f>D42/'- 3 -'!$D42*100</f>
        <v>0.4117051110752199</v>
      </c>
    </row>
    <row r="43" spans="1:5" ht="14.1" customHeight="1">
      <c r="A43" s="271" t="s">
        <v>139</v>
      </c>
      <c r="B43" s="272">
        <v>0</v>
      </c>
      <c r="C43" s="273">
        <f>B43/'- 3 -'!$D43*100</f>
        <v>0</v>
      </c>
      <c r="D43" s="272">
        <v>15305</v>
      </c>
      <c r="E43" s="273">
        <f>D43/'- 3 -'!$D43*100</f>
        <v>0.1146543032295806</v>
      </c>
    </row>
    <row r="44" spans="1:5" ht="14.1" customHeight="1">
      <c r="A44" s="15" t="s">
        <v>140</v>
      </c>
      <c r="B44" s="16">
        <v>0</v>
      </c>
      <c r="C44" s="267">
        <f>B44/'- 3 -'!$D44*100</f>
        <v>0</v>
      </c>
      <c r="D44" s="16">
        <v>48500</v>
      </c>
      <c r="E44" s="267">
        <f>D44/'- 3 -'!$D44*100</f>
        <v>0.43288853218477147</v>
      </c>
    </row>
    <row r="45" spans="1:5" ht="14.1" customHeight="1">
      <c r="A45" s="271" t="s">
        <v>141</v>
      </c>
      <c r="B45" s="272">
        <v>0</v>
      </c>
      <c r="C45" s="273">
        <f>B45/'- 3 -'!$D45*100</f>
        <v>0</v>
      </c>
      <c r="D45" s="272">
        <v>42320</v>
      </c>
      <c r="E45" s="273">
        <f>D45/'- 3 -'!$D45*100</f>
        <v>0.21576861732135599</v>
      </c>
    </row>
    <row r="46" spans="1:5" ht="14.1" customHeight="1">
      <c r="A46" s="15" t="s">
        <v>142</v>
      </c>
      <c r="B46" s="16">
        <v>0</v>
      </c>
      <c r="C46" s="267">
        <f>B46/'- 3 -'!$D46*100</f>
        <v>0</v>
      </c>
      <c r="D46" s="16">
        <v>373300</v>
      </c>
      <c r="E46" s="267">
        <f>D46/'- 3 -'!$D46*100</f>
        <v>9.5290071861936873E-2</v>
      </c>
    </row>
    <row r="47" spans="1:5" ht="5.0999999999999996" customHeight="1">
      <c r="A47"/>
      <c r="B47"/>
      <c r="C47"/>
      <c r="D47"/>
      <c r="E47"/>
    </row>
    <row r="48" spans="1:5" ht="14.1" customHeight="1">
      <c r="A48" s="274" t="s">
        <v>143</v>
      </c>
      <c r="B48" s="275">
        <f>SUM(B11:B46)</f>
        <v>2953768</v>
      </c>
      <c r="C48" s="276">
        <f>B48/'- 3 -'!$D48*100</f>
        <v>0.12779805406330655</v>
      </c>
      <c r="D48" s="275">
        <f>SUM(D11:D46)</f>
        <v>5218451</v>
      </c>
      <c r="E48" s="276">
        <f>D48/'- 3 -'!$D48*100</f>
        <v>0.22578208004986042</v>
      </c>
    </row>
    <row r="49" spans="1:5" ht="5.0999999999999996" customHeight="1">
      <c r="A49" s="17" t="s">
        <v>1</v>
      </c>
      <c r="B49" s="18"/>
      <c r="C49" s="266"/>
      <c r="D49" s="18"/>
      <c r="E49" s="266"/>
    </row>
    <row r="50" spans="1:5" ht="14.1" customHeight="1">
      <c r="A50" s="15" t="s">
        <v>144</v>
      </c>
      <c r="B50" s="16">
        <v>0</v>
      </c>
      <c r="C50" s="267">
        <f>B50/'- 3 -'!$D50*100</f>
        <v>0</v>
      </c>
      <c r="D50" s="16">
        <v>35048</v>
      </c>
      <c r="E50" s="267">
        <f>D50/'- 3 -'!$D50*100</f>
        <v>1.0141773004618893</v>
      </c>
    </row>
    <row r="51" spans="1:5" ht="14.1" customHeight="1">
      <c r="A51" s="360" t="s">
        <v>523</v>
      </c>
      <c r="B51" s="272">
        <v>0</v>
      </c>
      <c r="C51" s="273">
        <f>B51/'- 3 -'!$D51*100</f>
        <v>0</v>
      </c>
      <c r="D51" s="272">
        <v>0</v>
      </c>
      <c r="E51" s="273">
        <f>D51/'- 3 -'!$D51*100</f>
        <v>0</v>
      </c>
    </row>
    <row r="52" spans="1:5" ht="50.1" customHeight="1"/>
    <row r="53" spans="1:5" ht="15" customHeight="1"/>
    <row r="54" spans="1:5" ht="14.45" customHeight="1"/>
    <row r="55" spans="1:5" ht="14.45" customHeight="1"/>
    <row r="56" spans="1:5" ht="14.45" customHeight="1"/>
    <row r="57" spans="1:5" ht="14.45" customHeight="1"/>
    <row r="58" spans="1:5" ht="14.45" customHeight="1"/>
    <row r="59" spans="1:5" ht="14.45" customHeight="1"/>
  </sheetData>
  <mergeCells count="3">
    <mergeCell ref="B6:E6"/>
    <mergeCell ref="B7:C8"/>
    <mergeCell ref="D7:E8"/>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7.xml><?xml version="1.0" encoding="utf-8"?>
<worksheet xmlns="http://schemas.openxmlformats.org/spreadsheetml/2006/main" xmlns:r="http://schemas.openxmlformats.org/officeDocument/2006/relationships">
  <sheetPr codeName="Sheet29">
    <pageSetUpPr fitToPage="1"/>
  </sheetPr>
  <dimension ref="A1:G59"/>
  <sheetViews>
    <sheetView showGridLines="0" showZeros="0" workbookViewId="0"/>
  </sheetViews>
  <sheetFormatPr defaultColWidth="15.83203125" defaultRowHeight="12"/>
  <cols>
    <col min="1" max="1" width="31.83203125" style="1" customWidth="1"/>
    <col min="2" max="2" width="17.83203125" style="1" customWidth="1"/>
    <col min="3" max="3" width="11.5" style="1" customWidth="1"/>
    <col min="4" max="4" width="17.83203125" style="1" customWidth="1"/>
    <col min="5" max="5" width="12.1640625" style="1" customWidth="1"/>
    <col min="6" max="6" width="17.83203125" style="1" customWidth="1"/>
    <col min="7" max="7" width="12" style="1" customWidth="1"/>
    <col min="8" max="16384" width="15.83203125" style="1"/>
  </cols>
  <sheetData>
    <row r="1" spans="1:7" ht="6.95" customHeight="1">
      <c r="A1" s="3"/>
      <c r="B1" s="4"/>
      <c r="C1" s="4"/>
      <c r="D1" s="4"/>
      <c r="E1" s="4"/>
      <c r="F1" s="4"/>
      <c r="G1" s="4"/>
    </row>
    <row r="2" spans="1:7" ht="15.95" customHeight="1">
      <c r="A2" s="132"/>
      <c r="B2" s="5" t="str">
        <f>AEXP_BP</f>
        <v>ANALYSIS OF EXPENSE BY PROGRAM</v>
      </c>
      <c r="C2" s="6"/>
      <c r="D2" s="133"/>
      <c r="E2" s="6"/>
      <c r="F2" s="85"/>
      <c r="G2" s="503" t="s">
        <v>546</v>
      </c>
    </row>
    <row r="3" spans="1:7" ht="15.95" customHeight="1">
      <c r="A3" s="135"/>
      <c r="B3" s="7" t="str">
        <f>OPYEAR</f>
        <v>OPERATING FUND 2016/2017 BUDGET</v>
      </c>
      <c r="C3" s="8"/>
      <c r="D3" s="144"/>
      <c r="E3" s="8"/>
      <c r="F3" s="87"/>
      <c r="G3" s="87"/>
    </row>
    <row r="4" spans="1:7" ht="15.95" customHeight="1">
      <c r="B4" s="4"/>
      <c r="C4" s="4"/>
      <c r="D4" s="4"/>
      <c r="E4" s="4"/>
      <c r="F4" s="4"/>
      <c r="G4" s="4"/>
    </row>
    <row r="5" spans="1:7" ht="15.95" customHeight="1">
      <c r="B5" s="4"/>
      <c r="C5" s="4"/>
      <c r="D5" s="4"/>
      <c r="E5" s="4"/>
      <c r="F5" s="4"/>
      <c r="G5" s="4"/>
    </row>
    <row r="6" spans="1:7" ht="15.95" customHeight="1">
      <c r="B6" s="666" t="s">
        <v>9</v>
      </c>
      <c r="C6" s="667"/>
      <c r="D6" s="667"/>
      <c r="E6" s="667"/>
      <c r="F6" s="667"/>
      <c r="G6" s="668"/>
    </row>
    <row r="7" spans="1:7" ht="15.95" customHeight="1">
      <c r="B7" s="277"/>
      <c r="C7" s="270"/>
      <c r="D7" s="693" t="s">
        <v>20</v>
      </c>
      <c r="E7" s="694"/>
      <c r="F7" s="694"/>
      <c r="G7" s="695"/>
    </row>
    <row r="8" spans="1:7" ht="15.95" customHeight="1">
      <c r="A8" s="82"/>
      <c r="B8" s="612" t="s">
        <v>14</v>
      </c>
      <c r="C8" s="613"/>
      <c r="D8" s="696" t="s">
        <v>23</v>
      </c>
      <c r="E8" s="697"/>
      <c r="F8" s="696" t="s">
        <v>107</v>
      </c>
      <c r="G8" s="697"/>
    </row>
    <row r="9" spans="1:7" ht="15.95" customHeight="1">
      <c r="A9" s="27" t="s">
        <v>37</v>
      </c>
      <c r="B9" s="151" t="s">
        <v>38</v>
      </c>
      <c r="C9" s="151" t="s">
        <v>39</v>
      </c>
      <c r="D9" s="151" t="s">
        <v>38</v>
      </c>
      <c r="E9" s="151" t="s">
        <v>39</v>
      </c>
      <c r="F9" s="151" t="s">
        <v>38</v>
      </c>
      <c r="G9" s="151" t="s">
        <v>39</v>
      </c>
    </row>
    <row r="10" spans="1:7" ht="5.0999999999999996" customHeight="1">
      <c r="A10" s="29"/>
    </row>
    <row r="11" spans="1:7" ht="14.1" customHeight="1">
      <c r="A11" s="271" t="s">
        <v>108</v>
      </c>
      <c r="B11" s="272">
        <v>82775</v>
      </c>
      <c r="C11" s="273">
        <f>B11/'- 3 -'!$D11*100</f>
        <v>0.42313730638177444</v>
      </c>
      <c r="D11" s="272">
        <v>1587040</v>
      </c>
      <c r="E11" s="273">
        <f>D11/'- 3 -'!$D11*100</f>
        <v>8.1127856323785128</v>
      </c>
      <c r="F11" s="272">
        <v>207300</v>
      </c>
      <c r="G11" s="273">
        <f>F11/'- 3 -'!$D11*100</f>
        <v>1.0596963287579806</v>
      </c>
    </row>
    <row r="12" spans="1:7" ht="14.1" customHeight="1">
      <c r="A12" s="15" t="s">
        <v>109</v>
      </c>
      <c r="B12" s="16">
        <v>101104</v>
      </c>
      <c r="C12" s="267">
        <f>B12/'- 3 -'!$D12*100</f>
        <v>0.28953394525195575</v>
      </c>
      <c r="D12" s="16">
        <v>2591692</v>
      </c>
      <c r="E12" s="267">
        <f>D12/'- 3 -'!$D12*100</f>
        <v>7.4218904260754437</v>
      </c>
      <c r="F12" s="16">
        <v>381000</v>
      </c>
      <c r="G12" s="267">
        <f>F12/'- 3 -'!$D12*100</f>
        <v>1.0910788212236424</v>
      </c>
    </row>
    <row r="13" spans="1:7" ht="14.1" customHeight="1">
      <c r="A13" s="271" t="s">
        <v>110</v>
      </c>
      <c r="B13" s="272">
        <v>351500</v>
      </c>
      <c r="C13" s="273">
        <f>B13/'- 3 -'!$D13*100</f>
        <v>0.35878842812901279</v>
      </c>
      <c r="D13" s="272">
        <v>6675300</v>
      </c>
      <c r="E13" s="273">
        <f>D13/'- 3 -'!$D13*100</f>
        <v>6.8137137817627282</v>
      </c>
      <c r="F13" s="272">
        <v>732900</v>
      </c>
      <c r="G13" s="273">
        <f>F13/'- 3 -'!$D13*100</f>
        <v>0.74809683919133274</v>
      </c>
    </row>
    <row r="14" spans="1:7" ht="14.1" customHeight="1">
      <c r="A14" s="15" t="s">
        <v>319</v>
      </c>
      <c r="B14" s="16">
        <v>307879</v>
      </c>
      <c r="C14" s="267">
        <f>B14/'- 3 -'!$D14*100</f>
        <v>0.35710716967349027</v>
      </c>
      <c r="D14" s="16">
        <v>7379190</v>
      </c>
      <c r="E14" s="267">
        <f>D14/'- 3 -'!$D14*100</f>
        <v>8.5590821568958013</v>
      </c>
      <c r="F14" s="16">
        <v>850000</v>
      </c>
      <c r="G14" s="267">
        <f>F14/'- 3 -'!$D14*100</f>
        <v>0.98591035511505076</v>
      </c>
    </row>
    <row r="15" spans="1:7" ht="14.1" customHeight="1">
      <c r="A15" s="271" t="s">
        <v>111</v>
      </c>
      <c r="B15" s="272">
        <v>89500</v>
      </c>
      <c r="C15" s="273">
        <f>B15/'- 3 -'!$D15*100</f>
        <v>0.43852011660813361</v>
      </c>
      <c r="D15" s="272">
        <v>2090400</v>
      </c>
      <c r="E15" s="273">
        <f>D15/'- 3 -'!$D15*100</f>
        <v>10.242262030811649</v>
      </c>
      <c r="F15" s="272">
        <v>248000</v>
      </c>
      <c r="G15" s="273">
        <f>F15/'- 3 -'!$D15*100</f>
        <v>1.2151171946236552</v>
      </c>
    </row>
    <row r="16" spans="1:7" ht="14.1" customHeight="1">
      <c r="A16" s="15" t="s">
        <v>112</v>
      </c>
      <c r="B16" s="16">
        <v>85162</v>
      </c>
      <c r="C16" s="267">
        <f>B16/'- 3 -'!$D16*100</f>
        <v>0.58254721062821346</v>
      </c>
      <c r="D16" s="16">
        <v>1957864</v>
      </c>
      <c r="E16" s="267">
        <f>D16/'- 3 -'!$D16*100</f>
        <v>13.392689368373176</v>
      </c>
      <c r="F16" s="16">
        <v>100000</v>
      </c>
      <c r="G16" s="267">
        <f>F16/'- 3 -'!$D16*100</f>
        <v>0.68404594846083167</v>
      </c>
    </row>
    <row r="17" spans="1:7" ht="14.1" customHeight="1">
      <c r="A17" s="271" t="s">
        <v>113</v>
      </c>
      <c r="B17" s="272">
        <v>77475</v>
      </c>
      <c r="C17" s="273">
        <f>B17/'- 3 -'!$D17*100</f>
        <v>0.42529930009376621</v>
      </c>
      <c r="D17" s="272">
        <v>1623640</v>
      </c>
      <c r="E17" s="273">
        <f>D17/'- 3 -'!$D17*100</f>
        <v>8.9129778070892876</v>
      </c>
      <c r="F17" s="272">
        <v>147250</v>
      </c>
      <c r="G17" s="273">
        <f>F17/'- 3 -'!$D17*100</f>
        <v>0.80832942160447985</v>
      </c>
    </row>
    <row r="18" spans="1:7" ht="14.1" customHeight="1">
      <c r="A18" s="15" t="s">
        <v>114</v>
      </c>
      <c r="B18" s="16">
        <v>948053</v>
      </c>
      <c r="C18" s="267">
        <f>B18/'- 3 -'!$D18*100</f>
        <v>0.71855504173320828</v>
      </c>
      <c r="D18" s="16">
        <v>16414270</v>
      </c>
      <c r="E18" s="267">
        <f>D18/'- 3 -'!$D18*100</f>
        <v>12.440819727241143</v>
      </c>
      <c r="F18" s="16">
        <v>1978602</v>
      </c>
      <c r="G18" s="267">
        <f>F18/'- 3 -'!$D18*100</f>
        <v>1.4996360358370358</v>
      </c>
    </row>
    <row r="19" spans="1:7" ht="14.1" customHeight="1">
      <c r="A19" s="271" t="s">
        <v>115</v>
      </c>
      <c r="B19" s="272">
        <v>176225</v>
      </c>
      <c r="C19" s="273">
        <f>B19/'- 3 -'!$D19*100</f>
        <v>0.37939934232423839</v>
      </c>
      <c r="D19" s="272">
        <v>4195525</v>
      </c>
      <c r="E19" s="273">
        <f>D19/'- 3 -'!$D19*100</f>
        <v>9.0326538556101585</v>
      </c>
      <c r="F19" s="272">
        <v>101000</v>
      </c>
      <c r="G19" s="273">
        <f>F19/'- 3 -'!$D19*100</f>
        <v>0.21744550191373571</v>
      </c>
    </row>
    <row r="20" spans="1:7" ht="14.1" customHeight="1">
      <c r="A20" s="15" t="s">
        <v>116</v>
      </c>
      <c r="B20" s="16">
        <v>285600</v>
      </c>
      <c r="C20" s="267">
        <f>B20/'- 3 -'!$D20*100</f>
        <v>0.34706525701786362</v>
      </c>
      <c r="D20" s="16">
        <v>7398300</v>
      </c>
      <c r="E20" s="267">
        <f>D20/'- 3 -'!$D20*100</f>
        <v>8.9905213270142177</v>
      </c>
      <c r="F20" s="16">
        <v>1175000</v>
      </c>
      <c r="G20" s="267">
        <f>F20/'- 3 -'!$D20*100</f>
        <v>1.4278770202940818</v>
      </c>
    </row>
    <row r="21" spans="1:7" ht="14.1" customHeight="1">
      <c r="A21" s="271" t="s">
        <v>117</v>
      </c>
      <c r="B21" s="272">
        <v>117000</v>
      </c>
      <c r="C21" s="273">
        <f>B21/'- 3 -'!$D21*100</f>
        <v>0.32167880041851238</v>
      </c>
      <c r="D21" s="272">
        <v>2880000</v>
      </c>
      <c r="E21" s="273">
        <f>D21/'- 3 -'!$D21*100</f>
        <v>7.918247394917227</v>
      </c>
      <c r="F21" s="272">
        <v>300000</v>
      </c>
      <c r="G21" s="273">
        <f>F21/'- 3 -'!$D21*100</f>
        <v>0.82481743697054455</v>
      </c>
    </row>
    <row r="22" spans="1:7" ht="14.1" customHeight="1">
      <c r="A22" s="15" t="s">
        <v>118</v>
      </c>
      <c r="B22" s="16">
        <v>94020</v>
      </c>
      <c r="C22" s="267">
        <f>B22/'- 3 -'!$D22*100</f>
        <v>0.45482334790812706</v>
      </c>
      <c r="D22" s="16">
        <v>2203648</v>
      </c>
      <c r="E22" s="267">
        <f>D22/'- 3 -'!$D22*100</f>
        <v>10.660184651893728</v>
      </c>
      <c r="F22" s="16">
        <v>223500</v>
      </c>
      <c r="G22" s="267">
        <f>F22/'- 3 -'!$D22*100</f>
        <v>1.0811850484733716</v>
      </c>
    </row>
    <row r="23" spans="1:7" ht="14.1" customHeight="1">
      <c r="A23" s="271" t="s">
        <v>119</v>
      </c>
      <c r="B23" s="272">
        <v>65825</v>
      </c>
      <c r="C23" s="273">
        <f>B23/'- 3 -'!$D23*100</f>
        <v>0.39198461288445241</v>
      </c>
      <c r="D23" s="272">
        <v>1218450</v>
      </c>
      <c r="E23" s="273">
        <f>D23/'- 3 -'!$D23*100</f>
        <v>7.2558093667916586</v>
      </c>
      <c r="F23" s="272">
        <v>140382</v>
      </c>
      <c r="G23" s="273">
        <f>F23/'- 3 -'!$D23*100</f>
        <v>0.83596785303372867</v>
      </c>
    </row>
    <row r="24" spans="1:7" ht="14.1" customHeight="1">
      <c r="A24" s="15" t="s">
        <v>120</v>
      </c>
      <c r="B24" s="16">
        <v>125350</v>
      </c>
      <c r="C24" s="267">
        <f>B24/'- 3 -'!$D24*100</f>
        <v>0.21572206132127189</v>
      </c>
      <c r="D24" s="16">
        <v>5593190</v>
      </c>
      <c r="E24" s="267">
        <f>D24/'- 3 -'!$D24*100</f>
        <v>9.6256440060751878</v>
      </c>
      <c r="F24" s="16">
        <v>384260</v>
      </c>
      <c r="G24" s="267">
        <f>F24/'- 3 -'!$D24*100</f>
        <v>0.66129524757329028</v>
      </c>
    </row>
    <row r="25" spans="1:7" ht="14.1" customHeight="1">
      <c r="A25" s="271" t="s">
        <v>121</v>
      </c>
      <c r="B25" s="272">
        <v>684165</v>
      </c>
      <c r="C25" s="273">
        <f>B25/'- 3 -'!$D25*100</f>
        <v>0.39161525671198183</v>
      </c>
      <c r="D25" s="272">
        <v>16072684</v>
      </c>
      <c r="E25" s="273">
        <f>D25/'- 3 -'!$D25*100</f>
        <v>9.1999857793230611</v>
      </c>
      <c r="F25" s="272">
        <v>497560</v>
      </c>
      <c r="G25" s="273">
        <f>F25/'- 3 -'!$D25*100</f>
        <v>0.28480276998913079</v>
      </c>
    </row>
    <row r="26" spans="1:7" ht="14.1" customHeight="1">
      <c r="A26" s="15" t="s">
        <v>122</v>
      </c>
      <c r="B26" s="16">
        <v>179888</v>
      </c>
      <c r="C26" s="267">
        <f>B26/'- 3 -'!$D26*100</f>
        <v>0.44069460749068629</v>
      </c>
      <c r="D26" s="16">
        <v>4299125</v>
      </c>
      <c r="E26" s="267">
        <f>D26/'- 3 -'!$D26*100</f>
        <v>10.532115563174846</v>
      </c>
      <c r="F26" s="16">
        <v>300000</v>
      </c>
      <c r="G26" s="267">
        <f>F26/'- 3 -'!$D26*100</f>
        <v>0.73494831365741964</v>
      </c>
    </row>
    <row r="27" spans="1:7" ht="14.1" customHeight="1">
      <c r="A27" s="271" t="s">
        <v>123</v>
      </c>
      <c r="B27" s="272">
        <v>216578</v>
      </c>
      <c r="C27" s="273">
        <f>B27/'- 3 -'!$D27*100</f>
        <v>0.49485445322853355</v>
      </c>
      <c r="D27" s="272">
        <v>4209181</v>
      </c>
      <c r="E27" s="273">
        <f>D27/'- 3 -'!$D27*100</f>
        <v>9.6174678974546453</v>
      </c>
      <c r="F27" s="272">
        <v>506000</v>
      </c>
      <c r="G27" s="273">
        <f>F27/'- 3 -'!$D27*100</f>
        <v>1.1561486085088881</v>
      </c>
    </row>
    <row r="28" spans="1:7" ht="14.1" customHeight="1">
      <c r="A28" s="15" t="s">
        <v>124</v>
      </c>
      <c r="B28" s="16">
        <v>65336</v>
      </c>
      <c r="C28" s="267">
        <f>B28/'- 3 -'!$D28*100</f>
        <v>0.22788176028266044</v>
      </c>
      <c r="D28" s="16">
        <v>2901862</v>
      </c>
      <c r="E28" s="267">
        <f>D28/'- 3 -'!$D28*100</f>
        <v>10.121241285927537</v>
      </c>
      <c r="F28" s="16">
        <v>156017</v>
      </c>
      <c r="G28" s="267">
        <f>F28/'- 3 -'!$D28*100</f>
        <v>0.54416292080965833</v>
      </c>
    </row>
    <row r="29" spans="1:7" ht="14.1" customHeight="1">
      <c r="A29" s="271" t="s">
        <v>125</v>
      </c>
      <c r="B29" s="272">
        <v>1013608</v>
      </c>
      <c r="C29" s="273">
        <f>B29/'- 3 -'!$D29*100</f>
        <v>0.64019262420420497</v>
      </c>
      <c r="D29" s="272">
        <v>14653495</v>
      </c>
      <c r="E29" s="273">
        <f>D29/'- 3 -'!$D29*100</f>
        <v>9.2551158019798532</v>
      </c>
      <c r="F29" s="272">
        <v>2685750</v>
      </c>
      <c r="G29" s="273">
        <f>F29/'- 3 -'!$D29*100</f>
        <v>1.6963139008930899</v>
      </c>
    </row>
    <row r="30" spans="1:7" ht="14.1" customHeight="1">
      <c r="A30" s="15" t="s">
        <v>126</v>
      </c>
      <c r="B30" s="16">
        <v>92845</v>
      </c>
      <c r="C30" s="267">
        <f>B30/'- 3 -'!$D30*100</f>
        <v>0.63117751095051688</v>
      </c>
      <c r="D30" s="16">
        <v>1288685</v>
      </c>
      <c r="E30" s="267">
        <f>D30/'- 3 -'!$D30*100</f>
        <v>8.7607193785262183</v>
      </c>
      <c r="F30" s="16">
        <v>159150</v>
      </c>
      <c r="G30" s="267">
        <f>F30/'- 3 -'!$D30*100</f>
        <v>1.0819311849617617</v>
      </c>
    </row>
    <row r="31" spans="1:7" ht="14.1" customHeight="1">
      <c r="A31" s="271" t="s">
        <v>127</v>
      </c>
      <c r="B31" s="272">
        <v>105336</v>
      </c>
      <c r="C31" s="273">
        <f>B31/'- 3 -'!$D31*100</f>
        <v>0.27960551986782284</v>
      </c>
      <c r="D31" s="272">
        <v>3492590</v>
      </c>
      <c r="E31" s="273">
        <f>D31/'- 3 -'!$D31*100</f>
        <v>9.2707853215914717</v>
      </c>
      <c r="F31" s="272">
        <v>651340</v>
      </c>
      <c r="G31" s="273">
        <f>F31/'- 3 -'!$D31*100</f>
        <v>1.7289270459359358</v>
      </c>
    </row>
    <row r="32" spans="1:7" ht="14.1" customHeight="1">
      <c r="A32" s="15" t="s">
        <v>128</v>
      </c>
      <c r="B32" s="16">
        <v>118354</v>
      </c>
      <c r="C32" s="267">
        <f>B32/'- 3 -'!$D32*100</f>
        <v>0.39095780665647673</v>
      </c>
      <c r="D32" s="16">
        <v>2247860</v>
      </c>
      <c r="E32" s="267">
        <f>D32/'- 3 -'!$D32*100</f>
        <v>7.4253376757087013</v>
      </c>
      <c r="F32" s="16">
        <v>631750</v>
      </c>
      <c r="G32" s="267">
        <f>F32/'- 3 -'!$D32*100</f>
        <v>2.0868546424728285</v>
      </c>
    </row>
    <row r="33" spans="1:7" ht="14.1" customHeight="1">
      <c r="A33" s="271" t="s">
        <v>129</v>
      </c>
      <c r="B33" s="272">
        <v>107600</v>
      </c>
      <c r="C33" s="273">
        <f>B33/'- 3 -'!$D33*100</f>
        <v>0.38523297465374678</v>
      </c>
      <c r="D33" s="272">
        <v>2717300</v>
      </c>
      <c r="E33" s="273">
        <f>D33/'- 3 -'!$D33*100</f>
        <v>9.7285647028496864</v>
      </c>
      <c r="F33" s="272">
        <v>427000</v>
      </c>
      <c r="G33" s="273">
        <f>F33/'- 3 -'!$D33*100</f>
        <v>1.5287591094530659</v>
      </c>
    </row>
    <row r="34" spans="1:7" ht="14.1" customHeight="1">
      <c r="A34" s="15" t="s">
        <v>130</v>
      </c>
      <c r="B34" s="16">
        <v>110143</v>
      </c>
      <c r="C34" s="267">
        <f>B34/'- 3 -'!$D34*100</f>
        <v>0.37266806283119319</v>
      </c>
      <c r="D34" s="16">
        <v>2259790</v>
      </c>
      <c r="E34" s="267">
        <f>D34/'- 3 -'!$D34*100</f>
        <v>7.6459835096674515</v>
      </c>
      <c r="F34" s="16">
        <v>370828</v>
      </c>
      <c r="G34" s="267">
        <f>F34/'- 3 -'!$D34*100</f>
        <v>1.2546939197549158</v>
      </c>
    </row>
    <row r="35" spans="1:7" ht="14.1" customHeight="1">
      <c r="A35" s="271" t="s">
        <v>131</v>
      </c>
      <c r="B35" s="272">
        <v>845710</v>
      </c>
      <c r="C35" s="273">
        <f>B35/'- 3 -'!$D35*100</f>
        <v>0.46713064963936946</v>
      </c>
      <c r="D35" s="272">
        <v>18830125</v>
      </c>
      <c r="E35" s="273">
        <f>D35/'- 3 -'!$D35*100</f>
        <v>10.400880353833502</v>
      </c>
      <c r="F35" s="272">
        <v>659000</v>
      </c>
      <c r="G35" s="273">
        <f>F35/'- 3 -'!$D35*100</f>
        <v>0.36400077817732368</v>
      </c>
    </row>
    <row r="36" spans="1:7" ht="14.1" customHeight="1">
      <c r="A36" s="15" t="s">
        <v>132</v>
      </c>
      <c r="B36" s="16">
        <v>58600</v>
      </c>
      <c r="C36" s="267">
        <f>B36/'- 3 -'!$D36*100</f>
        <v>0.24759947868901569</v>
      </c>
      <c r="D36" s="16">
        <v>2323360</v>
      </c>
      <c r="E36" s="267">
        <f>D36/'- 3 -'!$D36*100</f>
        <v>9.8167700478995137</v>
      </c>
      <c r="F36" s="16">
        <v>155000</v>
      </c>
      <c r="G36" s="267">
        <f>F36/'- 3 -'!$D36*100</f>
        <v>0.65491329687367628</v>
      </c>
    </row>
    <row r="37" spans="1:7" ht="14.1" customHeight="1">
      <c r="A37" s="271" t="s">
        <v>133</v>
      </c>
      <c r="B37" s="272">
        <v>120763</v>
      </c>
      <c r="C37" s="273">
        <f>B37/'- 3 -'!$D37*100</f>
        <v>0.24155450343140489</v>
      </c>
      <c r="D37" s="272">
        <v>4111700</v>
      </c>
      <c r="E37" s="273">
        <f>D37/'- 3 -'!$D37*100</f>
        <v>8.2243704757161353</v>
      </c>
      <c r="F37" s="272">
        <v>490000</v>
      </c>
      <c r="G37" s="273">
        <f>F37/'- 3 -'!$D37*100</f>
        <v>0.98011565364713027</v>
      </c>
    </row>
    <row r="38" spans="1:7" ht="14.1" customHeight="1">
      <c r="A38" s="15" t="s">
        <v>134</v>
      </c>
      <c r="B38" s="16">
        <v>612856</v>
      </c>
      <c r="C38" s="267">
        <f>B38/'- 3 -'!$D38*100</f>
        <v>0.44965430664421291</v>
      </c>
      <c r="D38" s="16">
        <v>11209880</v>
      </c>
      <c r="E38" s="267">
        <f>D38/'- 3 -'!$D38*100</f>
        <v>8.2247229674912692</v>
      </c>
      <c r="F38" s="16">
        <v>817090</v>
      </c>
      <c r="G38" s="267">
        <f>F38/'- 3 -'!$D38*100</f>
        <v>0.59950141210320196</v>
      </c>
    </row>
    <row r="39" spans="1:7" ht="14.1" customHeight="1">
      <c r="A39" s="271" t="s">
        <v>135</v>
      </c>
      <c r="B39" s="272">
        <v>80600</v>
      </c>
      <c r="C39" s="273">
        <f>B39/'- 3 -'!$D39*100</f>
        <v>0.35198536998575336</v>
      </c>
      <c r="D39" s="272">
        <v>2094600</v>
      </c>
      <c r="E39" s="273">
        <f>D39/'- 3 -'!$D39*100</f>
        <v>9.1472525554858422</v>
      </c>
      <c r="F39" s="272">
        <v>121200</v>
      </c>
      <c r="G39" s="273">
        <f>F39/'- 3 -'!$D39*100</f>
        <v>0.52928817422175312</v>
      </c>
    </row>
    <row r="40" spans="1:7" ht="14.1" customHeight="1">
      <c r="A40" s="15" t="s">
        <v>136</v>
      </c>
      <c r="B40" s="16">
        <v>489613</v>
      </c>
      <c r="C40" s="267">
        <f>B40/'- 3 -'!$D40*100</f>
        <v>0.4643103692811919</v>
      </c>
      <c r="D40" s="16">
        <v>8330440</v>
      </c>
      <c r="E40" s="267">
        <f>D40/'- 3 -'!$D40*100</f>
        <v>7.8999325440190766</v>
      </c>
      <c r="F40" s="16">
        <v>1197687</v>
      </c>
      <c r="G40" s="267">
        <f>F40/'- 3 -'!$D40*100</f>
        <v>1.1357919280192375</v>
      </c>
    </row>
    <row r="41" spans="1:7" ht="14.1" customHeight="1">
      <c r="A41" s="271" t="s">
        <v>137</v>
      </c>
      <c r="B41" s="272">
        <v>188771</v>
      </c>
      <c r="C41" s="273">
        <f>B41/'- 3 -'!$D41*100</f>
        <v>0.29524033252171478</v>
      </c>
      <c r="D41" s="272">
        <v>4917209</v>
      </c>
      <c r="E41" s="273">
        <f>D41/'- 3 -'!$D41*100</f>
        <v>7.690579698358162</v>
      </c>
      <c r="F41" s="272">
        <v>525000</v>
      </c>
      <c r="G41" s="273">
        <f>F41/'- 3 -'!$D41*100</f>
        <v>0.82110692094601523</v>
      </c>
    </row>
    <row r="42" spans="1:7" ht="14.1" customHeight="1">
      <c r="A42" s="15" t="s">
        <v>138</v>
      </c>
      <c r="B42" s="16">
        <v>66273</v>
      </c>
      <c r="C42" s="267">
        <f>B42/'- 3 -'!$D42*100</f>
        <v>0.31389412390465288</v>
      </c>
      <c r="D42" s="16">
        <v>2061034</v>
      </c>
      <c r="E42" s="267">
        <f>D42/'- 3 -'!$D42*100</f>
        <v>9.7618405952303693</v>
      </c>
      <c r="F42" s="16">
        <v>118585</v>
      </c>
      <c r="G42" s="267">
        <f>F42/'- 3 -'!$D42*100</f>
        <v>0.56166364406671287</v>
      </c>
    </row>
    <row r="43" spans="1:7" ht="14.1" customHeight="1">
      <c r="A43" s="271" t="s">
        <v>139</v>
      </c>
      <c r="B43" s="272">
        <v>15101</v>
      </c>
      <c r="C43" s="273">
        <f>B43/'- 3 -'!$D43*100</f>
        <v>0.11312607860633106</v>
      </c>
      <c r="D43" s="272">
        <v>812112</v>
      </c>
      <c r="E43" s="273">
        <f>D43/'- 3 -'!$D43*100</f>
        <v>6.0837723295904071</v>
      </c>
      <c r="F43" s="272">
        <v>130783</v>
      </c>
      <c r="G43" s="273">
        <f>F43/'- 3 -'!$D43*100</f>
        <v>0.97973431814924805</v>
      </c>
    </row>
    <row r="44" spans="1:7" ht="14.1" customHeight="1">
      <c r="A44" s="15" t="s">
        <v>140</v>
      </c>
      <c r="B44" s="16">
        <v>32529</v>
      </c>
      <c r="C44" s="267">
        <f>B44/'- 3 -'!$D44*100</f>
        <v>0.2903387848131635</v>
      </c>
      <c r="D44" s="16">
        <v>1106353</v>
      </c>
      <c r="E44" s="267">
        <f>D44/'- 3 -'!$D44*100</f>
        <v>9.8747943556333713</v>
      </c>
      <c r="F44" s="16">
        <v>57000</v>
      </c>
      <c r="G44" s="267">
        <f>F44/'- 3 -'!$D44*100</f>
        <v>0.50875559452643249</v>
      </c>
    </row>
    <row r="45" spans="1:7" ht="14.1" customHeight="1">
      <c r="A45" s="271" t="s">
        <v>141</v>
      </c>
      <c r="B45" s="272">
        <v>52431</v>
      </c>
      <c r="C45" s="273">
        <f>B45/'- 3 -'!$D45*100</f>
        <v>0.26731957407315732</v>
      </c>
      <c r="D45" s="272">
        <v>1548424</v>
      </c>
      <c r="E45" s="273">
        <f>D45/'- 3 -'!$D45*100</f>
        <v>7.8946433248393983</v>
      </c>
      <c r="F45" s="272">
        <v>193940</v>
      </c>
      <c r="G45" s="273">
        <f>F45/'- 3 -'!$D45*100</f>
        <v>0.9888035359948909</v>
      </c>
    </row>
    <row r="46" spans="1:7" ht="14.1" customHeight="1">
      <c r="A46" s="15" t="s">
        <v>142</v>
      </c>
      <c r="B46" s="16">
        <v>1083700</v>
      </c>
      <c r="C46" s="267">
        <f>B46/'- 3 -'!$D46*100</f>
        <v>0.27662965678216178</v>
      </c>
      <c r="D46" s="16">
        <v>39362200</v>
      </c>
      <c r="E46" s="267">
        <f>D46/'- 3 -'!$D46*100</f>
        <v>10.047754799474768</v>
      </c>
      <c r="F46" s="16">
        <v>5415100</v>
      </c>
      <c r="G46" s="267">
        <f>F46/'- 3 -'!$D46*100</f>
        <v>1.3822803861226207</v>
      </c>
    </row>
    <row r="47" spans="1:7" ht="5.0999999999999996" customHeight="1">
      <c r="A47"/>
      <c r="B47" s="508"/>
      <c r="C47"/>
      <c r="D47"/>
      <c r="E47"/>
      <c r="F47" s="508"/>
      <c r="G47"/>
    </row>
    <row r="48" spans="1:7" ht="14.1" customHeight="1">
      <c r="A48" s="274" t="s">
        <v>143</v>
      </c>
      <c r="B48" s="275">
        <f>SUM(B11:B46)</f>
        <v>9248268</v>
      </c>
      <c r="C48" s="276">
        <f>B48/'- 3 -'!$D48*100</f>
        <v>0.40013658955474773</v>
      </c>
      <c r="D48" s="275">
        <f>SUM(D11:D46)</f>
        <v>214658518</v>
      </c>
      <c r="E48" s="276">
        <f>D48/'- 3 -'!$D48*100</f>
        <v>9.2874392601291849</v>
      </c>
      <c r="F48" s="275">
        <f>SUM(F11:F46)</f>
        <v>23234974</v>
      </c>
      <c r="G48" s="276">
        <f>F48/'- 3 -'!$D48*100</f>
        <v>1.0052869634350166</v>
      </c>
    </row>
    <row r="49" spans="1:7" ht="5.0999999999999996" customHeight="1">
      <c r="A49" s="17" t="s">
        <v>1</v>
      </c>
      <c r="B49" s="18"/>
      <c r="C49" s="266"/>
      <c r="D49" s="18"/>
      <c r="E49" s="266"/>
      <c r="F49" s="18"/>
      <c r="G49" s="266"/>
    </row>
    <row r="50" spans="1:7" ht="14.1" customHeight="1">
      <c r="A50" s="15" t="s">
        <v>144</v>
      </c>
      <c r="B50" s="16">
        <v>14375</v>
      </c>
      <c r="C50" s="267">
        <f>B50/'- 3 -'!$D50*100</f>
        <v>0.4159666370160825</v>
      </c>
      <c r="D50" s="16">
        <v>398248</v>
      </c>
      <c r="E50" s="267">
        <f>D50/'- 3 -'!$D50*100</f>
        <v>11.524026522322144</v>
      </c>
      <c r="F50" s="16">
        <v>39159</v>
      </c>
      <c r="G50" s="267">
        <f>F50/'- 3 -'!$D50*100</f>
        <v>1.133136524446106</v>
      </c>
    </row>
    <row r="51" spans="1:7" ht="14.1" customHeight="1">
      <c r="A51" s="360" t="s">
        <v>523</v>
      </c>
      <c r="B51" s="272">
        <v>184548</v>
      </c>
      <c r="C51" s="273">
        <f>B51/'- 3 -'!$D51*100</f>
        <v>0.62426382666338009</v>
      </c>
      <c r="D51" s="272">
        <v>2551451</v>
      </c>
      <c r="E51" s="273">
        <f>D51/'- 3 -'!$D51*100</f>
        <v>8.6307007651348577</v>
      </c>
      <c r="F51" s="272">
        <v>0</v>
      </c>
      <c r="G51" s="273">
        <f>F51/'- 3 -'!$D51*100</f>
        <v>0</v>
      </c>
    </row>
    <row r="52" spans="1:7" ht="50.1" customHeight="1"/>
    <row r="53" spans="1:7" ht="15" customHeight="1"/>
    <row r="54" spans="1:7" ht="14.45" customHeight="1"/>
    <row r="55" spans="1:7" ht="14.45" customHeight="1"/>
    <row r="56" spans="1:7" ht="14.45" customHeight="1"/>
    <row r="57" spans="1:7" ht="14.45" customHeight="1"/>
    <row r="58" spans="1:7" ht="14.45" customHeight="1"/>
    <row r="59" spans="1:7" ht="14.45" customHeight="1"/>
  </sheetData>
  <mergeCells count="5">
    <mergeCell ref="B6:G6"/>
    <mergeCell ref="B8:C8"/>
    <mergeCell ref="D7:G7"/>
    <mergeCell ref="D8:E8"/>
    <mergeCell ref="F8:G8"/>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8.xml><?xml version="1.0" encoding="utf-8"?>
<worksheet xmlns="http://schemas.openxmlformats.org/spreadsheetml/2006/main" xmlns:r="http://schemas.openxmlformats.org/officeDocument/2006/relationships">
  <sheetPr codeName="Sheet30">
    <pageSetUpPr fitToPage="1"/>
  </sheetPr>
  <dimension ref="A1:F59"/>
  <sheetViews>
    <sheetView showGridLines="0" showZeros="0" workbookViewId="0"/>
  </sheetViews>
  <sheetFormatPr defaultColWidth="15.83203125" defaultRowHeight="12"/>
  <cols>
    <col min="1" max="1" width="35.83203125" style="1" customWidth="1"/>
    <col min="2" max="2" width="19.83203125" style="1" customWidth="1"/>
    <col min="3" max="3" width="10.1640625" style="1" customWidth="1"/>
    <col min="4" max="4" width="19.83203125" style="1" customWidth="1"/>
    <col min="5" max="5" width="11.1640625" style="1" customWidth="1"/>
    <col min="6" max="6" width="25.83203125" style="1" customWidth="1"/>
    <col min="7" max="16384" width="15.83203125" style="1"/>
  </cols>
  <sheetData>
    <row r="1" spans="1:6" ht="6.95" customHeight="1">
      <c r="A1" s="3"/>
      <c r="B1" s="3"/>
      <c r="C1" s="3"/>
      <c r="D1" s="4"/>
      <c r="E1" s="4"/>
      <c r="F1" s="4"/>
    </row>
    <row r="2" spans="1:6" ht="15.95" customHeight="1">
      <c r="A2" s="132"/>
      <c r="B2" s="5" t="str">
        <f>AEXP_BP</f>
        <v>ANALYSIS OF EXPENSE BY PROGRAM</v>
      </c>
      <c r="C2" s="152"/>
      <c r="D2" s="133"/>
      <c r="E2" s="6"/>
      <c r="F2" s="503" t="s">
        <v>547</v>
      </c>
    </row>
    <row r="3" spans="1:6" ht="15.95" customHeight="1">
      <c r="A3" s="135"/>
      <c r="B3" s="7" t="str">
        <f>OPYEAR</f>
        <v>OPERATING FUND 2016/2017 BUDGET</v>
      </c>
      <c r="C3" s="153"/>
      <c r="D3" s="144"/>
      <c r="E3" s="8"/>
      <c r="F3" s="81"/>
    </row>
    <row r="4" spans="1:6" ht="15.95" customHeight="1">
      <c r="D4" s="4"/>
      <c r="E4" s="4"/>
      <c r="F4" s="4"/>
    </row>
    <row r="5" spans="1:6" ht="15.95" customHeight="1">
      <c r="D5" s="4"/>
      <c r="E5" s="4"/>
      <c r="F5" s="4"/>
    </row>
    <row r="6" spans="1:6" ht="15.95" customHeight="1">
      <c r="B6" s="666" t="s">
        <v>236</v>
      </c>
      <c r="C6" s="667"/>
      <c r="D6" s="667"/>
      <c r="E6" s="668"/>
      <c r="F6" s="55"/>
    </row>
    <row r="7" spans="1:6" ht="15.95" customHeight="1">
      <c r="B7" s="314"/>
      <c r="C7" s="270"/>
      <c r="D7" s="314"/>
      <c r="E7" s="270"/>
      <c r="F7" s="4"/>
    </row>
    <row r="8" spans="1:6" ht="15.95" customHeight="1">
      <c r="A8" s="82"/>
      <c r="B8" s="612" t="s">
        <v>30</v>
      </c>
      <c r="C8" s="613"/>
      <c r="D8" s="625" t="s">
        <v>31</v>
      </c>
      <c r="E8" s="613"/>
      <c r="F8" s="4"/>
    </row>
    <row r="9" spans="1:6" ht="15.95" customHeight="1">
      <c r="A9" s="27" t="s">
        <v>37</v>
      </c>
      <c r="B9" s="151" t="s">
        <v>38</v>
      </c>
      <c r="C9" s="151" t="s">
        <v>39</v>
      </c>
      <c r="D9" s="154" t="s">
        <v>38</v>
      </c>
      <c r="E9" s="151" t="s">
        <v>39</v>
      </c>
    </row>
    <row r="10" spans="1:6" ht="5.0999999999999996" customHeight="1">
      <c r="A10" s="29"/>
    </row>
    <row r="11" spans="1:6" ht="14.1" customHeight="1">
      <c r="A11" s="271" t="s">
        <v>108</v>
      </c>
      <c r="B11" s="272">
        <v>60460</v>
      </c>
      <c r="C11" s="273">
        <f>B11/'- 3 -'!$D11*100</f>
        <v>0.30906531614427163</v>
      </c>
      <c r="D11" s="272">
        <v>31600</v>
      </c>
      <c r="E11" s="273">
        <f>D11/'- 3 -'!$D11*100</f>
        <v>0.16153595749518662</v>
      </c>
    </row>
    <row r="12" spans="1:6" ht="14.1" customHeight="1">
      <c r="A12" s="15" t="s">
        <v>109</v>
      </c>
      <c r="B12" s="16">
        <v>307532</v>
      </c>
      <c r="C12" s="267">
        <f>B12/'- 3 -'!$D12*100</f>
        <v>0.8806867507835936</v>
      </c>
      <c r="D12" s="16">
        <v>70782</v>
      </c>
      <c r="E12" s="267">
        <f>D12/'- 3 -'!$D12*100</f>
        <v>0.20270010793661902</v>
      </c>
    </row>
    <row r="13" spans="1:6" ht="14.1" customHeight="1">
      <c r="A13" s="271" t="s">
        <v>110</v>
      </c>
      <c r="B13" s="272">
        <v>235800</v>
      </c>
      <c r="C13" s="273">
        <f>B13/'- 3 -'!$D13*100</f>
        <v>0.24068936373491098</v>
      </c>
      <c r="D13" s="272">
        <v>160900</v>
      </c>
      <c r="E13" s="273">
        <f>D13/'- 3 -'!$D13*100</f>
        <v>0.16423629611936885</v>
      </c>
    </row>
    <row r="14" spans="1:6" ht="14.1" customHeight="1">
      <c r="A14" s="15" t="s">
        <v>319</v>
      </c>
      <c r="B14" s="16">
        <v>131762</v>
      </c>
      <c r="C14" s="267">
        <f>B14/'- 3 -'!$D14*100</f>
        <v>0.15283002377725802</v>
      </c>
      <c r="D14" s="16">
        <v>300000</v>
      </c>
      <c r="E14" s="267">
        <f>D14/'- 3 -'!$D14*100</f>
        <v>0.34796836062884146</v>
      </c>
    </row>
    <row r="15" spans="1:6" ht="14.1" customHeight="1">
      <c r="A15" s="271" t="s">
        <v>111</v>
      </c>
      <c r="B15" s="272">
        <v>146000</v>
      </c>
      <c r="C15" s="273">
        <f>B15/'- 3 -'!$D15*100</f>
        <v>0.71535125167360347</v>
      </c>
      <c r="D15" s="272">
        <v>110000</v>
      </c>
      <c r="E15" s="273">
        <f>D15/'- 3 -'!$D15*100</f>
        <v>0.53896327180887937</v>
      </c>
    </row>
    <row r="16" spans="1:6" ht="14.1" customHeight="1">
      <c r="A16" s="15" t="s">
        <v>112</v>
      </c>
      <c r="B16" s="16">
        <v>7823</v>
      </c>
      <c r="C16" s="267">
        <f>B16/'- 3 -'!$D16*100</f>
        <v>5.3512914548090852E-2</v>
      </c>
      <c r="D16" s="16">
        <v>21000</v>
      </c>
      <c r="E16" s="267">
        <f>D16/'- 3 -'!$D16*100</f>
        <v>0.14364964917677464</v>
      </c>
    </row>
    <row r="17" spans="1:5" ht="14.1" customHeight="1">
      <c r="A17" s="271" t="s">
        <v>113</v>
      </c>
      <c r="B17" s="272">
        <v>111910</v>
      </c>
      <c r="C17" s="273">
        <f>B17/'- 3 -'!$D17*100</f>
        <v>0.6143303604194047</v>
      </c>
      <c r="D17" s="272">
        <v>57000</v>
      </c>
      <c r="E17" s="273">
        <f>D17/'- 3 -'!$D17*100</f>
        <v>0.3129017115888309</v>
      </c>
    </row>
    <row r="18" spans="1:5" ht="14.1" customHeight="1">
      <c r="A18" s="15" t="s">
        <v>114</v>
      </c>
      <c r="B18" s="16">
        <v>3123759</v>
      </c>
      <c r="C18" s="267">
        <f>B18/'- 3 -'!$D18*100</f>
        <v>2.3675815366962447</v>
      </c>
      <c r="D18" s="16">
        <v>77050</v>
      </c>
      <c r="E18" s="267">
        <f>D18/'- 3 -'!$D18*100</f>
        <v>5.8398281494329636E-2</v>
      </c>
    </row>
    <row r="19" spans="1:5" ht="14.1" customHeight="1">
      <c r="A19" s="271" t="s">
        <v>115</v>
      </c>
      <c r="B19" s="272">
        <v>66400</v>
      </c>
      <c r="C19" s="273">
        <f>B19/'- 3 -'!$D19*100</f>
        <v>0.14295427056506979</v>
      </c>
      <c r="D19" s="272">
        <v>22000</v>
      </c>
      <c r="E19" s="273">
        <f>D19/'- 3 -'!$D19*100</f>
        <v>4.7364366753486986E-2</v>
      </c>
    </row>
    <row r="20" spans="1:5" ht="14.1" customHeight="1">
      <c r="A20" s="15" t="s">
        <v>116</v>
      </c>
      <c r="B20" s="16">
        <v>410500</v>
      </c>
      <c r="C20" s="267">
        <f>B20/'- 3 -'!$D20*100</f>
        <v>0.49884554623891114</v>
      </c>
      <c r="D20" s="16">
        <v>588500</v>
      </c>
      <c r="E20" s="267">
        <f>D20/'- 3 -'!$D20*100</f>
        <v>0.71515372463239768</v>
      </c>
    </row>
    <row r="21" spans="1:5" ht="14.1" customHeight="1">
      <c r="A21" s="271" t="s">
        <v>117</v>
      </c>
      <c r="B21" s="272">
        <v>163000</v>
      </c>
      <c r="C21" s="273">
        <f>B21/'- 3 -'!$D21*100</f>
        <v>0.44815080742066254</v>
      </c>
      <c r="D21" s="272">
        <v>113000</v>
      </c>
      <c r="E21" s="273">
        <f>D21/'- 3 -'!$D21*100</f>
        <v>0.31068123459223845</v>
      </c>
    </row>
    <row r="22" spans="1:5" ht="14.1" customHeight="1">
      <c r="A22" s="15" t="s">
        <v>118</v>
      </c>
      <c r="B22" s="16">
        <v>49920</v>
      </c>
      <c r="C22" s="267">
        <f>B22/'- 3 -'!$D22*100</f>
        <v>0.24148884841069668</v>
      </c>
      <c r="D22" s="16">
        <v>17500</v>
      </c>
      <c r="E22" s="267">
        <f>D22/'- 3 -'!$D22*100</f>
        <v>8.465654741961523E-2</v>
      </c>
    </row>
    <row r="23" spans="1:5" ht="14.1" customHeight="1">
      <c r="A23" s="271" t="s">
        <v>119</v>
      </c>
      <c r="B23" s="272">
        <v>53400</v>
      </c>
      <c r="C23" s="273">
        <f>B23/'- 3 -'!$D23*100</f>
        <v>0.31799435363508932</v>
      </c>
      <c r="D23" s="272">
        <v>12700</v>
      </c>
      <c r="E23" s="273">
        <f>D23/'- 3 -'!$D23*100</f>
        <v>7.5627870621079299E-2</v>
      </c>
    </row>
    <row r="24" spans="1:5" ht="14.1" customHeight="1">
      <c r="A24" s="15" t="s">
        <v>120</v>
      </c>
      <c r="B24" s="16">
        <v>221965</v>
      </c>
      <c r="C24" s="267">
        <f>B24/'- 3 -'!$D24*100</f>
        <v>0.38199240000938267</v>
      </c>
      <c r="D24" s="16">
        <v>285100</v>
      </c>
      <c r="E24" s="267">
        <f>D24/'- 3 -'!$D24*100</f>
        <v>0.49064507126202322</v>
      </c>
    </row>
    <row r="25" spans="1:5" ht="14.1" customHeight="1">
      <c r="A25" s="271" t="s">
        <v>121</v>
      </c>
      <c r="B25" s="272">
        <v>222000</v>
      </c>
      <c r="C25" s="273">
        <f>B25/'- 3 -'!$D25*100</f>
        <v>0.12707254388935413</v>
      </c>
      <c r="D25" s="272">
        <v>400000</v>
      </c>
      <c r="E25" s="273">
        <f>D25/'- 3 -'!$D25*100</f>
        <v>0.22895953853937678</v>
      </c>
    </row>
    <row r="26" spans="1:5" ht="14.1" customHeight="1">
      <c r="A26" s="15" t="s">
        <v>122</v>
      </c>
      <c r="B26" s="16">
        <v>213502</v>
      </c>
      <c r="C26" s="267">
        <f>B26/'- 3 -'!$D26*100</f>
        <v>0.52304311620828803</v>
      </c>
      <c r="D26" s="16">
        <v>98750</v>
      </c>
      <c r="E26" s="267">
        <f>D26/'- 3 -'!$D26*100</f>
        <v>0.24192048657890058</v>
      </c>
    </row>
    <row r="27" spans="1:5" ht="14.1" customHeight="1">
      <c r="A27" s="271" t="s">
        <v>123</v>
      </c>
      <c r="B27" s="272">
        <v>174895</v>
      </c>
      <c r="C27" s="273">
        <f>B27/'- 3 -'!$D27*100</f>
        <v>0.3996138555042727</v>
      </c>
      <c r="D27" s="272">
        <v>199500</v>
      </c>
      <c r="E27" s="273">
        <f>D27/'- 3 -'!$D27*100</f>
        <v>0.45583329525202215</v>
      </c>
    </row>
    <row r="28" spans="1:5" ht="14.1" customHeight="1">
      <c r="A28" s="15" t="s">
        <v>124</v>
      </c>
      <c r="B28" s="16">
        <v>72950</v>
      </c>
      <c r="C28" s="267">
        <f>B28/'- 3 -'!$D28*100</f>
        <v>0.2544382027155026</v>
      </c>
      <c r="D28" s="16">
        <v>84000</v>
      </c>
      <c r="E28" s="267">
        <f>D28/'- 3 -'!$D28*100</f>
        <v>0.29297887632765207</v>
      </c>
    </row>
    <row r="29" spans="1:5" ht="14.1" customHeight="1">
      <c r="A29" s="271" t="s">
        <v>125</v>
      </c>
      <c r="B29" s="272">
        <v>476772</v>
      </c>
      <c r="C29" s="273">
        <f>B29/'- 3 -'!$D29*100</f>
        <v>0.30112816574759388</v>
      </c>
      <c r="D29" s="272">
        <v>809079</v>
      </c>
      <c r="E29" s="273">
        <f>D29/'- 3 -'!$D29*100</f>
        <v>0.51101254942592589</v>
      </c>
    </row>
    <row r="30" spans="1:5" ht="14.1" customHeight="1">
      <c r="A30" s="15" t="s">
        <v>126</v>
      </c>
      <c r="B30" s="16">
        <v>57990</v>
      </c>
      <c r="C30" s="267">
        <f>B30/'- 3 -'!$D30*100</f>
        <v>0.39422676353083597</v>
      </c>
      <c r="D30" s="16">
        <v>33000</v>
      </c>
      <c r="E30" s="267">
        <f>D30/'- 3 -'!$D30*100</f>
        <v>0.22434011375267443</v>
      </c>
    </row>
    <row r="31" spans="1:5" ht="14.1" customHeight="1">
      <c r="A31" s="271" t="s">
        <v>127</v>
      </c>
      <c r="B31" s="272">
        <v>94979</v>
      </c>
      <c r="C31" s="273">
        <f>B31/'- 3 -'!$D31*100</f>
        <v>0.25211373767302675</v>
      </c>
      <c r="D31" s="272">
        <v>141500</v>
      </c>
      <c r="E31" s="273">
        <f>D31/'- 3 -'!$D31*100</f>
        <v>0.37559980501724893</v>
      </c>
    </row>
    <row r="32" spans="1:5" ht="14.1" customHeight="1">
      <c r="A32" s="15" t="s">
        <v>128</v>
      </c>
      <c r="B32" s="16">
        <v>110110</v>
      </c>
      <c r="C32" s="267">
        <f>B32/'- 3 -'!$D32*100</f>
        <v>0.36372546843321429</v>
      </c>
      <c r="D32" s="16">
        <v>69500</v>
      </c>
      <c r="E32" s="267">
        <f>D32/'- 3 -'!$D32*100</f>
        <v>0.2295787853610789</v>
      </c>
    </row>
    <row r="33" spans="1:5" ht="14.1" customHeight="1">
      <c r="A33" s="271" t="s">
        <v>129</v>
      </c>
      <c r="B33" s="272">
        <v>104700</v>
      </c>
      <c r="C33" s="273">
        <f>B33/'- 3 -'!$D33*100</f>
        <v>0.37485030154504917</v>
      </c>
      <c r="D33" s="272">
        <v>84000</v>
      </c>
      <c r="E33" s="273">
        <f>D33/'- 3 -'!$D33*100</f>
        <v>0.30073949694158669</v>
      </c>
    </row>
    <row r="34" spans="1:5" ht="14.1" customHeight="1">
      <c r="A34" s="15" t="s">
        <v>130</v>
      </c>
      <c r="B34" s="16">
        <v>114406</v>
      </c>
      <c r="C34" s="267">
        <f>B34/'- 3 -'!$D34*100</f>
        <v>0.38709189323212084</v>
      </c>
      <c r="D34" s="16">
        <v>162917</v>
      </c>
      <c r="E34" s="267">
        <f>D34/'- 3 -'!$D34*100</f>
        <v>0.55122851921837523</v>
      </c>
    </row>
    <row r="35" spans="1:5" ht="14.1" customHeight="1">
      <c r="A35" s="271" t="s">
        <v>131</v>
      </c>
      <c r="B35" s="272">
        <v>449000</v>
      </c>
      <c r="C35" s="273">
        <f>B35/'- 3 -'!$D35*100</f>
        <v>0.24800660000245575</v>
      </c>
      <c r="D35" s="272">
        <v>815300</v>
      </c>
      <c r="E35" s="273">
        <f>D35/'- 3 -'!$D35*100</f>
        <v>0.45033358793318973</v>
      </c>
    </row>
    <row r="36" spans="1:5" ht="14.1" customHeight="1">
      <c r="A36" s="15" t="s">
        <v>132</v>
      </c>
      <c r="B36" s="16">
        <v>300620</v>
      </c>
      <c r="C36" s="267">
        <f>B36/'- 3 -'!$D36*100</f>
        <v>1.2701937761688038</v>
      </c>
      <c r="D36" s="16">
        <v>71000</v>
      </c>
      <c r="E36" s="267">
        <f>D36/'- 3 -'!$D36*100</f>
        <v>0.29999254243890977</v>
      </c>
    </row>
    <row r="37" spans="1:5" ht="14.1" customHeight="1">
      <c r="A37" s="271" t="s">
        <v>133</v>
      </c>
      <c r="B37" s="272">
        <v>130150</v>
      </c>
      <c r="C37" s="273">
        <f>B37/'- 3 -'!$D37*100</f>
        <v>0.26033071902484495</v>
      </c>
      <c r="D37" s="272">
        <v>211500</v>
      </c>
      <c r="E37" s="273">
        <f>D37/'- 3 -'!$D37*100</f>
        <v>0.42304991989054708</v>
      </c>
    </row>
    <row r="38" spans="1:5" ht="14.1" customHeight="1">
      <c r="A38" s="15" t="s">
        <v>134</v>
      </c>
      <c r="B38" s="16">
        <v>437328</v>
      </c>
      <c r="C38" s="267">
        <f>B38/'- 3 -'!$D38*100</f>
        <v>0.32086888048105972</v>
      </c>
      <c r="D38" s="16">
        <v>508360</v>
      </c>
      <c r="E38" s="267">
        <f>D38/'- 3 -'!$D38*100</f>
        <v>0.37298527439668056</v>
      </c>
    </row>
    <row r="39" spans="1:5" ht="14.1" customHeight="1">
      <c r="A39" s="271" t="s">
        <v>135</v>
      </c>
      <c r="B39" s="272">
        <v>82900</v>
      </c>
      <c r="C39" s="273">
        <f>B39/'- 3 -'!$D39*100</f>
        <v>0.36202961751636414</v>
      </c>
      <c r="D39" s="272">
        <v>75700</v>
      </c>
      <c r="E39" s="273">
        <f>D39/'- 3 -'!$D39*100</f>
        <v>0.33058675568140855</v>
      </c>
    </row>
    <row r="40" spans="1:5" ht="14.1" customHeight="1">
      <c r="A40" s="15" t="s">
        <v>136</v>
      </c>
      <c r="B40" s="16">
        <v>525022</v>
      </c>
      <c r="C40" s="267">
        <f>B40/'- 3 -'!$D40*100</f>
        <v>0.49788947332025485</v>
      </c>
      <c r="D40" s="16">
        <v>319495</v>
      </c>
      <c r="E40" s="267">
        <f>D40/'- 3 -'!$D40*100</f>
        <v>0.30298386977775182</v>
      </c>
    </row>
    <row r="41" spans="1:5" ht="14.1" customHeight="1">
      <c r="A41" s="271" t="s">
        <v>137</v>
      </c>
      <c r="B41" s="272">
        <v>253772</v>
      </c>
      <c r="C41" s="273">
        <f>B41/'- 3 -'!$D41*100</f>
        <v>0.39690275341392794</v>
      </c>
      <c r="D41" s="272">
        <v>310000</v>
      </c>
      <c r="E41" s="273">
        <f>D41/'- 3 -'!$D41*100</f>
        <v>0.48484408665383755</v>
      </c>
    </row>
    <row r="42" spans="1:5" ht="14.1" customHeight="1">
      <c r="A42" s="15" t="s">
        <v>138</v>
      </c>
      <c r="B42" s="16">
        <v>155145</v>
      </c>
      <c r="C42" s="267">
        <f>B42/'- 3 -'!$D42*100</f>
        <v>0.73482570357743537</v>
      </c>
      <c r="D42" s="16">
        <v>105084</v>
      </c>
      <c r="E42" s="267">
        <f>D42/'- 3 -'!$D42*100</f>
        <v>0.4977177752085547</v>
      </c>
    </row>
    <row r="43" spans="1:5" ht="14.1" customHeight="1">
      <c r="A43" s="271" t="s">
        <v>139</v>
      </c>
      <c r="B43" s="272">
        <v>49600</v>
      </c>
      <c r="C43" s="273">
        <f>B43/'- 3 -'!$D43*100</f>
        <v>0.37156833977048015</v>
      </c>
      <c r="D43" s="272">
        <v>17500</v>
      </c>
      <c r="E43" s="273">
        <f>D43/'- 3 -'!$D43*100</f>
        <v>0.13109770052385891</v>
      </c>
    </row>
    <row r="44" spans="1:5" ht="14.1" customHeight="1">
      <c r="A44" s="15" t="s">
        <v>140</v>
      </c>
      <c r="B44" s="16">
        <v>97950</v>
      </c>
      <c r="C44" s="267">
        <f>B44/'- 3 -'!$D44*100</f>
        <v>0.8742563242783169</v>
      </c>
      <c r="D44" s="16">
        <v>37500</v>
      </c>
      <c r="E44" s="267">
        <f>D44/'- 3 -'!$D44*100</f>
        <v>0.33470762797791609</v>
      </c>
    </row>
    <row r="45" spans="1:5" ht="14.1" customHeight="1">
      <c r="A45" s="271" t="s">
        <v>141</v>
      </c>
      <c r="B45" s="272">
        <v>52200</v>
      </c>
      <c r="C45" s="273">
        <f>B45/'- 3 -'!$D45*100</f>
        <v>0.2661418200419372</v>
      </c>
      <c r="D45" s="272">
        <v>45000</v>
      </c>
      <c r="E45" s="273">
        <f>D45/'- 3 -'!$D45*100</f>
        <v>0.22943260348442865</v>
      </c>
    </row>
    <row r="46" spans="1:5" ht="14.1" customHeight="1">
      <c r="A46" s="15" t="s">
        <v>142</v>
      </c>
      <c r="B46" s="16">
        <v>2267600</v>
      </c>
      <c r="C46" s="267">
        <f>B46/'- 3 -'!$D46*100</f>
        <v>0.57883677191033489</v>
      </c>
      <c r="D46" s="16">
        <v>1172600</v>
      </c>
      <c r="E46" s="267">
        <f>D46/'- 3 -'!$D46*100</f>
        <v>0.2993226313027248</v>
      </c>
    </row>
    <row r="47" spans="1:5" ht="5.0999999999999996" customHeight="1">
      <c r="A47"/>
      <c r="B47" s="508"/>
      <c r="C47"/>
      <c r="D47" s="508"/>
      <c r="E47"/>
    </row>
    <row r="48" spans="1:5" ht="14.1" customHeight="1">
      <c r="A48" s="274" t="s">
        <v>143</v>
      </c>
      <c r="B48" s="275">
        <f>SUM(B11:B46)</f>
        <v>11533822</v>
      </c>
      <c r="C48" s="276">
        <f>B48/'- 3 -'!$D48*100</f>
        <v>0.49902362254332583</v>
      </c>
      <c r="D48" s="275">
        <f>SUM(D11:D46)</f>
        <v>7638417</v>
      </c>
      <c r="E48" s="276">
        <f>D48/'- 3 -'!$D48*100</f>
        <v>0.33048459754594128</v>
      </c>
    </row>
    <row r="49" spans="1:5" ht="5.0999999999999996" customHeight="1">
      <c r="A49" s="17" t="s">
        <v>1</v>
      </c>
      <c r="B49" s="18"/>
      <c r="C49" s="266"/>
      <c r="D49" s="18"/>
      <c r="E49" s="266"/>
    </row>
    <row r="50" spans="1:5" ht="14.1" customHeight="1">
      <c r="A50" s="15" t="s">
        <v>144</v>
      </c>
      <c r="B50" s="16">
        <v>0</v>
      </c>
      <c r="C50" s="267">
        <f>B50/'- 3 -'!$D50*100</f>
        <v>0</v>
      </c>
      <c r="D50" s="16">
        <v>12000</v>
      </c>
      <c r="E50" s="267">
        <f>D50/'- 3 -'!$D50*100</f>
        <v>0.34724171437864276</v>
      </c>
    </row>
    <row r="51" spans="1:5" ht="14.1" customHeight="1">
      <c r="A51" s="360" t="s">
        <v>523</v>
      </c>
      <c r="B51" s="272">
        <v>0</v>
      </c>
      <c r="C51" s="273">
        <f>B51/'- 3 -'!$D51*100</f>
        <v>0</v>
      </c>
      <c r="D51" s="272">
        <v>48600</v>
      </c>
      <c r="E51" s="273">
        <f>D51/'- 3 -'!$D51*100</f>
        <v>0.16439745744110079</v>
      </c>
    </row>
    <row r="52" spans="1:5" ht="50.1" customHeight="1"/>
    <row r="53" spans="1:5" ht="15" customHeight="1"/>
    <row r="54" spans="1:5" ht="14.45" customHeight="1"/>
    <row r="55" spans="1:5" ht="14.45" customHeight="1"/>
    <row r="56" spans="1:5" ht="14.45" customHeight="1"/>
    <row r="57" spans="1:5" ht="14.45" customHeight="1"/>
    <row r="58" spans="1:5" ht="14.45" customHeight="1"/>
    <row r="59" spans="1:5" ht="14.45" customHeight="1"/>
  </sheetData>
  <mergeCells count="3">
    <mergeCell ref="B6:E6"/>
    <mergeCell ref="B8:C8"/>
    <mergeCell ref="D8:E8"/>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9.xml><?xml version="1.0" encoding="utf-8"?>
<worksheet xmlns="http://schemas.openxmlformats.org/spreadsheetml/2006/main" xmlns:r="http://schemas.openxmlformats.org/officeDocument/2006/relationships">
  <sheetPr codeName="Sheet31">
    <pageSetUpPr fitToPage="1"/>
  </sheetPr>
  <dimension ref="A1:F59"/>
  <sheetViews>
    <sheetView showGridLines="0" showZeros="0" workbookViewId="0"/>
  </sheetViews>
  <sheetFormatPr defaultColWidth="15.83203125" defaultRowHeight="12"/>
  <cols>
    <col min="1" max="1" width="36.83203125" style="1" customWidth="1"/>
    <col min="2" max="2" width="18.83203125" style="1" customWidth="1"/>
    <col min="3" max="3" width="11.6640625" style="1" customWidth="1"/>
    <col min="4" max="4" width="18.83203125" style="1" customWidth="1"/>
    <col min="5" max="5" width="11.6640625" style="1" customWidth="1"/>
    <col min="6" max="6" width="26.83203125" style="1" customWidth="1"/>
    <col min="7" max="16384" width="15.83203125" style="1"/>
  </cols>
  <sheetData>
    <row r="1" spans="1:6" ht="6.95" customHeight="1">
      <c r="A1" s="3"/>
      <c r="B1" s="4"/>
      <c r="C1" s="4"/>
      <c r="D1" s="4"/>
      <c r="E1" s="4"/>
      <c r="F1" s="4"/>
    </row>
    <row r="2" spans="1:6" ht="15.95" customHeight="1">
      <c r="A2" s="132"/>
      <c r="B2" s="5" t="str">
        <f>AEXP_BP</f>
        <v>ANALYSIS OF EXPENSE BY PROGRAM</v>
      </c>
      <c r="C2" s="6"/>
      <c r="D2" s="6"/>
      <c r="E2" s="6"/>
      <c r="F2" s="503" t="s">
        <v>548</v>
      </c>
    </row>
    <row r="3" spans="1:6" ht="15.95" customHeight="1">
      <c r="A3" s="135"/>
      <c r="B3" s="7" t="str">
        <f>OPYEAR</f>
        <v>OPERATING FUND 2016/2017 BUDGET</v>
      </c>
      <c r="C3" s="8"/>
      <c r="D3" s="8"/>
      <c r="E3" s="8"/>
      <c r="F3" s="81"/>
    </row>
    <row r="4" spans="1:6" ht="15.95" customHeight="1">
      <c r="B4" s="4"/>
      <c r="C4" s="4"/>
      <c r="D4" s="4"/>
      <c r="E4" s="4"/>
      <c r="F4" s="4"/>
    </row>
    <row r="5" spans="1:6" ht="15.95" customHeight="1">
      <c r="B5" s="4"/>
      <c r="C5" s="4"/>
      <c r="D5" s="4"/>
      <c r="E5" s="4"/>
      <c r="F5" s="4"/>
    </row>
    <row r="6" spans="1:6" ht="15.95" customHeight="1">
      <c r="B6" s="666" t="s">
        <v>10</v>
      </c>
      <c r="C6" s="667"/>
      <c r="D6" s="667"/>
      <c r="E6" s="668"/>
    </row>
    <row r="7" spans="1:6" ht="15.95" customHeight="1">
      <c r="B7" s="314"/>
      <c r="C7" s="270"/>
      <c r="D7" s="618" t="s">
        <v>435</v>
      </c>
      <c r="E7" s="619"/>
    </row>
    <row r="8" spans="1:6" ht="15.95" customHeight="1">
      <c r="A8" s="82"/>
      <c r="B8" s="612" t="s">
        <v>32</v>
      </c>
      <c r="C8" s="613"/>
      <c r="D8" s="620"/>
      <c r="E8" s="621"/>
    </row>
    <row r="9" spans="1:6" ht="15.95" customHeight="1">
      <c r="A9" s="27" t="s">
        <v>37</v>
      </c>
      <c r="B9" s="151" t="s">
        <v>38</v>
      </c>
      <c r="C9" s="151" t="s">
        <v>39</v>
      </c>
      <c r="D9" s="154" t="s">
        <v>38</v>
      </c>
      <c r="E9" s="151" t="s">
        <v>39</v>
      </c>
    </row>
    <row r="10" spans="1:6" ht="5.0999999999999996" customHeight="1">
      <c r="A10" s="29"/>
    </row>
    <row r="11" spans="1:6" ht="14.1" customHeight="1">
      <c r="A11" s="271" t="s">
        <v>108</v>
      </c>
      <c r="B11" s="272">
        <v>14000</v>
      </c>
      <c r="C11" s="273">
        <f>B11/'- 3 -'!$D11*100</f>
        <v>7.1566563447234582E-2</v>
      </c>
      <c r="D11" s="272">
        <v>320000</v>
      </c>
      <c r="E11" s="273">
        <f>D11/'- 3 -'!$D11*100</f>
        <v>1.6358071645082191</v>
      </c>
    </row>
    <row r="12" spans="1:6" ht="14.1" customHeight="1">
      <c r="A12" s="15" t="s">
        <v>109</v>
      </c>
      <c r="B12" s="16">
        <v>10000</v>
      </c>
      <c r="C12" s="267">
        <f>B12/'- 3 -'!$D12*100</f>
        <v>2.8637239402195338E-2</v>
      </c>
      <c r="D12" s="16">
        <v>511593</v>
      </c>
      <c r="E12" s="267">
        <f>D12/'- 3 -'!$D12*100</f>
        <v>1.4650611217487319</v>
      </c>
    </row>
    <row r="13" spans="1:6" ht="14.1" customHeight="1">
      <c r="A13" s="271" t="s">
        <v>110</v>
      </c>
      <c r="B13" s="272">
        <v>22000</v>
      </c>
      <c r="C13" s="273">
        <f>B13/'- 3 -'!$D13*100</f>
        <v>2.245617473353707E-2</v>
      </c>
      <c r="D13" s="272">
        <v>1690500</v>
      </c>
      <c r="E13" s="273">
        <f>D13/'- 3 -'!$D13*100</f>
        <v>1.725552881229292</v>
      </c>
    </row>
    <row r="14" spans="1:6" ht="14.1" customHeight="1">
      <c r="A14" s="15" t="s">
        <v>319</v>
      </c>
      <c r="B14" s="16">
        <v>105390</v>
      </c>
      <c r="C14" s="267">
        <f>B14/'- 3 -'!$D14*100</f>
        <v>0.12224128508891199</v>
      </c>
      <c r="D14" s="16">
        <v>1233832</v>
      </c>
      <c r="E14" s="267">
        <f>D14/'- 3 -'!$D14*100</f>
        <v>1.4311149944380157</v>
      </c>
    </row>
    <row r="15" spans="1:6" ht="14.1" customHeight="1">
      <c r="A15" s="271" t="s">
        <v>111</v>
      </c>
      <c r="B15" s="272">
        <v>15000</v>
      </c>
      <c r="C15" s="273">
        <f>B15/'- 3 -'!$D15*100</f>
        <v>7.3494991610301721E-2</v>
      </c>
      <c r="D15" s="272">
        <v>310000</v>
      </c>
      <c r="E15" s="273">
        <f>D15/'- 3 -'!$D15*100</f>
        <v>1.518896493279569</v>
      </c>
    </row>
    <row r="16" spans="1:6" ht="14.1" customHeight="1">
      <c r="A16" s="15" t="s">
        <v>112</v>
      </c>
      <c r="B16" s="16">
        <v>17500</v>
      </c>
      <c r="C16" s="267">
        <f>B16/'- 3 -'!$D16*100</f>
        <v>0.11970804098064554</v>
      </c>
      <c r="D16" s="16">
        <v>207112</v>
      </c>
      <c r="E16" s="267">
        <f>D16/'- 3 -'!$D16*100</f>
        <v>1.4167412447761976</v>
      </c>
    </row>
    <row r="17" spans="1:5" ht="14.1" customHeight="1">
      <c r="A17" s="271" t="s">
        <v>113</v>
      </c>
      <c r="B17" s="272">
        <v>76000</v>
      </c>
      <c r="C17" s="273">
        <f>B17/'- 3 -'!$D17*100</f>
        <v>0.41720228211844124</v>
      </c>
      <c r="D17" s="272">
        <v>298000</v>
      </c>
      <c r="E17" s="273">
        <f>D17/'- 3 -'!$D17*100</f>
        <v>1.6358721062012562</v>
      </c>
    </row>
    <row r="18" spans="1:5" ht="14.1" customHeight="1">
      <c r="A18" s="15" t="s">
        <v>114</v>
      </c>
      <c r="B18" s="16">
        <v>150000</v>
      </c>
      <c r="C18" s="267">
        <f>B18/'- 3 -'!$D18*100</f>
        <v>0.11368906196170597</v>
      </c>
      <c r="D18" s="16">
        <v>1840000</v>
      </c>
      <c r="E18" s="267">
        <f>D18/'- 3 -'!$D18*100</f>
        <v>1.39458582673026</v>
      </c>
    </row>
    <row r="19" spans="1:5" ht="14.1" customHeight="1">
      <c r="A19" s="271" t="s">
        <v>115</v>
      </c>
      <c r="B19" s="272">
        <v>28000</v>
      </c>
      <c r="C19" s="273">
        <f>B19/'- 3 -'!$D19*100</f>
        <v>6.0281921322619794E-2</v>
      </c>
      <c r="D19" s="272">
        <v>755000</v>
      </c>
      <c r="E19" s="273">
        <f>D19/'- 3 -'!$D19*100</f>
        <v>1.6254589499492125</v>
      </c>
    </row>
    <row r="20" spans="1:5" ht="14.1" customHeight="1">
      <c r="A20" s="15" t="s">
        <v>116</v>
      </c>
      <c r="B20" s="16">
        <v>145900</v>
      </c>
      <c r="C20" s="267">
        <f>B20/'- 3 -'!$D20*100</f>
        <v>0.17729979341353749</v>
      </c>
      <c r="D20" s="16">
        <v>1369300</v>
      </c>
      <c r="E20" s="267">
        <f>D20/'- 3 -'!$D20*100</f>
        <v>1.663993194798882</v>
      </c>
    </row>
    <row r="21" spans="1:5" ht="14.1" customHeight="1">
      <c r="A21" s="271" t="s">
        <v>117</v>
      </c>
      <c r="B21" s="272">
        <v>58000</v>
      </c>
      <c r="C21" s="273">
        <f>B21/'- 3 -'!$D21*100</f>
        <v>0.15946470448097194</v>
      </c>
      <c r="D21" s="272">
        <v>615000</v>
      </c>
      <c r="E21" s="273">
        <f>D21/'- 3 -'!$D21*100</f>
        <v>1.6908757457896162</v>
      </c>
    </row>
    <row r="22" spans="1:5" ht="14.1" customHeight="1">
      <c r="A22" s="15" t="s">
        <v>118</v>
      </c>
      <c r="B22" s="16">
        <v>15000</v>
      </c>
      <c r="C22" s="267">
        <f>B22/'- 3 -'!$D22*100</f>
        <v>7.2562754931098761E-2</v>
      </c>
      <c r="D22" s="16">
        <v>345000</v>
      </c>
      <c r="E22" s="267">
        <f>D22/'- 3 -'!$D22*100</f>
        <v>1.6689433634152717</v>
      </c>
    </row>
    <row r="23" spans="1:5" ht="14.1" customHeight="1">
      <c r="A23" s="271" t="s">
        <v>119</v>
      </c>
      <c r="B23" s="272">
        <v>5000</v>
      </c>
      <c r="C23" s="273">
        <f>B23/'- 3 -'!$D23*100</f>
        <v>2.9774752213023347E-2</v>
      </c>
      <c r="D23" s="272">
        <v>250000</v>
      </c>
      <c r="E23" s="273">
        <f>D23/'- 3 -'!$D23*100</f>
        <v>1.4887376106511674</v>
      </c>
    </row>
    <row r="24" spans="1:5" ht="14.1" customHeight="1">
      <c r="A24" s="15" t="s">
        <v>120</v>
      </c>
      <c r="B24" s="16">
        <v>60000</v>
      </c>
      <c r="C24" s="267">
        <f>B24/'- 3 -'!$D24*100</f>
        <v>0.10325746852234793</v>
      </c>
      <c r="D24" s="16">
        <v>940000</v>
      </c>
      <c r="E24" s="267">
        <f>D24/'- 3 -'!$D24*100</f>
        <v>1.6177003401834509</v>
      </c>
    </row>
    <row r="25" spans="1:5" ht="14.1" customHeight="1">
      <c r="A25" s="271" t="s">
        <v>121</v>
      </c>
      <c r="B25" s="272">
        <v>108000</v>
      </c>
      <c r="C25" s="273">
        <f>B25/'- 3 -'!$D25*100</f>
        <v>6.1819075405631731E-2</v>
      </c>
      <c r="D25" s="272">
        <v>3062724</v>
      </c>
      <c r="E25" s="273">
        <f>D25/'- 3 -'!$D25*100</f>
        <v>1.7530996842836857</v>
      </c>
    </row>
    <row r="26" spans="1:5" ht="14.1" customHeight="1">
      <c r="A26" s="15" t="s">
        <v>122</v>
      </c>
      <c r="B26" s="16">
        <v>135000</v>
      </c>
      <c r="C26" s="267">
        <f>B26/'- 3 -'!$D26*100</f>
        <v>0.33072674114583883</v>
      </c>
      <c r="D26" s="16">
        <v>647902</v>
      </c>
      <c r="E26" s="267">
        <f>D26/'- 3 -'!$D26*100</f>
        <v>1.5872482743842316</v>
      </c>
    </row>
    <row r="27" spans="1:5" ht="14.1" customHeight="1">
      <c r="A27" s="271" t="s">
        <v>123</v>
      </c>
      <c r="B27" s="272">
        <v>7000</v>
      </c>
      <c r="C27" s="273">
        <f>B27/'- 3 -'!$D27*100</f>
        <v>1.5994150710597267E-2</v>
      </c>
      <c r="D27" s="272">
        <v>706364</v>
      </c>
      <c r="E27" s="273">
        <f>D27/'- 3 -'!$D27*100</f>
        <v>1.6139560389343326</v>
      </c>
    </row>
    <row r="28" spans="1:5" ht="14.1" customHeight="1">
      <c r="A28" s="15" t="s">
        <v>124</v>
      </c>
      <c r="B28" s="16">
        <v>42000</v>
      </c>
      <c r="C28" s="267">
        <f>B28/'- 3 -'!$D28*100</f>
        <v>0.14648943816382604</v>
      </c>
      <c r="D28" s="16">
        <v>436000</v>
      </c>
      <c r="E28" s="267">
        <f>D28/'- 3 -'!$D28*100</f>
        <v>1.5206998818911466</v>
      </c>
    </row>
    <row r="29" spans="1:5" ht="14.1" customHeight="1">
      <c r="A29" s="271" t="s">
        <v>125</v>
      </c>
      <c r="B29" s="272">
        <v>120000</v>
      </c>
      <c r="C29" s="273">
        <f>B29/'- 3 -'!$D29*100</f>
        <v>7.5791740894413401E-2</v>
      </c>
      <c r="D29" s="272">
        <v>2632000</v>
      </c>
      <c r="E29" s="273">
        <f>D29/'- 3 -'!$D29*100</f>
        <v>1.6623655169508007</v>
      </c>
    </row>
    <row r="30" spans="1:5" ht="14.1" customHeight="1">
      <c r="A30" s="15" t="s">
        <v>126</v>
      </c>
      <c r="B30" s="16">
        <v>6000</v>
      </c>
      <c r="C30" s="267">
        <f>B30/'- 3 -'!$D30*100</f>
        <v>4.0789111591395345E-2</v>
      </c>
      <c r="D30" s="16">
        <v>229160</v>
      </c>
      <c r="E30" s="267">
        <f>D30/'- 3 -'!$D30*100</f>
        <v>1.557872135380693</v>
      </c>
    </row>
    <row r="31" spans="1:5" ht="14.1" customHeight="1">
      <c r="A31" s="271" t="s">
        <v>127</v>
      </c>
      <c r="B31" s="272">
        <v>35000</v>
      </c>
      <c r="C31" s="273">
        <f>B31/'- 3 -'!$D31*100</f>
        <v>9.290454541062694E-2</v>
      </c>
      <c r="D31" s="272">
        <v>630435</v>
      </c>
      <c r="E31" s="273">
        <f>D31/'- 3 -'!$D31*100</f>
        <v>1.6734364881699599</v>
      </c>
    </row>
    <row r="32" spans="1:5" ht="14.1" customHeight="1">
      <c r="A32" s="15" t="s">
        <v>128</v>
      </c>
      <c r="B32" s="16">
        <v>40000</v>
      </c>
      <c r="C32" s="267">
        <f>B32/'- 3 -'!$D32*100</f>
        <v>0.13213167502795906</v>
      </c>
      <c r="D32" s="16">
        <v>484000</v>
      </c>
      <c r="E32" s="267">
        <f>D32/'- 3 -'!$D32*100</f>
        <v>1.5987932678383048</v>
      </c>
    </row>
    <row r="33" spans="1:5" ht="14.1" customHeight="1">
      <c r="A33" s="271" t="s">
        <v>129</v>
      </c>
      <c r="B33" s="272">
        <v>22000</v>
      </c>
      <c r="C33" s="273">
        <f>B33/'- 3 -'!$D33*100</f>
        <v>7.8765106341844138E-2</v>
      </c>
      <c r="D33" s="272">
        <v>400000</v>
      </c>
      <c r="E33" s="273">
        <f>D33/'- 3 -'!$D33*100</f>
        <v>1.4320928425789845</v>
      </c>
    </row>
    <row r="34" spans="1:5" ht="14.1" customHeight="1">
      <c r="A34" s="15" t="s">
        <v>130</v>
      </c>
      <c r="B34" s="16">
        <v>55000</v>
      </c>
      <c r="C34" s="267">
        <f>B34/'- 3 -'!$D34*100</f>
        <v>0.18609211167042505</v>
      </c>
      <c r="D34" s="16">
        <v>464968</v>
      </c>
      <c r="E34" s="267">
        <f>D34/'- 3 -'!$D34*100</f>
        <v>1.5732159450758942</v>
      </c>
    </row>
    <row r="35" spans="1:5" ht="14.1" customHeight="1">
      <c r="A35" s="271" t="s">
        <v>131</v>
      </c>
      <c r="B35" s="272">
        <v>34000</v>
      </c>
      <c r="C35" s="273">
        <f>B35/'- 3 -'!$D35*100</f>
        <v>1.8780009799740528E-2</v>
      </c>
      <c r="D35" s="272">
        <v>3125000</v>
      </c>
      <c r="E35" s="273">
        <f>D35/'- 3 -'!$D35*100</f>
        <v>1.726103841887916</v>
      </c>
    </row>
    <row r="36" spans="1:5" ht="14.1" customHeight="1">
      <c r="A36" s="15" t="s">
        <v>132</v>
      </c>
      <c r="B36" s="16">
        <v>50000</v>
      </c>
      <c r="C36" s="267">
        <f>B36/'- 3 -'!$D36*100</f>
        <v>0.21126235383021816</v>
      </c>
      <c r="D36" s="16">
        <v>378355</v>
      </c>
      <c r="E36" s="267">
        <f>D36/'- 3 -'!$D36*100</f>
        <v>1.5986433576686438</v>
      </c>
    </row>
    <row r="37" spans="1:5" ht="14.1" customHeight="1">
      <c r="A37" s="271" t="s">
        <v>133</v>
      </c>
      <c r="B37" s="272">
        <v>35000</v>
      </c>
      <c r="C37" s="273">
        <f>B37/'- 3 -'!$D37*100</f>
        <v>7.0008260974795025E-2</v>
      </c>
      <c r="D37" s="272">
        <v>750000</v>
      </c>
      <c r="E37" s="273">
        <f>D37/'- 3 -'!$D37*100</f>
        <v>1.5001770208884648</v>
      </c>
    </row>
    <row r="38" spans="1:5" ht="14.1" customHeight="1">
      <c r="A38" s="15" t="s">
        <v>134</v>
      </c>
      <c r="B38" s="16">
        <v>250000</v>
      </c>
      <c r="C38" s="267">
        <f>B38/'- 3 -'!$D38*100</f>
        <v>0.18342575851595355</v>
      </c>
      <c r="D38" s="16">
        <v>2210750</v>
      </c>
      <c r="E38" s="267">
        <f>D38/'- 3 -'!$D38*100</f>
        <v>1.6220339825565773</v>
      </c>
    </row>
    <row r="39" spans="1:5" ht="14.1" customHeight="1">
      <c r="A39" s="271" t="s">
        <v>135</v>
      </c>
      <c r="B39" s="272">
        <v>130000</v>
      </c>
      <c r="C39" s="273">
        <f>B39/'- 3 -'!$D39*100</f>
        <v>0.56771833868669896</v>
      </c>
      <c r="D39" s="272">
        <v>315000</v>
      </c>
      <c r="E39" s="273">
        <f>D39/'- 3 -'!$D39*100</f>
        <v>1.375625205279309</v>
      </c>
    </row>
    <row r="40" spans="1:5" ht="14.1" customHeight="1">
      <c r="A40" s="15" t="s">
        <v>136</v>
      </c>
      <c r="B40" s="16">
        <v>35800</v>
      </c>
      <c r="C40" s="267">
        <f>B40/'- 3 -'!$D40*100</f>
        <v>3.3949897613557385E-2</v>
      </c>
      <c r="D40" s="16">
        <v>1741008</v>
      </c>
      <c r="E40" s="267">
        <f>D40/'- 3 -'!$D40*100</f>
        <v>1.6510347302900643</v>
      </c>
    </row>
    <row r="41" spans="1:5" ht="14.1" customHeight="1">
      <c r="A41" s="271" t="s">
        <v>137</v>
      </c>
      <c r="B41" s="272">
        <v>136000</v>
      </c>
      <c r="C41" s="273">
        <f>B41/'- 3 -'!$D41*100</f>
        <v>0.21270579285458682</v>
      </c>
      <c r="D41" s="272">
        <v>1062000</v>
      </c>
      <c r="E41" s="273">
        <f>D41/'- 3 -'!$D41*100</f>
        <v>1.6609820000850823</v>
      </c>
    </row>
    <row r="42" spans="1:5" ht="14.1" customHeight="1">
      <c r="A42" s="15" t="s">
        <v>138</v>
      </c>
      <c r="B42" s="16">
        <v>2000</v>
      </c>
      <c r="C42" s="267">
        <f>B42/'- 3 -'!$D42*100</f>
        <v>9.4727603671073551E-3</v>
      </c>
      <c r="D42" s="16">
        <v>331000</v>
      </c>
      <c r="E42" s="267">
        <f>D42/'- 3 -'!$D42*100</f>
        <v>1.5677418407562673</v>
      </c>
    </row>
    <row r="43" spans="1:5" ht="14.1" customHeight="1">
      <c r="A43" s="271" t="s">
        <v>139</v>
      </c>
      <c r="B43" s="272">
        <v>26000</v>
      </c>
      <c r="C43" s="273">
        <f>B43/'- 3 -'!$D43*100</f>
        <v>0.19477372649259039</v>
      </c>
      <c r="D43" s="272">
        <v>205000</v>
      </c>
      <c r="E43" s="273">
        <f>D43/'- 3 -'!$D43*100</f>
        <v>1.5357159204223474</v>
      </c>
    </row>
    <row r="44" spans="1:5" ht="14.1" customHeight="1">
      <c r="A44" s="15" t="s">
        <v>140</v>
      </c>
      <c r="B44" s="16">
        <v>5250</v>
      </c>
      <c r="C44" s="267">
        <f>B44/'- 3 -'!$D44*100</f>
        <v>4.6859067916908255E-2</v>
      </c>
      <c r="D44" s="16">
        <v>171241</v>
      </c>
      <c r="E44" s="267">
        <f>D44/'- 3 -'!$D44*100</f>
        <v>1.5284178379351021</v>
      </c>
    </row>
    <row r="45" spans="1:5" ht="14.1" customHeight="1">
      <c r="A45" s="271" t="s">
        <v>141</v>
      </c>
      <c r="B45" s="272">
        <v>25000</v>
      </c>
      <c r="C45" s="273">
        <f>B45/'- 3 -'!$D45*100</f>
        <v>0.12746255749134924</v>
      </c>
      <c r="D45" s="272">
        <v>322749</v>
      </c>
      <c r="E45" s="273">
        <f>D45/'- 3 -'!$D45*100</f>
        <v>1.6455365187110191</v>
      </c>
    </row>
    <row r="46" spans="1:5" ht="14.1" customHeight="1">
      <c r="A46" s="15" t="s">
        <v>142</v>
      </c>
      <c r="B46" s="16">
        <v>570300</v>
      </c>
      <c r="C46" s="267">
        <f>B46/'- 3 -'!$D46*100</f>
        <v>0.14557709076577174</v>
      </c>
      <c r="D46" s="16">
        <v>6549700</v>
      </c>
      <c r="E46" s="267">
        <f>D46/'- 3 -'!$D46*100</f>
        <v>1.6719029833220675</v>
      </c>
    </row>
    <row r="47" spans="1:5" ht="5.0999999999999996" customHeight="1">
      <c r="A47"/>
      <c r="B47" s="508"/>
      <c r="C47"/>
      <c r="D47"/>
      <c r="E47"/>
    </row>
    <row r="48" spans="1:5" ht="14.1" customHeight="1">
      <c r="A48" s="274" t="s">
        <v>143</v>
      </c>
      <c r="B48" s="275">
        <f>SUM(B11:B46)</f>
        <v>2591140</v>
      </c>
      <c r="C48" s="276">
        <f>B48/'- 3 -'!$D48*100</f>
        <v>0.11210855077500878</v>
      </c>
      <c r="D48" s="275">
        <f>SUM(D11:D46)</f>
        <v>37540693</v>
      </c>
      <c r="E48" s="276">
        <f>D48/'- 3 -'!$D48*100</f>
        <v>1.6242397891736906</v>
      </c>
    </row>
    <row r="49" spans="1:5" ht="5.0999999999999996" customHeight="1">
      <c r="A49" s="17" t="s">
        <v>1</v>
      </c>
      <c r="B49" s="18"/>
      <c r="C49" s="266"/>
      <c r="D49" s="18"/>
      <c r="E49" s="266"/>
    </row>
    <row r="50" spans="1:5" ht="14.1" customHeight="1">
      <c r="A50" s="15" t="s">
        <v>144</v>
      </c>
      <c r="B50" s="16">
        <v>0</v>
      </c>
      <c r="C50" s="267">
        <f>B50/'- 3 -'!$D50*100</f>
        <v>0</v>
      </c>
      <c r="D50" s="16">
        <v>44500</v>
      </c>
      <c r="E50" s="267">
        <f>D50/'- 3 -'!$D50*100</f>
        <v>1.2876880241541335</v>
      </c>
    </row>
    <row r="51" spans="1:5" ht="14.1" customHeight="1">
      <c r="A51" s="360" t="s">
        <v>523</v>
      </c>
      <c r="B51" s="272">
        <v>90000</v>
      </c>
      <c r="C51" s="273">
        <f>B51/'- 3 -'!$D51*100</f>
        <v>0.30443973600203855</v>
      </c>
      <c r="D51" s="272">
        <v>366358</v>
      </c>
      <c r="E51" s="273">
        <f>D51/'- 3 -'!$D51*100</f>
        <v>1.2392659200248315</v>
      </c>
    </row>
    <row r="52" spans="1:5" ht="50.1" customHeight="1"/>
    <row r="53" spans="1:5" ht="15" customHeight="1">
      <c r="C53" s="90"/>
    </row>
    <row r="54" spans="1:5" ht="14.45" customHeight="1">
      <c r="C54" s="90"/>
    </row>
    <row r="55" spans="1:5" ht="14.45" customHeight="1"/>
    <row r="56" spans="1:5" ht="14.45" customHeight="1"/>
    <row r="57" spans="1:5" ht="14.45" customHeight="1"/>
    <row r="58" spans="1:5" ht="14.45" customHeight="1"/>
    <row r="59" spans="1:5" ht="14.45" customHeight="1"/>
  </sheetData>
  <mergeCells count="3">
    <mergeCell ref="B6:E6"/>
    <mergeCell ref="B8:C8"/>
    <mergeCell ref="D7:E8"/>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3.xml><?xml version="1.0" encoding="utf-8"?>
<worksheet xmlns="http://schemas.openxmlformats.org/spreadsheetml/2006/main" xmlns:r="http://schemas.openxmlformats.org/officeDocument/2006/relationships">
  <sheetPr codeName="Sheet2">
    <pageSetUpPr fitToPage="1"/>
  </sheetPr>
  <dimension ref="A1:BB59"/>
  <sheetViews>
    <sheetView showGridLines="0" showZeros="0" workbookViewId="0"/>
  </sheetViews>
  <sheetFormatPr defaultColWidth="15.83203125" defaultRowHeight="12"/>
  <cols>
    <col min="1" max="1" width="40.83203125" style="1" customWidth="1"/>
    <col min="2" max="2" width="27.83203125" style="1" customWidth="1"/>
    <col min="3" max="3" width="18.83203125" style="1" customWidth="1"/>
    <col min="4" max="4" width="27.83203125" style="1" customWidth="1"/>
    <col min="5" max="5" width="18.83203125" style="1" customWidth="1"/>
    <col min="6" max="16384" width="15.83203125" style="1"/>
  </cols>
  <sheetData>
    <row r="1" spans="1:54" ht="6.95" customHeight="1">
      <c r="A1" s="3"/>
      <c r="B1" s="4"/>
      <c r="C1" s="4"/>
      <c r="D1" s="4"/>
      <c r="E1" s="4"/>
    </row>
    <row r="2" spans="1:54" ht="15.95" customHeight="1">
      <c r="A2" s="544" t="str">
        <f>IF(Lang=1,BA2,BB2)</f>
        <v>OPERATING FUND EXPENSE PER PUPIL</v>
      </c>
      <c r="B2" s="544"/>
      <c r="C2" s="544"/>
      <c r="D2" s="544"/>
      <c r="E2" s="544"/>
      <c r="BA2" s="459" t="s">
        <v>252</v>
      </c>
      <c r="BB2" s="460" t="s">
        <v>375</v>
      </c>
    </row>
    <row r="3" spans="1:54" ht="15.95" customHeight="1">
      <c r="A3" s="545"/>
      <c r="B3" s="545"/>
      <c r="C3" s="545"/>
      <c r="D3" s="545"/>
      <c r="E3" s="545"/>
    </row>
    <row r="4" spans="1:54" ht="15.95" customHeight="1">
      <c r="B4" s="4"/>
      <c r="C4" s="22"/>
      <c r="D4" s="23"/>
      <c r="E4" s="22"/>
    </row>
    <row r="5" spans="1:54" ht="15.95" customHeight="1">
      <c r="B5" s="4"/>
      <c r="C5" s="4"/>
      <c r="D5" s="4"/>
      <c r="E5" s="4"/>
    </row>
    <row r="6" spans="1:54" ht="15.95" customHeight="1">
      <c r="B6" s="4"/>
      <c r="C6" s="4"/>
      <c r="D6" s="4"/>
      <c r="E6" s="4"/>
    </row>
    <row r="7" spans="1:54" ht="15.95" customHeight="1">
      <c r="B7" s="283" t="s">
        <v>521</v>
      </c>
      <c r="C7" s="294"/>
      <c r="D7" s="283" t="s">
        <v>574</v>
      </c>
      <c r="E7" s="297"/>
    </row>
    <row r="8" spans="1:54" ht="15.95" customHeight="1">
      <c r="A8" s="24"/>
      <c r="B8" s="25"/>
      <c r="C8" s="26"/>
      <c r="D8" s="25"/>
      <c r="E8" s="26"/>
    </row>
    <row r="9" spans="1:54" ht="15.95" customHeight="1">
      <c r="A9" s="27" t="s">
        <v>37</v>
      </c>
      <c r="B9" s="28" t="s">
        <v>253</v>
      </c>
      <c r="C9" s="28" t="s">
        <v>40</v>
      </c>
      <c r="D9" s="28" t="s">
        <v>253</v>
      </c>
      <c r="E9" s="28" t="s">
        <v>40</v>
      </c>
    </row>
    <row r="10" spans="1:54" ht="5.0999999999999996" customHeight="1">
      <c r="A10" s="29"/>
    </row>
    <row r="11" spans="1:54" ht="14.1" customHeight="1">
      <c r="A11" s="271" t="s">
        <v>108</v>
      </c>
      <c r="B11" s="272">
        <v>18386780</v>
      </c>
      <c r="C11" s="272">
        <v>11164</v>
      </c>
      <c r="D11" s="272">
        <f>'- 3 -'!F11</f>
        <v>19540108</v>
      </c>
      <c r="E11" s="272">
        <f>ROUND(D11/'- 7 -'!E11,0)</f>
        <v>11147</v>
      </c>
      <c r="F11" s="1" t="str">
        <f>IF(B11=D11,"Check","")</f>
        <v/>
      </c>
    </row>
    <row r="12" spans="1:54" ht="14.1" customHeight="1">
      <c r="A12" s="15" t="s">
        <v>109</v>
      </c>
      <c r="B12" s="30">
        <v>31397112</v>
      </c>
      <c r="C12" s="30">
        <v>14475</v>
      </c>
      <c r="D12" s="16">
        <f>'- 3 -'!F12</f>
        <v>34223699</v>
      </c>
      <c r="E12" s="16">
        <f>ROUND(D12/'- 7 -'!E12,0)</f>
        <v>15918</v>
      </c>
      <c r="F12" s="1" t="str">
        <f t="shared" ref="F12:F51" si="0">IF(B12=D12,"Check","")</f>
        <v/>
      </c>
      <c r="G12" s="79"/>
    </row>
    <row r="13" spans="1:54" ht="14.1" customHeight="1">
      <c r="A13" s="271" t="s">
        <v>110</v>
      </c>
      <c r="B13" s="272">
        <v>92513400</v>
      </c>
      <c r="C13" s="272">
        <v>11327</v>
      </c>
      <c r="D13" s="272">
        <f>'- 3 -'!F13</f>
        <v>97591400</v>
      </c>
      <c r="E13" s="272">
        <f>ROUND(D13/'- 7 -'!E13,0)</f>
        <v>11692</v>
      </c>
      <c r="F13" s="1" t="str">
        <f t="shared" si="0"/>
        <v/>
      </c>
      <c r="G13" s="79"/>
    </row>
    <row r="14" spans="1:54" ht="14.1" customHeight="1">
      <c r="A14" s="15" t="s">
        <v>319</v>
      </c>
      <c r="B14" s="16">
        <v>81205610</v>
      </c>
      <c r="C14" s="16">
        <v>15256</v>
      </c>
      <c r="D14" s="16">
        <f>'- 3 -'!F14</f>
        <v>84549549</v>
      </c>
      <c r="E14" s="16">
        <f>ROUND(D14/'- 7 -'!E14,0)</f>
        <v>15406</v>
      </c>
      <c r="F14" s="1" t="str">
        <f t="shared" si="0"/>
        <v/>
      </c>
    </row>
    <row r="15" spans="1:54" ht="14.1" customHeight="1">
      <c r="A15" s="271" t="s">
        <v>111</v>
      </c>
      <c r="B15" s="272">
        <v>20045027</v>
      </c>
      <c r="C15" s="272">
        <v>14052</v>
      </c>
      <c r="D15" s="272">
        <f>'- 3 -'!F15</f>
        <v>20334554</v>
      </c>
      <c r="E15" s="272">
        <f>ROUND(D15/'- 7 -'!E15,0)</f>
        <v>14848</v>
      </c>
      <c r="F15" s="1" t="str">
        <f t="shared" si="0"/>
        <v/>
      </c>
    </row>
    <row r="16" spans="1:54" ht="14.1" customHeight="1">
      <c r="A16" s="15" t="s">
        <v>112</v>
      </c>
      <c r="B16" s="30">
        <v>13962793</v>
      </c>
      <c r="C16" s="30">
        <v>14870</v>
      </c>
      <c r="D16" s="16">
        <f>'- 3 -'!F16</f>
        <v>14516231</v>
      </c>
      <c r="E16" s="16">
        <f>ROUND(D16/'- 7 -'!E16,0)</f>
        <v>15161</v>
      </c>
      <c r="F16" s="1" t="str">
        <f t="shared" si="0"/>
        <v/>
      </c>
    </row>
    <row r="17" spans="1:6" ht="14.1" customHeight="1">
      <c r="A17" s="271" t="s">
        <v>113</v>
      </c>
      <c r="B17" s="272">
        <v>17326855</v>
      </c>
      <c r="C17" s="272">
        <v>12754</v>
      </c>
      <c r="D17" s="272">
        <f>'- 3 -'!F17</f>
        <v>17835685</v>
      </c>
      <c r="E17" s="272">
        <f>ROUND(D17/'- 7 -'!E17,0)</f>
        <v>13119</v>
      </c>
      <c r="F17" s="1" t="str">
        <f t="shared" si="0"/>
        <v/>
      </c>
    </row>
    <row r="18" spans="1:6" ht="14.1" customHeight="1">
      <c r="A18" s="15" t="s">
        <v>114</v>
      </c>
      <c r="B18" s="16">
        <v>123454749</v>
      </c>
      <c r="C18" s="16">
        <v>19716</v>
      </c>
      <c r="D18" s="16">
        <f>'- 3 -'!F18</f>
        <v>127375742</v>
      </c>
      <c r="E18" s="16">
        <f>ROUND(D18/'- 7 -'!E18,0)</f>
        <v>20463</v>
      </c>
      <c r="F18" s="1" t="str">
        <f t="shared" si="0"/>
        <v/>
      </c>
    </row>
    <row r="19" spans="1:6" ht="14.1" customHeight="1">
      <c r="A19" s="271" t="s">
        <v>115</v>
      </c>
      <c r="B19" s="272">
        <v>44863120</v>
      </c>
      <c r="C19" s="272">
        <v>10687</v>
      </c>
      <c r="D19" s="272">
        <f>'- 3 -'!F19</f>
        <v>46376420</v>
      </c>
      <c r="E19" s="272">
        <f>ROUND(D19/'- 7 -'!E19,0)</f>
        <v>10995</v>
      </c>
      <c r="F19" s="1" t="str">
        <f t="shared" si="0"/>
        <v/>
      </c>
    </row>
    <row r="20" spans="1:6" ht="14.1" customHeight="1">
      <c r="A20" s="15" t="s">
        <v>116</v>
      </c>
      <c r="B20" s="30">
        <v>78636100</v>
      </c>
      <c r="C20" s="30">
        <v>10526</v>
      </c>
      <c r="D20" s="16">
        <f>'- 3 -'!F20</f>
        <v>82136800</v>
      </c>
      <c r="E20" s="16">
        <f>ROUND(D20/'- 7 -'!E20,0)</f>
        <v>10835</v>
      </c>
      <c r="F20" s="1" t="str">
        <f t="shared" si="0"/>
        <v/>
      </c>
    </row>
    <row r="21" spans="1:6" ht="14.1" customHeight="1">
      <c r="A21" s="271" t="s">
        <v>117</v>
      </c>
      <c r="B21" s="272">
        <v>35231983</v>
      </c>
      <c r="C21" s="272">
        <v>13063</v>
      </c>
      <c r="D21" s="272">
        <f>'- 3 -'!F21</f>
        <v>36114685</v>
      </c>
      <c r="E21" s="272">
        <f>ROUND(D21/'- 7 -'!E21,0)</f>
        <v>13346</v>
      </c>
      <c r="F21" s="1" t="str">
        <f t="shared" si="0"/>
        <v/>
      </c>
    </row>
    <row r="22" spans="1:6" ht="14.1" customHeight="1">
      <c r="A22" s="15" t="s">
        <v>118</v>
      </c>
      <c r="B22" s="16">
        <v>19941839</v>
      </c>
      <c r="C22" s="16">
        <v>12716</v>
      </c>
      <c r="D22" s="16">
        <f>'- 3 -'!F22</f>
        <v>19976917</v>
      </c>
      <c r="E22" s="16">
        <f>ROUND(D22/'- 7 -'!E22,0)</f>
        <v>12821</v>
      </c>
      <c r="F22" s="1" t="str">
        <f t="shared" si="0"/>
        <v/>
      </c>
    </row>
    <row r="23" spans="1:6" ht="14.1" customHeight="1">
      <c r="A23" s="271" t="s">
        <v>119</v>
      </c>
      <c r="B23" s="272">
        <v>15986971</v>
      </c>
      <c r="C23" s="272">
        <v>14351</v>
      </c>
      <c r="D23" s="272">
        <f>'- 3 -'!F23</f>
        <v>16265121</v>
      </c>
      <c r="E23" s="272">
        <f>ROUND(D23/'- 7 -'!E23,0)</f>
        <v>14601</v>
      </c>
      <c r="F23" s="1" t="str">
        <f t="shared" si="0"/>
        <v/>
      </c>
    </row>
    <row r="24" spans="1:6" ht="14.1" customHeight="1">
      <c r="A24" s="15" t="s">
        <v>120</v>
      </c>
      <c r="B24" s="30">
        <v>55129465</v>
      </c>
      <c r="C24" s="30">
        <v>13867</v>
      </c>
      <c r="D24" s="16">
        <f>'- 3 -'!F24</f>
        <v>57312977</v>
      </c>
      <c r="E24" s="16">
        <f>ROUND(D24/'- 7 -'!E24,0)</f>
        <v>14508</v>
      </c>
      <c r="F24" s="1" t="str">
        <f t="shared" si="0"/>
        <v/>
      </c>
    </row>
    <row r="25" spans="1:6" ht="14.1" customHeight="1">
      <c r="A25" s="271" t="s">
        <v>121</v>
      </c>
      <c r="B25" s="272">
        <v>165880473</v>
      </c>
      <c r="C25" s="272">
        <v>11861</v>
      </c>
      <c r="D25" s="272">
        <f>'- 3 -'!F25</f>
        <v>172240144</v>
      </c>
      <c r="E25" s="272">
        <f>ROUND(D25/'- 7 -'!E25,0)</f>
        <v>12061</v>
      </c>
      <c r="F25" s="1" t="str">
        <f t="shared" si="0"/>
        <v/>
      </c>
    </row>
    <row r="26" spans="1:6" ht="14.1" customHeight="1">
      <c r="A26" s="15" t="s">
        <v>122</v>
      </c>
      <c r="B26" s="16">
        <v>39773642</v>
      </c>
      <c r="C26" s="16">
        <v>12799</v>
      </c>
      <c r="D26" s="16">
        <f>'- 3 -'!F26</f>
        <v>40711697</v>
      </c>
      <c r="E26" s="16">
        <f>ROUND(D26/'- 7 -'!E26,0)</f>
        <v>12883</v>
      </c>
      <c r="F26" s="1" t="str">
        <f t="shared" si="0"/>
        <v/>
      </c>
    </row>
    <row r="27" spans="1:6" ht="14.1" customHeight="1">
      <c r="A27" s="271" t="s">
        <v>123</v>
      </c>
      <c r="B27" s="272">
        <v>42863030</v>
      </c>
      <c r="C27" s="272">
        <v>14985</v>
      </c>
      <c r="D27" s="272">
        <f>'- 3 -'!F27</f>
        <v>43712278</v>
      </c>
      <c r="E27" s="272">
        <f>ROUND(D27/'- 7 -'!E27,0)</f>
        <v>15021</v>
      </c>
      <c r="F27" s="1" t="str">
        <f t="shared" si="0"/>
        <v/>
      </c>
    </row>
    <row r="28" spans="1:6" ht="14.1" customHeight="1">
      <c r="A28" s="15" t="s">
        <v>124</v>
      </c>
      <c r="B28" s="30">
        <v>27758712</v>
      </c>
      <c r="C28" s="30">
        <v>14087</v>
      </c>
      <c r="D28" s="16">
        <f>'- 3 -'!F28</f>
        <v>28437301</v>
      </c>
      <c r="E28" s="16">
        <f>ROUND(D28/'- 7 -'!E28,0)</f>
        <v>14617</v>
      </c>
      <c r="F28" s="1" t="str">
        <f t="shared" si="0"/>
        <v/>
      </c>
    </row>
    <row r="29" spans="1:6" ht="14.1" customHeight="1">
      <c r="A29" s="271" t="s">
        <v>125</v>
      </c>
      <c r="B29" s="272">
        <v>154180766</v>
      </c>
      <c r="C29" s="272">
        <v>12490</v>
      </c>
      <c r="D29" s="272">
        <f>'- 3 -'!F29</f>
        <v>157787503</v>
      </c>
      <c r="E29" s="272">
        <f>ROUND(D29/'- 7 -'!E29,0)</f>
        <v>12445</v>
      </c>
      <c r="F29" s="1" t="str">
        <f t="shared" si="0"/>
        <v/>
      </c>
    </row>
    <row r="30" spans="1:6" ht="14.1" customHeight="1">
      <c r="A30" s="15" t="s">
        <v>126</v>
      </c>
      <c r="B30" s="16">
        <v>13979752</v>
      </c>
      <c r="C30" s="16">
        <v>13625</v>
      </c>
      <c r="D30" s="16">
        <f>'- 3 -'!F30</f>
        <v>14698928</v>
      </c>
      <c r="E30" s="16">
        <f>ROUND(D30/'- 7 -'!E30,0)</f>
        <v>14640</v>
      </c>
      <c r="F30" s="1" t="str">
        <f t="shared" si="0"/>
        <v/>
      </c>
    </row>
    <row r="31" spans="1:6" ht="14.1" customHeight="1">
      <c r="A31" s="271" t="s">
        <v>127</v>
      </c>
      <c r="B31" s="272">
        <v>36156014</v>
      </c>
      <c r="C31" s="272">
        <v>11327</v>
      </c>
      <c r="D31" s="272">
        <f>'- 3 -'!F31</f>
        <v>37621121</v>
      </c>
      <c r="E31" s="272">
        <f>ROUND(D31/'- 7 -'!E31,0)</f>
        <v>11684</v>
      </c>
      <c r="F31" s="1" t="str">
        <f t="shared" si="0"/>
        <v/>
      </c>
    </row>
    <row r="32" spans="1:6" ht="14.1" customHeight="1">
      <c r="A32" s="15" t="s">
        <v>128</v>
      </c>
      <c r="B32" s="30">
        <v>28457477</v>
      </c>
      <c r="C32" s="30">
        <v>13436</v>
      </c>
      <c r="D32" s="16">
        <f>'- 3 -'!F32</f>
        <v>29952714</v>
      </c>
      <c r="E32" s="16">
        <f>ROUND(D32/'- 7 -'!E32,0)</f>
        <v>13733</v>
      </c>
      <c r="F32" s="1" t="str">
        <f t="shared" si="0"/>
        <v/>
      </c>
    </row>
    <row r="33" spans="1:6" ht="14.1" customHeight="1">
      <c r="A33" s="271" t="s">
        <v>129</v>
      </c>
      <c r="B33" s="272">
        <v>27243800</v>
      </c>
      <c r="C33" s="272">
        <v>13777</v>
      </c>
      <c r="D33" s="272">
        <f>'- 3 -'!F33</f>
        <v>27899150</v>
      </c>
      <c r="E33" s="272">
        <f>ROUND(D33/'- 7 -'!E33,0)</f>
        <v>13853</v>
      </c>
      <c r="F33" s="1" t="str">
        <f t="shared" si="0"/>
        <v/>
      </c>
    </row>
    <row r="34" spans="1:6" ht="14.1" customHeight="1">
      <c r="A34" s="15" t="s">
        <v>130</v>
      </c>
      <c r="B34" s="16">
        <v>27609602</v>
      </c>
      <c r="C34" s="16">
        <v>13981</v>
      </c>
      <c r="D34" s="16">
        <f>'- 3 -'!F34</f>
        <v>29489465</v>
      </c>
      <c r="E34" s="16">
        <f>ROUND(D34/'- 7 -'!E34,0)</f>
        <v>14797</v>
      </c>
      <c r="F34" s="1" t="str">
        <f t="shared" si="0"/>
        <v/>
      </c>
    </row>
    <row r="35" spans="1:6" ht="14.1" customHeight="1">
      <c r="A35" s="271" t="s">
        <v>131</v>
      </c>
      <c r="B35" s="272">
        <v>175568676</v>
      </c>
      <c r="C35" s="272">
        <v>11239</v>
      </c>
      <c r="D35" s="272">
        <f>'- 3 -'!F35</f>
        <v>180473779</v>
      </c>
      <c r="E35" s="272">
        <f>ROUND(D35/'- 7 -'!E35,0)</f>
        <v>11677</v>
      </c>
      <c r="F35" s="1" t="str">
        <f t="shared" si="0"/>
        <v/>
      </c>
    </row>
    <row r="36" spans="1:6" ht="14.1" customHeight="1">
      <c r="A36" s="15" t="s">
        <v>132</v>
      </c>
      <c r="B36" s="30">
        <v>22943195</v>
      </c>
      <c r="C36" s="30">
        <v>13677</v>
      </c>
      <c r="D36" s="16">
        <f>'- 3 -'!F36</f>
        <v>23606060</v>
      </c>
      <c r="E36" s="16">
        <f>ROUND(D36/'- 7 -'!E36,0)</f>
        <v>14242</v>
      </c>
      <c r="F36" s="1" t="str">
        <f t="shared" si="0"/>
        <v/>
      </c>
    </row>
    <row r="37" spans="1:6" ht="14.1" customHeight="1">
      <c r="A37" s="271" t="s">
        <v>133</v>
      </c>
      <c r="B37" s="272">
        <v>46472121</v>
      </c>
      <c r="C37" s="272">
        <v>11770</v>
      </c>
      <c r="D37" s="272">
        <f>'- 3 -'!F37</f>
        <v>49626095</v>
      </c>
      <c r="E37" s="272">
        <f>ROUND(D37/'- 7 -'!E37,0)</f>
        <v>12094</v>
      </c>
      <c r="F37" s="1" t="str">
        <f t="shared" si="0"/>
        <v/>
      </c>
    </row>
    <row r="38" spans="1:6" ht="14.1" customHeight="1">
      <c r="A38" s="15" t="s">
        <v>134</v>
      </c>
      <c r="B38" s="16">
        <v>126414418</v>
      </c>
      <c r="C38" s="16">
        <v>11754</v>
      </c>
      <c r="D38" s="16">
        <f>'- 3 -'!F38</f>
        <v>133230535</v>
      </c>
      <c r="E38" s="16">
        <f>ROUND(D38/'- 7 -'!E38,0)</f>
        <v>12104</v>
      </c>
      <c r="F38" s="1" t="str">
        <f t="shared" si="0"/>
        <v/>
      </c>
    </row>
    <row r="39" spans="1:6" ht="14.1" customHeight="1">
      <c r="A39" s="271" t="s">
        <v>135</v>
      </c>
      <c r="B39" s="272">
        <v>21783580</v>
      </c>
      <c r="C39" s="272">
        <v>14018</v>
      </c>
      <c r="D39" s="272">
        <f>'- 3 -'!F39</f>
        <v>22746679</v>
      </c>
      <c r="E39" s="272">
        <f>ROUND(D39/'- 7 -'!E39,0)</f>
        <v>14896</v>
      </c>
      <c r="F39" s="1" t="str">
        <f t="shared" si="0"/>
        <v/>
      </c>
    </row>
    <row r="40" spans="1:6" ht="14.1" customHeight="1">
      <c r="A40" s="15" t="s">
        <v>136</v>
      </c>
      <c r="B40" s="30">
        <v>100937330</v>
      </c>
      <c r="C40" s="30">
        <v>12868</v>
      </c>
      <c r="D40" s="16">
        <f>'- 3 -'!F40</f>
        <v>104435346</v>
      </c>
      <c r="E40" s="16">
        <f>ROUND(D40/'- 7 -'!E40,0)</f>
        <v>13139</v>
      </c>
      <c r="F40" s="1" t="str">
        <f t="shared" si="0"/>
        <v/>
      </c>
    </row>
    <row r="41" spans="1:6" ht="14.1" customHeight="1">
      <c r="A41" s="271" t="s">
        <v>137</v>
      </c>
      <c r="B41" s="272">
        <v>60985207</v>
      </c>
      <c r="C41" s="272">
        <v>14002</v>
      </c>
      <c r="D41" s="272">
        <f>'- 3 -'!F41</f>
        <v>62648929</v>
      </c>
      <c r="E41" s="272">
        <f>ROUND(D41/'- 7 -'!E41,0)</f>
        <v>14208</v>
      </c>
      <c r="F41" s="1" t="str">
        <f t="shared" si="0"/>
        <v/>
      </c>
    </row>
    <row r="42" spans="1:6" ht="14.1" customHeight="1">
      <c r="A42" s="15" t="s">
        <v>138</v>
      </c>
      <c r="B42" s="16">
        <v>20388142</v>
      </c>
      <c r="C42" s="16">
        <v>14849</v>
      </c>
      <c r="D42" s="16">
        <f>'- 3 -'!F42</f>
        <v>20914117</v>
      </c>
      <c r="E42" s="16">
        <f>ROUND(D42/'- 7 -'!E42,0)</f>
        <v>15367</v>
      </c>
      <c r="F42" s="1" t="str">
        <f t="shared" si="0"/>
        <v/>
      </c>
    </row>
    <row r="43" spans="1:6" ht="14.1" customHeight="1">
      <c r="A43" s="271" t="s">
        <v>139</v>
      </c>
      <c r="B43" s="272">
        <v>12617215</v>
      </c>
      <c r="C43" s="272">
        <v>13466</v>
      </c>
      <c r="D43" s="272">
        <f>'- 3 -'!F43</f>
        <v>13107059</v>
      </c>
      <c r="E43" s="272">
        <f>ROUND(D43/'- 7 -'!E43,0)</f>
        <v>13936</v>
      </c>
      <c r="F43" s="1" t="str">
        <f t="shared" si="0"/>
        <v/>
      </c>
    </row>
    <row r="44" spans="1:6" ht="14.1" customHeight="1">
      <c r="A44" s="15" t="s">
        <v>140</v>
      </c>
      <c r="B44" s="30">
        <v>10965114</v>
      </c>
      <c r="C44" s="30">
        <v>15444</v>
      </c>
      <c r="D44" s="16">
        <f>'- 3 -'!F44</f>
        <v>11179394</v>
      </c>
      <c r="E44" s="16">
        <f>ROUND(D44/'- 7 -'!E44,0)</f>
        <v>15948</v>
      </c>
      <c r="F44" s="1" t="str">
        <f t="shared" si="0"/>
        <v/>
      </c>
    </row>
    <row r="45" spans="1:6" ht="14.1" customHeight="1">
      <c r="A45" s="271" t="s">
        <v>141</v>
      </c>
      <c r="B45" s="272">
        <v>17872269</v>
      </c>
      <c r="C45" s="272">
        <v>10607</v>
      </c>
      <c r="D45" s="272">
        <f>'- 3 -'!F45</f>
        <v>19152045</v>
      </c>
      <c r="E45" s="272">
        <f>ROUND(D45/'- 7 -'!E45,0)</f>
        <v>11253</v>
      </c>
      <c r="F45" s="1" t="str">
        <f t="shared" si="0"/>
        <v/>
      </c>
    </row>
    <row r="46" spans="1:6" ht="14.1" customHeight="1">
      <c r="A46" s="15" t="s">
        <v>142</v>
      </c>
      <c r="B46" s="16">
        <v>372856700</v>
      </c>
      <c r="C46" s="16">
        <v>12340</v>
      </c>
      <c r="D46" s="16">
        <f>'- 3 -'!F46</f>
        <v>381799200</v>
      </c>
      <c r="E46" s="16">
        <f>ROUND(D46/'- 7 -'!E46,0)</f>
        <v>12660</v>
      </c>
      <c r="F46" s="1" t="str">
        <f t="shared" si="0"/>
        <v/>
      </c>
    </row>
    <row r="47" spans="1:6" ht="5.0999999999999996" customHeight="1">
      <c r="A47"/>
      <c r="B47"/>
      <c r="C47"/>
      <c r="D47"/>
      <c r="E47"/>
    </row>
    <row r="48" spans="1:6" ht="14.1" customHeight="1">
      <c r="A48" s="274" t="s">
        <v>143</v>
      </c>
      <c r="B48" s="275">
        <v>2201789039</v>
      </c>
      <c r="C48" s="275">
        <v>12687</v>
      </c>
      <c r="D48" s="275">
        <f>SUM(D11:D46)</f>
        <v>2279619427</v>
      </c>
      <c r="E48" s="275">
        <f>ROUND(D48/'- 7 -'!E48,0)</f>
        <v>13016</v>
      </c>
      <c r="F48" s="1" t="str">
        <f t="shared" si="0"/>
        <v/>
      </c>
    </row>
    <row r="49" spans="1:6" ht="5.0999999999999996" customHeight="1">
      <c r="A49" s="17" t="s">
        <v>1</v>
      </c>
      <c r="B49" s="18"/>
      <c r="C49" s="18"/>
      <c r="D49" s="18"/>
      <c r="E49" s="18"/>
    </row>
    <row r="50" spans="1:6" ht="14.1" customHeight="1">
      <c r="A50" s="15" t="s">
        <v>144</v>
      </c>
      <c r="B50" s="16">
        <v>3180459.25</v>
      </c>
      <c r="C50" s="16">
        <v>19632</v>
      </c>
      <c r="D50" s="16">
        <f>'- 3 -'!F50</f>
        <v>3268379</v>
      </c>
      <c r="E50" s="16">
        <f>ROUND(D50/'- 7 -'!E50,0)</f>
        <v>20300</v>
      </c>
      <c r="F50" s="1" t="str">
        <f t="shared" si="0"/>
        <v/>
      </c>
    </row>
    <row r="51" spans="1:6" ht="14.1" customHeight="1">
      <c r="A51" s="360" t="s">
        <v>523</v>
      </c>
      <c r="B51" s="353">
        <v>13213111</v>
      </c>
      <c r="C51" s="353">
        <v>18852</v>
      </c>
      <c r="D51" s="272">
        <f>'- 3 -'!F51</f>
        <v>14807951</v>
      </c>
      <c r="E51" s="272">
        <f>ROUND(D51/'- 7 -'!E51,0)</f>
        <v>20439</v>
      </c>
      <c r="F51" s="1" t="str">
        <f t="shared" si="0"/>
        <v/>
      </c>
    </row>
    <row r="52" spans="1:6" ht="50.1" customHeight="1">
      <c r="A52" s="19"/>
      <c r="B52" s="19"/>
      <c r="C52" s="19"/>
      <c r="D52" s="19"/>
      <c r="E52" s="19"/>
    </row>
    <row r="53" spans="1:6" ht="15" customHeight="1">
      <c r="A53" s="546" t="s">
        <v>598</v>
      </c>
      <c r="B53" s="546"/>
      <c r="C53" s="546"/>
      <c r="D53" s="546"/>
      <c r="E53" s="546"/>
    </row>
    <row r="54" spans="1:6" ht="12" customHeight="1">
      <c r="A54" s="547"/>
      <c r="B54" s="547"/>
      <c r="C54" s="547"/>
      <c r="D54" s="547"/>
      <c r="E54" s="547"/>
    </row>
    <row r="55" spans="1:6" ht="12" customHeight="1">
      <c r="A55" s="547"/>
      <c r="B55" s="547"/>
      <c r="C55" s="547"/>
      <c r="D55" s="547"/>
      <c r="E55" s="547"/>
    </row>
    <row r="56" spans="1:6" ht="12" customHeight="1">
      <c r="A56" s="2"/>
      <c r="B56" s="31"/>
      <c r="C56" s="31"/>
      <c r="D56" s="31"/>
      <c r="E56" s="31"/>
    </row>
    <row r="57" spans="1:6" ht="12" customHeight="1"/>
    <row r="58" spans="1:6" ht="14.45" customHeight="1">
      <c r="A58" s="2"/>
    </row>
    <row r="59" spans="1:6" ht="14.45" customHeight="1">
      <c r="A59" s="2"/>
    </row>
  </sheetData>
  <mergeCells count="2">
    <mergeCell ref="A2:E3"/>
    <mergeCell ref="A53:E55"/>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0.xml><?xml version="1.0" encoding="utf-8"?>
<worksheet xmlns="http://schemas.openxmlformats.org/spreadsheetml/2006/main" xmlns:r="http://schemas.openxmlformats.org/officeDocument/2006/relationships">
  <sheetPr codeName="Sheet32">
    <pageSetUpPr fitToPage="1"/>
  </sheetPr>
  <dimension ref="A1:BB59"/>
  <sheetViews>
    <sheetView showGridLines="0" showZeros="0" workbookViewId="0"/>
  </sheetViews>
  <sheetFormatPr defaultColWidth="15.83203125" defaultRowHeight="12"/>
  <cols>
    <col min="1" max="1" width="30.83203125" style="1" customWidth="1"/>
    <col min="2" max="2" width="16.83203125" style="1" customWidth="1"/>
    <col min="3" max="3" width="19.83203125" style="1" customWidth="1"/>
    <col min="4" max="4" width="10.83203125" style="1" customWidth="1"/>
    <col min="5" max="5" width="16.83203125" style="1" customWidth="1"/>
    <col min="6" max="6" width="11.83203125" style="1" customWidth="1"/>
    <col min="7" max="7" width="14.83203125" style="1" customWidth="1"/>
    <col min="8" max="8" width="11.83203125" style="1" customWidth="1"/>
    <col min="9" max="16384" width="15.83203125" style="1"/>
  </cols>
  <sheetData>
    <row r="1" spans="1:54" ht="6.95" customHeight="1">
      <c r="A1" s="3"/>
      <c r="B1" s="4"/>
      <c r="C1" s="4"/>
      <c r="D1" s="4"/>
      <c r="E1" s="4"/>
      <c r="F1" s="4"/>
      <c r="G1" s="4"/>
      <c r="H1" s="4"/>
    </row>
    <row r="2" spans="1:54" ht="15.95" customHeight="1">
      <c r="A2" s="132"/>
      <c r="B2" s="5" t="str">
        <f>IF(Lang=1,BA2,BB2)</f>
        <v>ANALYSIS OF  TRANSPORTATION EXPENSES</v>
      </c>
      <c r="C2" s="6"/>
      <c r="D2" s="6"/>
      <c r="E2" s="6"/>
      <c r="F2" s="85"/>
      <c r="G2" s="85"/>
      <c r="H2" s="85"/>
      <c r="BA2" s="456" t="s">
        <v>259</v>
      </c>
      <c r="BB2" s="456" t="s">
        <v>441</v>
      </c>
    </row>
    <row r="3" spans="1:54" ht="15.95" customHeight="1">
      <c r="A3" s="135"/>
      <c r="B3" s="7" t="str">
        <f>OPYEAR</f>
        <v>OPERATING FUND 2016/2017 BUDGET</v>
      </c>
      <c r="C3" s="8"/>
      <c r="D3" s="8"/>
      <c r="E3" s="8"/>
      <c r="F3" s="87"/>
      <c r="G3" s="87"/>
      <c r="H3" s="87"/>
    </row>
    <row r="4" spans="1:54" ht="15.95" customHeight="1">
      <c r="B4" s="4"/>
      <c r="C4" s="4"/>
      <c r="D4" s="4"/>
      <c r="E4" s="4"/>
      <c r="F4" s="4"/>
      <c r="G4" s="4"/>
      <c r="H4" s="4"/>
    </row>
    <row r="5" spans="1:54" ht="15.95" customHeight="1">
      <c r="B5" s="4"/>
      <c r="C5" s="4"/>
      <c r="D5" s="4"/>
      <c r="E5" s="4"/>
      <c r="F5" s="4"/>
      <c r="G5" s="4"/>
      <c r="H5" s="4"/>
    </row>
    <row r="6" spans="1:54" ht="15.95" customHeight="1">
      <c r="B6" s="624" t="s">
        <v>11</v>
      </c>
      <c r="C6" s="626"/>
      <c r="D6" s="626"/>
      <c r="E6" s="626"/>
      <c r="F6" s="626"/>
      <c r="G6" s="626"/>
      <c r="H6" s="611"/>
    </row>
    <row r="7" spans="1:54" ht="15.95" customHeight="1">
      <c r="B7" s="625" t="s">
        <v>26</v>
      </c>
      <c r="C7" s="627"/>
      <c r="D7" s="627"/>
      <c r="E7" s="627"/>
      <c r="F7" s="627"/>
      <c r="G7" s="627"/>
      <c r="H7" s="613"/>
    </row>
    <row r="8" spans="1:54" ht="15.95" customHeight="1">
      <c r="A8" s="82"/>
      <c r="B8" s="22"/>
      <c r="C8" s="575" t="s">
        <v>436</v>
      </c>
      <c r="D8" s="536" t="s">
        <v>401</v>
      </c>
      <c r="E8" s="698" t="s">
        <v>437</v>
      </c>
      <c r="F8" s="700" t="s">
        <v>439</v>
      </c>
      <c r="G8" s="700" t="s">
        <v>438</v>
      </c>
      <c r="H8" s="700" t="s">
        <v>439</v>
      </c>
    </row>
    <row r="9" spans="1:54" ht="15.95" customHeight="1">
      <c r="A9" s="27" t="s">
        <v>37</v>
      </c>
      <c r="B9" s="89" t="s">
        <v>38</v>
      </c>
      <c r="C9" s="576"/>
      <c r="D9" s="576"/>
      <c r="E9" s="699"/>
      <c r="F9" s="699"/>
      <c r="G9" s="701"/>
      <c r="H9" s="699"/>
    </row>
    <row r="10" spans="1:54" ht="5.0999999999999996" customHeight="1">
      <c r="A10" s="29"/>
    </row>
    <row r="11" spans="1:54" ht="14.1" customHeight="1">
      <c r="A11" s="271" t="s">
        <v>108</v>
      </c>
      <c r="B11" s="303">
        <f>'- 29 -'!$D11</f>
        <v>1053765</v>
      </c>
      <c r="C11" s="303">
        <v>750</v>
      </c>
      <c r="D11" s="303">
        <f ca="1">IF(AND(CELL("type",C11)="v",C11&gt;0),B11/C11,"")</f>
        <v>1405.02</v>
      </c>
      <c r="E11" s="303">
        <v>629000</v>
      </c>
      <c r="F11" s="304">
        <f ca="1">IF(AND(CELL("type",E11)="v",E11&gt;0),B11/E11,"")</f>
        <v>1.675302066772655</v>
      </c>
      <c r="G11" s="303">
        <v>420000</v>
      </c>
      <c r="H11" s="304">
        <f ca="1">IF(AND(CELL("type",G11)="v",G11&gt;0),B11/G11,"")</f>
        <v>2.5089642857142858</v>
      </c>
    </row>
    <row r="12" spans="1:54" ht="14.1" customHeight="1">
      <c r="A12" s="15" t="s">
        <v>109</v>
      </c>
      <c r="B12" s="139">
        <f>'- 29 -'!$D12</f>
        <v>2166817</v>
      </c>
      <c r="C12" s="139">
        <v>1270</v>
      </c>
      <c r="D12" s="139">
        <f t="shared" ref="D12:D46" ca="1" si="0">IF(AND(CELL("type",C12)="v",C12&gt;0),B12/C12,"")</f>
        <v>1706.1551181102361</v>
      </c>
      <c r="E12" s="139">
        <v>1153790</v>
      </c>
      <c r="F12" s="145">
        <f t="shared" ref="F12:F46" ca="1" si="1">IF(AND(CELL("type",E12)="v",E12&gt;0),B12/E12,"")</f>
        <v>1.8779994626405152</v>
      </c>
      <c r="G12" s="139">
        <v>724438</v>
      </c>
      <c r="H12" s="145">
        <f t="shared" ref="H12:H46" ca="1" si="2">IF(AND(CELL("type",G12)="v",G12&gt;0),B12/G12,"")</f>
        <v>2.9910316686866234</v>
      </c>
    </row>
    <row r="13" spans="1:54" ht="14.1" customHeight="1">
      <c r="A13" s="271" t="s">
        <v>110</v>
      </c>
      <c r="B13" s="303">
        <f>'- 29 -'!$D13</f>
        <v>2255500</v>
      </c>
      <c r="C13" s="303">
        <v>3039</v>
      </c>
      <c r="D13" s="303">
        <f t="shared" ca="1" si="0"/>
        <v>742.18492925304372</v>
      </c>
      <c r="E13" s="303">
        <v>821603</v>
      </c>
      <c r="F13" s="304">
        <f t="shared" ca="1" si="1"/>
        <v>2.7452431405435473</v>
      </c>
      <c r="G13" s="303">
        <v>508808</v>
      </c>
      <c r="H13" s="304">
        <f t="shared" ca="1" si="2"/>
        <v>4.4329098599078627</v>
      </c>
    </row>
    <row r="14" spans="1:54" ht="14.1" customHeight="1">
      <c r="A14" s="15" t="s">
        <v>319</v>
      </c>
      <c r="B14" s="139">
        <f>'- 29 -'!$D14</f>
        <v>8180431</v>
      </c>
      <c r="C14" s="139">
        <v>4527</v>
      </c>
      <c r="D14" s="139">
        <f t="shared" ca="1" si="0"/>
        <v>1807.0313673514468</v>
      </c>
      <c r="E14" s="139">
        <v>3084831</v>
      </c>
      <c r="F14" s="145">
        <f t="shared" ca="1" si="1"/>
        <v>2.6518246866684105</v>
      </c>
      <c r="G14" s="139">
        <v>1643706</v>
      </c>
      <c r="H14" s="145">
        <f t="shared" ca="1" si="2"/>
        <v>4.9768212806913157</v>
      </c>
    </row>
    <row r="15" spans="1:54" ht="14.1" customHeight="1">
      <c r="A15" s="271" t="s">
        <v>111</v>
      </c>
      <c r="B15" s="303">
        <f>'- 29 -'!$D15</f>
        <v>1431300</v>
      </c>
      <c r="C15" s="303">
        <v>960</v>
      </c>
      <c r="D15" s="303">
        <f t="shared" ca="1" si="0"/>
        <v>1490.9375</v>
      </c>
      <c r="E15" s="303">
        <v>769000</v>
      </c>
      <c r="F15" s="304">
        <f t="shared" ca="1" si="1"/>
        <v>1.8612483745123538</v>
      </c>
      <c r="G15" s="303">
        <v>500000</v>
      </c>
      <c r="H15" s="304">
        <f t="shared" ca="1" si="2"/>
        <v>2.8626</v>
      </c>
    </row>
    <row r="16" spans="1:54" ht="14.1" customHeight="1">
      <c r="A16" s="15" t="s">
        <v>112</v>
      </c>
      <c r="B16" s="139">
        <f>'- 29 -'!$D16</f>
        <v>427145</v>
      </c>
      <c r="C16" s="139">
        <v>276</v>
      </c>
      <c r="D16" s="139">
        <f t="shared" ca="1" si="0"/>
        <v>1547.626811594203</v>
      </c>
      <c r="E16" s="139">
        <v>57707</v>
      </c>
      <c r="F16" s="145">
        <f t="shared" ca="1" si="1"/>
        <v>7.4019616337705996</v>
      </c>
      <c r="G16" s="139">
        <v>37249</v>
      </c>
      <c r="H16" s="145">
        <f t="shared" ca="1" si="2"/>
        <v>11.467287712421809</v>
      </c>
    </row>
    <row r="17" spans="1:8" ht="14.1" customHeight="1">
      <c r="A17" s="271" t="s">
        <v>113</v>
      </c>
      <c r="B17" s="303">
        <f>'- 29 -'!$D17</f>
        <v>1291536</v>
      </c>
      <c r="C17" s="303">
        <v>672</v>
      </c>
      <c r="D17" s="303">
        <f t="shared" ca="1" si="0"/>
        <v>1921.9285714285713</v>
      </c>
      <c r="E17" s="303">
        <v>929036</v>
      </c>
      <c r="F17" s="304">
        <f t="shared" ca="1" si="1"/>
        <v>1.3901894006260254</v>
      </c>
      <c r="G17" s="303">
        <v>629282</v>
      </c>
      <c r="H17" s="304">
        <f t="shared" ca="1" si="2"/>
        <v>2.052396222997003</v>
      </c>
    </row>
    <row r="18" spans="1:8" ht="14.1" customHeight="1">
      <c r="A18" s="15" t="s">
        <v>114</v>
      </c>
      <c r="B18" s="139">
        <f>'- 29 -'!$D18</f>
        <v>7368708</v>
      </c>
      <c r="C18" s="139">
        <v>5000</v>
      </c>
      <c r="D18" s="139">
        <f t="shared" ca="1" si="0"/>
        <v>1473.7416000000001</v>
      </c>
      <c r="E18" s="139">
        <v>1537417</v>
      </c>
      <c r="F18" s="145">
        <f t="shared" ca="1" si="1"/>
        <v>4.7929143491973871</v>
      </c>
      <c r="G18" s="139">
        <v>976567</v>
      </c>
      <c r="H18" s="145">
        <f t="shared" ca="1" si="2"/>
        <v>7.5455222222335996</v>
      </c>
    </row>
    <row r="19" spans="1:8" ht="14.1" customHeight="1">
      <c r="A19" s="271" t="s">
        <v>115</v>
      </c>
      <c r="B19" s="303">
        <f>'- 29 -'!$D19</f>
        <v>2626900</v>
      </c>
      <c r="C19" s="303">
        <v>2620</v>
      </c>
      <c r="D19" s="303">
        <f t="shared" ca="1" si="0"/>
        <v>1002.6335877862596</v>
      </c>
      <c r="E19" s="303">
        <v>770000</v>
      </c>
      <c r="F19" s="304">
        <f t="shared" ca="1" si="1"/>
        <v>3.4115584415584417</v>
      </c>
      <c r="G19" s="303">
        <v>450000</v>
      </c>
      <c r="H19" s="304">
        <f t="shared" ca="1" si="2"/>
        <v>5.8375555555555554</v>
      </c>
    </row>
    <row r="20" spans="1:8" ht="14.1" customHeight="1">
      <c r="A20" s="15" t="s">
        <v>116</v>
      </c>
      <c r="B20" s="139">
        <f>'- 29 -'!$D20</f>
        <v>3305100</v>
      </c>
      <c r="C20" s="139">
        <v>5103</v>
      </c>
      <c r="D20" s="139">
        <f t="shared" ca="1" si="0"/>
        <v>647.67783656672543</v>
      </c>
      <c r="E20" s="139">
        <v>1420062</v>
      </c>
      <c r="F20" s="145">
        <f t="shared" ca="1" si="1"/>
        <v>2.3274335909277202</v>
      </c>
      <c r="G20" s="139">
        <v>844893</v>
      </c>
      <c r="H20" s="145">
        <f t="shared" ca="1" si="2"/>
        <v>3.9118562942289734</v>
      </c>
    </row>
    <row r="21" spans="1:8" ht="14.1" customHeight="1">
      <c r="A21" s="271" t="s">
        <v>117</v>
      </c>
      <c r="B21" s="303">
        <f>'- 29 -'!$D21</f>
        <v>1910000</v>
      </c>
      <c r="C21" s="303">
        <v>1576</v>
      </c>
      <c r="D21" s="303">
        <f t="shared" ca="1" si="0"/>
        <v>1211.9289340101523</v>
      </c>
      <c r="E21" s="303">
        <v>960000</v>
      </c>
      <c r="F21" s="304">
        <f t="shared" ca="1" si="1"/>
        <v>1.9895833333333333</v>
      </c>
      <c r="G21" s="303">
        <v>599497</v>
      </c>
      <c r="H21" s="304">
        <f t="shared" ca="1" si="2"/>
        <v>3.1860042669104267</v>
      </c>
    </row>
    <row r="22" spans="1:8" ht="14.1" customHeight="1">
      <c r="A22" s="15" t="s">
        <v>118</v>
      </c>
      <c r="B22" s="139">
        <f>'- 29 -'!$D22</f>
        <v>485485</v>
      </c>
      <c r="C22" s="139">
        <v>444</v>
      </c>
      <c r="D22" s="139">
        <f t="shared" ca="1" si="0"/>
        <v>1093.4346846846847</v>
      </c>
      <c r="E22" s="139">
        <v>155588</v>
      </c>
      <c r="F22" s="145">
        <f t="shared" ca="1" si="1"/>
        <v>3.1203241895261846</v>
      </c>
      <c r="G22" s="139">
        <v>96224</v>
      </c>
      <c r="H22" s="145">
        <f t="shared" ca="1" si="2"/>
        <v>5.0453629032258061</v>
      </c>
    </row>
    <row r="23" spans="1:8" ht="14.1" customHeight="1">
      <c r="A23" s="271" t="s">
        <v>119</v>
      </c>
      <c r="B23" s="303">
        <f>'- 29 -'!$D23</f>
        <v>1560890</v>
      </c>
      <c r="C23" s="303">
        <v>798</v>
      </c>
      <c r="D23" s="303">
        <f t="shared" ca="1" si="0"/>
        <v>1956.0025062656641</v>
      </c>
      <c r="E23" s="303">
        <v>1020115</v>
      </c>
      <c r="F23" s="304">
        <f t="shared" ca="1" si="1"/>
        <v>1.530111801120462</v>
      </c>
      <c r="G23" s="303">
        <v>584447</v>
      </c>
      <c r="H23" s="304">
        <f t="shared" ca="1" si="2"/>
        <v>2.6707126565796386</v>
      </c>
    </row>
    <row r="24" spans="1:8" ht="14.1" customHeight="1">
      <c r="A24" s="15" t="s">
        <v>120</v>
      </c>
      <c r="B24" s="139">
        <f>'- 29 -'!$D24</f>
        <v>2429315</v>
      </c>
      <c r="C24" s="139">
        <v>2849</v>
      </c>
      <c r="D24" s="139">
        <f t="shared" ca="1" si="0"/>
        <v>852.69041769041769</v>
      </c>
      <c r="E24" s="139">
        <v>1006134</v>
      </c>
      <c r="F24" s="145">
        <f t="shared" ca="1" si="1"/>
        <v>2.4145044298274385</v>
      </c>
      <c r="G24" s="139">
        <v>634278</v>
      </c>
      <c r="H24" s="145">
        <f t="shared" ca="1" si="2"/>
        <v>3.8300477077874371</v>
      </c>
    </row>
    <row r="25" spans="1:8" ht="14.1" customHeight="1">
      <c r="A25" s="271" t="s">
        <v>121</v>
      </c>
      <c r="B25" s="303">
        <f>'- 29 -'!$D25</f>
        <v>3654519</v>
      </c>
      <c r="C25" s="303">
        <v>2751</v>
      </c>
      <c r="D25" s="303">
        <f t="shared" ca="1" si="0"/>
        <v>1328.4329334787351</v>
      </c>
      <c r="E25" s="303">
        <v>825724</v>
      </c>
      <c r="F25" s="304">
        <f t="shared" ca="1" si="1"/>
        <v>4.4258359936249887</v>
      </c>
      <c r="G25" s="303">
        <v>626628</v>
      </c>
      <c r="H25" s="304">
        <f t="shared" ca="1" si="2"/>
        <v>5.8320391045404927</v>
      </c>
    </row>
    <row r="26" spans="1:8" ht="14.1" customHeight="1">
      <c r="A26" s="15" t="s">
        <v>122</v>
      </c>
      <c r="B26" s="139">
        <f>'- 29 -'!$D26</f>
        <v>2709677</v>
      </c>
      <c r="C26" s="139">
        <v>1312</v>
      </c>
      <c r="D26" s="139">
        <f t="shared" ca="1" si="0"/>
        <v>2065.3025914634145</v>
      </c>
      <c r="E26" s="139">
        <v>1310605</v>
      </c>
      <c r="F26" s="145">
        <f t="shared" ca="1" si="1"/>
        <v>2.0675008869949374</v>
      </c>
      <c r="G26" s="139">
        <v>1091705</v>
      </c>
      <c r="H26" s="145">
        <f t="shared" ca="1" si="2"/>
        <v>2.4820597139337091</v>
      </c>
    </row>
    <row r="27" spans="1:8" ht="14.1" customHeight="1">
      <c r="A27" s="271" t="s">
        <v>123</v>
      </c>
      <c r="B27" s="303">
        <f>'- 29 -'!$D27</f>
        <v>0</v>
      </c>
      <c r="C27" s="307" t="s">
        <v>88</v>
      </c>
      <c r="D27" s="307" t="str">
        <f ca="1">IF(AND(CELL("type",C27)="v",C27&gt;0),B27/C27,"")</f>
        <v/>
      </c>
      <c r="E27" s="307" t="s">
        <v>88</v>
      </c>
      <c r="F27" s="308" t="str">
        <f ca="1">IF(AND(CELL("type",E27)="v",E27&gt;0),B27/E27,"")</f>
        <v/>
      </c>
      <c r="G27" s="307" t="s">
        <v>88</v>
      </c>
      <c r="H27" s="304" t="str">
        <f t="shared" ca="1" si="2"/>
        <v/>
      </c>
    </row>
    <row r="28" spans="1:8" ht="14.1" customHeight="1">
      <c r="A28" s="15" t="s">
        <v>124</v>
      </c>
      <c r="B28" s="139">
        <f>'- 29 -'!$D28</f>
        <v>1845756</v>
      </c>
      <c r="C28" s="139">
        <v>833</v>
      </c>
      <c r="D28" s="139">
        <f t="shared" ca="1" si="0"/>
        <v>2215.7935174069626</v>
      </c>
      <c r="E28" s="139">
        <v>1248792</v>
      </c>
      <c r="F28" s="145">
        <f t="shared" ca="1" si="1"/>
        <v>1.4780331712567025</v>
      </c>
      <c r="G28" s="139">
        <v>794403</v>
      </c>
      <c r="H28" s="145">
        <f t="shared" ca="1" si="2"/>
        <v>2.3234504401418423</v>
      </c>
    </row>
    <row r="29" spans="1:8" ht="14.1" customHeight="1">
      <c r="A29" s="271" t="s">
        <v>125</v>
      </c>
      <c r="B29" s="303">
        <f>'- 29 -'!$D29</f>
        <v>2842918</v>
      </c>
      <c r="C29" s="303">
        <v>2500</v>
      </c>
      <c r="D29" s="303">
        <f t="shared" ca="1" si="0"/>
        <v>1137.1672000000001</v>
      </c>
      <c r="E29" s="303">
        <v>528000</v>
      </c>
      <c r="F29" s="304">
        <f t="shared" ca="1" si="1"/>
        <v>5.3843143939393938</v>
      </c>
      <c r="G29" s="303">
        <v>297000</v>
      </c>
      <c r="H29" s="304">
        <f t="shared" ca="1" si="2"/>
        <v>9.5721144781144787</v>
      </c>
    </row>
    <row r="30" spans="1:8" ht="14.1" customHeight="1">
      <c r="A30" s="15" t="s">
        <v>126</v>
      </c>
      <c r="B30" s="139">
        <f>'- 29 -'!$D30</f>
        <v>1159298</v>
      </c>
      <c r="C30" s="139">
        <v>579</v>
      </c>
      <c r="D30" s="139">
        <f t="shared" ca="1" si="0"/>
        <v>2002.2417962003453</v>
      </c>
      <c r="E30" s="139">
        <v>602418</v>
      </c>
      <c r="F30" s="145">
        <f t="shared" ca="1" si="1"/>
        <v>1.9244079692173872</v>
      </c>
      <c r="G30" s="139">
        <v>475826</v>
      </c>
      <c r="H30" s="145">
        <f t="shared" ca="1" si="2"/>
        <v>2.4363906133754778</v>
      </c>
    </row>
    <row r="31" spans="1:8" ht="14.1" customHeight="1">
      <c r="A31" s="271" t="s">
        <v>127</v>
      </c>
      <c r="B31" s="303">
        <f>'- 29 -'!$D31</f>
        <v>992156</v>
      </c>
      <c r="C31" s="303">
        <v>1151</v>
      </c>
      <c r="D31" s="303">
        <f t="shared" ca="1" si="0"/>
        <v>861.99478714161603</v>
      </c>
      <c r="E31" s="303">
        <v>628176</v>
      </c>
      <c r="F31" s="304">
        <f t="shared" ca="1" si="1"/>
        <v>1.579423601029011</v>
      </c>
      <c r="G31" s="303">
        <v>400875</v>
      </c>
      <c r="H31" s="304">
        <f t="shared" ca="1" si="2"/>
        <v>2.4749759900218273</v>
      </c>
    </row>
    <row r="32" spans="1:8" ht="14.1" customHeight="1">
      <c r="A32" s="15" t="s">
        <v>128</v>
      </c>
      <c r="B32" s="139">
        <f>'- 29 -'!$D32</f>
        <v>2035227</v>
      </c>
      <c r="C32" s="139">
        <v>1456</v>
      </c>
      <c r="D32" s="139">
        <f t="shared" ca="1" si="0"/>
        <v>1397.8207417582419</v>
      </c>
      <c r="E32" s="139">
        <v>1142233</v>
      </c>
      <c r="F32" s="145">
        <f t="shared" ca="1" si="1"/>
        <v>1.7817967087275539</v>
      </c>
      <c r="G32" s="139">
        <v>737266</v>
      </c>
      <c r="H32" s="145">
        <f t="shared" ca="1" si="2"/>
        <v>2.7605057062172946</v>
      </c>
    </row>
    <row r="33" spans="1:8" ht="14.1" customHeight="1">
      <c r="A33" s="271" t="s">
        <v>129</v>
      </c>
      <c r="B33" s="303">
        <f>'- 29 -'!$D33</f>
        <v>2124700</v>
      </c>
      <c r="C33" s="303">
        <v>1140</v>
      </c>
      <c r="D33" s="303">
        <f t="shared" ca="1" si="0"/>
        <v>1863.7719298245613</v>
      </c>
      <c r="E33" s="303">
        <v>1525000</v>
      </c>
      <c r="F33" s="304">
        <f t="shared" ca="1" si="1"/>
        <v>1.3932459016393444</v>
      </c>
      <c r="G33" s="303">
        <v>900000</v>
      </c>
      <c r="H33" s="304">
        <f t="shared" ca="1" si="2"/>
        <v>2.3607777777777779</v>
      </c>
    </row>
    <row r="34" spans="1:8" ht="14.1" customHeight="1">
      <c r="A34" s="15" t="s">
        <v>130</v>
      </c>
      <c r="B34" s="139">
        <f>'- 29 -'!$D34</f>
        <v>2518605</v>
      </c>
      <c r="C34" s="139">
        <v>1231</v>
      </c>
      <c r="D34" s="139">
        <f t="shared" ca="1" si="0"/>
        <v>2045.9829406986189</v>
      </c>
      <c r="E34" s="139">
        <v>1402200</v>
      </c>
      <c r="F34" s="145">
        <f t="shared" ca="1" si="1"/>
        <v>1.796181001283697</v>
      </c>
      <c r="G34" s="139">
        <v>933350</v>
      </c>
      <c r="H34" s="145">
        <f t="shared" ca="1" si="2"/>
        <v>2.6984571704076714</v>
      </c>
    </row>
    <row r="35" spans="1:8" ht="14.1" customHeight="1">
      <c r="A35" s="271" t="s">
        <v>131</v>
      </c>
      <c r="B35" s="303">
        <f>'- 29 -'!$D35</f>
        <v>3927500</v>
      </c>
      <c r="C35" s="303">
        <v>3500</v>
      </c>
      <c r="D35" s="303">
        <f t="shared" ca="1" si="0"/>
        <v>1122.1428571428571</v>
      </c>
      <c r="E35" s="303">
        <v>1000000</v>
      </c>
      <c r="F35" s="304">
        <f t="shared" ca="1" si="1"/>
        <v>3.9275000000000002</v>
      </c>
      <c r="G35" s="303">
        <v>450000</v>
      </c>
      <c r="H35" s="304">
        <f t="shared" ca="1" si="2"/>
        <v>8.7277777777777779</v>
      </c>
    </row>
    <row r="36" spans="1:8" ht="14.1" customHeight="1">
      <c r="A36" s="15" t="s">
        <v>132</v>
      </c>
      <c r="B36" s="139">
        <f>'- 29 -'!$D36</f>
        <v>1486210</v>
      </c>
      <c r="C36" s="139">
        <v>890</v>
      </c>
      <c r="D36" s="139">
        <f t="shared" ca="1" si="0"/>
        <v>1669.8988764044943</v>
      </c>
      <c r="E36" s="139">
        <v>781410</v>
      </c>
      <c r="F36" s="145">
        <f t="shared" ca="1" si="1"/>
        <v>1.9019592787397142</v>
      </c>
      <c r="G36" s="139">
        <v>499590</v>
      </c>
      <c r="H36" s="145">
        <f t="shared" ca="1" si="2"/>
        <v>2.9748593846954501</v>
      </c>
    </row>
    <row r="37" spans="1:8" ht="14.1" customHeight="1">
      <c r="A37" s="271" t="s">
        <v>133</v>
      </c>
      <c r="B37" s="303">
        <f>'- 29 -'!$D37</f>
        <v>2843443</v>
      </c>
      <c r="C37" s="303">
        <v>2867</v>
      </c>
      <c r="D37" s="303">
        <f t="shared" ca="1" si="0"/>
        <v>991.78339727938612</v>
      </c>
      <c r="E37" s="303">
        <v>1448738</v>
      </c>
      <c r="F37" s="304">
        <f t="shared" ca="1" si="1"/>
        <v>1.9627034011670847</v>
      </c>
      <c r="G37" s="303">
        <v>907382</v>
      </c>
      <c r="H37" s="304">
        <f t="shared" ca="1" si="2"/>
        <v>3.1336779878816197</v>
      </c>
    </row>
    <row r="38" spans="1:8" ht="14.1" customHeight="1">
      <c r="A38" s="15" t="s">
        <v>134</v>
      </c>
      <c r="B38" s="139">
        <f>'- 29 -'!$D38</f>
        <v>2891350</v>
      </c>
      <c r="C38" s="139">
        <v>2743</v>
      </c>
      <c r="D38" s="139">
        <f t="shared" ca="1" si="0"/>
        <v>1054.0831206707985</v>
      </c>
      <c r="E38" s="139">
        <v>583246</v>
      </c>
      <c r="F38" s="145">
        <f t="shared" ca="1" si="1"/>
        <v>4.9573421849442605</v>
      </c>
      <c r="G38" s="139">
        <v>415722</v>
      </c>
      <c r="H38" s="145">
        <f t="shared" ca="1" si="2"/>
        <v>6.9550083950332189</v>
      </c>
    </row>
    <row r="39" spans="1:8" ht="14.1" customHeight="1">
      <c r="A39" s="271" t="s">
        <v>135</v>
      </c>
      <c r="B39" s="303">
        <f>'- 29 -'!$D39</f>
        <v>2082200</v>
      </c>
      <c r="C39" s="303">
        <v>816</v>
      </c>
      <c r="D39" s="303">
        <f t="shared" ca="1" si="0"/>
        <v>2551.7156862745096</v>
      </c>
      <c r="E39" s="303">
        <v>1136600</v>
      </c>
      <c r="F39" s="304">
        <f t="shared" ca="1" si="1"/>
        <v>1.831954953369699</v>
      </c>
      <c r="G39" s="303">
        <v>724700</v>
      </c>
      <c r="H39" s="304">
        <f t="shared" ca="1" si="2"/>
        <v>2.8731889057541053</v>
      </c>
    </row>
    <row r="40" spans="1:8" ht="14.1" customHeight="1">
      <c r="A40" s="15" t="s">
        <v>136</v>
      </c>
      <c r="B40" s="139">
        <f>'- 29 -'!$D40</f>
        <v>1940399</v>
      </c>
      <c r="C40" s="139">
        <v>2057</v>
      </c>
      <c r="D40" s="139">
        <f t="shared" ca="1" si="0"/>
        <v>943.31502187651915</v>
      </c>
      <c r="E40" s="139">
        <v>499675</v>
      </c>
      <c r="F40" s="145">
        <f t="shared" ca="1" si="1"/>
        <v>3.8833221594036123</v>
      </c>
      <c r="G40" s="139">
        <v>358530</v>
      </c>
      <c r="H40" s="145">
        <f t="shared" ca="1" si="2"/>
        <v>5.4120966167405795</v>
      </c>
    </row>
    <row r="41" spans="1:8" ht="14.1" customHeight="1">
      <c r="A41" s="271" t="s">
        <v>137</v>
      </c>
      <c r="B41" s="303">
        <f>'- 29 -'!$D41</f>
        <v>4689808</v>
      </c>
      <c r="C41" s="303">
        <v>3161</v>
      </c>
      <c r="D41" s="303">
        <f t="shared" ca="1" si="0"/>
        <v>1483.6469471686175</v>
      </c>
      <c r="E41" s="303">
        <v>2512088</v>
      </c>
      <c r="F41" s="304">
        <f t="shared" ca="1" si="1"/>
        <v>1.8668963826108003</v>
      </c>
      <c r="G41" s="303">
        <v>1473362</v>
      </c>
      <c r="H41" s="304">
        <f t="shared" ca="1" si="2"/>
        <v>3.1830656688580268</v>
      </c>
    </row>
    <row r="42" spans="1:8" ht="14.1" customHeight="1">
      <c r="A42" s="15" t="s">
        <v>138</v>
      </c>
      <c r="B42" s="139">
        <f>'- 29 -'!$D42</f>
        <v>1620436</v>
      </c>
      <c r="C42" s="139">
        <v>1250</v>
      </c>
      <c r="D42" s="139">
        <f t="shared" ca="1" si="0"/>
        <v>1296.3488</v>
      </c>
      <c r="E42" s="139">
        <v>794220</v>
      </c>
      <c r="F42" s="145">
        <f t="shared" ca="1" si="1"/>
        <v>2.0402860668328673</v>
      </c>
      <c r="G42" s="139">
        <v>664392</v>
      </c>
      <c r="H42" s="145">
        <f t="shared" ca="1" si="2"/>
        <v>2.4389757853797156</v>
      </c>
    </row>
    <row r="43" spans="1:8" ht="14.1" customHeight="1">
      <c r="A43" s="271" t="s">
        <v>139</v>
      </c>
      <c r="B43" s="303">
        <f>'- 29 -'!$D43</f>
        <v>1081765</v>
      </c>
      <c r="C43" s="303">
        <v>496</v>
      </c>
      <c r="D43" s="303">
        <f t="shared" ca="1" si="0"/>
        <v>2180.9778225806454</v>
      </c>
      <c r="E43" s="303">
        <v>638450</v>
      </c>
      <c r="F43" s="304">
        <f t="shared" ca="1" si="1"/>
        <v>1.6943613438797087</v>
      </c>
      <c r="G43" s="303">
        <v>395609</v>
      </c>
      <c r="H43" s="304">
        <f t="shared" ca="1" si="2"/>
        <v>2.7344297020543009</v>
      </c>
    </row>
    <row r="44" spans="1:8" ht="14.1" customHeight="1">
      <c r="A44" s="15" t="s">
        <v>140</v>
      </c>
      <c r="B44" s="139">
        <f>'- 29 -'!$D44</f>
        <v>1059659</v>
      </c>
      <c r="C44" s="139">
        <v>426</v>
      </c>
      <c r="D44" s="139">
        <f t="shared" ca="1" si="0"/>
        <v>2487.4624413145539</v>
      </c>
      <c r="E44" s="139">
        <v>702072</v>
      </c>
      <c r="F44" s="145">
        <f t="shared" ca="1" si="1"/>
        <v>1.5093309518112104</v>
      </c>
      <c r="G44" s="139">
        <v>516083</v>
      </c>
      <c r="H44" s="145">
        <f t="shared" ca="1" si="2"/>
        <v>2.0532724387356298</v>
      </c>
    </row>
    <row r="45" spans="1:8" ht="14.1" customHeight="1">
      <c r="A45" s="271" t="s">
        <v>141</v>
      </c>
      <c r="B45" s="303">
        <f>'- 29 -'!$D45</f>
        <v>695058</v>
      </c>
      <c r="C45" s="303">
        <v>950</v>
      </c>
      <c r="D45" s="303">
        <f t="shared" ca="1" si="0"/>
        <v>731.64</v>
      </c>
      <c r="E45" s="303">
        <v>280000</v>
      </c>
      <c r="F45" s="304">
        <f t="shared" ca="1" si="1"/>
        <v>2.4823499999999998</v>
      </c>
      <c r="G45" s="303">
        <v>168000</v>
      </c>
      <c r="H45" s="304">
        <f t="shared" ca="1" si="2"/>
        <v>4.1372499999999999</v>
      </c>
    </row>
    <row r="46" spans="1:8" ht="14.1" customHeight="1">
      <c r="A46" s="15" t="s">
        <v>142</v>
      </c>
      <c r="B46" s="139">
        <f>'- 29 -'!$D46</f>
        <v>5570500</v>
      </c>
      <c r="C46" s="139">
        <v>2598</v>
      </c>
      <c r="D46" s="139">
        <f t="shared" ca="1" si="0"/>
        <v>2144.1493456505004</v>
      </c>
      <c r="E46" s="139">
        <v>1128574</v>
      </c>
      <c r="F46" s="145">
        <f t="shared" ca="1" si="1"/>
        <v>4.9358748296522865</v>
      </c>
      <c r="G46" s="139">
        <v>646777</v>
      </c>
      <c r="H46" s="145">
        <f t="shared" ca="1" si="2"/>
        <v>8.6127057703041388</v>
      </c>
    </row>
    <row r="47" spans="1:8" ht="5.0999999999999996" customHeight="1">
      <c r="A47"/>
      <c r="B47"/>
      <c r="C47"/>
      <c r="D47"/>
      <c r="E47"/>
      <c r="F47"/>
      <c r="G47"/>
      <c r="H47"/>
    </row>
    <row r="48" spans="1:8" ht="14.1" customHeight="1">
      <c r="A48" s="274" t="s">
        <v>143</v>
      </c>
      <c r="B48" s="305">
        <f>SUM(B11:B46)</f>
        <v>86264076</v>
      </c>
      <c r="C48" s="305">
        <f>SUM(C11:C46)</f>
        <v>64591</v>
      </c>
      <c r="D48" s="305">
        <f>B48/C48</f>
        <v>1335.5432800235326</v>
      </c>
      <c r="E48" s="305">
        <f>SUM(E11:E46)</f>
        <v>35032504</v>
      </c>
      <c r="F48" s="306">
        <f>B48/E48</f>
        <v>2.4624010890000898</v>
      </c>
      <c r="G48" s="305">
        <f>SUM(G11:G46)</f>
        <v>22126589</v>
      </c>
      <c r="H48" s="306">
        <f>B48/G48</f>
        <v>3.898661289365478</v>
      </c>
    </row>
    <row r="49" spans="1:8" ht="5.0999999999999996" customHeight="1">
      <c r="A49" s="17" t="s">
        <v>1</v>
      </c>
      <c r="B49" s="140"/>
      <c r="C49" s="140"/>
      <c r="D49" s="140"/>
      <c r="E49" s="140"/>
      <c r="F49" s="79"/>
      <c r="G49" s="140"/>
      <c r="H49" s="79"/>
    </row>
    <row r="50" spans="1:8" ht="14.1" customHeight="1">
      <c r="A50" s="15" t="s">
        <v>144</v>
      </c>
      <c r="B50" s="139">
        <f>'- 29 -'!$D50</f>
        <v>0</v>
      </c>
      <c r="C50" s="361" t="s">
        <v>88</v>
      </c>
      <c r="D50" s="139" t="str">
        <f ca="1">IF(AND(CELL("type",C50)="v",C50&gt;0),B50/C50,"")</f>
        <v/>
      </c>
      <c r="E50" s="361" t="s">
        <v>88</v>
      </c>
      <c r="F50" s="145" t="str">
        <f ca="1">IF(AND(CELL("type",E50)="v",E50&gt;0),B50/E50,"")</f>
        <v/>
      </c>
      <c r="G50" s="361" t="s">
        <v>88</v>
      </c>
      <c r="H50" s="145" t="str">
        <f ca="1">IF(AND(CELL("type",G50)="v",G50&gt;0),B50/G50,"")</f>
        <v/>
      </c>
    </row>
    <row r="51" spans="1:8" ht="14.1" customHeight="1">
      <c r="A51" s="360" t="s">
        <v>523</v>
      </c>
      <c r="B51" s="303">
        <f>'- 29 -'!$D51</f>
        <v>0</v>
      </c>
      <c r="C51" s="303">
        <v>0</v>
      </c>
      <c r="D51" s="303" t="str">
        <f ca="1">IF(AND(CELL("type",C51)="v",C51&gt;0),B51/C51,"")</f>
        <v/>
      </c>
      <c r="E51" s="303">
        <v>0</v>
      </c>
      <c r="F51" s="304" t="str">
        <f ca="1">IF(AND(CELL("type",E51)="v",E51&gt;0),B51/E51,"")</f>
        <v/>
      </c>
      <c r="G51" s="303">
        <v>0</v>
      </c>
      <c r="H51" s="304" t="str">
        <f ca="1">IF(AND(CELL("type",G51)="v",G51&gt;0),B51/G51,"")</f>
        <v/>
      </c>
    </row>
    <row r="52" spans="1:8" ht="50.1" customHeight="1"/>
    <row r="53" spans="1:8" ht="15" customHeight="1"/>
    <row r="54" spans="1:8" ht="14.45" customHeight="1"/>
    <row r="55" spans="1:8" ht="14.45" customHeight="1"/>
    <row r="56" spans="1:8" ht="14.45" customHeight="1"/>
    <row r="57" spans="1:8" ht="14.45" customHeight="1"/>
    <row r="58" spans="1:8" ht="14.45" customHeight="1"/>
    <row r="59" spans="1:8" ht="14.45" customHeight="1"/>
  </sheetData>
  <mergeCells count="8">
    <mergeCell ref="B6:H6"/>
    <mergeCell ref="B7:H7"/>
    <mergeCell ref="C8:C9"/>
    <mergeCell ref="D8:D9"/>
    <mergeCell ref="E8:E9"/>
    <mergeCell ref="F8:F9"/>
    <mergeCell ref="G8:G9"/>
    <mergeCell ref="H8:H9"/>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1.xml><?xml version="1.0" encoding="utf-8"?>
<worksheet xmlns="http://schemas.openxmlformats.org/spreadsheetml/2006/main" xmlns:r="http://schemas.openxmlformats.org/officeDocument/2006/relationships">
  <sheetPr codeName="Sheet33">
    <pageSetUpPr fitToPage="1"/>
  </sheetPr>
  <dimension ref="A1:BB59"/>
  <sheetViews>
    <sheetView showGridLines="0" showZeros="0" workbookViewId="0"/>
  </sheetViews>
  <sheetFormatPr defaultColWidth="15.83203125" defaultRowHeight="12"/>
  <cols>
    <col min="1" max="1" width="35.83203125" style="1" customWidth="1"/>
    <col min="2" max="2" width="22.83203125" style="1" customWidth="1"/>
    <col min="3" max="3" width="19.83203125" style="1" customWidth="1"/>
    <col min="4" max="4" width="15.83203125" style="1"/>
    <col min="5" max="5" width="38.83203125" style="1" customWidth="1"/>
    <col min="6" max="16384" width="15.83203125" style="1"/>
  </cols>
  <sheetData>
    <row r="1" spans="1:54" ht="6.95" customHeight="1">
      <c r="A1" s="3"/>
      <c r="B1" s="4"/>
      <c r="C1" s="4"/>
      <c r="D1" s="4"/>
      <c r="E1" s="4"/>
    </row>
    <row r="2" spans="1:54" ht="15.95" customHeight="1">
      <c r="A2" s="132"/>
      <c r="B2" s="5" t="str">
        <f>IF(Lang=1,BA2,BB2)</f>
        <v>ANALYSIS OF  TRANSPORTATION EXPENSES (CONT'D)</v>
      </c>
      <c r="C2" s="6"/>
      <c r="D2" s="6"/>
      <c r="E2" s="146"/>
      <c r="BA2" s="456" t="s">
        <v>260</v>
      </c>
      <c r="BB2" s="456" t="s">
        <v>442</v>
      </c>
    </row>
    <row r="3" spans="1:54" ht="15.95" customHeight="1">
      <c r="A3" s="135"/>
      <c r="B3" s="7" t="str">
        <f>OPYEAR</f>
        <v>OPERATING FUND 2016/2017 BUDGET</v>
      </c>
      <c r="C3" s="8"/>
      <c r="D3" s="8"/>
      <c r="E3" s="147"/>
    </row>
    <row r="4" spans="1:54" ht="15.95" customHeight="1">
      <c r="B4" s="4"/>
      <c r="C4" s="4"/>
      <c r="D4" s="4"/>
      <c r="E4" s="4"/>
    </row>
    <row r="5" spans="1:54" ht="15.95" customHeight="1">
      <c r="B5" s="4"/>
      <c r="C5" s="4"/>
      <c r="D5" s="4"/>
      <c r="E5" s="4"/>
    </row>
    <row r="6" spans="1:54" ht="15.95" customHeight="1">
      <c r="B6" s="624" t="s">
        <v>12</v>
      </c>
      <c r="C6" s="626"/>
      <c r="D6" s="611"/>
    </row>
    <row r="7" spans="1:54" ht="15.95" customHeight="1">
      <c r="B7" s="625" t="s">
        <v>27</v>
      </c>
      <c r="C7" s="627"/>
      <c r="D7" s="613"/>
    </row>
    <row r="8" spans="1:54" ht="15.95" customHeight="1">
      <c r="A8" s="82"/>
      <c r="B8" s="148"/>
      <c r="C8" s="700" t="s">
        <v>440</v>
      </c>
      <c r="D8" s="700" t="s">
        <v>439</v>
      </c>
    </row>
    <row r="9" spans="1:54" ht="15.95" customHeight="1">
      <c r="A9" s="27" t="s">
        <v>37</v>
      </c>
      <c r="B9" s="89" t="s">
        <v>38</v>
      </c>
      <c r="C9" s="699"/>
      <c r="D9" s="699"/>
    </row>
    <row r="10" spans="1:54" ht="5.0999999999999996" customHeight="1">
      <c r="A10" s="29"/>
    </row>
    <row r="11" spans="1:54" ht="14.1" customHeight="1">
      <c r="A11" s="271" t="s">
        <v>108</v>
      </c>
      <c r="B11" s="303">
        <f>SUM('- 29 -'!$B11,'- 29 -'!$D11,'- 30 -'!$D11)</f>
        <v>1279095</v>
      </c>
      <c r="C11" s="303">
        <v>638000</v>
      </c>
      <c r="D11" s="304">
        <f ca="1">IF(AND(CELL("type",C11)="v",C11&gt;0),B11/C11,"")</f>
        <v>2.0048510971786833</v>
      </c>
      <c r="E11" s="149"/>
    </row>
    <row r="12" spans="1:54" ht="14.1" customHeight="1">
      <c r="A12" s="15" t="s">
        <v>109</v>
      </c>
      <c r="B12" s="139">
        <f>SUM('- 29 -'!$B12,'- 29 -'!$D12,'- 30 -'!$D12)</f>
        <v>2574975</v>
      </c>
      <c r="C12" s="139">
        <v>1233790</v>
      </c>
      <c r="D12" s="145">
        <f t="shared" ref="D12:D46" ca="1" si="0">IF(AND(CELL("type",C12)="v",C12&gt;0),B12/C12,"")</f>
        <v>2.0870447969265435</v>
      </c>
      <c r="E12" s="149"/>
    </row>
    <row r="13" spans="1:54" ht="14.1" customHeight="1">
      <c r="A13" s="271" t="s">
        <v>110</v>
      </c>
      <c r="B13" s="303">
        <f>SUM('- 29 -'!$B13,'- 29 -'!$D13,'- 30 -'!$D13)</f>
        <v>2538900</v>
      </c>
      <c r="C13" s="303">
        <v>863280</v>
      </c>
      <c r="D13" s="304">
        <f t="shared" ca="1" si="0"/>
        <v>2.9409924937447873</v>
      </c>
      <c r="E13" s="149"/>
    </row>
    <row r="14" spans="1:54" ht="14.1" customHeight="1">
      <c r="A14" s="15" t="s">
        <v>319</v>
      </c>
      <c r="B14" s="139">
        <f>SUM('- 29 -'!$B14,'- 29 -'!$D14,'- 30 -'!$D14)</f>
        <v>8572677</v>
      </c>
      <c r="C14" s="361" t="s">
        <v>88</v>
      </c>
      <c r="D14" s="145" t="str">
        <f t="shared" ca="1" si="0"/>
        <v/>
      </c>
      <c r="E14" s="149"/>
    </row>
    <row r="15" spans="1:54" ht="14.1" customHeight="1">
      <c r="A15" s="271" t="s">
        <v>111</v>
      </c>
      <c r="B15" s="303">
        <f>SUM('- 29 -'!$B15,'- 29 -'!$D15,'- 30 -'!$D15)</f>
        <v>1543800</v>
      </c>
      <c r="C15" s="303">
        <v>800000</v>
      </c>
      <c r="D15" s="304">
        <f t="shared" ca="1" si="0"/>
        <v>1.9297500000000001</v>
      </c>
      <c r="E15" s="149"/>
    </row>
    <row r="16" spans="1:54" ht="14.1" customHeight="1">
      <c r="A16" s="15" t="s">
        <v>112</v>
      </c>
      <c r="B16" s="139">
        <f>SUM('- 29 -'!$B16,'- 29 -'!$D16,'- 30 -'!$D16)</f>
        <v>573135</v>
      </c>
      <c r="C16" s="139">
        <v>57707</v>
      </c>
      <c r="D16" s="145">
        <f t="shared" ca="1" si="0"/>
        <v>9.9318106988753527</v>
      </c>
      <c r="E16" s="149"/>
    </row>
    <row r="17" spans="1:5" ht="14.1" customHeight="1">
      <c r="A17" s="271" t="s">
        <v>113</v>
      </c>
      <c r="B17" s="303">
        <f>SUM('- 29 -'!$B17,'- 29 -'!$D17,'- 30 -'!$D17)</f>
        <v>1385494</v>
      </c>
      <c r="C17" s="303">
        <v>884907</v>
      </c>
      <c r="D17" s="304">
        <f t="shared" ca="1" si="0"/>
        <v>1.5656944741085785</v>
      </c>
      <c r="E17" s="149"/>
    </row>
    <row r="18" spans="1:5" ht="14.1" customHeight="1">
      <c r="A18" s="15" t="s">
        <v>114</v>
      </c>
      <c r="B18" s="139">
        <f>SUM('- 29 -'!$B18,'- 29 -'!$D18,'- 30 -'!$D18)</f>
        <v>8559229</v>
      </c>
      <c r="C18" s="139">
        <v>1711617</v>
      </c>
      <c r="D18" s="145">
        <f t="shared" ca="1" si="0"/>
        <v>5.0006683738242845</v>
      </c>
      <c r="E18" s="149"/>
    </row>
    <row r="19" spans="1:5" ht="14.1" customHeight="1">
      <c r="A19" s="271" t="s">
        <v>115</v>
      </c>
      <c r="B19" s="303">
        <f>SUM('- 29 -'!$B19,'- 29 -'!$D19,'- 30 -'!$D19)</f>
        <v>2967400</v>
      </c>
      <c r="C19" s="303">
        <v>960000</v>
      </c>
      <c r="D19" s="304">
        <f t="shared" ca="1" si="0"/>
        <v>3.0910416666666665</v>
      </c>
      <c r="E19" s="149"/>
    </row>
    <row r="20" spans="1:5" ht="14.1" customHeight="1">
      <c r="A20" s="15" t="s">
        <v>116</v>
      </c>
      <c r="B20" s="139">
        <f>SUM('- 29 -'!$B20,'- 29 -'!$D20,'- 30 -'!$D20)</f>
        <v>3799300</v>
      </c>
      <c r="C20" s="139">
        <v>1629203</v>
      </c>
      <c r="D20" s="145">
        <f t="shared" ca="1" si="0"/>
        <v>2.3319991431393143</v>
      </c>
      <c r="E20" s="149"/>
    </row>
    <row r="21" spans="1:5" ht="14.1" customHeight="1">
      <c r="A21" s="271" t="s">
        <v>117</v>
      </c>
      <c r="B21" s="303">
        <f>SUM('- 29 -'!$B21,'- 29 -'!$D21,'- 30 -'!$D21)</f>
        <v>2174000</v>
      </c>
      <c r="C21" s="303">
        <v>970000</v>
      </c>
      <c r="D21" s="304">
        <f t="shared" ca="1" si="0"/>
        <v>2.2412371134020619</v>
      </c>
      <c r="E21" s="149"/>
    </row>
    <row r="22" spans="1:5" ht="14.1" customHeight="1">
      <c r="A22" s="15" t="s">
        <v>118</v>
      </c>
      <c r="B22" s="139">
        <f>SUM('- 29 -'!$B22,'- 29 -'!$D22,'- 30 -'!$D22)</f>
        <v>642029</v>
      </c>
      <c r="C22" s="139">
        <v>185469</v>
      </c>
      <c r="D22" s="145">
        <f t="shared" ca="1" si="0"/>
        <v>3.461651273258604</v>
      </c>
      <c r="E22" s="149"/>
    </row>
    <row r="23" spans="1:5" ht="14.1" customHeight="1">
      <c r="A23" s="271" t="s">
        <v>119</v>
      </c>
      <c r="B23" s="303">
        <f>SUM('- 29 -'!$B23,'- 29 -'!$D23,'- 30 -'!$D23)</f>
        <v>1650215</v>
      </c>
      <c r="C23" s="303">
        <v>983229</v>
      </c>
      <c r="D23" s="304">
        <f t="shared" ca="1" si="0"/>
        <v>1.6783628229029046</v>
      </c>
      <c r="E23" s="149"/>
    </row>
    <row r="24" spans="1:5" ht="14.1" customHeight="1">
      <c r="A24" s="15" t="s">
        <v>120</v>
      </c>
      <c r="B24" s="139">
        <f>SUM('- 29 -'!$B24,'- 29 -'!$D24,'- 30 -'!$D24)</f>
        <v>2691725</v>
      </c>
      <c r="C24" s="139">
        <v>1056134</v>
      </c>
      <c r="D24" s="145">
        <f t="shared" ca="1" si="0"/>
        <v>2.5486585982460559</v>
      </c>
      <c r="E24" s="149"/>
    </row>
    <row r="25" spans="1:5" ht="14.1" customHeight="1">
      <c r="A25" s="271" t="s">
        <v>121</v>
      </c>
      <c r="B25" s="303">
        <f>SUM('- 29 -'!$B25,'- 29 -'!$D25,'- 30 -'!$D25)</f>
        <v>3990501</v>
      </c>
      <c r="C25" s="303">
        <v>1046000</v>
      </c>
      <c r="D25" s="304">
        <f t="shared" ca="1" si="0"/>
        <v>3.8150105162523902</v>
      </c>
      <c r="E25" s="149"/>
    </row>
    <row r="26" spans="1:5" ht="14.1" customHeight="1">
      <c r="A26" s="15" t="s">
        <v>122</v>
      </c>
      <c r="B26" s="139">
        <f>SUM('- 29 -'!$B26,'- 29 -'!$D26,'- 30 -'!$D26)</f>
        <v>3172346</v>
      </c>
      <c r="C26" s="139">
        <v>1350605</v>
      </c>
      <c r="D26" s="145">
        <f t="shared" ca="1" si="0"/>
        <v>2.3488333006319388</v>
      </c>
      <c r="E26" s="149"/>
    </row>
    <row r="27" spans="1:5" ht="14.1" customHeight="1">
      <c r="A27" s="271" t="s">
        <v>123</v>
      </c>
      <c r="B27" s="303">
        <f>SUM('- 29 -'!$B27,'- 29 -'!$D27,'- 30 -'!$D27)</f>
        <v>130000</v>
      </c>
      <c r="C27" s="307" t="s">
        <v>88</v>
      </c>
      <c r="D27" s="304" t="str">
        <f t="shared" ca="1" si="0"/>
        <v/>
      </c>
      <c r="E27" s="149"/>
    </row>
    <row r="28" spans="1:5" ht="14.1" customHeight="1">
      <c r="A28" s="15" t="s">
        <v>124</v>
      </c>
      <c r="B28" s="139">
        <f>SUM('- 29 -'!$B28,'- 29 -'!$D28,'- 30 -'!$D28)</f>
        <v>2085752</v>
      </c>
      <c r="C28" s="139">
        <v>1200000</v>
      </c>
      <c r="D28" s="145">
        <f t="shared" ca="1" si="0"/>
        <v>1.7381266666666666</v>
      </c>
      <c r="E28" s="149"/>
    </row>
    <row r="29" spans="1:5" ht="14.1" customHeight="1">
      <c r="A29" s="271" t="s">
        <v>125</v>
      </c>
      <c r="B29" s="303">
        <f>SUM('- 29 -'!$B29,'- 29 -'!$D29,'- 30 -'!$D29)</f>
        <v>3150476</v>
      </c>
      <c r="C29" s="303">
        <v>686000</v>
      </c>
      <c r="D29" s="304">
        <f t="shared" ca="1" si="0"/>
        <v>4.5925306122448983</v>
      </c>
      <c r="E29" s="149"/>
    </row>
    <row r="30" spans="1:5" ht="14.1" customHeight="1">
      <c r="A30" s="15" t="s">
        <v>126</v>
      </c>
      <c r="B30" s="139">
        <f>SUM('- 29 -'!$B30,'- 29 -'!$D30,'- 30 -'!$D30)</f>
        <v>1261454</v>
      </c>
      <c r="C30" s="139">
        <v>733393</v>
      </c>
      <c r="D30" s="145">
        <f t="shared" ca="1" si="0"/>
        <v>1.7200245979986173</v>
      </c>
      <c r="E30" s="149"/>
    </row>
    <row r="31" spans="1:5" ht="14.1" customHeight="1">
      <c r="A31" s="271" t="s">
        <v>127</v>
      </c>
      <c r="B31" s="303">
        <f>SUM('- 29 -'!$B31,'- 29 -'!$D31,'- 30 -'!$D31)</f>
        <v>1122777</v>
      </c>
      <c r="C31" s="303">
        <v>609947</v>
      </c>
      <c r="D31" s="304">
        <f t="shared" ca="1" si="0"/>
        <v>1.8407779692333923</v>
      </c>
      <c r="E31" s="149"/>
    </row>
    <row r="32" spans="1:5" ht="14.1" customHeight="1">
      <c r="A32" s="15" t="s">
        <v>128</v>
      </c>
      <c r="B32" s="139">
        <f>SUM('- 29 -'!$B32,'- 29 -'!$D32,'- 30 -'!$D32)</f>
        <v>2213560</v>
      </c>
      <c r="C32" s="139">
        <v>1106234</v>
      </c>
      <c r="D32" s="145">
        <f t="shared" ca="1" si="0"/>
        <v>2.0009871329212445</v>
      </c>
      <c r="E32" s="149"/>
    </row>
    <row r="33" spans="1:5" ht="14.1" customHeight="1">
      <c r="A33" s="271" t="s">
        <v>129</v>
      </c>
      <c r="B33" s="303">
        <f>SUM('- 29 -'!$B33,'- 29 -'!$D33,'- 30 -'!$D33)</f>
        <v>2324700</v>
      </c>
      <c r="C33" s="303">
        <v>1550000</v>
      </c>
      <c r="D33" s="304">
        <f t="shared" ca="1" si="0"/>
        <v>1.4998064516129033</v>
      </c>
      <c r="E33" s="149"/>
    </row>
    <row r="34" spans="1:5" ht="14.1" customHeight="1">
      <c r="A34" s="15" t="s">
        <v>130</v>
      </c>
      <c r="B34" s="139">
        <f>SUM('- 29 -'!$B34,'- 29 -'!$D34,'- 30 -'!$D34)</f>
        <v>2905846</v>
      </c>
      <c r="C34" s="139">
        <v>1294700</v>
      </c>
      <c r="D34" s="145">
        <f t="shared" ca="1" si="0"/>
        <v>2.2444164671352436</v>
      </c>
      <c r="E34" s="149"/>
    </row>
    <row r="35" spans="1:5" ht="14.1" customHeight="1">
      <c r="A35" s="271" t="s">
        <v>131</v>
      </c>
      <c r="B35" s="303">
        <f>SUM('- 29 -'!$B35,'- 29 -'!$D35,'- 30 -'!$D35)</f>
        <v>4490460</v>
      </c>
      <c r="C35" s="303">
        <v>1200000</v>
      </c>
      <c r="D35" s="304">
        <f t="shared" ca="1" si="0"/>
        <v>3.7420499999999999</v>
      </c>
      <c r="E35" s="149"/>
    </row>
    <row r="36" spans="1:5" ht="14.1" customHeight="1">
      <c r="A36" s="15" t="s">
        <v>132</v>
      </c>
      <c r="B36" s="139">
        <f>SUM('- 29 -'!$B36,'- 29 -'!$D36,'- 30 -'!$D36)</f>
        <v>1644920</v>
      </c>
      <c r="C36" s="139">
        <v>820480</v>
      </c>
      <c r="D36" s="145">
        <f t="shared" ca="1" si="0"/>
        <v>2.0048264430577225</v>
      </c>
      <c r="E36" s="149"/>
    </row>
    <row r="37" spans="1:5" ht="14.1" customHeight="1">
      <c r="A37" s="271" t="s">
        <v>133</v>
      </c>
      <c r="B37" s="303">
        <f>SUM('- 29 -'!$B37,'- 29 -'!$D37,'- 30 -'!$D37)</f>
        <v>3131714</v>
      </c>
      <c r="C37" s="303">
        <v>1460000</v>
      </c>
      <c r="D37" s="304">
        <f t="shared" ca="1" si="0"/>
        <v>2.1450095890410958</v>
      </c>
      <c r="E37" s="149"/>
    </row>
    <row r="38" spans="1:5" ht="14.1" customHeight="1">
      <c r="A38" s="15" t="s">
        <v>134</v>
      </c>
      <c r="B38" s="139">
        <f>SUM('- 29 -'!$B38,'- 29 -'!$D38,'- 30 -'!$D38)</f>
        <v>3573736</v>
      </c>
      <c r="C38" s="139">
        <v>882929</v>
      </c>
      <c r="D38" s="145">
        <f t="shared" ca="1" si="0"/>
        <v>4.0475915957002204</v>
      </c>
      <c r="E38" s="149"/>
    </row>
    <row r="39" spans="1:5" ht="14.1" customHeight="1">
      <c r="A39" s="271" t="s">
        <v>135</v>
      </c>
      <c r="B39" s="303">
        <f>SUM('- 29 -'!$B39,'- 29 -'!$D39,'- 30 -'!$D39)</f>
        <v>2188100</v>
      </c>
      <c r="C39" s="303">
        <v>1051400</v>
      </c>
      <c r="D39" s="304">
        <f t="shared" ca="1" si="0"/>
        <v>2.08112992200875</v>
      </c>
      <c r="E39" s="149"/>
    </row>
    <row r="40" spans="1:5" ht="14.1" customHeight="1">
      <c r="A40" s="15" t="s">
        <v>136</v>
      </c>
      <c r="B40" s="139">
        <f>SUM('- 29 -'!$B40,'- 29 -'!$D40,'- 30 -'!$D40)</f>
        <v>2186692</v>
      </c>
      <c r="C40" s="139">
        <v>620290</v>
      </c>
      <c r="D40" s="145">
        <f t="shared" ca="1" si="0"/>
        <v>3.5252736623192376</v>
      </c>
      <c r="E40" s="149"/>
    </row>
    <row r="41" spans="1:5" ht="14.1" customHeight="1">
      <c r="A41" s="271" t="s">
        <v>137</v>
      </c>
      <c r="B41" s="303">
        <f>SUM('- 29 -'!$B41,'- 29 -'!$D41,'- 30 -'!$D41)</f>
        <v>5256031</v>
      </c>
      <c r="C41" s="303">
        <v>2512088</v>
      </c>
      <c r="D41" s="304">
        <f t="shared" ca="1" si="0"/>
        <v>2.0922957316781896</v>
      </c>
      <c r="E41" s="149"/>
    </row>
    <row r="42" spans="1:5" ht="14.1" customHeight="1">
      <c r="A42" s="15" t="s">
        <v>138</v>
      </c>
      <c r="B42" s="139">
        <f>SUM('- 29 -'!$B42,'- 29 -'!$D42,'- 30 -'!$D42)</f>
        <v>1813955</v>
      </c>
      <c r="C42" s="139">
        <v>733541</v>
      </c>
      <c r="D42" s="145">
        <f t="shared" ca="1" si="0"/>
        <v>2.4728747268387181</v>
      </c>
      <c r="E42" s="149"/>
    </row>
    <row r="43" spans="1:5" ht="14.1" customHeight="1">
      <c r="A43" s="271" t="s">
        <v>139</v>
      </c>
      <c r="B43" s="303">
        <f>SUM('- 29 -'!$B43,'- 29 -'!$D43,'- 30 -'!$D43)</f>
        <v>1110229</v>
      </c>
      <c r="C43" s="303">
        <v>610000</v>
      </c>
      <c r="D43" s="304">
        <f t="shared" ca="1" si="0"/>
        <v>1.8200475409836065</v>
      </c>
      <c r="E43" s="149"/>
    </row>
    <row r="44" spans="1:5" ht="14.1" customHeight="1">
      <c r="A44" s="15" t="s">
        <v>140</v>
      </c>
      <c r="B44" s="139">
        <f>SUM('- 29 -'!$B44,'- 29 -'!$D44,'- 30 -'!$D44)</f>
        <v>1141188</v>
      </c>
      <c r="C44" s="139">
        <v>730636</v>
      </c>
      <c r="D44" s="145">
        <f t="shared" ca="1" si="0"/>
        <v>1.5619104451464203</v>
      </c>
      <c r="E44" s="149"/>
    </row>
    <row r="45" spans="1:5" ht="14.1" customHeight="1">
      <c r="A45" s="271" t="s">
        <v>141</v>
      </c>
      <c r="B45" s="303">
        <f>SUM('- 29 -'!$B45,'- 29 -'!$D45,'- 30 -'!$D45)</f>
        <v>787559</v>
      </c>
      <c r="C45" s="303">
        <v>330000</v>
      </c>
      <c r="D45" s="304">
        <f t="shared" ca="1" si="0"/>
        <v>2.3865424242424242</v>
      </c>
      <c r="E45" s="149"/>
    </row>
    <row r="46" spans="1:5" ht="14.1" customHeight="1">
      <c r="A46" s="15" t="s">
        <v>142</v>
      </c>
      <c r="B46" s="139">
        <f>SUM('- 29 -'!$B46,'- 29 -'!$D46,'- 30 -'!$D46)</f>
        <v>6647700</v>
      </c>
      <c r="C46" s="139">
        <v>1128574</v>
      </c>
      <c r="D46" s="145">
        <f t="shared" ca="1" si="0"/>
        <v>5.8903536675486059</v>
      </c>
      <c r="E46" s="149"/>
    </row>
    <row r="47" spans="1:5" ht="5.0999999999999996" customHeight="1">
      <c r="A47"/>
      <c r="B47"/>
      <c r="C47"/>
      <c r="D47"/>
      <c r="E47"/>
    </row>
    <row r="48" spans="1:5" ht="14.1" customHeight="1">
      <c r="A48" s="274" t="s">
        <v>143</v>
      </c>
      <c r="B48" s="305">
        <f>SUM(B11:B46)</f>
        <v>97281670</v>
      </c>
      <c r="C48" s="305">
        <f>SUM(C11:C46)</f>
        <v>33630153</v>
      </c>
      <c r="D48" s="306">
        <f>B48/C48</f>
        <v>2.8926918649463178</v>
      </c>
      <c r="E48" s="149"/>
    </row>
    <row r="49" spans="1:5" ht="5.0999999999999996" customHeight="1">
      <c r="A49" s="17" t="s">
        <v>1</v>
      </c>
      <c r="B49" s="140"/>
      <c r="C49" s="140"/>
      <c r="D49" s="79"/>
    </row>
    <row r="50" spans="1:5" ht="14.1" customHeight="1">
      <c r="A50" s="15" t="s">
        <v>144</v>
      </c>
      <c r="B50" s="139">
        <f>SUM('- 29 -'!$B50,'- 29 -'!$D50,'- 30 -'!$D50)</f>
        <v>35048</v>
      </c>
      <c r="C50" s="361" t="s">
        <v>88</v>
      </c>
      <c r="D50" s="145" t="str">
        <f ca="1">IF(AND(CELL("type",C50)="v",C50&gt;0),B50/C50,"")</f>
        <v/>
      </c>
      <c r="E50" s="149"/>
    </row>
    <row r="51" spans="1:5" ht="14.1" customHeight="1">
      <c r="A51" s="360" t="s">
        <v>523</v>
      </c>
      <c r="B51" s="303">
        <f>SUM('- 29 -'!$B51,'- 29 -'!$D51,'- 30 -'!$D51)</f>
        <v>0</v>
      </c>
      <c r="C51" s="303">
        <v>0</v>
      </c>
      <c r="D51" s="304" t="str">
        <f ca="1">IF(AND(CELL("type",C51)="v",C51&gt;0),B51/C51,"")</f>
        <v/>
      </c>
      <c r="E51" s="149"/>
    </row>
    <row r="52" spans="1:5" ht="50.1" customHeight="1"/>
    <row r="53" spans="1:5" ht="15" customHeight="1"/>
    <row r="54" spans="1:5" ht="14.45" customHeight="1"/>
    <row r="55" spans="1:5" ht="14.45" customHeight="1"/>
    <row r="56" spans="1:5" ht="14.45" customHeight="1"/>
    <row r="57" spans="1:5" ht="14.45" customHeight="1"/>
    <row r="58" spans="1:5" ht="14.45" customHeight="1"/>
    <row r="59" spans="1:5" ht="14.45" customHeight="1"/>
  </sheetData>
  <mergeCells count="4">
    <mergeCell ref="B6:D6"/>
    <mergeCell ref="B7:D7"/>
    <mergeCell ref="C8:C9"/>
    <mergeCell ref="D8:D9"/>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2.xml><?xml version="1.0" encoding="utf-8"?>
<worksheet xmlns="http://schemas.openxmlformats.org/spreadsheetml/2006/main" xmlns:r="http://schemas.openxmlformats.org/officeDocument/2006/relationships">
  <sheetPr codeName="Sheet34">
    <pageSetUpPr fitToPage="1"/>
  </sheetPr>
  <dimension ref="A1:BB59"/>
  <sheetViews>
    <sheetView showGridLines="0" showZeros="0" workbookViewId="0"/>
  </sheetViews>
  <sheetFormatPr defaultColWidth="15.83203125" defaultRowHeight="12"/>
  <cols>
    <col min="1" max="1" width="33.83203125" style="1" customWidth="1"/>
    <col min="2" max="2" width="17.83203125" style="1" customWidth="1"/>
    <col min="3" max="3" width="15.83203125" style="1"/>
    <col min="4" max="4" width="15.83203125" style="1" customWidth="1"/>
    <col min="5" max="5" width="15.83203125" style="1"/>
    <col min="6" max="6" width="17.83203125" style="1" customWidth="1"/>
    <col min="7" max="8" width="15.83203125" style="1"/>
    <col min="9" max="9" width="0" style="1" hidden="1" customWidth="1"/>
    <col min="10" max="10" width="2.33203125" style="1" hidden="1" customWidth="1"/>
    <col min="11" max="13" width="0" style="1" hidden="1" customWidth="1"/>
    <col min="14" max="16384" width="15.83203125" style="1"/>
  </cols>
  <sheetData>
    <row r="1" spans="1:54" ht="6.95" customHeight="1">
      <c r="A1" s="3"/>
      <c r="B1" s="4"/>
      <c r="C1" s="4"/>
      <c r="D1" s="4"/>
      <c r="E1" s="4"/>
      <c r="F1" s="4"/>
    </row>
    <row r="2" spans="1:54" ht="15.95" customHeight="1">
      <c r="A2" s="5" t="str">
        <f>IF(Lang=1,BA2,BB2)</f>
        <v xml:space="preserve"> ANALYSIS OF OPERATIONS AND MAINTENANCE EXPENSES FOR SCHOOL BUILDINGS</v>
      </c>
      <c r="B2" s="142"/>
      <c r="C2" s="133"/>
      <c r="D2" s="6"/>
      <c r="E2" s="6"/>
      <c r="F2" s="6"/>
      <c r="G2" s="6"/>
      <c r="BA2" s="456" t="s">
        <v>261</v>
      </c>
      <c r="BB2" s="456" t="s">
        <v>447</v>
      </c>
    </row>
    <row r="3" spans="1:54" ht="15.95" customHeight="1">
      <c r="A3" s="7" t="str">
        <f>OPYEAR</f>
        <v>OPERATING FUND 2016/2017 BUDGET</v>
      </c>
      <c r="B3" s="143"/>
      <c r="C3" s="144"/>
      <c r="D3" s="8"/>
      <c r="E3" s="8"/>
      <c r="F3" s="8"/>
      <c r="G3" s="8"/>
    </row>
    <row r="4" spans="1:54" ht="15.95" customHeight="1">
      <c r="B4" s="4"/>
      <c r="C4" s="4"/>
      <c r="D4" s="84"/>
      <c r="E4" s="4"/>
      <c r="F4" s="4"/>
    </row>
    <row r="5" spans="1:54" ht="15.95" customHeight="1">
      <c r="B5" s="4"/>
      <c r="C5" s="4"/>
      <c r="D5" s="4"/>
      <c r="E5" s="4"/>
      <c r="F5" s="4"/>
      <c r="I5"/>
    </row>
    <row r="6" spans="1:54" ht="15.95" customHeight="1">
      <c r="B6" s="277"/>
      <c r="C6" s="309"/>
      <c r="D6" s="280"/>
      <c r="E6" s="279"/>
      <c r="F6" s="618" t="s">
        <v>443</v>
      </c>
      <c r="G6" s="611"/>
      <c r="I6"/>
    </row>
    <row r="7" spans="1:54" ht="15.95" customHeight="1">
      <c r="B7" s="625" t="s">
        <v>23</v>
      </c>
      <c r="C7" s="627"/>
      <c r="D7" s="627"/>
      <c r="E7" s="613"/>
      <c r="F7" s="625"/>
      <c r="G7" s="613"/>
      <c r="I7" s="375" t="s">
        <v>25</v>
      </c>
    </row>
    <row r="8" spans="1:54" ht="15.95" customHeight="1">
      <c r="A8" s="82"/>
      <c r="B8" s="88" t="s">
        <v>1</v>
      </c>
      <c r="C8" s="536" t="s">
        <v>444</v>
      </c>
      <c r="D8" s="536" t="s">
        <v>445</v>
      </c>
      <c r="E8" s="536" t="s">
        <v>446</v>
      </c>
      <c r="F8" s="88" t="s">
        <v>1</v>
      </c>
      <c r="G8" s="536" t="s">
        <v>445</v>
      </c>
      <c r="I8" s="375" t="s">
        <v>36</v>
      </c>
    </row>
    <row r="9" spans="1:54" ht="15.95" customHeight="1">
      <c r="A9" s="27" t="s">
        <v>37</v>
      </c>
      <c r="B9" s="89" t="s">
        <v>38</v>
      </c>
      <c r="C9" s="538"/>
      <c r="D9" s="576"/>
      <c r="E9" s="576"/>
      <c r="F9" s="89" t="s">
        <v>38</v>
      </c>
      <c r="G9" s="576"/>
      <c r="I9" s="359" t="s">
        <v>577</v>
      </c>
      <c r="J9" s="359"/>
    </row>
    <row r="10" spans="1:54" ht="5.0999999999999996" customHeight="1">
      <c r="A10" s="29"/>
    </row>
    <row r="11" spans="1:54" ht="14.1" customHeight="1">
      <c r="A11" s="271" t="s">
        <v>108</v>
      </c>
      <c r="B11" s="303">
        <f>'- 31 -'!D11</f>
        <v>1587040</v>
      </c>
      <c r="C11" s="303">
        <f>B11/'- 7 -'!E11</f>
        <v>905.32800912721052</v>
      </c>
      <c r="D11" s="304">
        <f t="shared" ref="D11:D42" si="0">B11/I11</f>
        <v>5.8206037578073708</v>
      </c>
      <c r="E11" s="303">
        <f>I11/'- 7 -'!E11</f>
        <v>155.53850541928122</v>
      </c>
      <c r="F11" s="303">
        <f>'- 31 -'!F11</f>
        <v>207300</v>
      </c>
      <c r="G11" s="304">
        <f t="shared" ref="G11:G42" si="1">F11/I11</f>
        <v>0.76029032601161162</v>
      </c>
      <c r="I11" s="1">
        <v>272659</v>
      </c>
    </row>
    <row r="12" spans="1:54" ht="14.1" customHeight="1">
      <c r="A12" s="15" t="s">
        <v>109</v>
      </c>
      <c r="B12" s="139">
        <f>'- 31 -'!D12</f>
        <v>2591692</v>
      </c>
      <c r="C12" s="139">
        <f>B12/'- 7 -'!E12</f>
        <v>1205.4381395348837</v>
      </c>
      <c r="D12" s="145">
        <f t="shared" si="0"/>
        <v>6.637467218488772</v>
      </c>
      <c r="E12" s="139">
        <f>I12/'- 7 -'!E12</f>
        <v>181.61116279069768</v>
      </c>
      <c r="F12" s="139">
        <f>'- 31 -'!F12</f>
        <v>381000</v>
      </c>
      <c r="G12" s="145">
        <f t="shared" si="1"/>
        <v>0.97576217013604327</v>
      </c>
      <c r="I12" s="1">
        <v>390464</v>
      </c>
    </row>
    <row r="13" spans="1:54" ht="14.1" customHeight="1">
      <c r="A13" s="271" t="s">
        <v>110</v>
      </c>
      <c r="B13" s="303">
        <f>'- 31 -'!D13</f>
        <v>6675300</v>
      </c>
      <c r="C13" s="303">
        <f>B13/'- 7 -'!E13</f>
        <v>799.72445189888583</v>
      </c>
      <c r="D13" s="304">
        <f t="shared" si="0"/>
        <v>6.3776365684411465</v>
      </c>
      <c r="E13" s="303">
        <f>I13/'- 7 -'!E13</f>
        <v>125.39511201629328</v>
      </c>
      <c r="F13" s="303">
        <f>'- 31 -'!F13</f>
        <v>732900</v>
      </c>
      <c r="G13" s="304">
        <f t="shared" si="1"/>
        <v>0.70021869294421468</v>
      </c>
      <c r="I13" s="1">
        <v>1046673</v>
      </c>
    </row>
    <row r="14" spans="1:54" ht="14.1" customHeight="1">
      <c r="A14" s="15" t="s">
        <v>319</v>
      </c>
      <c r="B14" s="139">
        <f>'- 31 -'!D14</f>
        <v>7379190</v>
      </c>
      <c r="C14" s="139">
        <f>B14/'- 7 -'!E14</f>
        <v>1344.6045918367347</v>
      </c>
      <c r="D14" s="145">
        <f t="shared" si="0"/>
        <v>7.7399490240090625</v>
      </c>
      <c r="E14" s="139">
        <f>I14/'- 7 -'!E14</f>
        <v>173.72266763848395</v>
      </c>
      <c r="F14" s="139">
        <f>'- 31 -'!F14</f>
        <v>850000</v>
      </c>
      <c r="G14" s="145">
        <f t="shared" si="1"/>
        <v>0.8915553970568183</v>
      </c>
      <c r="I14" s="1">
        <v>953390</v>
      </c>
    </row>
    <row r="15" spans="1:54" ht="14.1" customHeight="1">
      <c r="A15" s="271" t="s">
        <v>111</v>
      </c>
      <c r="B15" s="303">
        <f>'- 31 -'!D15</f>
        <v>2090400</v>
      </c>
      <c r="C15" s="303">
        <f>B15/'- 7 -'!E15</f>
        <v>1526.3964950711938</v>
      </c>
      <c r="D15" s="304">
        <f t="shared" si="0"/>
        <v>7.1772404842508601</v>
      </c>
      <c r="E15" s="303">
        <f>I15/'- 7 -'!E15</f>
        <v>212.67177802117561</v>
      </c>
      <c r="F15" s="303">
        <f>'- 31 -'!F15</f>
        <v>248000</v>
      </c>
      <c r="G15" s="304">
        <f t="shared" si="1"/>
        <v>0.8514904516332823</v>
      </c>
      <c r="I15" s="1">
        <v>291254</v>
      </c>
    </row>
    <row r="16" spans="1:54" ht="14.1" customHeight="1">
      <c r="A16" s="15" t="s">
        <v>112</v>
      </c>
      <c r="B16" s="139">
        <f>'- 31 -'!D16</f>
        <v>1957864</v>
      </c>
      <c r="C16" s="139">
        <f>B16/'- 7 -'!E16</f>
        <v>2044.7665796344647</v>
      </c>
      <c r="D16" s="145">
        <f t="shared" si="0"/>
        <v>9.3344966506948914</v>
      </c>
      <c r="E16" s="139">
        <f>I16/'- 7 -'!E16</f>
        <v>219.05483028720627</v>
      </c>
      <c r="F16" s="139">
        <f>'- 31 -'!F16</f>
        <v>100000</v>
      </c>
      <c r="G16" s="145">
        <f t="shared" si="1"/>
        <v>0.47676941047462396</v>
      </c>
      <c r="I16" s="1">
        <v>209745</v>
      </c>
    </row>
    <row r="17" spans="1:12" ht="14.1" customHeight="1">
      <c r="A17" s="271" t="s">
        <v>113</v>
      </c>
      <c r="B17" s="303">
        <f>'- 31 -'!D17</f>
        <v>1623640</v>
      </c>
      <c r="C17" s="303">
        <f>B17/'- 7 -'!E17</f>
        <v>1194.2920191246783</v>
      </c>
      <c r="D17" s="304">
        <f t="shared" si="0"/>
        <v>6.1927737496328898</v>
      </c>
      <c r="E17" s="303">
        <f>I17/'- 7 -'!E17</f>
        <v>192.85251930856933</v>
      </c>
      <c r="F17" s="303">
        <f>'- 31 -'!F17</f>
        <v>147250</v>
      </c>
      <c r="G17" s="304">
        <f t="shared" si="1"/>
        <v>0.56163061678293402</v>
      </c>
      <c r="I17" s="1">
        <v>262183</v>
      </c>
    </row>
    <row r="18" spans="1:12" ht="14.1" customHeight="1">
      <c r="A18" s="15" t="s">
        <v>114</v>
      </c>
      <c r="B18" s="139">
        <f>'- 31 -'!D18</f>
        <v>16414270</v>
      </c>
      <c r="C18" s="139">
        <f>B18/'- 7 -'!E18</f>
        <v>2636.9999678694212</v>
      </c>
      <c r="D18" s="145">
        <f t="shared" si="0"/>
        <v>11.435383898347004</v>
      </c>
      <c r="E18" s="139">
        <f>I18/'- 7 -'!E18</f>
        <v>230.60003855669439</v>
      </c>
      <c r="F18" s="139">
        <f>'- 31 -'!F18</f>
        <v>1978602</v>
      </c>
      <c r="G18" s="145">
        <f t="shared" si="1"/>
        <v>1.3784392149049076</v>
      </c>
      <c r="I18" s="1">
        <v>1435393</v>
      </c>
    </row>
    <row r="19" spans="1:12" ht="14.1" customHeight="1">
      <c r="A19" s="271" t="s">
        <v>115</v>
      </c>
      <c r="B19" s="303">
        <f>'- 31 -'!D19</f>
        <v>4195525</v>
      </c>
      <c r="C19" s="303">
        <f>B19/'- 7 -'!E19</f>
        <v>994.67164532954007</v>
      </c>
      <c r="D19" s="304">
        <f t="shared" si="0"/>
        <v>6.5561019592400562</v>
      </c>
      <c r="E19" s="303">
        <f>I19/'- 7 -'!E19</f>
        <v>151.71692745376956</v>
      </c>
      <c r="F19" s="303">
        <f>'- 31 -'!F19</f>
        <v>101000</v>
      </c>
      <c r="G19" s="304">
        <f t="shared" si="1"/>
        <v>0.15782680305402677</v>
      </c>
      <c r="I19" s="1">
        <v>639942</v>
      </c>
    </row>
    <row r="20" spans="1:12" ht="14.1" customHeight="1">
      <c r="A20" s="15" t="s">
        <v>116</v>
      </c>
      <c r="B20" s="139">
        <f>'- 31 -'!D20</f>
        <v>7398300</v>
      </c>
      <c r="C20" s="139">
        <f>B20/'- 7 -'!E20</f>
        <v>975.9646461315217</v>
      </c>
      <c r="D20" s="145">
        <f t="shared" si="0"/>
        <v>7.0603425816444263</v>
      </c>
      <c r="E20" s="139">
        <f>I20/'- 7 -'!E20</f>
        <v>138.23191082382428</v>
      </c>
      <c r="F20" s="139">
        <f>'- 31 -'!F20</f>
        <v>1175000</v>
      </c>
      <c r="G20" s="145">
        <f t="shared" si="1"/>
        <v>1.1213255117300192</v>
      </c>
      <c r="I20" s="1">
        <v>1047867</v>
      </c>
    </row>
    <row r="21" spans="1:12" ht="14.1" customHeight="1">
      <c r="A21" s="271" t="s">
        <v>117</v>
      </c>
      <c r="B21" s="303">
        <f>'- 31 -'!D21</f>
        <v>2880000</v>
      </c>
      <c r="C21" s="303">
        <f>B21/'- 7 -'!E21</f>
        <v>1064.3015521064301</v>
      </c>
      <c r="D21" s="304">
        <f t="shared" si="0"/>
        <v>6.3005768965720925</v>
      </c>
      <c r="E21" s="303">
        <f>I21/'- 7 -'!E21</f>
        <v>168.92128603104211</v>
      </c>
      <c r="F21" s="303">
        <f>'- 31 -'!F21</f>
        <v>300000</v>
      </c>
      <c r="G21" s="304">
        <f t="shared" si="1"/>
        <v>0.65631009339292634</v>
      </c>
      <c r="I21" s="1">
        <v>457101</v>
      </c>
    </row>
    <row r="22" spans="1:12" ht="14.1" customHeight="1">
      <c r="A22" s="15" t="s">
        <v>118</v>
      </c>
      <c r="B22" s="139">
        <f>'- 31 -'!D22</f>
        <v>2203648</v>
      </c>
      <c r="C22" s="139">
        <f>B22/'- 7 -'!E22</f>
        <v>1414.2266718007957</v>
      </c>
      <c r="D22" s="145">
        <f t="shared" si="0"/>
        <v>6.9096553086481691</v>
      </c>
      <c r="E22" s="139">
        <f>I22/'- 7 -'!E22</f>
        <v>204.67398280066743</v>
      </c>
      <c r="F22" s="139">
        <f>'- 31 -'!F22</f>
        <v>223500</v>
      </c>
      <c r="G22" s="145">
        <f t="shared" si="1"/>
        <v>0.70079611693104604</v>
      </c>
      <c r="I22" s="1">
        <v>318923</v>
      </c>
    </row>
    <row r="23" spans="1:12" ht="14.1" customHeight="1">
      <c r="A23" s="271" t="s">
        <v>119</v>
      </c>
      <c r="B23" s="303">
        <f>'- 31 -'!D23</f>
        <v>1218450</v>
      </c>
      <c r="C23" s="303">
        <f>B23/'- 7 -'!E23</f>
        <v>1093.7612208258529</v>
      </c>
      <c r="D23" s="304">
        <f t="shared" si="0"/>
        <v>5.2236598415474846</v>
      </c>
      <c r="E23" s="303">
        <f>I23/'- 7 -'!E23</f>
        <v>209.38599640933572</v>
      </c>
      <c r="F23" s="303">
        <f>'- 31 -'!F23</f>
        <v>140382</v>
      </c>
      <c r="G23" s="304">
        <f t="shared" si="1"/>
        <v>0.60183660870459921</v>
      </c>
      <c r="I23" s="1">
        <v>233256</v>
      </c>
    </row>
    <row r="24" spans="1:12" ht="14.1" customHeight="1">
      <c r="A24" s="15" t="s">
        <v>120</v>
      </c>
      <c r="B24" s="139">
        <f>'- 31 -'!D24</f>
        <v>5593190</v>
      </c>
      <c r="C24" s="139">
        <f>B24/'- 7 -'!E24</f>
        <v>1415.8182508543223</v>
      </c>
      <c r="D24" s="145">
        <f t="shared" si="0"/>
        <v>7.8585950551403698</v>
      </c>
      <c r="E24" s="139">
        <f>I24/'- 7 -'!E24</f>
        <v>180.16175167700291</v>
      </c>
      <c r="F24" s="139">
        <f>'- 31 -'!F24</f>
        <v>384260</v>
      </c>
      <c r="G24" s="145">
        <f t="shared" si="1"/>
        <v>0.53989650555197277</v>
      </c>
      <c r="I24" s="1">
        <v>711729</v>
      </c>
    </row>
    <row r="25" spans="1:12" ht="14.1" customHeight="1">
      <c r="A25" s="271" t="s">
        <v>121</v>
      </c>
      <c r="B25" s="303">
        <f>'- 31 -'!D25</f>
        <v>16072684</v>
      </c>
      <c r="C25" s="303">
        <f>B25/'- 7 -'!E25</f>
        <v>1125.4986870207626</v>
      </c>
      <c r="D25" s="304">
        <f t="shared" si="0"/>
        <v>7.1686391627785415</v>
      </c>
      <c r="E25" s="303">
        <f>I25/'- 7 -'!E25</f>
        <v>157.00311613739015</v>
      </c>
      <c r="F25" s="303">
        <f>'- 31 -'!F25</f>
        <v>497560</v>
      </c>
      <c r="G25" s="304">
        <f t="shared" si="1"/>
        <v>0.22191863548316454</v>
      </c>
      <c r="I25" s="1">
        <v>2242083</v>
      </c>
    </row>
    <row r="26" spans="1:12" ht="14.1" customHeight="1">
      <c r="A26" s="15" t="s">
        <v>122</v>
      </c>
      <c r="B26" s="139">
        <f>'- 31 -'!D26</f>
        <v>4299125</v>
      </c>
      <c r="C26" s="139">
        <f>B26/'- 7 -'!E26</f>
        <v>1360.4395430524351</v>
      </c>
      <c r="D26" s="145">
        <f t="shared" si="0"/>
        <v>5.5847080356922483</v>
      </c>
      <c r="E26" s="139">
        <f>I26/'- 7 -'!E26</f>
        <v>243.60083541660075</v>
      </c>
      <c r="F26" s="139">
        <f>'- 31 -'!F26</f>
        <v>300000</v>
      </c>
      <c r="G26" s="145">
        <f t="shared" si="1"/>
        <v>0.38971009466058198</v>
      </c>
      <c r="I26" s="1">
        <v>769803</v>
      </c>
    </row>
    <row r="27" spans="1:12" ht="14.1" customHeight="1">
      <c r="A27" s="271" t="s">
        <v>123</v>
      </c>
      <c r="B27" s="303">
        <f>'- 31 -'!D27</f>
        <v>4209181</v>
      </c>
      <c r="C27" s="349">
        <f>B27/'- 7 -'!E27</f>
        <v>1446.4468510218408</v>
      </c>
      <c r="D27" s="304">
        <f t="shared" si="0"/>
        <v>9.0498418657051758</v>
      </c>
      <c r="E27" s="349">
        <f>I27/'- 7 -'!E27</f>
        <v>159.83117412285654</v>
      </c>
      <c r="F27" s="307">
        <f>'- 31 -'!F27</f>
        <v>506000</v>
      </c>
      <c r="G27" s="304">
        <f t="shared" si="1"/>
        <v>1.0879123478051476</v>
      </c>
      <c r="I27" s="1">
        <v>465111</v>
      </c>
      <c r="L27" s="375" t="s">
        <v>36</v>
      </c>
    </row>
    <row r="28" spans="1:12" ht="14.1" customHeight="1">
      <c r="A28" s="15" t="s">
        <v>124</v>
      </c>
      <c r="B28" s="139">
        <f>'- 31 -'!D28</f>
        <v>2901862</v>
      </c>
      <c r="C28" s="139">
        <f>B28/'- 7 -'!E28</f>
        <v>1491.5764584939604</v>
      </c>
      <c r="D28" s="145">
        <f t="shared" si="0"/>
        <v>6.5865933073216345</v>
      </c>
      <c r="E28" s="139">
        <f>I28/'- 7 -'!E28</f>
        <v>226.45643793369314</v>
      </c>
      <c r="F28" s="139">
        <f>'- 31 -'!F28</f>
        <v>156017</v>
      </c>
      <c r="G28" s="145">
        <f t="shared" si="1"/>
        <v>0.35412453384358028</v>
      </c>
      <c r="I28" s="1">
        <f>390571+50000</f>
        <v>440571</v>
      </c>
      <c r="J28" s="204" t="s">
        <v>361</v>
      </c>
      <c r="K28" s="1">
        <v>50000</v>
      </c>
      <c r="L28" s="131" t="s">
        <v>525</v>
      </c>
    </row>
    <row r="29" spans="1:12" ht="14.1" customHeight="1">
      <c r="A29" s="271" t="s">
        <v>125</v>
      </c>
      <c r="B29" s="303">
        <f>'- 31 -'!D29</f>
        <v>14653495</v>
      </c>
      <c r="C29" s="303">
        <f>B29/'- 7 -'!E29</f>
        <v>1155.7295528038489</v>
      </c>
      <c r="D29" s="304">
        <f t="shared" si="0"/>
        <v>8.3494318327503425</v>
      </c>
      <c r="E29" s="303">
        <f>I29/'- 7 -'!E29</f>
        <v>138.42014354444356</v>
      </c>
      <c r="F29" s="303">
        <f>'- 31 -'!F29</f>
        <v>2685750</v>
      </c>
      <c r="G29" s="304">
        <f t="shared" si="1"/>
        <v>1.530316593059146</v>
      </c>
      <c r="I29" s="1">
        <v>1755029</v>
      </c>
    </row>
    <row r="30" spans="1:12" ht="14.1" customHeight="1">
      <c r="A30" s="15" t="s">
        <v>126</v>
      </c>
      <c r="B30" s="139">
        <f>'- 31 -'!D30</f>
        <v>1288685</v>
      </c>
      <c r="C30" s="139">
        <f>B30/'- 7 -'!E30</f>
        <v>1283.550796812749</v>
      </c>
      <c r="D30" s="145">
        <f t="shared" si="0"/>
        <v>6.1446417928239363</v>
      </c>
      <c r="E30" s="139">
        <f>I30/'- 7 -'!E30</f>
        <v>208.88944223107569</v>
      </c>
      <c r="F30" s="139">
        <f>'- 31 -'!F30</f>
        <v>159150</v>
      </c>
      <c r="G30" s="145">
        <f t="shared" si="1"/>
        <v>0.75885087614733582</v>
      </c>
      <c r="I30" s="1">
        <v>209725</v>
      </c>
    </row>
    <row r="31" spans="1:12" ht="14.1" customHeight="1">
      <c r="A31" s="271" t="s">
        <v>127</v>
      </c>
      <c r="B31" s="303">
        <f>'- 31 -'!D31</f>
        <v>3492590</v>
      </c>
      <c r="C31" s="303">
        <f>B31/'- 7 -'!E31</f>
        <v>1084.6552795031057</v>
      </c>
      <c r="D31" s="304">
        <f t="shared" si="0"/>
        <v>5.75856053711105</v>
      </c>
      <c r="E31" s="303">
        <f>I31/'- 7 -'!E31</f>
        <v>188.35527950310558</v>
      </c>
      <c r="F31" s="303">
        <f>'- 31 -'!F31</f>
        <v>651340</v>
      </c>
      <c r="G31" s="304">
        <f t="shared" si="1"/>
        <v>1.0739253162386397</v>
      </c>
      <c r="I31" s="1">
        <v>606504</v>
      </c>
    </row>
    <row r="32" spans="1:12" ht="14.1" customHeight="1">
      <c r="A32" s="15" t="s">
        <v>128</v>
      </c>
      <c r="B32" s="139">
        <f>'- 31 -'!D32</f>
        <v>2247860</v>
      </c>
      <c r="C32" s="139">
        <f>B32/'- 7 -'!E32</f>
        <v>1030.6556625401192</v>
      </c>
      <c r="D32" s="145">
        <f t="shared" si="0"/>
        <v>5.8555404469035075</v>
      </c>
      <c r="E32" s="139">
        <f>I32/'- 7 -'!E32</f>
        <v>176.01375515818432</v>
      </c>
      <c r="F32" s="139">
        <f>'- 31 -'!F32</f>
        <v>631750</v>
      </c>
      <c r="G32" s="145">
        <f t="shared" si="1"/>
        <v>1.6456708502003199</v>
      </c>
      <c r="I32" s="1">
        <v>383886</v>
      </c>
    </row>
    <row r="33" spans="1:9" ht="14.1" customHeight="1">
      <c r="A33" s="271" t="s">
        <v>129</v>
      </c>
      <c r="B33" s="303">
        <f>'- 31 -'!D33</f>
        <v>2717300</v>
      </c>
      <c r="C33" s="303">
        <f>B33/'- 7 -'!E33</f>
        <v>1349.2055610724926</v>
      </c>
      <c r="D33" s="304">
        <f t="shared" si="0"/>
        <v>5.5234726753463219</v>
      </c>
      <c r="E33" s="303">
        <f>I33/'- 7 -'!E33</f>
        <v>244.26762661370407</v>
      </c>
      <c r="F33" s="303">
        <f>'- 31 -'!F33</f>
        <v>427000</v>
      </c>
      <c r="G33" s="304">
        <f t="shared" si="1"/>
        <v>0.86796556595623586</v>
      </c>
      <c r="I33" s="1">
        <v>491955</v>
      </c>
    </row>
    <row r="34" spans="1:9" ht="14.1" customHeight="1">
      <c r="A34" s="15" t="s">
        <v>130</v>
      </c>
      <c r="B34" s="139">
        <f>'- 31 -'!D34</f>
        <v>2259790</v>
      </c>
      <c r="C34" s="139">
        <f>B34/'- 7 -'!E34</f>
        <v>1133.8635223281485</v>
      </c>
      <c r="D34" s="145">
        <f t="shared" si="0"/>
        <v>6.2938381497738467</v>
      </c>
      <c r="E34" s="139">
        <f>I34/'- 7 -'!E34</f>
        <v>180.15454089312595</v>
      </c>
      <c r="F34" s="139">
        <f>'- 31 -'!F34</f>
        <v>370828</v>
      </c>
      <c r="G34" s="145">
        <f t="shared" si="1"/>
        <v>1.0328089837570464</v>
      </c>
      <c r="I34" s="1">
        <v>359048</v>
      </c>
    </row>
    <row r="35" spans="1:9" ht="14.1" customHeight="1">
      <c r="A35" s="271" t="s">
        <v>131</v>
      </c>
      <c r="B35" s="303">
        <f>'- 31 -'!D35</f>
        <v>18830125</v>
      </c>
      <c r="C35" s="303">
        <f>B35/'- 7 -'!E35</f>
        <v>1218.3051889233955</v>
      </c>
      <c r="D35" s="304">
        <f t="shared" si="0"/>
        <v>7.7106249905306949</v>
      </c>
      <c r="E35" s="303">
        <f>I35/'- 7 -'!E35</f>
        <v>158.00342908902692</v>
      </c>
      <c r="F35" s="303">
        <f>'- 31 -'!F35</f>
        <v>659000</v>
      </c>
      <c r="G35" s="304">
        <f t="shared" si="1"/>
        <v>0.26984960900470539</v>
      </c>
      <c r="I35" s="1">
        <v>2442101</v>
      </c>
    </row>
    <row r="36" spans="1:9" ht="14.1" customHeight="1">
      <c r="A36" s="15" t="s">
        <v>132</v>
      </c>
      <c r="B36" s="139">
        <f>'- 31 -'!D36</f>
        <v>2323360</v>
      </c>
      <c r="C36" s="139">
        <f>B36/'- 7 -'!E36</f>
        <v>1401.7254901960785</v>
      </c>
      <c r="D36" s="145">
        <f t="shared" si="0"/>
        <v>7.2176676535186504</v>
      </c>
      <c r="E36" s="139">
        <f>I36/'- 7 -'!E36</f>
        <v>194.20754147812971</v>
      </c>
      <c r="F36" s="139">
        <f>'- 31 -'!F36</f>
        <v>155000</v>
      </c>
      <c r="G36" s="145">
        <f t="shared" si="1"/>
        <v>0.48151749461787702</v>
      </c>
      <c r="I36" s="1">
        <v>321899</v>
      </c>
    </row>
    <row r="37" spans="1:9" ht="14.1" customHeight="1">
      <c r="A37" s="271" t="s">
        <v>133</v>
      </c>
      <c r="B37" s="303">
        <f>'- 31 -'!D37</f>
        <v>4111700</v>
      </c>
      <c r="C37" s="303">
        <f>B37/'- 7 -'!E37</f>
        <v>1001.9982941391495</v>
      </c>
      <c r="D37" s="304">
        <f t="shared" si="0"/>
        <v>7.0499378455998976</v>
      </c>
      <c r="E37" s="303">
        <f>I37/'- 7 -'!E37</f>
        <v>142.12867064700865</v>
      </c>
      <c r="F37" s="303">
        <f>'- 31 -'!F37</f>
        <v>490000</v>
      </c>
      <c r="G37" s="304">
        <f t="shared" si="1"/>
        <v>0.84015602897680997</v>
      </c>
      <c r="I37" s="1">
        <v>583225</v>
      </c>
    </row>
    <row r="38" spans="1:9" ht="14.1" customHeight="1">
      <c r="A38" s="15" t="s">
        <v>134</v>
      </c>
      <c r="B38" s="139">
        <f>'- 31 -'!D38</f>
        <v>11209880</v>
      </c>
      <c r="C38" s="139">
        <f>B38/'- 7 -'!E38</f>
        <v>1018.4319069682929</v>
      </c>
      <c r="D38" s="145">
        <f t="shared" si="0"/>
        <v>8.4626243928511578</v>
      </c>
      <c r="E38" s="139">
        <f>I38/'- 7 -'!E38</f>
        <v>120.34468974289089</v>
      </c>
      <c r="F38" s="139">
        <f>'- 31 -'!F38</f>
        <v>817090</v>
      </c>
      <c r="G38" s="145">
        <f t="shared" si="1"/>
        <v>0.6168420861913555</v>
      </c>
      <c r="I38" s="1">
        <v>1324634</v>
      </c>
    </row>
    <row r="39" spans="1:9" ht="14.1" customHeight="1">
      <c r="A39" s="271" t="s">
        <v>135</v>
      </c>
      <c r="B39" s="303">
        <f>'- 31 -'!D39</f>
        <v>2094600</v>
      </c>
      <c r="C39" s="303">
        <f>B39/'- 7 -'!E39</f>
        <v>1371.7092337917486</v>
      </c>
      <c r="D39" s="304">
        <f t="shared" si="0"/>
        <v>6.663209830986184</v>
      </c>
      <c r="E39" s="303">
        <f>I39/'- 7 -'!E39</f>
        <v>205.86313032089063</v>
      </c>
      <c r="F39" s="303">
        <f>'- 31 -'!F39</f>
        <v>121200</v>
      </c>
      <c r="G39" s="304">
        <f t="shared" si="1"/>
        <v>0.38555382006852168</v>
      </c>
      <c r="I39" s="1">
        <v>314353</v>
      </c>
    </row>
    <row r="40" spans="1:9" ht="14.1" customHeight="1">
      <c r="A40" s="15" t="s">
        <v>136</v>
      </c>
      <c r="B40" s="139">
        <f>'- 31 -'!D40</f>
        <v>8330440</v>
      </c>
      <c r="C40" s="139">
        <f>B40/'- 7 -'!E40</f>
        <v>1048.0386483154266</v>
      </c>
      <c r="D40" s="145">
        <f t="shared" si="0"/>
        <v>5.8545299932180992</v>
      </c>
      <c r="E40" s="139">
        <f>I40/'- 7 -'!E40</f>
        <v>179.01328535842791</v>
      </c>
      <c r="F40" s="139">
        <f>'- 31 -'!F40</f>
        <v>1197687</v>
      </c>
      <c r="G40" s="145">
        <f t="shared" si="1"/>
        <v>0.84171958071691366</v>
      </c>
      <c r="I40" s="1">
        <v>1422905</v>
      </c>
    </row>
    <row r="41" spans="1:9" ht="14.1" customHeight="1">
      <c r="A41" s="271" t="s">
        <v>137</v>
      </c>
      <c r="B41" s="303">
        <f>'- 31 -'!D41</f>
        <v>4917209</v>
      </c>
      <c r="C41" s="303">
        <f>B41/'- 7 -'!E41</f>
        <v>1115.1398117700419</v>
      </c>
      <c r="D41" s="304">
        <f t="shared" si="0"/>
        <v>6.7657275496641356</v>
      </c>
      <c r="E41" s="303">
        <f>I41/'- 7 -'!E41</f>
        <v>164.82186188910308</v>
      </c>
      <c r="F41" s="303">
        <f>'- 31 -'!F41</f>
        <v>525000</v>
      </c>
      <c r="G41" s="304">
        <f t="shared" si="1"/>
        <v>0.72236241403887269</v>
      </c>
      <c r="I41" s="1">
        <v>726782</v>
      </c>
    </row>
    <row r="42" spans="1:9" ht="14.1" customHeight="1">
      <c r="A42" s="15" t="s">
        <v>138</v>
      </c>
      <c r="B42" s="139">
        <f>'- 31 -'!D42</f>
        <v>2061034</v>
      </c>
      <c r="C42" s="139">
        <f>B42/'- 7 -'!E42</f>
        <v>1514.3526818515797</v>
      </c>
      <c r="D42" s="145">
        <f t="shared" si="0"/>
        <v>6.2503495103822022</v>
      </c>
      <c r="E42" s="139">
        <f>I42/'- 7 -'!E42</f>
        <v>242.28288023512124</v>
      </c>
      <c r="F42" s="139">
        <f>'- 31 -'!F42</f>
        <v>118585</v>
      </c>
      <c r="G42" s="145">
        <f t="shared" si="1"/>
        <v>0.35962419673264656</v>
      </c>
      <c r="I42" s="1">
        <v>329747</v>
      </c>
    </row>
    <row r="43" spans="1:9" ht="14.1" customHeight="1">
      <c r="A43" s="271" t="s">
        <v>139</v>
      </c>
      <c r="B43" s="303">
        <f>'- 31 -'!D43</f>
        <v>812112</v>
      </c>
      <c r="C43" s="303">
        <f>B43/'- 7 -'!E43</f>
        <v>863.48963317384369</v>
      </c>
      <c r="D43" s="304">
        <f>B43/I43</f>
        <v>4.4475404988006444</v>
      </c>
      <c r="E43" s="303">
        <f>I43/'- 7 -'!E43</f>
        <v>194.14992025518342</v>
      </c>
      <c r="F43" s="303">
        <f>'- 31 -'!F43</f>
        <v>130783</v>
      </c>
      <c r="G43" s="304">
        <f>F43/I43</f>
        <v>0.71623456992957202</v>
      </c>
      <c r="I43" s="1">
        <v>182598</v>
      </c>
    </row>
    <row r="44" spans="1:9" ht="14.1" customHeight="1">
      <c r="A44" s="15" t="s">
        <v>140</v>
      </c>
      <c r="B44" s="139">
        <f>'- 31 -'!D44</f>
        <v>1106353</v>
      </c>
      <c r="C44" s="139">
        <f>B44/'- 7 -'!E44</f>
        <v>1578.249643366619</v>
      </c>
      <c r="D44" s="145">
        <f>B44/I44</f>
        <v>6.1223582927058722</v>
      </c>
      <c r="E44" s="139">
        <f>I44/'- 7 -'!E44</f>
        <v>257.78459343794577</v>
      </c>
      <c r="F44" s="139">
        <f>'- 31 -'!F44</f>
        <v>57000</v>
      </c>
      <c r="G44" s="145">
        <f>F44/I44</f>
        <v>0.31542773661230611</v>
      </c>
      <c r="I44" s="1">
        <v>180707</v>
      </c>
    </row>
    <row r="45" spans="1:9" ht="14.1" customHeight="1">
      <c r="A45" s="271" t="s">
        <v>141</v>
      </c>
      <c r="B45" s="303">
        <f>'- 31 -'!D45</f>
        <v>1548424</v>
      </c>
      <c r="C45" s="303">
        <f>B45/'- 7 -'!E45</f>
        <v>909.76733254994122</v>
      </c>
      <c r="D45" s="304">
        <f>B45/I45</f>
        <v>7.2675149370368111</v>
      </c>
      <c r="E45" s="303">
        <f>I45/'- 7 -'!E45</f>
        <v>125.18272620446534</v>
      </c>
      <c r="F45" s="303">
        <f>'- 31 -'!F45</f>
        <v>193940</v>
      </c>
      <c r="G45" s="304">
        <f>F45/I45</f>
        <v>0.91025574835375789</v>
      </c>
      <c r="I45" s="1">
        <v>213061</v>
      </c>
    </row>
    <row r="46" spans="1:9" ht="14.1" customHeight="1">
      <c r="A46" s="15" t="s">
        <v>142</v>
      </c>
      <c r="B46" s="139">
        <f>'- 31 -'!D46</f>
        <v>39362200</v>
      </c>
      <c r="C46" s="139">
        <f>B46/'- 7 -'!E46</f>
        <v>1305.2425639155088</v>
      </c>
      <c r="D46" s="145">
        <f>B46/I46</f>
        <v>7.8633389714744153</v>
      </c>
      <c r="E46" s="139">
        <f>I46/'- 7 -'!E46</f>
        <v>165.99088105580793</v>
      </c>
      <c r="F46" s="139">
        <f>'- 31 -'!F46</f>
        <v>5415100</v>
      </c>
      <c r="G46" s="145">
        <f>F46/I46</f>
        <v>1.0817679617610578</v>
      </c>
      <c r="I46" s="1">
        <v>5005787</v>
      </c>
    </row>
    <row r="47" spans="1:9" ht="5.0999999999999996" customHeight="1">
      <c r="A47"/>
      <c r="B47"/>
      <c r="C47"/>
      <c r="D47"/>
      <c r="E47"/>
      <c r="F47"/>
      <c r="G47"/>
      <c r="H47"/>
      <c r="I47"/>
    </row>
    <row r="48" spans="1:9" ht="14.1" customHeight="1">
      <c r="A48" s="274" t="s">
        <v>143</v>
      </c>
      <c r="B48" s="305">
        <f>SUM(B11:B46)</f>
        <v>214658518</v>
      </c>
      <c r="C48" s="305">
        <f>B48/'- 7 -'!E48</f>
        <v>1225.6814809817886</v>
      </c>
      <c r="D48" s="306">
        <f>B48/I48</f>
        <v>7.3912895327482078</v>
      </c>
      <c r="E48" s="305">
        <f>I48/'- 7 -'!E48</f>
        <v>165.82782686988847</v>
      </c>
      <c r="F48" s="305">
        <f>SUM(F11:F46)</f>
        <v>23234974</v>
      </c>
      <c r="G48" s="306">
        <f>F48/I48</f>
        <v>0.80004474884093235</v>
      </c>
      <c r="I48" s="1">
        <f>SUM(I11:I46)</f>
        <v>29042093</v>
      </c>
    </row>
    <row r="49" spans="1:9" ht="5.0999999999999996" customHeight="1">
      <c r="A49" s="17" t="s">
        <v>1</v>
      </c>
      <c r="B49" s="140"/>
      <c r="C49" s="140"/>
      <c r="D49" s="79"/>
      <c r="E49" s="140"/>
      <c r="F49" s="140"/>
      <c r="G49" s="79"/>
    </row>
    <row r="50" spans="1:9" ht="14.1" customHeight="1">
      <c r="A50" s="15" t="s">
        <v>144</v>
      </c>
      <c r="B50" s="139">
        <f>'- 31 -'!D50</f>
        <v>398248</v>
      </c>
      <c r="C50" s="139">
        <f>B50/'- 7 -'!E50</f>
        <v>2473.5900621118012</v>
      </c>
      <c r="D50" s="145">
        <f>B50/I50</f>
        <v>5.4512702584318875</v>
      </c>
      <c r="E50" s="139">
        <f>I50/'- 7 -'!E50</f>
        <v>453.76397515527952</v>
      </c>
      <c r="F50" s="139">
        <f>'- 31 -'!F50</f>
        <v>39159</v>
      </c>
      <c r="G50" s="248" t="s">
        <v>88</v>
      </c>
      <c r="I50" s="129">
        <v>73056</v>
      </c>
    </row>
    <row r="51" spans="1:9" ht="14.1" customHeight="1">
      <c r="A51" s="360" t="s">
        <v>523</v>
      </c>
      <c r="B51" s="303">
        <f>'- 31 -'!D51</f>
        <v>2551451</v>
      </c>
      <c r="C51" s="303">
        <f>B51/'- 7 -'!E51</f>
        <v>3521.6714975845412</v>
      </c>
      <c r="D51" s="308" t="s">
        <v>88</v>
      </c>
      <c r="E51" s="307" t="s">
        <v>88</v>
      </c>
      <c r="F51" s="303">
        <f>'- 31 -'!F51</f>
        <v>0</v>
      </c>
      <c r="G51" s="308" t="s">
        <v>88</v>
      </c>
    </row>
    <row r="52" spans="1:9" ht="50.1" customHeight="1">
      <c r="A52" s="19"/>
      <c r="B52" s="19"/>
      <c r="C52" s="19"/>
      <c r="D52" s="19"/>
      <c r="E52" s="19"/>
      <c r="F52" s="19"/>
      <c r="G52" s="19"/>
    </row>
    <row r="53" spans="1:9" ht="15" customHeight="1">
      <c r="A53" s="131" t="s">
        <v>576</v>
      </c>
    </row>
    <row r="54" spans="1:9" ht="12" customHeight="1">
      <c r="A54" s="1" t="s">
        <v>337</v>
      </c>
    </row>
    <row r="55" spans="1:9" ht="14.45" customHeight="1"/>
    <row r="56" spans="1:9" ht="14.45" customHeight="1"/>
    <row r="57" spans="1:9" ht="14.45" customHeight="1"/>
    <row r="58" spans="1:9" ht="14.45" customHeight="1"/>
    <row r="59" spans="1:9" ht="14.45" customHeight="1"/>
  </sheetData>
  <mergeCells count="6">
    <mergeCell ref="B7:E7"/>
    <mergeCell ref="F6:G7"/>
    <mergeCell ref="C8:C9"/>
    <mergeCell ref="D8:D9"/>
    <mergeCell ref="G8:G9"/>
    <mergeCell ref="E8:E9"/>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3.xml><?xml version="1.0" encoding="utf-8"?>
<worksheet xmlns="http://schemas.openxmlformats.org/spreadsheetml/2006/main" xmlns:r="http://schemas.openxmlformats.org/officeDocument/2006/relationships">
  <sheetPr codeName="Sheet52">
    <pageSetUpPr fitToPage="1"/>
  </sheetPr>
  <dimension ref="A1:BB59"/>
  <sheetViews>
    <sheetView showGridLines="0" showZeros="0" workbookViewId="0"/>
  </sheetViews>
  <sheetFormatPr defaultColWidth="15.83203125" defaultRowHeight="12"/>
  <cols>
    <col min="1" max="1" width="29.83203125" style="1" customWidth="1"/>
    <col min="2" max="2" width="15.83203125" style="1"/>
    <col min="3" max="3" width="8.83203125" style="1" customWidth="1"/>
    <col min="4" max="4" width="9.83203125" style="1" customWidth="1"/>
    <col min="5" max="5" width="15.83203125" style="1"/>
    <col min="6" max="6" width="8.83203125" style="1" customWidth="1"/>
    <col min="7" max="7" width="9.83203125" style="1" customWidth="1"/>
    <col min="8" max="8" width="15.83203125" style="1"/>
    <col min="9" max="9" width="8.83203125" style="1" customWidth="1"/>
    <col min="10" max="10" width="9.83203125" style="1" customWidth="1"/>
    <col min="11" max="16384" width="15.83203125" style="1"/>
  </cols>
  <sheetData>
    <row r="1" spans="1:54" ht="6.95" customHeight="1">
      <c r="A1" s="3"/>
      <c r="B1" s="4"/>
      <c r="C1" s="4"/>
      <c r="D1" s="4"/>
      <c r="E1" s="4"/>
      <c r="F1" s="4"/>
      <c r="G1" s="4"/>
      <c r="H1" s="4"/>
      <c r="I1" s="4"/>
      <c r="J1" s="4"/>
    </row>
    <row r="2" spans="1:54" ht="15.95" customHeight="1">
      <c r="A2" s="132"/>
      <c r="B2" s="5" t="str">
        <f>IF(Lang=1,BA2,BB2)</f>
        <v>ANALYSIS OF INFORMATION TECHNOLOGY EXPENSES</v>
      </c>
      <c r="C2" s="6"/>
      <c r="D2" s="6"/>
      <c r="E2" s="6"/>
      <c r="F2" s="6"/>
      <c r="G2" s="6"/>
      <c r="H2" s="85"/>
      <c r="I2" s="141"/>
      <c r="J2" s="92"/>
      <c r="BA2" s="456" t="s">
        <v>305</v>
      </c>
      <c r="BB2" s="456" t="s">
        <v>448</v>
      </c>
    </row>
    <row r="3" spans="1:54" ht="15.95" customHeight="1">
      <c r="A3" s="135"/>
      <c r="B3" s="7" t="str">
        <f>OPYEAR</f>
        <v>OPERATING FUND 2016/2017 BUDGET</v>
      </c>
      <c r="C3" s="8"/>
      <c r="D3" s="8"/>
      <c r="E3" s="8"/>
      <c r="F3" s="8"/>
      <c r="G3" s="8"/>
      <c r="H3" s="87"/>
      <c r="I3" s="87"/>
      <c r="J3" s="81"/>
    </row>
    <row r="4" spans="1:54" ht="15.95" customHeight="1">
      <c r="B4" s="4"/>
      <c r="C4" s="4"/>
      <c r="D4" s="4"/>
      <c r="E4" s="4"/>
      <c r="F4" s="4"/>
      <c r="G4" s="4"/>
      <c r="H4" s="4"/>
      <c r="I4" s="4"/>
      <c r="J4" s="4"/>
    </row>
    <row r="5" spans="1:54" ht="14.1" customHeight="1"/>
    <row r="6" spans="1:54" ht="18" customHeight="1">
      <c r="B6" s="666" t="s">
        <v>257</v>
      </c>
      <c r="C6" s="667"/>
      <c r="D6" s="667"/>
      <c r="E6" s="667"/>
      <c r="F6" s="667"/>
      <c r="G6" s="667"/>
      <c r="H6" s="667"/>
      <c r="I6" s="667"/>
      <c r="J6" s="668"/>
    </row>
    <row r="7" spans="1:54" ht="15.95" customHeight="1">
      <c r="B7" s="599" t="s">
        <v>64</v>
      </c>
      <c r="C7" s="600"/>
      <c r="D7" s="601"/>
      <c r="E7" s="599" t="s">
        <v>58</v>
      </c>
      <c r="F7" s="600"/>
      <c r="G7" s="601"/>
      <c r="H7" s="599" t="s">
        <v>59</v>
      </c>
      <c r="I7" s="600"/>
      <c r="J7" s="601"/>
    </row>
    <row r="8" spans="1:54" ht="15.95" customHeight="1">
      <c r="A8" s="82"/>
      <c r="B8" s="137"/>
      <c r="C8" s="83"/>
      <c r="D8" s="536" t="s">
        <v>401</v>
      </c>
      <c r="E8" s="137"/>
      <c r="F8" s="138"/>
      <c r="G8" s="536" t="s">
        <v>401</v>
      </c>
      <c r="H8" s="137"/>
      <c r="I8" s="138"/>
      <c r="J8" s="536" t="s">
        <v>401</v>
      </c>
    </row>
    <row r="9" spans="1:54" ht="15.95" customHeight="1">
      <c r="A9" s="27" t="s">
        <v>37</v>
      </c>
      <c r="B9" s="89" t="s">
        <v>38</v>
      </c>
      <c r="C9" s="89" t="s">
        <v>39</v>
      </c>
      <c r="D9" s="576"/>
      <c r="E9" s="89" t="s">
        <v>38</v>
      </c>
      <c r="F9" s="89" t="s">
        <v>39</v>
      </c>
      <c r="G9" s="576"/>
      <c r="H9" s="89" t="s">
        <v>38</v>
      </c>
      <c r="I9" s="89" t="s">
        <v>39</v>
      </c>
      <c r="J9" s="576"/>
    </row>
    <row r="10" spans="1:54" ht="5.0999999999999996" customHeight="1">
      <c r="A10" s="29"/>
    </row>
    <row r="11" spans="1:54" ht="14.1" customHeight="1">
      <c r="A11" s="271" t="s">
        <v>108</v>
      </c>
      <c r="B11" s="272">
        <v>150550</v>
      </c>
      <c r="C11" s="273">
        <f>B11/'- 3 -'!$D11*100</f>
        <v>0.76959615192722619</v>
      </c>
      <c r="D11" s="272">
        <f>B11/'- 7 -'!$E11</f>
        <v>85.88134626354821</v>
      </c>
      <c r="E11" s="272">
        <v>179150</v>
      </c>
      <c r="F11" s="273">
        <f>E11/'- 3 -'!$D11*100</f>
        <v>0.91579641725514827</v>
      </c>
      <c r="G11" s="272">
        <f>E11/'- 7 -'!$E11</f>
        <v>102.19623502567028</v>
      </c>
      <c r="H11" s="272">
        <v>191386</v>
      </c>
      <c r="I11" s="273">
        <f>H11/'- 3 -'!$D11*100</f>
        <v>0.9783455937080312</v>
      </c>
      <c r="J11" s="272">
        <f>H11/'- 7 -'!$E11</f>
        <v>109.17626925270964</v>
      </c>
    </row>
    <row r="12" spans="1:54" ht="14.1" customHeight="1">
      <c r="A12" s="15" t="s">
        <v>109</v>
      </c>
      <c r="B12" s="16">
        <v>346676</v>
      </c>
      <c r="C12" s="267">
        <f>B12/'- 3 -'!$D12*100</f>
        <v>0.99278436069954701</v>
      </c>
      <c r="D12" s="16">
        <f>B12/'- 7 -'!$E12</f>
        <v>161.24465116279069</v>
      </c>
      <c r="E12" s="16">
        <v>125673</v>
      </c>
      <c r="F12" s="267">
        <f>E12/'- 3 -'!$D12*100</f>
        <v>0.3598927787392095</v>
      </c>
      <c r="G12" s="16">
        <f>E12/'- 7 -'!$E12</f>
        <v>58.452558139534887</v>
      </c>
      <c r="H12" s="16">
        <v>745326</v>
      </c>
      <c r="I12" s="267">
        <f>H12/'- 3 -'!$D12*100</f>
        <v>2.1344079094680639</v>
      </c>
      <c r="J12" s="16">
        <f>H12/'- 7 -'!$E12</f>
        <v>346.66325581395347</v>
      </c>
    </row>
    <row r="13" spans="1:54" ht="14.1" customHeight="1">
      <c r="A13" s="271" t="s">
        <v>110</v>
      </c>
      <c r="B13" s="272">
        <v>523300</v>
      </c>
      <c r="C13" s="273">
        <f>B13/'- 3 -'!$D13*100</f>
        <v>0.53415073809363411</v>
      </c>
      <c r="D13" s="272">
        <f>B13/'- 7 -'!$E13</f>
        <v>62.693183179585482</v>
      </c>
      <c r="E13" s="272">
        <v>321100</v>
      </c>
      <c r="F13" s="273">
        <f>E13/'- 3 -'!$D13*100</f>
        <v>0.32775807758812514</v>
      </c>
      <c r="G13" s="272">
        <f>E13/'- 7 -'!$E13</f>
        <v>38.468910985982987</v>
      </c>
      <c r="H13" s="272">
        <v>941300</v>
      </c>
      <c r="I13" s="273">
        <f>H13/'- 3 -'!$D13*100</f>
        <v>0.96081805803083842</v>
      </c>
      <c r="J13" s="272">
        <f>H13/'- 7 -'!$E13</f>
        <v>112.77105546903078</v>
      </c>
    </row>
    <row r="14" spans="1:54" ht="14.1" customHeight="1">
      <c r="A14" s="15" t="s">
        <v>319</v>
      </c>
      <c r="B14" s="16">
        <v>497183</v>
      </c>
      <c r="C14" s="267">
        <f>B14/'- 3 -'!$D14*100</f>
        <v>0.57667984480843093</v>
      </c>
      <c r="D14" s="16">
        <f>B14/'- 7 -'!$E14</f>
        <v>90.594569970845484</v>
      </c>
      <c r="E14" s="16">
        <v>367190</v>
      </c>
      <c r="F14" s="267">
        <f>E14/'- 3 -'!$D14*100</f>
        <v>0.42590167446434762</v>
      </c>
      <c r="G14" s="16">
        <f>E14/'- 7 -'!$E14</f>
        <v>66.907798833819243</v>
      </c>
      <c r="H14" s="16">
        <v>721686</v>
      </c>
      <c r="I14" s="267">
        <f>H14/'- 3 -'!$D14*100</f>
        <v>0.83707964769595355</v>
      </c>
      <c r="J14" s="16">
        <f>H14/'- 7 -'!$E14</f>
        <v>131.50255102040816</v>
      </c>
    </row>
    <row r="15" spans="1:54" ht="14.1" customHeight="1">
      <c r="A15" s="271" t="s">
        <v>111</v>
      </c>
      <c r="B15" s="272">
        <v>130000</v>
      </c>
      <c r="C15" s="273">
        <f>B15/'- 3 -'!$D15*100</f>
        <v>0.63695659395594828</v>
      </c>
      <c r="D15" s="272">
        <f>B15/'- 7 -'!$E15</f>
        <v>94.925155166119026</v>
      </c>
      <c r="E15" s="272">
        <v>71450</v>
      </c>
      <c r="F15" s="273">
        <f>E15/'- 3 -'!$D15*100</f>
        <v>0.35008114337040386</v>
      </c>
      <c r="G15" s="272">
        <f>E15/'- 7 -'!$E15</f>
        <v>52.172325666301568</v>
      </c>
      <c r="H15" s="272">
        <v>239472</v>
      </c>
      <c r="I15" s="273">
        <f>H15/'- 3 -'!$D15*100</f>
        <v>1.173332842060145</v>
      </c>
      <c r="J15" s="272">
        <f>H15/'- 7 -'!$E15</f>
        <v>174.86089813800658</v>
      </c>
    </row>
    <row r="16" spans="1:54" ht="14.1" customHeight="1">
      <c r="A16" s="15" t="s">
        <v>112</v>
      </c>
      <c r="B16" s="16">
        <v>116303</v>
      </c>
      <c r="C16" s="267">
        <f>B16/'- 3 -'!$D16*100</f>
        <v>0.79556595943840092</v>
      </c>
      <c r="D16" s="16">
        <f>B16/'- 7 -'!$E16</f>
        <v>121.46527415143603</v>
      </c>
      <c r="E16" s="16">
        <v>58142</v>
      </c>
      <c r="F16" s="267">
        <f>E16/'- 3 -'!$D16*100</f>
        <v>0.39771799535409674</v>
      </c>
      <c r="G16" s="16">
        <f>E16/'- 7 -'!$E16</f>
        <v>60.722715404699741</v>
      </c>
      <c r="H16" s="16">
        <v>169831</v>
      </c>
      <c r="I16" s="267">
        <f>H16/'- 3 -'!$D16*100</f>
        <v>1.161722074730515</v>
      </c>
      <c r="J16" s="16">
        <f>H16/'- 7 -'!$E16</f>
        <v>177.36919060052219</v>
      </c>
    </row>
    <row r="17" spans="1:10" ht="14.1" customHeight="1">
      <c r="A17" s="271" t="s">
        <v>113</v>
      </c>
      <c r="B17" s="272">
        <v>155700</v>
      </c>
      <c r="C17" s="273">
        <f>B17/'- 3 -'!$D17*100</f>
        <v>0.85471572797159601</v>
      </c>
      <c r="D17" s="272">
        <f>B17/'- 7 -'!$E17</f>
        <v>114.52739977933064</v>
      </c>
      <c r="E17" s="272">
        <v>138818</v>
      </c>
      <c r="F17" s="273">
        <f>E17/'- 3 -'!$D17*100</f>
        <v>0.76204192630418122</v>
      </c>
      <c r="G17" s="272">
        <f>E17/'- 7 -'!$E17</f>
        <v>102.10959911732255</v>
      </c>
      <c r="H17" s="272">
        <v>235789</v>
      </c>
      <c r="I17" s="273">
        <f>H17/'- 3 -'!$D17*100</f>
        <v>1.2943645907687518</v>
      </c>
      <c r="J17" s="272">
        <f>H17/'- 7 -'!$E17</f>
        <v>173.43802868701729</v>
      </c>
    </row>
    <row r="18" spans="1:10" ht="14.1" customHeight="1">
      <c r="A18" s="15" t="s">
        <v>114</v>
      </c>
      <c r="B18" s="16">
        <v>362728</v>
      </c>
      <c r="C18" s="267">
        <f>B18/'- 3 -'!$D18*100</f>
        <v>0.27492137378163789</v>
      </c>
      <c r="D18" s="16">
        <f>B18/'- 7 -'!$E18</f>
        <v>58.27330270218166</v>
      </c>
      <c r="E18" s="16">
        <v>0</v>
      </c>
      <c r="F18" s="267">
        <f>E18/'- 3 -'!$D18*100</f>
        <v>0</v>
      </c>
      <c r="G18" s="16">
        <f>E18/'- 7 -'!$E18</f>
        <v>0</v>
      </c>
      <c r="H18" s="16">
        <v>1178497</v>
      </c>
      <c r="I18" s="267">
        <f>H18/'- 3 -'!$D18*100</f>
        <v>0.89321478969789736</v>
      </c>
      <c r="J18" s="16">
        <f>H18/'- 7 -'!$E18</f>
        <v>189.32895286444108</v>
      </c>
    </row>
    <row r="19" spans="1:10" ht="14.1" customHeight="1">
      <c r="A19" s="271" t="s">
        <v>115</v>
      </c>
      <c r="B19" s="272">
        <v>520000</v>
      </c>
      <c r="C19" s="273">
        <f>B19/'- 3 -'!$D19*100</f>
        <v>1.1195213959915107</v>
      </c>
      <c r="D19" s="272">
        <f>B19/'- 7 -'!$E19</f>
        <v>123.28117591275486</v>
      </c>
      <c r="E19" s="272">
        <v>273800</v>
      </c>
      <c r="F19" s="273">
        <f>E19/'- 3 -'!$D19*100</f>
        <v>0.5894710735047608</v>
      </c>
      <c r="G19" s="272">
        <f>E19/'- 7 -'!$E19</f>
        <v>64.912280701754383</v>
      </c>
      <c r="H19" s="272">
        <v>810500</v>
      </c>
      <c r="I19" s="273">
        <f>H19/'- 3 -'!$D19*100</f>
        <v>1.7449463297136911</v>
      </c>
      <c r="J19" s="272">
        <f>H19/'- 7 -'!$E19</f>
        <v>192.15267899478425</v>
      </c>
    </row>
    <row r="20" spans="1:10" ht="14.1" customHeight="1">
      <c r="A20" s="15" t="s">
        <v>116</v>
      </c>
      <c r="B20" s="16">
        <v>723100</v>
      </c>
      <c r="C20" s="267">
        <f>B20/'- 3 -'!$D20*100</f>
        <v>0.87872159436140473</v>
      </c>
      <c r="D20" s="16">
        <f>B20/'- 7 -'!$E20</f>
        <v>95.389486181650284</v>
      </c>
      <c r="E20" s="16">
        <v>267500</v>
      </c>
      <c r="F20" s="267">
        <f>E20/'- 3 -'!$D20*100</f>
        <v>0.325069874832908</v>
      </c>
      <c r="G20" s="16">
        <f>E20/'- 7 -'!$E20</f>
        <v>35.28790976848493</v>
      </c>
      <c r="H20" s="16">
        <v>1394500</v>
      </c>
      <c r="I20" s="267">
        <f>H20/'- 3 -'!$D20*100</f>
        <v>1.6946165998298699</v>
      </c>
      <c r="J20" s="16">
        <f>H20/'- 7 -'!$E20</f>
        <v>183.95884176505507</v>
      </c>
    </row>
    <row r="21" spans="1:10" ht="14.1" customHeight="1">
      <c r="A21" s="271" t="s">
        <v>117</v>
      </c>
      <c r="B21" s="272">
        <v>467824</v>
      </c>
      <c r="C21" s="273">
        <f>B21/'- 3 -'!$D21*100</f>
        <v>1.2862313087776933</v>
      </c>
      <c r="D21" s="272">
        <f>B21/'- 7 -'!$E21</f>
        <v>172.88396156688839</v>
      </c>
      <c r="E21" s="272">
        <v>164575</v>
      </c>
      <c r="F21" s="273">
        <f>E21/'- 3 -'!$D21*100</f>
        <v>0.45248109896475791</v>
      </c>
      <c r="G21" s="272">
        <f>E21/'- 7 -'!$E21</f>
        <v>60.818551367331857</v>
      </c>
      <c r="H21" s="272">
        <v>334065</v>
      </c>
      <c r="I21" s="273">
        <f>H21/'- 3 -'!$D21*100</f>
        <v>0.91847545693854982</v>
      </c>
      <c r="J21" s="272">
        <f>H21/'- 7 -'!$E21</f>
        <v>123.45343680709534</v>
      </c>
    </row>
    <row r="22" spans="1:10" ht="14.1" customHeight="1">
      <c r="A22" s="15" t="s">
        <v>118</v>
      </c>
      <c r="B22" s="16">
        <v>165000</v>
      </c>
      <c r="C22" s="267">
        <f>B22/'- 3 -'!$D22*100</f>
        <v>0.79819030424208637</v>
      </c>
      <c r="D22" s="16">
        <f>B22/'- 7 -'!$E22</f>
        <v>105.8914131690412</v>
      </c>
      <c r="E22" s="16">
        <v>13844</v>
      </c>
      <c r="F22" s="267">
        <f>E22/'- 3 -'!$D22*100</f>
        <v>6.6970585284408746E-2</v>
      </c>
      <c r="G22" s="16">
        <f>E22/'- 7 -'!$E22</f>
        <v>8.884610447952765</v>
      </c>
      <c r="H22" s="16">
        <v>153759</v>
      </c>
      <c r="I22" s="267">
        <f>H22/'- 3 -'!$D22*100</f>
        <v>0.74381177569672097</v>
      </c>
      <c r="J22" s="16">
        <f>H22/'- 7 -'!$E22</f>
        <v>98.677319984597617</v>
      </c>
    </row>
    <row r="23" spans="1:10" ht="14.1" customHeight="1">
      <c r="A23" s="271" t="s">
        <v>119</v>
      </c>
      <c r="B23" s="272">
        <v>129000</v>
      </c>
      <c r="C23" s="273">
        <f>B23/'- 3 -'!$D23*100</f>
        <v>0.76818860709600234</v>
      </c>
      <c r="D23" s="272">
        <f>B23/'- 7 -'!$E23</f>
        <v>115.79892280071813</v>
      </c>
      <c r="E23" s="272">
        <v>65000</v>
      </c>
      <c r="F23" s="273">
        <f>E23/'- 3 -'!$D23*100</f>
        <v>0.38707177876930349</v>
      </c>
      <c r="G23" s="272">
        <f>E23/'- 7 -'!$E23</f>
        <v>58.348294434470375</v>
      </c>
      <c r="H23" s="272">
        <v>248000</v>
      </c>
      <c r="I23" s="273">
        <f>H23/'- 3 -'!$D23*100</f>
        <v>1.4768277097659579</v>
      </c>
      <c r="J23" s="272">
        <f>H23/'- 7 -'!$E23</f>
        <v>222.62118491921007</v>
      </c>
    </row>
    <row r="24" spans="1:10" ht="14.1" customHeight="1">
      <c r="A24" s="15" t="s">
        <v>120</v>
      </c>
      <c r="B24" s="16">
        <v>462360</v>
      </c>
      <c r="C24" s="267">
        <f>B24/'- 3 -'!$D24*100</f>
        <v>0.79570205243321324</v>
      </c>
      <c r="D24" s="16">
        <f>B24/'- 7 -'!$E24</f>
        <v>117.03834957600304</v>
      </c>
      <c r="E24" s="16">
        <v>357380</v>
      </c>
      <c r="F24" s="267">
        <f>E24/'- 3 -'!$D24*100</f>
        <v>0.61503590167527844</v>
      </c>
      <c r="G24" s="16">
        <f>E24/'- 7 -'!$E24</f>
        <v>90.464498164789262</v>
      </c>
      <c r="H24" s="16">
        <v>1066640</v>
      </c>
      <c r="I24" s="267">
        <f>H24/'- 3 -'!$D24*100</f>
        <v>1.8356424370779536</v>
      </c>
      <c r="J24" s="16">
        <f>H24/'- 7 -'!$E24</f>
        <v>270.00126566257438</v>
      </c>
    </row>
    <row r="25" spans="1:10" ht="14.1" customHeight="1">
      <c r="A25" s="271" t="s">
        <v>121</v>
      </c>
      <c r="B25" s="272">
        <v>868863</v>
      </c>
      <c r="C25" s="273">
        <f>B25/'- 3 -'!$D25*100</f>
        <v>0.49733617883484627</v>
      </c>
      <c r="D25" s="272">
        <f>B25/'- 7 -'!$E25</f>
        <v>60.84261755540772</v>
      </c>
      <c r="E25" s="272">
        <v>1018800</v>
      </c>
      <c r="F25" s="273">
        <f>E25/'- 3 -'!$D25*100</f>
        <v>0.58315994465979271</v>
      </c>
      <c r="G25" s="272">
        <f>E25/'- 7 -'!$E25</f>
        <v>71.342039844543265</v>
      </c>
      <c r="H25" s="272">
        <v>1918478</v>
      </c>
      <c r="I25" s="273">
        <f>H25/'- 3 -'!$D25*100</f>
        <v>1.0981345939448663</v>
      </c>
      <c r="J25" s="272">
        <f>H25/'- 7 -'!$E25</f>
        <v>134.3424950106789</v>
      </c>
    </row>
    <row r="26" spans="1:10" ht="14.1" customHeight="1">
      <c r="A26" s="15" t="s">
        <v>122</v>
      </c>
      <c r="B26" s="16">
        <v>377380</v>
      </c>
      <c r="C26" s="267">
        <f>B26/'- 3 -'!$D26*100</f>
        <v>0.92451598202678997</v>
      </c>
      <c r="D26" s="16">
        <f>B26/'- 7 -'!$E26</f>
        <v>119.42027151039524</v>
      </c>
      <c r="E26" s="16">
        <v>412800</v>
      </c>
      <c r="F26" s="267">
        <f>E26/'- 3 -'!$D26*100</f>
        <v>1.0112888795926094</v>
      </c>
      <c r="G26" s="16">
        <f>E26/'- 7 -'!$E26</f>
        <v>130.62877757033004</v>
      </c>
      <c r="H26" s="16">
        <v>431621</v>
      </c>
      <c r="I26" s="267">
        <f>H26/'- 3 -'!$D26*100</f>
        <v>1.0573970869637637</v>
      </c>
      <c r="J26" s="16">
        <f>H26/'- 7 -'!$E26</f>
        <v>136.58460175310907</v>
      </c>
    </row>
    <row r="27" spans="1:10" ht="14.1" customHeight="1">
      <c r="A27" s="271" t="s">
        <v>123</v>
      </c>
      <c r="B27" s="272">
        <v>194499</v>
      </c>
      <c r="C27" s="273">
        <f>B27/'- 3 -'!$D27*100</f>
        <v>0.44440661700863687</v>
      </c>
      <c r="D27" s="272">
        <f>B27/'- 7 -'!$E27</f>
        <v>66.837816211015152</v>
      </c>
      <c r="E27" s="272">
        <v>171050</v>
      </c>
      <c r="F27" s="273">
        <f>E27/'- 3 -'!$D27*100</f>
        <v>0.39082849700680899</v>
      </c>
      <c r="G27" s="272">
        <f>E27/'- 7 -'!$E27</f>
        <v>58.779780167991312</v>
      </c>
      <c r="H27" s="272">
        <v>188224</v>
      </c>
      <c r="I27" s="273">
        <f>H27/'- 3 -'!$D27*100</f>
        <v>0.43006900333592291</v>
      </c>
      <c r="J27" s="272">
        <f>H27/'- 7 -'!$E27</f>
        <v>64.681469408593969</v>
      </c>
    </row>
    <row r="28" spans="1:10" ht="14.1" customHeight="1">
      <c r="A28" s="15" t="s">
        <v>124</v>
      </c>
      <c r="B28" s="16">
        <v>226598</v>
      </c>
      <c r="C28" s="267">
        <f>B28/'- 3 -'!$D28*100</f>
        <v>0.79033842164396795</v>
      </c>
      <c r="D28" s="16">
        <f>B28/'- 7 -'!$E28</f>
        <v>116.47288614751992</v>
      </c>
      <c r="E28" s="16">
        <v>214700</v>
      </c>
      <c r="F28" s="267">
        <f>E28/'- 3 -'!$D28*100</f>
        <v>0.74884005651841545</v>
      </c>
      <c r="G28" s="16">
        <f>E28/'- 7 -'!$E28</f>
        <v>110.35723464405038</v>
      </c>
      <c r="H28" s="16">
        <v>318200</v>
      </c>
      <c r="I28" s="267">
        <f>H28/'- 3 -'!$D28*100</f>
        <v>1.1098318862792727</v>
      </c>
      <c r="J28" s="16">
        <f>H28/'- 7 -'!$E28</f>
        <v>163.55692624004112</v>
      </c>
    </row>
    <row r="29" spans="1:10" ht="14.1" customHeight="1">
      <c r="A29" s="271" t="s">
        <v>125</v>
      </c>
      <c r="B29" s="272">
        <v>1029951</v>
      </c>
      <c r="C29" s="273">
        <f>B29/'- 3 -'!$D29*100</f>
        <v>0.65051482771618319</v>
      </c>
      <c r="D29" s="272">
        <f>B29/'- 7 -'!$E29</f>
        <v>81.232825932644531</v>
      </c>
      <c r="E29" s="272">
        <v>645800</v>
      </c>
      <c r="F29" s="273">
        <f>E29/'- 3 -'!$D29*100</f>
        <v>0.40788588558010147</v>
      </c>
      <c r="G29" s="272">
        <f>E29/'- 7 -'!$E29</f>
        <v>50.934616294660465</v>
      </c>
      <c r="H29" s="272">
        <v>1464700</v>
      </c>
      <c r="I29" s="273">
        <f>H29/'- 3 -'!$D29*100</f>
        <v>0.92510135740039434</v>
      </c>
      <c r="J29" s="272">
        <f>H29/'- 7 -'!$E29</f>
        <v>115.52172884296868</v>
      </c>
    </row>
    <row r="30" spans="1:10" ht="14.1" customHeight="1">
      <c r="A30" s="15" t="s">
        <v>126</v>
      </c>
      <c r="B30" s="16">
        <v>110812</v>
      </c>
      <c r="C30" s="267">
        <f>B30/'- 3 -'!$D30*100</f>
        <v>0.75332050561095021</v>
      </c>
      <c r="D30" s="16">
        <f>B30/'- 7 -'!$E30</f>
        <v>110.37051792828686</v>
      </c>
      <c r="E30" s="16">
        <v>121751</v>
      </c>
      <c r="F30" s="267">
        <f>E30/'- 3 -'!$D30*100</f>
        <v>0.82768585422732921</v>
      </c>
      <c r="G30" s="16">
        <f>E30/'- 7 -'!$E30</f>
        <v>121.26593625498008</v>
      </c>
      <c r="H30" s="16">
        <v>140599</v>
      </c>
      <c r="I30" s="267">
        <f>H30/'- 3 -'!$D30*100</f>
        <v>0.95581805010643228</v>
      </c>
      <c r="J30" s="16">
        <f>H30/'- 7 -'!$E30</f>
        <v>140.03884462151393</v>
      </c>
    </row>
    <row r="31" spans="1:10" ht="14.1" customHeight="1">
      <c r="A31" s="271" t="s">
        <v>127</v>
      </c>
      <c r="B31" s="272">
        <v>288400</v>
      </c>
      <c r="C31" s="273">
        <f>B31/'- 3 -'!$D31*100</f>
        <v>0.765533454183566</v>
      </c>
      <c r="D31" s="272">
        <f>B31/'- 7 -'!$E31</f>
        <v>89.565217391304344</v>
      </c>
      <c r="E31" s="272">
        <v>151000</v>
      </c>
      <c r="F31" s="273">
        <f>E31/'- 3 -'!$D31*100</f>
        <v>0.40081675305727626</v>
      </c>
      <c r="G31" s="272">
        <f>E31/'- 7 -'!$E31</f>
        <v>46.894409937888199</v>
      </c>
      <c r="H31" s="272">
        <v>364500</v>
      </c>
      <c r="I31" s="273">
        <f>H31/'- 3 -'!$D31*100</f>
        <v>0.96753448006210063</v>
      </c>
      <c r="J31" s="272">
        <f>H31/'- 7 -'!$E31</f>
        <v>113.19875776397515</v>
      </c>
    </row>
    <row r="32" spans="1:10" ht="14.1" customHeight="1">
      <c r="A32" s="15" t="s">
        <v>128</v>
      </c>
      <c r="B32" s="16">
        <v>274308</v>
      </c>
      <c r="C32" s="267">
        <f>B32/'- 3 -'!$D32*100</f>
        <v>0.90611938783923485</v>
      </c>
      <c r="D32" s="16">
        <f>B32/'- 7 -'!$E32</f>
        <v>125.7716643741403</v>
      </c>
      <c r="E32" s="16">
        <v>150400</v>
      </c>
      <c r="F32" s="267">
        <f>E32/'- 3 -'!$D32*100</f>
        <v>0.49681509810512603</v>
      </c>
      <c r="G32" s="16">
        <f>E32/'- 7 -'!$E32</f>
        <v>68.95919303071986</v>
      </c>
      <c r="H32" s="16">
        <v>422428</v>
      </c>
      <c r="I32" s="267">
        <f>H32/'- 3 -'!$D32*100</f>
        <v>1.3954029804677672</v>
      </c>
      <c r="J32" s="16">
        <f>H32/'- 7 -'!$E32</f>
        <v>193.6854653828519</v>
      </c>
    </row>
    <row r="33" spans="1:10" ht="14.1" customHeight="1">
      <c r="A33" s="271" t="s">
        <v>129</v>
      </c>
      <c r="B33" s="272">
        <v>313000</v>
      </c>
      <c r="C33" s="273">
        <f>B33/'- 3 -'!$D33*100</f>
        <v>1.1206126493180553</v>
      </c>
      <c r="D33" s="272">
        <f>B33/'- 7 -'!$E33</f>
        <v>155.4121151936445</v>
      </c>
      <c r="E33" s="272">
        <v>216300</v>
      </c>
      <c r="F33" s="273">
        <f>E33/'- 3 -'!$D33*100</f>
        <v>0.77440420462458581</v>
      </c>
      <c r="G33" s="272">
        <f>E33/'- 7 -'!$E33</f>
        <v>107.39821251241311</v>
      </c>
      <c r="H33" s="272">
        <v>295700</v>
      </c>
      <c r="I33" s="273">
        <f>H33/'- 3 -'!$D33*100</f>
        <v>1.0586746338765143</v>
      </c>
      <c r="J33" s="272">
        <f>H33/'- 7 -'!$E33</f>
        <v>146.8222442899702</v>
      </c>
    </row>
    <row r="34" spans="1:10" ht="14.1" customHeight="1">
      <c r="A34" s="15" t="s">
        <v>130</v>
      </c>
      <c r="B34" s="16">
        <v>335344</v>
      </c>
      <c r="C34" s="267">
        <f>B34/'- 3 -'!$D34*100</f>
        <v>1.1346340562910369</v>
      </c>
      <c r="D34" s="16">
        <f>B34/'- 7 -'!$E34</f>
        <v>168.26091319618666</v>
      </c>
      <c r="E34" s="16">
        <v>167960</v>
      </c>
      <c r="F34" s="267">
        <f>E34/'- 3 -'!$D34*100</f>
        <v>0.56829147411208347</v>
      </c>
      <c r="G34" s="16">
        <f>E34/'- 7 -'!$E34</f>
        <v>84.27496236828901</v>
      </c>
      <c r="H34" s="16">
        <v>465867</v>
      </c>
      <c r="I34" s="267">
        <f>H34/'- 3 -'!$D34*100</f>
        <v>1.5762577052284712</v>
      </c>
      <c r="J34" s="16">
        <f>H34/'- 7 -'!$E34</f>
        <v>233.75163070747615</v>
      </c>
    </row>
    <row r="35" spans="1:10" ht="14.1" customHeight="1">
      <c r="A35" s="271" t="s">
        <v>131</v>
      </c>
      <c r="B35" s="272">
        <v>764000</v>
      </c>
      <c r="C35" s="273">
        <f>B35/'- 3 -'!$D35*100</f>
        <v>0.42199786726475769</v>
      </c>
      <c r="D35" s="272">
        <f>B35/'- 7 -'!$E35</f>
        <v>49.430641821946168</v>
      </c>
      <c r="E35" s="272">
        <v>650400</v>
      </c>
      <c r="F35" s="273">
        <f>E35/'- 3 -'!$D35*100</f>
        <v>0.35925054040444815</v>
      </c>
      <c r="G35" s="272">
        <f>E35/'- 7 -'!$E35</f>
        <v>42.080745341614907</v>
      </c>
      <c r="H35" s="272">
        <v>973450</v>
      </c>
      <c r="I35" s="273">
        <f>H35/'- 3 -'!$D35*100</f>
        <v>0.53768825116345342</v>
      </c>
      <c r="J35" s="272">
        <f>H35/'- 7 -'!$E35</f>
        <v>62.982013457556938</v>
      </c>
    </row>
    <row r="36" spans="1:10" ht="14.1" customHeight="1">
      <c r="A36" s="15" t="s">
        <v>132</v>
      </c>
      <c r="B36" s="16">
        <v>215440</v>
      </c>
      <c r="C36" s="267">
        <f>B36/'- 3 -'!$D36*100</f>
        <v>0.9102872301836441</v>
      </c>
      <c r="D36" s="16">
        <f>B36/'- 7 -'!$E36</f>
        <v>129.9788838612368</v>
      </c>
      <c r="E36" s="16">
        <v>294825</v>
      </c>
      <c r="F36" s="267">
        <f>E36/'- 3 -'!$D36*100</f>
        <v>1.2457084693598814</v>
      </c>
      <c r="G36" s="16">
        <f>E36/'- 7 -'!$E36</f>
        <v>177.8733031674208</v>
      </c>
      <c r="H36" s="16">
        <v>145000</v>
      </c>
      <c r="I36" s="267">
        <f>H36/'- 3 -'!$D36*100</f>
        <v>0.61266082610763273</v>
      </c>
      <c r="J36" s="16">
        <f>H36/'- 7 -'!$E36</f>
        <v>87.481146304675718</v>
      </c>
    </row>
    <row r="37" spans="1:10" ht="14.1" customHeight="1">
      <c r="A37" s="271" t="s">
        <v>133</v>
      </c>
      <c r="B37" s="272">
        <v>304100</v>
      </c>
      <c r="C37" s="273">
        <f>B37/'- 3 -'!$D37*100</f>
        <v>0.60827177606957616</v>
      </c>
      <c r="D37" s="272">
        <f>B37/'- 7 -'!$E37</f>
        <v>74.107469233581085</v>
      </c>
      <c r="E37" s="272">
        <v>481163</v>
      </c>
      <c r="F37" s="273">
        <f>E37/'- 3 -'!$D37*100</f>
        <v>0.96243956786900864</v>
      </c>
      <c r="G37" s="272">
        <f>E37/'- 7 -'!$E37</f>
        <v>117.25673205799927</v>
      </c>
      <c r="H37" s="272">
        <v>560151</v>
      </c>
      <c r="I37" s="273">
        <f>H37/'- 3 -'!$D37*100</f>
        <v>1.1204342112369259</v>
      </c>
      <c r="J37" s="272">
        <f>H37/'- 7 -'!$E37</f>
        <v>136.50566589496771</v>
      </c>
    </row>
    <row r="38" spans="1:10" ht="14.1" customHeight="1">
      <c r="A38" s="15" t="s">
        <v>134</v>
      </c>
      <c r="B38" s="16">
        <v>314270</v>
      </c>
      <c r="C38" s="267">
        <f>B38/'- 3 -'!$D38*100</f>
        <v>0.23058085251523491</v>
      </c>
      <c r="D38" s="16">
        <f>B38/'- 7 -'!$E38</f>
        <v>28.551830653220676</v>
      </c>
      <c r="E38" s="16">
        <v>619140</v>
      </c>
      <c r="F38" s="267">
        <f>E38/'- 3 -'!$D38*100</f>
        <v>0.45426489651026991</v>
      </c>
      <c r="G38" s="16">
        <f>E38/'- 7 -'!$E38</f>
        <v>56.249659307713273</v>
      </c>
      <c r="H38" s="16">
        <v>1838885</v>
      </c>
      <c r="I38" s="267">
        <f>H38/'- 3 -'!$D38*100</f>
        <v>1.349195503794437</v>
      </c>
      <c r="J38" s="16">
        <f>H38/'- 7 -'!$E38</f>
        <v>167.06504951394567</v>
      </c>
    </row>
    <row r="39" spans="1:10" ht="14.1" customHeight="1">
      <c r="A39" s="271" t="s">
        <v>135</v>
      </c>
      <c r="B39" s="272">
        <v>222000</v>
      </c>
      <c r="C39" s="273">
        <f>B39/'- 3 -'!$D39*100</f>
        <v>0.96948823991113209</v>
      </c>
      <c r="D39" s="272">
        <f>B39/'- 7 -'!$E39</f>
        <v>145.38310412573674</v>
      </c>
      <c r="E39" s="272">
        <v>153300</v>
      </c>
      <c r="F39" s="273">
        <f>E39/'- 3 -'!$D39*100</f>
        <v>0.66947093323593032</v>
      </c>
      <c r="G39" s="272">
        <f>E39/'- 7 -'!$E39</f>
        <v>100.39292730844794</v>
      </c>
      <c r="H39" s="272">
        <v>139390</v>
      </c>
      <c r="I39" s="273">
        <f>H39/'- 3 -'!$D39*100</f>
        <v>0.60872507099645357</v>
      </c>
      <c r="J39" s="272">
        <f>H39/'- 7 -'!$E39</f>
        <v>91.283562540929921</v>
      </c>
    </row>
    <row r="40" spans="1:10" ht="14.1" customHeight="1">
      <c r="A40" s="15" t="s">
        <v>136</v>
      </c>
      <c r="B40" s="16">
        <v>752075</v>
      </c>
      <c r="C40" s="267">
        <f>B40/'- 3 -'!$D40*100</f>
        <v>0.71320863820436231</v>
      </c>
      <c r="D40" s="16">
        <f>B40/'- 7 -'!$E40</f>
        <v>94.617291095287229</v>
      </c>
      <c r="E40" s="16">
        <v>639006</v>
      </c>
      <c r="F40" s="267">
        <f>E40/'- 3 -'!$D40*100</f>
        <v>0.60598291269410198</v>
      </c>
      <c r="G40" s="16">
        <f>E40/'- 7 -'!$E40</f>
        <v>80.392270336914677</v>
      </c>
      <c r="H40" s="16">
        <v>1229529</v>
      </c>
      <c r="I40" s="267">
        <f>H40/'- 3 -'!$D40*100</f>
        <v>1.1659883704720557</v>
      </c>
      <c r="J40" s="16">
        <f>H40/'- 7 -'!$E40</f>
        <v>154.68497597061119</v>
      </c>
    </row>
    <row r="41" spans="1:10" ht="14.1" customHeight="1">
      <c r="A41" s="271" t="s">
        <v>137</v>
      </c>
      <c r="B41" s="272">
        <v>397469</v>
      </c>
      <c r="C41" s="273">
        <f>B41/'- 3 -'!$D41*100</f>
        <v>0.62164675573617478</v>
      </c>
      <c r="D41" s="272">
        <f>B41/'- 7 -'!$E41</f>
        <v>90.139244812336997</v>
      </c>
      <c r="E41" s="272">
        <v>559860</v>
      </c>
      <c r="F41" s="273">
        <f>E41/'- 3 -'!$D41*100</f>
        <v>0.87562842049683076</v>
      </c>
      <c r="G41" s="272">
        <f>E41/'- 7 -'!$E41</f>
        <v>126.96677627848962</v>
      </c>
      <c r="H41" s="272">
        <v>308382</v>
      </c>
      <c r="I41" s="273">
        <f>H41/'- 3 -'!$D41*100</f>
        <v>0.48231351332414113</v>
      </c>
      <c r="J41" s="272">
        <f>H41/'- 7 -'!$E41</f>
        <v>69.935820387799069</v>
      </c>
    </row>
    <row r="42" spans="1:10" ht="14.1" customHeight="1">
      <c r="A42" s="15" t="s">
        <v>138</v>
      </c>
      <c r="B42" s="16">
        <v>221829</v>
      </c>
      <c r="C42" s="267">
        <f>B42/'- 3 -'!$D42*100</f>
        <v>1.0506664797375287</v>
      </c>
      <c r="D42" s="16">
        <f>B42/'- 7 -'!$E42</f>
        <v>162.98971344599559</v>
      </c>
      <c r="E42" s="16">
        <v>225166</v>
      </c>
      <c r="F42" s="267">
        <f>E42/'- 3 -'!$D42*100</f>
        <v>1.0664717804100474</v>
      </c>
      <c r="G42" s="16">
        <f>E42/'- 7 -'!$E42</f>
        <v>165.4415870683321</v>
      </c>
      <c r="H42" s="16">
        <v>146600</v>
      </c>
      <c r="I42" s="267">
        <f>H42/'- 3 -'!$D42*100</f>
        <v>0.69435333490896911</v>
      </c>
      <c r="J42" s="16">
        <f>H42/'- 7 -'!$E42</f>
        <v>107.71491550330639</v>
      </c>
    </row>
    <row r="43" spans="1:10" ht="14.1" customHeight="1">
      <c r="A43" s="271" t="s">
        <v>139</v>
      </c>
      <c r="B43" s="272">
        <v>62205</v>
      </c>
      <c r="C43" s="273">
        <f>B43/'- 3 -'!$D43*100</f>
        <v>0.46599614063352246</v>
      </c>
      <c r="D43" s="272">
        <f>B43/'- 7 -'!$E43</f>
        <v>66.140350877192986</v>
      </c>
      <c r="E43" s="272">
        <v>79858</v>
      </c>
      <c r="F43" s="273">
        <f>E43/'- 3 -'!$D43*100</f>
        <v>0.5982400096248186</v>
      </c>
      <c r="G43" s="272">
        <f>E43/'- 7 -'!$E43</f>
        <v>84.910154173312065</v>
      </c>
      <c r="H43" s="272">
        <v>192559</v>
      </c>
      <c r="I43" s="273">
        <f>H43/'- 3 -'!$D43*100</f>
        <v>1.4425166922956427</v>
      </c>
      <c r="J43" s="272">
        <f>H43/'- 7 -'!$E43</f>
        <v>204.74109516214779</v>
      </c>
    </row>
    <row r="44" spans="1:10" ht="14.1" customHeight="1">
      <c r="A44" s="15" t="s">
        <v>140</v>
      </c>
      <c r="B44" s="16">
        <v>116420</v>
      </c>
      <c r="C44" s="267">
        <f>B44/'- 3 -'!$D44*100</f>
        <v>1.0391109879783731</v>
      </c>
      <c r="D44" s="16">
        <f>B44/'- 7 -'!$E44</f>
        <v>166.07703281027105</v>
      </c>
      <c r="E44" s="16">
        <v>96200</v>
      </c>
      <c r="F44" s="267">
        <f>E44/'- 3 -'!$D44*100</f>
        <v>0.85863663497268061</v>
      </c>
      <c r="G44" s="16">
        <f>E44/'- 7 -'!$E44</f>
        <v>137.23252496433668</v>
      </c>
      <c r="H44" s="16">
        <v>173876</v>
      </c>
      <c r="I44" s="267">
        <f>H44/'- 3 -'!$D44*100</f>
        <v>1.5519366272610171</v>
      </c>
      <c r="J44" s="16">
        <f>H44/'- 7 -'!$E44</f>
        <v>248.03994293865907</v>
      </c>
    </row>
    <row r="45" spans="1:10" ht="14.1" customHeight="1">
      <c r="A45" s="271" t="s">
        <v>141</v>
      </c>
      <c r="B45" s="272">
        <v>182041</v>
      </c>
      <c r="C45" s="273">
        <f>B45/'- 3 -'!$D45*100</f>
        <v>0.92813645713130843</v>
      </c>
      <c r="D45" s="272">
        <f>B45/'- 7 -'!$E45</f>
        <v>106.95710928319625</v>
      </c>
      <c r="E45" s="272">
        <v>64900</v>
      </c>
      <c r="F45" s="273">
        <f>E45/'- 3 -'!$D45*100</f>
        <v>0.33089279924754261</v>
      </c>
      <c r="G45" s="272">
        <f>E45/'- 7 -'!$E45</f>
        <v>38.131609870740306</v>
      </c>
      <c r="H45" s="272">
        <v>122700</v>
      </c>
      <c r="I45" s="273">
        <f>H45/'- 3 -'!$D45*100</f>
        <v>0.62558623216754206</v>
      </c>
      <c r="J45" s="272">
        <f>H45/'- 7 -'!$E45</f>
        <v>72.091656874265567</v>
      </c>
    </row>
    <row r="46" spans="1:10" ht="14.1" customHeight="1">
      <c r="A46" s="15" t="s">
        <v>142</v>
      </c>
      <c r="B46" s="16">
        <v>1017800</v>
      </c>
      <c r="C46" s="267">
        <f>B46/'- 3 -'!$D46*100</f>
        <v>0.25980775553463525</v>
      </c>
      <c r="D46" s="16">
        <f>B46/'- 7 -'!$E46</f>
        <v>33.750041449746327</v>
      </c>
      <c r="E46" s="16">
        <v>1291900</v>
      </c>
      <c r="F46" s="267">
        <f>E46/'- 3 -'!$D46*100</f>
        <v>0.32977563310591007</v>
      </c>
      <c r="G46" s="16">
        <f>E46/'- 7 -'!$E46</f>
        <v>42.839141824452035</v>
      </c>
      <c r="H46" s="16">
        <v>2661000</v>
      </c>
      <c r="I46" s="267">
        <f>H46/'- 3 -'!$D46*100</f>
        <v>0.67925765128479509</v>
      </c>
      <c r="J46" s="16">
        <f>H46/'- 7 -'!$E46</f>
        <v>88.23821998209371</v>
      </c>
    </row>
    <row r="47" spans="1:10" ht="5.0999999999999996" customHeight="1">
      <c r="A47"/>
      <c r="B47"/>
      <c r="C47"/>
      <c r="D47"/>
      <c r="E47"/>
      <c r="F47"/>
      <c r="G47"/>
      <c r="H47"/>
      <c r="I47"/>
      <c r="J47"/>
    </row>
    <row r="48" spans="1:10" ht="14.1" customHeight="1">
      <c r="A48" s="274" t="s">
        <v>143</v>
      </c>
      <c r="B48" s="275">
        <f>SUM(B11:B46)</f>
        <v>13338528</v>
      </c>
      <c r="C48" s="276">
        <f>B48/'- 3 -'!$D48*100</f>
        <v>0.57710623260490601</v>
      </c>
      <c r="D48" s="275">
        <f>B48/'- 7 -'!$E48</f>
        <v>76.16183557717963</v>
      </c>
      <c r="E48" s="275">
        <f>SUM(E11:E46)</f>
        <v>10829901</v>
      </c>
      <c r="F48" s="276">
        <f>E48/'- 3 -'!$D48*100</f>
        <v>0.46856769844424395</v>
      </c>
      <c r="G48" s="275">
        <f>E48/'- 7 -'!$E48</f>
        <v>61.837793441610145</v>
      </c>
      <c r="H48" s="275">
        <f>SUM(H11:H46)</f>
        <v>22932590</v>
      </c>
      <c r="I48" s="276">
        <f>H48/'- 3 -'!$D48*100</f>
        <v>0.99220398373590712</v>
      </c>
      <c r="J48" s="275">
        <f>H48/'- 7 -'!$E48</f>
        <v>130.94309574031513</v>
      </c>
    </row>
    <row r="49" spans="1:10" ht="5.0999999999999996" customHeight="1">
      <c r="A49" s="17" t="s">
        <v>1</v>
      </c>
      <c r="B49" s="18"/>
      <c r="C49" s="266"/>
      <c r="D49" s="18"/>
      <c r="E49" s="18"/>
      <c r="F49" s="266"/>
      <c r="H49" s="18"/>
      <c r="I49" s="266"/>
      <c r="J49" s="18"/>
    </row>
    <row r="50" spans="1:10" ht="14.1" customHeight="1">
      <c r="A50" s="15" t="s">
        <v>144</v>
      </c>
      <c r="B50" s="16">
        <v>0</v>
      </c>
      <c r="C50" s="267">
        <f>B50/'- 3 -'!$D50*100</f>
        <v>0</v>
      </c>
      <c r="D50" s="16">
        <f>B50/'- 7 -'!$E50</f>
        <v>0</v>
      </c>
      <c r="E50" s="16">
        <v>38000</v>
      </c>
      <c r="F50" s="267">
        <f>E50/'- 3 -'!$D50*100</f>
        <v>1.0995987621990355</v>
      </c>
      <c r="G50" s="16">
        <f>E50/'- 7 -'!$E50</f>
        <v>236.0248447204969</v>
      </c>
      <c r="H50" s="16">
        <v>85650</v>
      </c>
      <c r="I50" s="267">
        <f>H50/'- 3 -'!$D50*100</f>
        <v>2.4784377363775629</v>
      </c>
      <c r="J50" s="16">
        <f>H50/'- 7 -'!$E50</f>
        <v>531.98757763975152</v>
      </c>
    </row>
    <row r="51" spans="1:10" ht="14.1" customHeight="1">
      <c r="A51" s="360" t="s">
        <v>523</v>
      </c>
      <c r="B51" s="272">
        <v>89592</v>
      </c>
      <c r="C51" s="273">
        <f>B51/'- 3 -'!$D51*100</f>
        <v>0.30305960919882929</v>
      </c>
      <c r="D51" s="272">
        <f>B51/'- 7 -'!$E51</f>
        <v>123.66045548654245</v>
      </c>
      <c r="E51" s="272">
        <v>183242</v>
      </c>
      <c r="F51" s="273">
        <f>E51/'- 3 -'!$D51*100</f>
        <v>0.6198460678276172</v>
      </c>
      <c r="G51" s="272">
        <f>E51/'- 7 -'!$E51</f>
        <v>252.92201518288473</v>
      </c>
      <c r="H51" s="272">
        <v>138450</v>
      </c>
      <c r="I51" s="273">
        <f>H51/'- 3 -'!$D51*100</f>
        <v>0.46832979388313595</v>
      </c>
      <c r="J51" s="272">
        <f>H51/'- 7 -'!$E51</f>
        <v>191.09730848861284</v>
      </c>
    </row>
    <row r="52" spans="1:10" ht="50.1" customHeight="1">
      <c r="A52" s="19"/>
      <c r="B52" s="19"/>
      <c r="C52" s="19"/>
      <c r="D52" s="19"/>
      <c r="E52" s="19"/>
      <c r="F52" s="19"/>
      <c r="G52" s="19"/>
      <c r="H52" s="19"/>
      <c r="I52" s="19"/>
      <c r="J52" s="19"/>
    </row>
    <row r="53" spans="1:10" ht="15" customHeight="1">
      <c r="A53" s="564" t="s">
        <v>550</v>
      </c>
      <c r="B53" s="564"/>
      <c r="C53" s="564"/>
      <c r="D53" s="564"/>
      <c r="E53" s="564"/>
      <c r="F53" s="564"/>
      <c r="G53" s="564"/>
      <c r="H53" s="564"/>
      <c r="I53" s="564"/>
      <c r="J53" s="564"/>
    </row>
    <row r="54" spans="1:10" ht="12" customHeight="1">
      <c r="A54" s="565"/>
      <c r="B54" s="565"/>
      <c r="C54" s="565"/>
      <c r="D54" s="565"/>
      <c r="E54" s="565"/>
      <c r="F54" s="565"/>
      <c r="G54" s="565"/>
      <c r="H54" s="565"/>
      <c r="I54" s="565"/>
      <c r="J54" s="565"/>
    </row>
    <row r="55" spans="1:10">
      <c r="A55" s="565"/>
      <c r="B55" s="565"/>
      <c r="C55" s="565"/>
      <c r="D55" s="565"/>
      <c r="E55" s="565"/>
      <c r="F55" s="565"/>
      <c r="G55" s="565"/>
      <c r="H55" s="565"/>
      <c r="I55" s="565"/>
      <c r="J55" s="565"/>
    </row>
    <row r="56" spans="1:10" ht="14.45" customHeight="1"/>
    <row r="57" spans="1:10" ht="14.45" customHeight="1"/>
    <row r="58" spans="1:10" ht="14.45" customHeight="1"/>
    <row r="59" spans="1:10" ht="14.45" customHeight="1"/>
  </sheetData>
  <mergeCells count="8">
    <mergeCell ref="A53:J55"/>
    <mergeCell ref="B6:J6"/>
    <mergeCell ref="B7:D7"/>
    <mergeCell ref="E7:G7"/>
    <mergeCell ref="D8:D9"/>
    <mergeCell ref="G8:G9"/>
    <mergeCell ref="J8:J9"/>
    <mergeCell ref="H7:J7"/>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4.xml><?xml version="1.0" encoding="utf-8"?>
<worksheet xmlns="http://schemas.openxmlformats.org/spreadsheetml/2006/main" xmlns:r="http://schemas.openxmlformats.org/officeDocument/2006/relationships">
  <sheetPr codeName="Sheet53">
    <pageSetUpPr fitToPage="1"/>
  </sheetPr>
  <dimension ref="A1:H54"/>
  <sheetViews>
    <sheetView showGridLines="0" showZeros="0" workbookViewId="0"/>
  </sheetViews>
  <sheetFormatPr defaultColWidth="15.83203125" defaultRowHeight="12"/>
  <cols>
    <col min="1" max="1" width="32.83203125" style="1" customWidth="1"/>
    <col min="2" max="2" width="18.83203125" style="1" customWidth="1"/>
    <col min="3" max="3" width="9.83203125" style="1" customWidth="1"/>
    <col min="4" max="4" width="10.83203125" style="1" customWidth="1"/>
    <col min="5" max="5" width="18.83203125" style="1" customWidth="1"/>
    <col min="6" max="6" width="9.83203125" style="1" customWidth="1"/>
    <col min="7" max="7" width="10.83203125" style="1" customWidth="1"/>
    <col min="8" max="8" width="21.83203125" style="1" customWidth="1"/>
    <col min="9" max="16384" width="15.83203125" style="1"/>
  </cols>
  <sheetData>
    <row r="1" spans="1:8" ht="6.95" customHeight="1">
      <c r="A1" s="3"/>
      <c r="B1" s="3"/>
      <c r="C1" s="3"/>
      <c r="D1" s="3"/>
      <c r="E1" s="4"/>
      <c r="F1" s="4"/>
      <c r="G1" s="4"/>
    </row>
    <row r="2" spans="1:8" ht="15.95" customHeight="1">
      <c r="A2" s="132"/>
      <c r="B2" s="5" t="str">
        <f>+'- 37 -'!B2</f>
        <v>ANALYSIS OF INFORMATION TECHNOLOGY EXPENSES</v>
      </c>
      <c r="C2" s="177"/>
      <c r="D2" s="177"/>
      <c r="E2" s="5"/>
      <c r="F2" s="178"/>
      <c r="G2" s="142"/>
      <c r="H2" s="134"/>
    </row>
    <row r="3" spans="1:8" ht="15.95" customHeight="1">
      <c r="A3" s="135"/>
      <c r="B3" s="7" t="str">
        <f>OPYEAR</f>
        <v>OPERATING FUND 2016/2017 BUDGET</v>
      </c>
      <c r="C3" s="179"/>
      <c r="D3" s="179"/>
      <c r="E3" s="7"/>
      <c r="F3" s="143"/>
      <c r="G3" s="143"/>
      <c r="H3" s="136"/>
    </row>
    <row r="4" spans="1:8" ht="15.95" customHeight="1">
      <c r="E4" s="4"/>
      <c r="F4" s="4"/>
      <c r="G4" s="4"/>
    </row>
    <row r="5" spans="1:8" ht="18" customHeight="1">
      <c r="B5" s="702" t="s">
        <v>257</v>
      </c>
      <c r="C5" s="703"/>
      <c r="D5" s="703"/>
      <c r="E5" s="703"/>
      <c r="F5" s="703"/>
      <c r="G5" s="704"/>
    </row>
    <row r="6" spans="1:8" ht="15.95" customHeight="1">
      <c r="B6" s="689" t="s">
        <v>449</v>
      </c>
      <c r="C6" s="706"/>
      <c r="D6" s="707"/>
      <c r="E6" s="310"/>
      <c r="F6" s="311"/>
      <c r="G6" s="312"/>
    </row>
    <row r="7" spans="1:8" ht="15.95" customHeight="1">
      <c r="B7" s="681"/>
      <c r="C7" s="708"/>
      <c r="D7" s="682"/>
      <c r="E7" s="691" t="s">
        <v>25</v>
      </c>
      <c r="F7" s="705"/>
      <c r="G7" s="692"/>
    </row>
    <row r="8" spans="1:8" ht="15.95" customHeight="1">
      <c r="A8" s="82"/>
      <c r="B8" s="137"/>
      <c r="C8" s="83"/>
      <c r="D8" s="537" t="s">
        <v>401</v>
      </c>
      <c r="E8" s="137"/>
      <c r="F8" s="138"/>
      <c r="G8" s="536" t="s">
        <v>401</v>
      </c>
    </row>
    <row r="9" spans="1:8" ht="15.95" customHeight="1">
      <c r="A9" s="27" t="s">
        <v>37</v>
      </c>
      <c r="B9" s="89" t="s">
        <v>38</v>
      </c>
      <c r="C9" s="89" t="s">
        <v>39</v>
      </c>
      <c r="D9" s="576"/>
      <c r="E9" s="89" t="s">
        <v>38</v>
      </c>
      <c r="F9" s="89" t="s">
        <v>39</v>
      </c>
      <c r="G9" s="576"/>
    </row>
    <row r="10" spans="1:8" ht="5.0999999999999996" customHeight="1">
      <c r="A10" s="29"/>
      <c r="B10" s="29"/>
      <c r="C10" s="29"/>
      <c r="D10" s="29"/>
    </row>
    <row r="11" spans="1:8" ht="14.1" customHeight="1">
      <c r="A11" s="271" t="s">
        <v>108</v>
      </c>
      <c r="B11" s="272">
        <f>'- 26 -'!B11</f>
        <v>8000</v>
      </c>
      <c r="C11" s="273">
        <f>'- 26 -'!C11</f>
        <v>4.0895179112705474E-2</v>
      </c>
      <c r="D11" s="272">
        <f>'- 26 -'!D11</f>
        <v>4.5636052481460352</v>
      </c>
      <c r="E11" s="272">
        <f>SUM('- 37 -'!B11,'- 37 -'!E11,'- 37 -'!H11,B11)</f>
        <v>529086</v>
      </c>
      <c r="F11" s="273">
        <f>E11/'- 3 -'!D11*100</f>
        <v>2.7046333420031115</v>
      </c>
      <c r="G11" s="272">
        <f>E11/'- 7 -'!E11</f>
        <v>301.81745579007418</v>
      </c>
    </row>
    <row r="12" spans="1:8" ht="14.1" customHeight="1">
      <c r="A12" s="15" t="s">
        <v>109</v>
      </c>
      <c r="B12" s="16">
        <f>'- 26 -'!B12</f>
        <v>251652</v>
      </c>
      <c r="C12" s="267">
        <f>'- 26 -'!C12</f>
        <v>0.72066185700412599</v>
      </c>
      <c r="D12" s="16">
        <f>'- 26 -'!D12</f>
        <v>117.04744186046511</v>
      </c>
      <c r="E12" s="16">
        <f>SUM('- 37 -'!B12,'- 37 -'!E12,'- 37 -'!H12,B12)</f>
        <v>1469327</v>
      </c>
      <c r="F12" s="267">
        <f>E12/'- 3 -'!D12*100</f>
        <v>4.2077469059109465</v>
      </c>
      <c r="G12" s="16">
        <f>E12/'- 7 -'!E12</f>
        <v>683.40790697674413</v>
      </c>
    </row>
    <row r="13" spans="1:8" ht="14.1" customHeight="1">
      <c r="A13" s="271" t="s">
        <v>110</v>
      </c>
      <c r="B13" s="272">
        <f>'- 26 -'!B13</f>
        <v>289900</v>
      </c>
      <c r="C13" s="273">
        <f>'- 26 -'!C13</f>
        <v>0.29591113887510895</v>
      </c>
      <c r="D13" s="272">
        <f>'- 26 -'!D13</f>
        <v>34.731041092608123</v>
      </c>
      <c r="E13" s="272">
        <f>SUM('- 37 -'!B13,'- 37 -'!E13,'- 37 -'!H13,B13)</f>
        <v>2075600</v>
      </c>
      <c r="F13" s="273">
        <f>E13/'- 3 -'!D13*100</f>
        <v>2.1186380125877067</v>
      </c>
      <c r="G13" s="272">
        <f>E13/'- 7 -'!E13</f>
        <v>248.66419072720737</v>
      </c>
    </row>
    <row r="14" spans="1:8" ht="14.1" customHeight="1">
      <c r="A14" s="15" t="s">
        <v>319</v>
      </c>
      <c r="B14" s="16">
        <f>'- 26 -'!B14</f>
        <v>119829</v>
      </c>
      <c r="C14" s="267">
        <f>'- 26 -'!C14</f>
        <v>0.13898900228597816</v>
      </c>
      <c r="D14" s="16">
        <f>'- 26 -'!D14</f>
        <v>21.834730320699709</v>
      </c>
      <c r="E14" s="16">
        <f>SUM('- 37 -'!B14,'- 37 -'!E14,'- 37 -'!H14,B14)</f>
        <v>1705888</v>
      </c>
      <c r="F14" s="267">
        <f>E14/'- 3 -'!D14*100</f>
        <v>1.9786501692547105</v>
      </c>
      <c r="G14" s="16">
        <f>E14/'- 7 -'!E14</f>
        <v>310.83965014577262</v>
      </c>
    </row>
    <row r="15" spans="1:8" ht="14.1" customHeight="1">
      <c r="A15" s="271" t="s">
        <v>111</v>
      </c>
      <c r="B15" s="272">
        <f>'- 26 -'!B15</f>
        <v>44500</v>
      </c>
      <c r="C15" s="273">
        <f>'- 26 -'!C15</f>
        <v>0.21803514177722844</v>
      </c>
      <c r="D15" s="272">
        <f>'- 26 -'!D15</f>
        <v>32.493610806863821</v>
      </c>
      <c r="E15" s="272">
        <f>SUM('- 37 -'!B15,'- 37 -'!E15,'- 37 -'!H15,B15)</f>
        <v>485422</v>
      </c>
      <c r="F15" s="273">
        <f>E15/'- 3 -'!D15*100</f>
        <v>2.3784057211637255</v>
      </c>
      <c r="G15" s="272">
        <f>E15/'- 7 -'!E15</f>
        <v>354.45198977729098</v>
      </c>
    </row>
    <row r="16" spans="1:8" ht="14.1" customHeight="1">
      <c r="A16" s="15" t="s">
        <v>112</v>
      </c>
      <c r="B16" s="16">
        <f>'- 26 -'!B16</f>
        <v>34569</v>
      </c>
      <c r="C16" s="267">
        <f>'- 26 -'!C16</f>
        <v>0.2364678439234249</v>
      </c>
      <c r="D16" s="16">
        <f>'- 26 -'!D16</f>
        <v>36.103394255874676</v>
      </c>
      <c r="E16" s="16">
        <f>SUM('- 37 -'!B16,'- 37 -'!E16,'- 37 -'!H16,B16)</f>
        <v>378845</v>
      </c>
      <c r="F16" s="267">
        <f>E16/'- 3 -'!D16*100</f>
        <v>2.5914738734464375</v>
      </c>
      <c r="G16" s="16">
        <f>E16/'- 7 -'!E16</f>
        <v>395.66057441253264</v>
      </c>
    </row>
    <row r="17" spans="1:7" ht="14.1" customHeight="1">
      <c r="A17" s="271" t="s">
        <v>113</v>
      </c>
      <c r="B17" s="272">
        <f>'- 26 -'!B17</f>
        <v>75570</v>
      </c>
      <c r="C17" s="273">
        <f>'- 26 -'!C17</f>
        <v>0.41484179552224476</v>
      </c>
      <c r="D17" s="272">
        <f>'- 26 -'!D17</f>
        <v>55.58661272526664</v>
      </c>
      <c r="E17" s="272">
        <f>SUM('- 37 -'!B17,'- 37 -'!E17,'- 37 -'!H17,B17)</f>
        <v>605877</v>
      </c>
      <c r="F17" s="273">
        <f>E17/'- 3 -'!D17*100</f>
        <v>3.3259640405667734</v>
      </c>
      <c r="G17" s="272">
        <f>E17/'- 7 -'!E17</f>
        <v>445.66164030893714</v>
      </c>
    </row>
    <row r="18" spans="1:7" ht="14.1" customHeight="1">
      <c r="A18" s="15" t="s">
        <v>114</v>
      </c>
      <c r="B18" s="16">
        <f>'- 26 -'!B18</f>
        <v>645868</v>
      </c>
      <c r="C18" s="267">
        <f>'- 26 -'!C18</f>
        <v>0.48952084714055411</v>
      </c>
      <c r="D18" s="16">
        <f>'- 26 -'!D18</f>
        <v>103.76056292773832</v>
      </c>
      <c r="E18" s="16">
        <f>SUM('- 37 -'!B18,'- 37 -'!E18,'- 37 -'!H18,B18)</f>
        <v>2187093</v>
      </c>
      <c r="F18" s="267">
        <f>E18/'- 3 -'!D18*100</f>
        <v>1.6576570106200894</v>
      </c>
      <c r="G18" s="16">
        <f>E18/'- 7 -'!E18</f>
        <v>351.36281849436108</v>
      </c>
    </row>
    <row r="19" spans="1:7" ht="14.1" customHeight="1">
      <c r="A19" s="271" t="s">
        <v>115</v>
      </c>
      <c r="B19" s="272">
        <f>'- 26 -'!B19</f>
        <v>61300</v>
      </c>
      <c r="C19" s="273">
        <f>'- 26 -'!C19</f>
        <v>0.1319743491813069</v>
      </c>
      <c r="D19" s="272">
        <f>'- 26 -'!D19</f>
        <v>14.532954006638217</v>
      </c>
      <c r="E19" s="272">
        <f>SUM('- 37 -'!B19,'- 37 -'!E19,'- 37 -'!H19,B19)</f>
        <v>1665600</v>
      </c>
      <c r="F19" s="273">
        <f>E19/'- 3 -'!D19*100</f>
        <v>3.5859131483912692</v>
      </c>
      <c r="G19" s="272">
        <f>E19/'- 7 -'!E19</f>
        <v>394.87908961593172</v>
      </c>
    </row>
    <row r="20" spans="1:7" ht="14.1" customHeight="1">
      <c r="A20" s="15" t="s">
        <v>116</v>
      </c>
      <c r="B20" s="16">
        <f>'- 26 -'!B20</f>
        <v>98800</v>
      </c>
      <c r="C20" s="267">
        <f>'- 26 -'!C20</f>
        <v>0.12006319115323856</v>
      </c>
      <c r="D20" s="16">
        <f>'- 26 -'!D20</f>
        <v>13.033441065892751</v>
      </c>
      <c r="E20" s="16">
        <f>SUM('- 37 -'!B20,'- 37 -'!E20,'- 37 -'!H20,B20)</f>
        <v>2483900</v>
      </c>
      <c r="F20" s="267">
        <f>E20/'- 3 -'!D20*100</f>
        <v>3.0184712601774213</v>
      </c>
      <c r="G20" s="16">
        <f>E20/'- 7 -'!E20</f>
        <v>327.66967878108306</v>
      </c>
    </row>
    <row r="21" spans="1:7" ht="14.1" customHeight="1">
      <c r="A21" s="271" t="s">
        <v>117</v>
      </c>
      <c r="B21" s="272">
        <f>'- 26 -'!B21</f>
        <v>65000</v>
      </c>
      <c r="C21" s="273">
        <f>'- 26 -'!C21</f>
        <v>0.17871044467695132</v>
      </c>
      <c r="D21" s="272">
        <f>'- 26 -'!D21</f>
        <v>24.020694752402068</v>
      </c>
      <c r="E21" s="272">
        <f>SUM('- 37 -'!B21,'- 37 -'!E21,'- 37 -'!H21,B21)</f>
        <v>1031464</v>
      </c>
      <c r="F21" s="273">
        <f>E21/'- 3 -'!D21*100</f>
        <v>2.8358983093579524</v>
      </c>
      <c r="G21" s="272">
        <f>E21/'- 7 -'!E21</f>
        <v>381.17664449371767</v>
      </c>
    </row>
    <row r="22" spans="1:7" ht="14.1" customHeight="1">
      <c r="A22" s="15" t="s">
        <v>118</v>
      </c>
      <c r="B22" s="16">
        <f>'- 26 -'!B22</f>
        <v>65000</v>
      </c>
      <c r="C22" s="267">
        <f>'- 26 -'!C22</f>
        <v>0.31443860470142793</v>
      </c>
      <c r="D22" s="16">
        <f>'- 26 -'!D22</f>
        <v>41.714799127198049</v>
      </c>
      <c r="E22" s="16">
        <f>SUM('- 37 -'!B22,'- 37 -'!E22,'- 37 -'!H22,B22)</f>
        <v>397603</v>
      </c>
      <c r="F22" s="267">
        <f>E22/'- 3 -'!D22*100</f>
        <v>1.923411269924644</v>
      </c>
      <c r="G22" s="16">
        <f>E22/'- 7 -'!E22</f>
        <v>255.16814272878963</v>
      </c>
    </row>
    <row r="23" spans="1:7" ht="14.1" customHeight="1">
      <c r="A23" s="271" t="s">
        <v>119</v>
      </c>
      <c r="B23" s="272">
        <f>'- 26 -'!B23</f>
        <v>47000</v>
      </c>
      <c r="C23" s="273">
        <f>'- 26 -'!C23</f>
        <v>0.27988267080241941</v>
      </c>
      <c r="D23" s="272">
        <f>'- 26 -'!D23</f>
        <v>42.190305206463194</v>
      </c>
      <c r="E23" s="272">
        <f>SUM('- 37 -'!B23,'- 37 -'!E23,'- 37 -'!H23,B23)</f>
        <v>489000</v>
      </c>
      <c r="F23" s="273">
        <f>E23/'- 3 -'!D23*100</f>
        <v>2.9119707664336834</v>
      </c>
      <c r="G23" s="272">
        <f>E23/'- 7 -'!E23</f>
        <v>438.95870736086175</v>
      </c>
    </row>
    <row r="24" spans="1:7" ht="14.1" customHeight="1">
      <c r="A24" s="15" t="s">
        <v>120</v>
      </c>
      <c r="B24" s="16">
        <f>'- 26 -'!B24</f>
        <v>172535</v>
      </c>
      <c r="C24" s="267">
        <f>'- 26 -'!C24</f>
        <v>0.296925455525055</v>
      </c>
      <c r="D24" s="16">
        <f>'- 26 -'!D24</f>
        <v>43.674218453360332</v>
      </c>
      <c r="E24" s="16">
        <f>SUM('- 37 -'!B24,'- 37 -'!E24,'- 37 -'!H24,B24)</f>
        <v>2058915</v>
      </c>
      <c r="F24" s="267">
        <f>E24/'- 3 -'!D24*100</f>
        <v>3.5433058467115002</v>
      </c>
      <c r="G24" s="16">
        <f>E24/'- 7 -'!E24</f>
        <v>521.17833185672703</v>
      </c>
    </row>
    <row r="25" spans="1:7" ht="14.1" customHeight="1">
      <c r="A25" s="271" t="s">
        <v>121</v>
      </c>
      <c r="B25" s="272">
        <f>'- 26 -'!B25</f>
        <v>821158</v>
      </c>
      <c r="C25" s="273">
        <f>'- 26 -'!C25</f>
        <v>0.47002989186979394</v>
      </c>
      <c r="D25" s="272">
        <f>'- 26 -'!D25</f>
        <v>57.502048247610375</v>
      </c>
      <c r="E25" s="272">
        <f>SUM('- 37 -'!B25,'- 37 -'!E25,'- 37 -'!H25,B25)</f>
        <v>4627299</v>
      </c>
      <c r="F25" s="273">
        <f>E25/'- 3 -'!D25*100</f>
        <v>2.648660609309299</v>
      </c>
      <c r="G25" s="272">
        <f>E25/'- 7 -'!E25</f>
        <v>324.02920065824026</v>
      </c>
    </row>
    <row r="26" spans="1:7" ht="14.1" customHeight="1">
      <c r="A26" s="15" t="s">
        <v>122</v>
      </c>
      <c r="B26" s="16">
        <f>'- 26 -'!B26</f>
        <v>25000</v>
      </c>
      <c r="C26" s="267">
        <f>'- 26 -'!C26</f>
        <v>6.1245692804784965E-2</v>
      </c>
      <c r="D26" s="16">
        <f>'- 26 -'!D26</f>
        <v>7.911142052466694</v>
      </c>
      <c r="E26" s="16">
        <f>SUM('- 37 -'!B26,'- 37 -'!E26,'- 37 -'!H26,B26)</f>
        <v>1246801</v>
      </c>
      <c r="F26" s="267">
        <f>E26/'- 3 -'!D26*100</f>
        <v>3.0544476413879482</v>
      </c>
      <c r="G26" s="16">
        <f>E26/'- 7 -'!E26</f>
        <v>394.54479288630108</v>
      </c>
    </row>
    <row r="27" spans="1:7" ht="14.1" customHeight="1">
      <c r="A27" s="271" t="s">
        <v>123</v>
      </c>
      <c r="B27" s="272">
        <f>'- 26 -'!B27</f>
        <v>230159</v>
      </c>
      <c r="C27" s="273">
        <f>'- 26 -'!C27</f>
        <v>0.52588539048576521</v>
      </c>
      <c r="D27" s="272">
        <f>'- 26 -'!D27</f>
        <v>79.092051585411951</v>
      </c>
      <c r="E27" s="272">
        <f>SUM('- 37 -'!B27,'- 37 -'!E27,'- 37 -'!H27,B27)</f>
        <v>783932</v>
      </c>
      <c r="F27" s="273">
        <f>E27/'- 3 -'!D27*100</f>
        <v>1.7911895078371338</v>
      </c>
      <c r="G27" s="272">
        <f>E27/'- 7 -'!E27</f>
        <v>269.39111737301238</v>
      </c>
    </row>
    <row r="28" spans="1:7" ht="14.1" customHeight="1">
      <c r="A28" s="15" t="s">
        <v>124</v>
      </c>
      <c r="B28" s="16">
        <f>'- 26 -'!B28</f>
        <v>74500</v>
      </c>
      <c r="C28" s="267">
        <f>'- 26 -'!C28</f>
        <v>0.25984436055250099</v>
      </c>
      <c r="D28" s="16">
        <f>'- 26 -'!D28</f>
        <v>38.293497815471603</v>
      </c>
      <c r="E28" s="16">
        <f>SUM('- 37 -'!B28,'- 37 -'!E28,'- 37 -'!H28,B28)</f>
        <v>833998</v>
      </c>
      <c r="F28" s="267">
        <f>E28/'- 3 -'!D28*100</f>
        <v>2.908854724994157</v>
      </c>
      <c r="G28" s="16">
        <f>E28/'- 7 -'!E28</f>
        <v>428.68054484708301</v>
      </c>
    </row>
    <row r="29" spans="1:7" ht="14.1" customHeight="1">
      <c r="A29" s="271" t="s">
        <v>125</v>
      </c>
      <c r="B29" s="272">
        <f>'- 26 -'!B29</f>
        <v>1264572</v>
      </c>
      <c r="C29" s="273">
        <f>'- 26 -'!C29</f>
        <v>0.79870094471941788</v>
      </c>
      <c r="D29" s="272">
        <f>'- 26 -'!D29</f>
        <v>99.737518731761185</v>
      </c>
      <c r="E29" s="272">
        <f>SUM('- 37 -'!B29,'- 37 -'!E29,'- 37 -'!H29,B29)</f>
        <v>4405023</v>
      </c>
      <c r="F29" s="273">
        <f>E29/'- 3 -'!D29*100</f>
        <v>2.7822030154160968</v>
      </c>
      <c r="G29" s="272">
        <f>E29/'- 7 -'!E29</f>
        <v>347.42668980203484</v>
      </c>
    </row>
    <row r="30" spans="1:7" ht="14.1" customHeight="1">
      <c r="A30" s="15" t="s">
        <v>126</v>
      </c>
      <c r="B30" s="16">
        <f>'- 26 -'!B30</f>
        <v>42800</v>
      </c>
      <c r="C30" s="267">
        <f>'- 26 -'!C30</f>
        <v>0.29096232935195349</v>
      </c>
      <c r="D30" s="16">
        <f>'- 26 -'!D30</f>
        <v>42.629482071713149</v>
      </c>
      <c r="E30" s="16">
        <f>SUM('- 37 -'!B30,'- 37 -'!E30,'- 37 -'!H30,B30)</f>
        <v>415962</v>
      </c>
      <c r="F30" s="267">
        <f>E30/'- 3 -'!D30*100</f>
        <v>2.8277867392966649</v>
      </c>
      <c r="G30" s="16">
        <f>E30/'- 7 -'!E30</f>
        <v>414.30478087649402</v>
      </c>
    </row>
    <row r="31" spans="1:7" ht="14.1" customHeight="1">
      <c r="A31" s="271" t="s">
        <v>127</v>
      </c>
      <c r="B31" s="272">
        <f>'- 26 -'!B31</f>
        <v>140421</v>
      </c>
      <c r="C31" s="273">
        <f>'- 26 -'!C31</f>
        <v>0.37273569060301848</v>
      </c>
      <c r="D31" s="272">
        <f>'- 26 -'!D31</f>
        <v>43.609006211180123</v>
      </c>
      <c r="E31" s="272">
        <f>SUM('- 37 -'!B31,'- 37 -'!E31,'- 37 -'!H31,B31)</f>
        <v>944321</v>
      </c>
      <c r="F31" s="273">
        <f>E31/'- 3 -'!D31*100</f>
        <v>2.5066203779059615</v>
      </c>
      <c r="G31" s="272">
        <f>E31/'- 7 -'!E31</f>
        <v>293.26739130434783</v>
      </c>
    </row>
    <row r="32" spans="1:7" ht="14.1" customHeight="1">
      <c r="A32" s="15" t="s">
        <v>128</v>
      </c>
      <c r="B32" s="16">
        <f>'- 26 -'!B32</f>
        <v>70000</v>
      </c>
      <c r="C32" s="267">
        <f>'- 26 -'!C32</f>
        <v>0.23123043129892837</v>
      </c>
      <c r="D32" s="16">
        <f>'- 26 -'!D32</f>
        <v>32.095369096744612</v>
      </c>
      <c r="E32" s="16">
        <f>SUM('- 37 -'!B32,'- 37 -'!E32,'- 37 -'!H32,B32)</f>
        <v>917136</v>
      </c>
      <c r="F32" s="267">
        <f>E32/'- 3 -'!D32*100</f>
        <v>3.0295678977110567</v>
      </c>
      <c r="G32" s="16">
        <f>E32/'- 7 -'!E32</f>
        <v>420.5116918844567</v>
      </c>
    </row>
    <row r="33" spans="1:7" ht="14.1" customHeight="1">
      <c r="A33" s="271" t="s">
        <v>129</v>
      </c>
      <c r="B33" s="272">
        <f>'- 26 -'!B33</f>
        <v>71000</v>
      </c>
      <c r="C33" s="273">
        <f>'- 26 -'!C33</f>
        <v>0.25419647955776975</v>
      </c>
      <c r="D33" s="272">
        <f>'- 26 -'!D33</f>
        <v>35.253227408142997</v>
      </c>
      <c r="E33" s="272">
        <f>SUM('- 37 -'!B33,'- 37 -'!E33,'- 37 -'!H33,B33)</f>
        <v>896000</v>
      </c>
      <c r="F33" s="273">
        <f>E33/'- 3 -'!D33*100</f>
        <v>3.2078879673769252</v>
      </c>
      <c r="G33" s="272">
        <f>E33/'- 7 -'!E33</f>
        <v>444.88579940417083</v>
      </c>
    </row>
    <row r="34" spans="1:7" ht="14.1" customHeight="1">
      <c r="A34" s="15" t="s">
        <v>130</v>
      </c>
      <c r="B34" s="16">
        <f>'- 26 -'!B34</f>
        <v>106698</v>
      </c>
      <c r="C34" s="267">
        <f>'- 26 -'!C34</f>
        <v>0.36101192965474571</v>
      </c>
      <c r="D34" s="16">
        <f>'- 26 -'!D34</f>
        <v>53.536377320622179</v>
      </c>
      <c r="E34" s="16">
        <f>SUM('- 37 -'!B34,'- 37 -'!E34,'- 37 -'!H34,B34)</f>
        <v>1075869</v>
      </c>
      <c r="F34" s="267">
        <f>E34/'- 3 -'!D34*100</f>
        <v>3.6401951652863369</v>
      </c>
      <c r="G34" s="16">
        <f>E34/'- 7 -'!E34</f>
        <v>539.82388359257402</v>
      </c>
    </row>
    <row r="35" spans="1:7" ht="14.1" customHeight="1">
      <c r="A35" s="271" t="s">
        <v>131</v>
      </c>
      <c r="B35" s="272">
        <f>'- 26 -'!B35</f>
        <v>973445</v>
      </c>
      <c r="C35" s="273">
        <f>'- 26 -'!C35</f>
        <v>0.53768548939730632</v>
      </c>
      <c r="D35" s="272">
        <f>'- 26 -'!D35</f>
        <v>62.981689958592135</v>
      </c>
      <c r="E35" s="272">
        <f>SUM('- 37 -'!B35,'- 37 -'!E35,'- 37 -'!H35,B35)</f>
        <v>3361295</v>
      </c>
      <c r="F35" s="273">
        <f>E35/'- 3 -'!D35*100</f>
        <v>1.8566221482299656</v>
      </c>
      <c r="G35" s="272">
        <f>E35/'- 7 -'!E35</f>
        <v>217.47509057971016</v>
      </c>
    </row>
    <row r="36" spans="1:7" ht="14.1" customHeight="1">
      <c r="A36" s="15" t="s">
        <v>132</v>
      </c>
      <c r="B36" s="16">
        <f>'- 26 -'!B36</f>
        <v>40600</v>
      </c>
      <c r="C36" s="267">
        <f>'- 26 -'!C36</f>
        <v>0.17154503131013715</v>
      </c>
      <c r="D36" s="16">
        <f>'- 26 -'!D36</f>
        <v>24.494720965309199</v>
      </c>
      <c r="E36" s="16">
        <f>SUM('- 37 -'!B36,'- 37 -'!E36,'- 37 -'!H36,B36)</f>
        <v>695865</v>
      </c>
      <c r="F36" s="267">
        <f>E36/'- 3 -'!D36*100</f>
        <v>2.9402015569612954</v>
      </c>
      <c r="G36" s="16">
        <f>E36/'- 7 -'!E36</f>
        <v>419.82805429864254</v>
      </c>
    </row>
    <row r="37" spans="1:7" ht="14.1" customHeight="1">
      <c r="A37" s="360" t="s">
        <v>133</v>
      </c>
      <c r="B37" s="272">
        <f>'- 26 -'!B37</f>
        <v>197500</v>
      </c>
      <c r="C37" s="273">
        <f>'- 26 -'!C37</f>
        <v>0.39504661550062903</v>
      </c>
      <c r="D37" s="272">
        <f>'- 26 -'!D37</f>
        <v>48.129645424637502</v>
      </c>
      <c r="E37" s="272">
        <f>SUM('- 37 -'!B37,'- 37 -'!E37,'- 37 -'!H37,B37)</f>
        <v>1542914</v>
      </c>
      <c r="F37" s="273">
        <f>E37/'- 3 -'!D37*100</f>
        <v>3.0861921706761395</v>
      </c>
      <c r="G37" s="272">
        <f>E37/'- 7 -'!E37</f>
        <v>375.99951261118559</v>
      </c>
    </row>
    <row r="38" spans="1:7" ht="14.1" customHeight="1">
      <c r="A38" s="15" t="s">
        <v>134</v>
      </c>
      <c r="B38" s="16">
        <f>'- 26 -'!B38</f>
        <v>481620</v>
      </c>
      <c r="C38" s="267">
        <f>'- 26 -'!C38</f>
        <v>0.35336605526581422</v>
      </c>
      <c r="D38" s="16">
        <f>'- 26 -'!D38</f>
        <v>43.755791768874353</v>
      </c>
      <c r="E38" s="16">
        <f>SUM('- 37 -'!B38,'- 37 -'!E38,'- 37 -'!H38,B38)</f>
        <v>3253915</v>
      </c>
      <c r="F38" s="267">
        <f>E38/'- 3 -'!D38*100</f>
        <v>2.3874073080857561</v>
      </c>
      <c r="G38" s="16">
        <f>E38/'- 7 -'!E38</f>
        <v>295.62233124375399</v>
      </c>
    </row>
    <row r="39" spans="1:7" ht="14.1" customHeight="1">
      <c r="A39" s="271" t="s">
        <v>135</v>
      </c>
      <c r="B39" s="272">
        <f>'- 26 -'!B39</f>
        <v>68000</v>
      </c>
      <c r="C39" s="273">
        <f>'- 26 -'!C39</f>
        <v>0.29696036177458096</v>
      </c>
      <c r="D39" s="272">
        <f>'- 26 -'!D39</f>
        <v>44.531761624099545</v>
      </c>
      <c r="E39" s="272">
        <f>SUM('- 37 -'!B39,'- 37 -'!E39,'- 37 -'!H39,B39)</f>
        <v>582690</v>
      </c>
      <c r="F39" s="273">
        <f>E39/'- 3 -'!D39*100</f>
        <v>2.5446446059180969</v>
      </c>
      <c r="G39" s="272">
        <f>E39/'- 7 -'!E39</f>
        <v>381.59135559921413</v>
      </c>
    </row>
    <row r="40" spans="1:7" ht="14.1" customHeight="1">
      <c r="A40" s="15" t="s">
        <v>136</v>
      </c>
      <c r="B40" s="16">
        <f>'- 26 -'!B40</f>
        <v>420654</v>
      </c>
      <c r="C40" s="267">
        <f>'- 26 -'!C40</f>
        <v>0.39891509024394878</v>
      </c>
      <c r="D40" s="16">
        <f>'- 26 -'!D40</f>
        <v>52.921772387590273</v>
      </c>
      <c r="E40" s="16">
        <f>SUM('- 37 -'!B40,'- 37 -'!E40,'- 37 -'!H40,B40)</f>
        <v>3041264</v>
      </c>
      <c r="F40" s="267">
        <f>E40/'- 3 -'!D40*100</f>
        <v>2.8840950116144684</v>
      </c>
      <c r="G40" s="16">
        <f>E40/'- 7 -'!E40</f>
        <v>382.61630979040336</v>
      </c>
    </row>
    <row r="41" spans="1:7" ht="14.1" customHeight="1">
      <c r="A41" s="271" t="s">
        <v>137</v>
      </c>
      <c r="B41" s="272">
        <f>'- 26 -'!B41</f>
        <v>112715</v>
      </c>
      <c r="C41" s="273">
        <f>'- 26 -'!C41</f>
        <v>0.17628774589415261</v>
      </c>
      <c r="D41" s="272">
        <f>'- 26 -'!D41</f>
        <v>25.561855085610613</v>
      </c>
      <c r="E41" s="272">
        <f>SUM('- 37 -'!B41,'- 37 -'!E41,'- 37 -'!H41,B41)</f>
        <v>1378426</v>
      </c>
      <c r="F41" s="273">
        <f>E41/'- 3 -'!D41*100</f>
        <v>2.1558764354512991</v>
      </c>
      <c r="G41" s="272">
        <f>E41/'- 7 -'!E41</f>
        <v>312.60369656423632</v>
      </c>
    </row>
    <row r="42" spans="1:7" ht="14.1" customHeight="1">
      <c r="A42" s="15" t="s">
        <v>138</v>
      </c>
      <c r="B42" s="16">
        <f>'- 26 -'!B42</f>
        <v>32800</v>
      </c>
      <c r="C42" s="267">
        <f>'- 26 -'!C42</f>
        <v>0.15535327002056062</v>
      </c>
      <c r="D42" s="16">
        <f>'- 26 -'!D42</f>
        <v>24.099926524614254</v>
      </c>
      <c r="E42" s="16">
        <f>SUM('- 37 -'!B42,'- 37 -'!E42,'- 37 -'!H42,B42)</f>
        <v>626395</v>
      </c>
      <c r="F42" s="267">
        <f>E42/'- 3 -'!D42*100</f>
        <v>2.966844865077106</v>
      </c>
      <c r="G42" s="16">
        <f>E42/'- 7 -'!E42</f>
        <v>460.24614254224832</v>
      </c>
    </row>
    <row r="43" spans="1:7" ht="14.1" customHeight="1">
      <c r="A43" s="271" t="s">
        <v>139</v>
      </c>
      <c r="B43" s="272">
        <f>'- 26 -'!B43</f>
        <v>32300</v>
      </c>
      <c r="C43" s="273">
        <f>'- 26 -'!C43</f>
        <v>0.2419688986811796</v>
      </c>
      <c r="D43" s="272">
        <f>'- 26 -'!D43</f>
        <v>34.343434343434346</v>
      </c>
      <c r="E43" s="272">
        <f>SUM('- 37 -'!B43,'- 37 -'!E43,'- 37 -'!H43,B43)</f>
        <v>366922</v>
      </c>
      <c r="F43" s="273">
        <f>E43/'- 3 -'!D43*100</f>
        <v>2.7487217412351637</v>
      </c>
      <c r="G43" s="272">
        <f>E43/'- 7 -'!E43</f>
        <v>390.13503455608719</v>
      </c>
    </row>
    <row r="44" spans="1:7" ht="14.1" customHeight="1">
      <c r="A44" s="15" t="s">
        <v>140</v>
      </c>
      <c r="B44" s="16">
        <f>'- 26 -'!B44</f>
        <v>8000</v>
      </c>
      <c r="C44" s="267">
        <f>'- 26 -'!C44</f>
        <v>7.1404293968622107E-2</v>
      </c>
      <c r="D44" s="16">
        <f>'- 26 -'!D44</f>
        <v>11.412268188302425</v>
      </c>
      <c r="E44" s="16">
        <f>SUM('- 37 -'!B44,'- 37 -'!E44,'- 37 -'!H44,B44)</f>
        <v>394496</v>
      </c>
      <c r="F44" s="267">
        <f>E44/'- 3 -'!D44*100</f>
        <v>3.5210885441806927</v>
      </c>
      <c r="G44" s="16">
        <f>E44/'- 7 -'!E44</f>
        <v>562.76176890156921</v>
      </c>
    </row>
    <row r="45" spans="1:7" ht="14.1" customHeight="1">
      <c r="A45" s="271" t="s">
        <v>141</v>
      </c>
      <c r="B45" s="272">
        <f>'- 26 -'!B45</f>
        <v>71000</v>
      </c>
      <c r="C45" s="273">
        <f>'- 26 -'!C45</f>
        <v>0.36199366327543181</v>
      </c>
      <c r="D45" s="272">
        <f>'- 26 -'!D45</f>
        <v>41.715628672150409</v>
      </c>
      <c r="E45" s="272">
        <f>SUM('- 37 -'!B45,'- 37 -'!E45,'- 37 -'!H45,B45)</f>
        <v>440641</v>
      </c>
      <c r="F45" s="273">
        <f>E45/'- 3 -'!D45*100</f>
        <v>2.2466091518218252</v>
      </c>
      <c r="G45" s="272">
        <f>E45/'- 7 -'!E45</f>
        <v>258.89600470035253</v>
      </c>
    </row>
    <row r="46" spans="1:7" ht="14.1" customHeight="1">
      <c r="A46" s="15" t="s">
        <v>142</v>
      </c>
      <c r="B46" s="16">
        <f>'- 26 -'!B46</f>
        <v>1338700</v>
      </c>
      <c r="C46" s="267">
        <f>'- 26 -'!C46</f>
        <v>0.34172199089626276</v>
      </c>
      <c r="D46" s="16">
        <f>'- 26 -'!D46</f>
        <v>44.391020326955598</v>
      </c>
      <c r="E46" s="16">
        <f>SUM('- 37 -'!B46,'- 37 -'!E46,'- 37 -'!H46,B46)</f>
        <v>6309400</v>
      </c>
      <c r="F46" s="267">
        <f>E46/'- 3 -'!D46*100</f>
        <v>1.6105630308216032</v>
      </c>
      <c r="G46" s="16">
        <f>E46/'- 7 -'!E46</f>
        <v>209.21842358324767</v>
      </c>
    </row>
    <row r="47" spans="1:7" ht="5.0999999999999996" customHeight="1">
      <c r="A47"/>
      <c r="B47"/>
      <c r="C47"/>
      <c r="D47"/>
      <c r="E47"/>
      <c r="F47"/>
      <c r="G47"/>
    </row>
    <row r="48" spans="1:7" ht="14.1" customHeight="1">
      <c r="A48" s="274" t="s">
        <v>143</v>
      </c>
      <c r="B48" s="275">
        <f>SUM(B11:B46)</f>
        <v>8603165</v>
      </c>
      <c r="C48" s="276">
        <f>'- 26 -'!C48</f>
        <v>0.37222549157061308</v>
      </c>
      <c r="D48" s="275">
        <f>'- 26 -'!D48</f>
        <v>49.123324415808597</v>
      </c>
      <c r="E48" s="275">
        <f>SUM(E11:E46)</f>
        <v>55704184</v>
      </c>
      <c r="F48" s="276">
        <f>E48/'- 3 -'!D48*100</f>
        <v>2.4101034063556703</v>
      </c>
      <c r="G48" s="275">
        <f>E48/'- 7 -'!E48</f>
        <v>318.06604917491347</v>
      </c>
    </row>
    <row r="49" spans="1:8" ht="5.0999999999999996" customHeight="1">
      <c r="A49" s="17" t="s">
        <v>1</v>
      </c>
      <c r="B49" s="18"/>
      <c r="C49" s="266"/>
      <c r="D49" s="18"/>
      <c r="E49" s="18"/>
      <c r="F49" s="266"/>
    </row>
    <row r="50" spans="1:8" ht="14.1" customHeight="1">
      <c r="A50" s="15" t="s">
        <v>144</v>
      </c>
      <c r="B50" s="16">
        <f>'- 26 -'!B50</f>
        <v>5000</v>
      </c>
      <c r="C50" s="267">
        <f>'- 26 -'!C50</f>
        <v>0.14468404765776782</v>
      </c>
      <c r="D50" s="16">
        <f>'- 26 -'!D50</f>
        <v>31.055900621118013</v>
      </c>
      <c r="E50" s="16">
        <f>SUM('- 37 -'!B50,'- 37 -'!E50,'- 37 -'!H50,B50)</f>
        <v>128650</v>
      </c>
      <c r="F50" s="267">
        <f>E50/'- 3 -'!D50*100</f>
        <v>3.7227205462343664</v>
      </c>
      <c r="G50" s="16">
        <f>E50/'- 7 -'!E50</f>
        <v>799.06832298136646</v>
      </c>
    </row>
    <row r="51" spans="1:8" ht="14.1" customHeight="1">
      <c r="A51" s="360" t="s">
        <v>523</v>
      </c>
      <c r="B51" s="272">
        <f>'- 26 -'!B51</f>
        <v>1335588</v>
      </c>
      <c r="C51" s="273">
        <f>'- 26 -'!C51</f>
        <v>4.5178450903054514</v>
      </c>
      <c r="D51" s="272">
        <f>'- 26 -'!D51</f>
        <v>1843.4616977225674</v>
      </c>
      <c r="E51" s="272">
        <f>SUM('- 37 -'!B51,'- 37 -'!E51,'- 37 -'!H51,B51)</f>
        <v>1746872</v>
      </c>
      <c r="F51" s="273">
        <f>E51/'- 3 -'!D51*100</f>
        <v>5.9090805612150339</v>
      </c>
      <c r="G51" s="272">
        <f>E51/'- 7 -'!E51</f>
        <v>2411.1414768806071</v>
      </c>
    </row>
    <row r="52" spans="1:8" ht="50.1" customHeight="1">
      <c r="A52" s="19"/>
      <c r="B52" s="19"/>
      <c r="C52" s="19"/>
      <c r="D52" s="19"/>
      <c r="E52" s="19"/>
      <c r="F52" s="19"/>
      <c r="G52" s="19"/>
      <c r="H52" s="19"/>
    </row>
    <row r="53" spans="1:8" ht="15" customHeight="1">
      <c r="A53" s="1" t="s">
        <v>336</v>
      </c>
    </row>
    <row r="54" spans="1:8" ht="12" customHeight="1">
      <c r="A54" s="131" t="s">
        <v>551</v>
      </c>
      <c r="B54" s="127"/>
      <c r="C54" s="127"/>
      <c r="D54" s="127"/>
    </row>
  </sheetData>
  <mergeCells count="5">
    <mergeCell ref="B5:G5"/>
    <mergeCell ref="E7:G7"/>
    <mergeCell ref="D8:D9"/>
    <mergeCell ref="G8:G9"/>
    <mergeCell ref="B6:D7"/>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5.xml><?xml version="1.0" encoding="utf-8"?>
<worksheet xmlns="http://schemas.openxmlformats.org/spreadsheetml/2006/main" xmlns:r="http://schemas.openxmlformats.org/officeDocument/2006/relationships">
  <sheetPr codeName="Sheet35">
    <pageSetUpPr fitToPage="1"/>
  </sheetPr>
  <dimension ref="A1:BB59"/>
  <sheetViews>
    <sheetView showGridLines="0" showZeros="0" workbookViewId="0"/>
  </sheetViews>
  <sheetFormatPr defaultColWidth="14.83203125" defaultRowHeight="12"/>
  <cols>
    <col min="1" max="1" width="29.83203125" style="1" customWidth="1"/>
    <col min="2" max="2" width="15.83203125" style="1" customWidth="1"/>
    <col min="3" max="3" width="13.83203125" style="1" customWidth="1"/>
    <col min="4" max="5" width="15.83203125" style="1" customWidth="1"/>
    <col min="6" max="6" width="12.83203125" style="1" customWidth="1"/>
    <col min="7" max="7" width="15.83203125" style="1" customWidth="1"/>
    <col min="8" max="8" width="13.83203125" style="1" customWidth="1"/>
    <col min="9" max="9" width="14.83203125" style="1"/>
    <col min="10" max="10" width="0" style="1" hidden="1" customWidth="1"/>
    <col min="11" max="11" width="19.5" style="1" hidden="1" customWidth="1"/>
    <col min="12" max="12" width="0" style="1" hidden="1" customWidth="1"/>
    <col min="13" max="16384" width="14.83203125" style="1"/>
  </cols>
  <sheetData>
    <row r="1" spans="1:54" ht="6.95" customHeight="1">
      <c r="A1" s="3"/>
    </row>
    <row r="2" spans="1:54" ht="15.95" customHeight="1">
      <c r="A2" s="100" t="str">
        <f>IF(Lang=1,BA2,BB2)</f>
        <v xml:space="preserve">  SUMMARY OF OPERATING FUND REVENUE: 2016/2017 BUDGET</v>
      </c>
      <c r="B2" s="101"/>
      <c r="C2" s="101"/>
      <c r="D2" s="101"/>
      <c r="E2" s="101"/>
      <c r="F2" s="101"/>
      <c r="G2" s="101"/>
      <c r="H2" s="101"/>
      <c r="BA2" s="471" t="str">
        <f>"  SUMMARY"&amp;REPLACE(REVYEAR,1,8,"")</f>
        <v xml:space="preserve">  SUMMARY OF OPERATING FUND REVENUE: 2016/2017 BUDGET</v>
      </c>
      <c r="BB2" s="456" t="str">
        <f>"SOMMAIRE DES RECETTES DU FONDS DE FONCTIONNEMENT : BUDGET "&amp;YEAR&amp;" - "&amp;YEAR+1</f>
        <v>SOMMAIRE DES RECETTES DU FONDS DE FONCTIONNEMENT : BUDGET 2016 - 2017</v>
      </c>
    </row>
    <row r="3" spans="1:54" ht="15.95" customHeight="1">
      <c r="A3" s="180"/>
    </row>
    <row r="4" spans="1:54" ht="15.95" customHeight="1">
      <c r="B4" s="4"/>
      <c r="C4" s="84"/>
      <c r="D4" s="84"/>
      <c r="E4" s="4"/>
      <c r="F4" s="4"/>
      <c r="G4" s="4"/>
      <c r="H4" s="4"/>
    </row>
    <row r="5" spans="1:54" ht="15.95" customHeight="1">
      <c r="B5" s="4"/>
      <c r="C5" s="4"/>
      <c r="D5" s="4"/>
      <c r="E5" s="4"/>
      <c r="F5" s="4"/>
      <c r="G5" s="4"/>
      <c r="H5" s="4"/>
    </row>
    <row r="6" spans="1:54" ht="15.95" customHeight="1">
      <c r="B6" s="711" t="s">
        <v>49</v>
      </c>
      <c r="C6" s="712"/>
      <c r="D6" s="712"/>
      <c r="E6" s="713"/>
      <c r="F6" s="713"/>
      <c r="G6" s="713"/>
      <c r="H6" s="714"/>
    </row>
    <row r="7" spans="1:54" ht="15.95" customHeight="1">
      <c r="B7" s="715" t="s">
        <v>52</v>
      </c>
      <c r="C7" s="716"/>
      <c r="D7" s="717"/>
      <c r="E7" s="619" t="s">
        <v>450</v>
      </c>
      <c r="F7" s="464" t="s">
        <v>1</v>
      </c>
      <c r="G7" s="604" t="s">
        <v>451</v>
      </c>
      <c r="H7" s="284" t="s">
        <v>1</v>
      </c>
    </row>
    <row r="8" spans="1:54" ht="15.95" customHeight="1">
      <c r="A8" s="469"/>
      <c r="B8" s="718"/>
      <c r="C8" s="719"/>
      <c r="D8" s="720"/>
      <c r="E8" s="684"/>
      <c r="F8" s="721" t="s">
        <v>54</v>
      </c>
      <c r="G8" s="721"/>
      <c r="H8" s="313" t="s">
        <v>1</v>
      </c>
    </row>
    <row r="9" spans="1:54" ht="15.95" customHeight="1">
      <c r="A9" s="93" t="s">
        <v>37</v>
      </c>
      <c r="B9" s="285" t="s">
        <v>306</v>
      </c>
      <c r="C9" s="285" t="s">
        <v>50</v>
      </c>
      <c r="D9" s="285" t="s">
        <v>51</v>
      </c>
      <c r="E9" s="621"/>
      <c r="F9" s="722"/>
      <c r="G9" s="605"/>
      <c r="H9" s="285" t="s">
        <v>19</v>
      </c>
      <c r="J9" s="128" t="s">
        <v>77</v>
      </c>
    </row>
    <row r="10" spans="1:54" ht="5.0999999999999996" customHeight="1">
      <c r="A10" s="29"/>
      <c r="B10" s="182"/>
      <c r="C10" s="182"/>
      <c r="D10" s="182"/>
      <c r="E10" s="182"/>
      <c r="F10" s="182"/>
      <c r="G10" s="182"/>
      <c r="H10" s="182"/>
    </row>
    <row r="11" spans="1:54" ht="14.1" customHeight="1">
      <c r="A11" s="271" t="s">
        <v>108</v>
      </c>
      <c r="B11" s="273">
        <f>'- 41 -'!I11</f>
        <v>65.182082083329647</v>
      </c>
      <c r="C11" s="273">
        <f>'- 42 -'!C11</f>
        <v>0</v>
      </c>
      <c r="D11" s="273">
        <f>'- 42 -'!E11</f>
        <v>34.152042193102147</v>
      </c>
      <c r="E11" s="273">
        <f>'- 42 -'!G11</f>
        <v>0.15076431477015881</v>
      </c>
      <c r="F11" s="273">
        <f>'- 42 -'!I11</f>
        <v>5.5280248749058222E-2</v>
      </c>
      <c r="G11" s="273">
        <f>'- 43 -'!C11</f>
        <v>7.5382157385079404E-2</v>
      </c>
      <c r="H11" s="273">
        <f>'- 43 -'!E11</f>
        <v>0.38444900266390492</v>
      </c>
      <c r="J11" s="337">
        <f>SUM(B11:H11)</f>
        <v>99.999999999999986</v>
      </c>
      <c r="K11" s="1" t="s">
        <v>53</v>
      </c>
      <c r="L11" s="337">
        <f>B48</f>
        <v>60.82458912090879</v>
      </c>
    </row>
    <row r="12" spans="1:54" ht="14.1" customHeight="1">
      <c r="A12" s="15" t="s">
        <v>109</v>
      </c>
      <c r="B12" s="267">
        <f>'- 41 -'!I12</f>
        <v>57.613601761920563</v>
      </c>
      <c r="C12" s="267">
        <f>'- 42 -'!C12</f>
        <v>4.1045098640386031E-2</v>
      </c>
      <c r="D12" s="267">
        <f>'- 42 -'!E12</f>
        <v>35.692968054812269</v>
      </c>
      <c r="E12" s="267">
        <f>'- 42 -'!G12</f>
        <v>1.6582319685174662</v>
      </c>
      <c r="F12" s="267">
        <f>'- 42 -'!I12</f>
        <v>3.2908721617129073</v>
      </c>
      <c r="G12" s="267">
        <f>'- 43 -'!C12</f>
        <v>0.30200449202519719</v>
      </c>
      <c r="H12" s="267">
        <f>'- 43 -'!E12</f>
        <v>1.4012764623712104</v>
      </c>
      <c r="J12" s="337">
        <f t="shared" ref="J12:J46" si="0">SUM(B12:H12)</f>
        <v>100</v>
      </c>
      <c r="K12" s="1" t="s">
        <v>50</v>
      </c>
      <c r="L12" s="337">
        <f>C48</f>
        <v>0.19810444554635137</v>
      </c>
    </row>
    <row r="13" spans="1:54" ht="14.1" customHeight="1">
      <c r="A13" s="271" t="s">
        <v>110</v>
      </c>
      <c r="B13" s="273">
        <f>'- 41 -'!I13</f>
        <v>61.15123114676696</v>
      </c>
      <c r="C13" s="273">
        <f>'- 42 -'!C13</f>
        <v>1.8744313380602777E-2</v>
      </c>
      <c r="D13" s="273">
        <f>'- 42 -'!E13</f>
        <v>37.444059876429378</v>
      </c>
      <c r="E13" s="273">
        <f>'- 42 -'!G13</f>
        <v>0.33304085449752069</v>
      </c>
      <c r="F13" s="273">
        <f>'- 42 -'!I13</f>
        <v>0.19565010344834577</v>
      </c>
      <c r="G13" s="273">
        <f>'- 43 -'!C13</f>
        <v>0.76466666531572514</v>
      </c>
      <c r="H13" s="273">
        <f>'- 43 -'!E13</f>
        <v>9.2607040161464524E-2</v>
      </c>
      <c r="J13" s="337">
        <f t="shared" si="0"/>
        <v>100</v>
      </c>
      <c r="K13" s="1" t="s">
        <v>51</v>
      </c>
      <c r="L13" s="337">
        <f>D48</f>
        <v>33.358664875414838</v>
      </c>
    </row>
    <row r="14" spans="1:54" ht="14.1" customHeight="1">
      <c r="A14" s="15" t="s">
        <v>319</v>
      </c>
      <c r="B14" s="267">
        <f>'- 41 -'!I14</f>
        <v>71.840228344877502</v>
      </c>
      <c r="C14" s="267">
        <f>'- 42 -'!C14</f>
        <v>6.3945866917024419E-2</v>
      </c>
      <c r="D14" s="267">
        <f>'- 42 -'!E14</f>
        <v>26.04088582465462</v>
      </c>
      <c r="E14" s="267">
        <f>'- 42 -'!G14</f>
        <v>1.9386747509744477</v>
      </c>
      <c r="F14" s="267">
        <f>'- 42 -'!I14</f>
        <v>0</v>
      </c>
      <c r="G14" s="267">
        <f>'- 43 -'!C14</f>
        <v>0.10463869131876724</v>
      </c>
      <c r="H14" s="267">
        <f>'- 43 -'!E14</f>
        <v>1.1626521257640804E-2</v>
      </c>
      <c r="J14" s="337">
        <f t="shared" si="0"/>
        <v>100</v>
      </c>
      <c r="K14" s="1" t="s">
        <v>62</v>
      </c>
      <c r="L14" s="337">
        <f>E48</f>
        <v>0.51302804225549892</v>
      </c>
    </row>
    <row r="15" spans="1:54" ht="14.1" customHeight="1">
      <c r="A15" s="271" t="s">
        <v>111</v>
      </c>
      <c r="B15" s="273">
        <f>'- 41 -'!I15</f>
        <v>62.211718996146892</v>
      </c>
      <c r="C15" s="273">
        <f>'- 42 -'!C15</f>
        <v>0</v>
      </c>
      <c r="D15" s="273">
        <f>'- 42 -'!E15</f>
        <v>36.745565029329327</v>
      </c>
      <c r="E15" s="273">
        <f>'- 42 -'!G15</f>
        <v>0.21573433955664581</v>
      </c>
      <c r="F15" s="273">
        <f>'- 42 -'!I15</f>
        <v>0.5273506078051341</v>
      </c>
      <c r="G15" s="273">
        <f>'- 43 -'!C15</f>
        <v>0.25648415925067891</v>
      </c>
      <c r="H15" s="273">
        <f>'- 43 -'!E15</f>
        <v>4.3146867911329156E-2</v>
      </c>
      <c r="J15" s="337">
        <f t="shared" si="0"/>
        <v>100</v>
      </c>
      <c r="K15" s="1" t="s">
        <v>54</v>
      </c>
      <c r="L15" s="337">
        <f>F48</f>
        <v>4.1029588765415292</v>
      </c>
    </row>
    <row r="16" spans="1:54" ht="14.1" customHeight="1">
      <c r="A16" s="15" t="s">
        <v>112</v>
      </c>
      <c r="B16" s="267">
        <f>'- 41 -'!I16</f>
        <v>72.437035394253087</v>
      </c>
      <c r="C16" s="267">
        <f>'- 42 -'!C16</f>
        <v>0</v>
      </c>
      <c r="D16" s="267">
        <f>'- 42 -'!E16</f>
        <v>23.788177257443017</v>
      </c>
      <c r="E16" s="267">
        <f>'- 42 -'!G16</f>
        <v>1.6718630601797697</v>
      </c>
      <c r="F16" s="267">
        <f>'- 42 -'!I16</f>
        <v>0</v>
      </c>
      <c r="G16" s="267">
        <f>'- 43 -'!C16</f>
        <v>1.6018682143334679</v>
      </c>
      <c r="H16" s="267">
        <f>'- 43 -'!E16</f>
        <v>0.50105607379064776</v>
      </c>
      <c r="J16" s="337">
        <f t="shared" si="0"/>
        <v>99.999999999999986</v>
      </c>
      <c r="K16" s="1" t="s">
        <v>48</v>
      </c>
      <c r="L16" s="337">
        <f>G48</f>
        <v>0.79449420187751152</v>
      </c>
    </row>
    <row r="17" spans="1:12" ht="14.1" customHeight="1">
      <c r="A17" s="271" t="s">
        <v>113</v>
      </c>
      <c r="B17" s="273">
        <f>'- 41 -'!I17</f>
        <v>54.661351807952116</v>
      </c>
      <c r="C17" s="273">
        <f>'- 42 -'!C17</f>
        <v>0</v>
      </c>
      <c r="D17" s="273">
        <f>'- 42 -'!E17</f>
        <v>39.950748937711388</v>
      </c>
      <c r="E17" s="273">
        <f>'- 42 -'!G17</f>
        <v>0.15256322604181211</v>
      </c>
      <c r="F17" s="273">
        <f>'- 42 -'!I17</f>
        <v>5.1005002193633571</v>
      </c>
      <c r="G17" s="273">
        <f>'- 43 -'!C17</f>
        <v>0</v>
      </c>
      <c r="H17" s="273">
        <f>'- 43 -'!E17</f>
        <v>0.13483580893131986</v>
      </c>
      <c r="J17" s="337">
        <f t="shared" si="0"/>
        <v>99.999999999999972</v>
      </c>
      <c r="K17" s="131" t="s">
        <v>19</v>
      </c>
      <c r="L17" s="337">
        <f>H48</f>
        <v>0.20816043745548268</v>
      </c>
    </row>
    <row r="18" spans="1:12" ht="14.1" customHeight="1">
      <c r="A18" s="15" t="s">
        <v>114</v>
      </c>
      <c r="B18" s="267">
        <f>'- 41 -'!I18</f>
        <v>37.053015985234666</v>
      </c>
      <c r="C18" s="267">
        <f>'- 42 -'!C18</f>
        <v>0</v>
      </c>
      <c r="D18" s="267">
        <f>'- 42 -'!E18</f>
        <v>2.2515145329157638</v>
      </c>
      <c r="E18" s="267">
        <f>'- 42 -'!G18</f>
        <v>0</v>
      </c>
      <c r="F18" s="267">
        <f>'- 42 -'!I18</f>
        <v>56.929299995058912</v>
      </c>
      <c r="G18" s="267">
        <f>'- 43 -'!C18</f>
        <v>3.4029608218290499</v>
      </c>
      <c r="H18" s="267">
        <f>'- 43 -'!E18</f>
        <v>0.36320866496161025</v>
      </c>
      <c r="J18" s="337">
        <f t="shared" si="0"/>
        <v>100</v>
      </c>
      <c r="L18" s="337"/>
    </row>
    <row r="19" spans="1:12" ht="14.1" customHeight="1">
      <c r="A19" s="271" t="s">
        <v>115</v>
      </c>
      <c r="B19" s="273">
        <f>'- 41 -'!I19</f>
        <v>67.923797571478289</v>
      </c>
      <c r="C19" s="273">
        <f>'- 42 -'!C19</f>
        <v>0</v>
      </c>
      <c r="D19" s="273">
        <f>'- 42 -'!E19</f>
        <v>30.372288727844111</v>
      </c>
      <c r="E19" s="273">
        <f>'- 42 -'!G19</f>
        <v>0.83117741496468023</v>
      </c>
      <c r="F19" s="273">
        <f>'- 42 -'!I19</f>
        <v>0</v>
      </c>
      <c r="G19" s="273">
        <f>'- 43 -'!C19</f>
        <v>2.0779435374117007E-2</v>
      </c>
      <c r="H19" s="273">
        <f>'- 43 -'!E19</f>
        <v>0.8519568503387972</v>
      </c>
      <c r="J19" s="337">
        <f t="shared" si="0"/>
        <v>100</v>
      </c>
      <c r="L19" s="337">
        <f>SUM(L11:L17)</f>
        <v>100</v>
      </c>
    </row>
    <row r="20" spans="1:12" ht="14.1" customHeight="1">
      <c r="A20" s="15" t="s">
        <v>116</v>
      </c>
      <c r="B20" s="267">
        <f>'- 41 -'!I20</f>
        <v>69.001172409605346</v>
      </c>
      <c r="C20" s="267">
        <f>'- 42 -'!C20</f>
        <v>0</v>
      </c>
      <c r="D20" s="267">
        <f>'- 42 -'!E20</f>
        <v>30.167514444927107</v>
      </c>
      <c r="E20" s="267">
        <f>'- 42 -'!G20</f>
        <v>0.14012863808976639</v>
      </c>
      <c r="F20" s="267">
        <f>'- 42 -'!I20</f>
        <v>0</v>
      </c>
      <c r="G20" s="267">
        <f>'- 43 -'!C20</f>
        <v>0.54241460327247082</v>
      </c>
      <c r="H20" s="267">
        <f>'- 43 -'!E20</f>
        <v>0.148769904105302</v>
      </c>
      <c r="J20" s="337">
        <f t="shared" si="0"/>
        <v>100</v>
      </c>
    </row>
    <row r="21" spans="1:12" ht="14.1" customHeight="1">
      <c r="A21" s="271" t="s">
        <v>117</v>
      </c>
      <c r="B21" s="273">
        <f>'- 41 -'!I21</f>
        <v>61.573282258712602</v>
      </c>
      <c r="C21" s="273">
        <f>'- 42 -'!C21</f>
        <v>0</v>
      </c>
      <c r="D21" s="273">
        <f>'- 42 -'!E21</f>
        <v>37.383035546864534</v>
      </c>
      <c r="E21" s="273">
        <f>'- 42 -'!G21</f>
        <v>0.16072433098497227</v>
      </c>
      <c r="F21" s="273">
        <f>'- 42 -'!I21</f>
        <v>0</v>
      </c>
      <c r="G21" s="273">
        <f>'- 43 -'!C21</f>
        <v>0.54056949987945679</v>
      </c>
      <c r="H21" s="273">
        <f>'- 43 -'!E21</f>
        <v>0.34238836355843666</v>
      </c>
      <c r="J21" s="337">
        <f t="shared" si="0"/>
        <v>100</v>
      </c>
    </row>
    <row r="22" spans="1:12" ht="14.1" customHeight="1">
      <c r="A22" s="15" t="s">
        <v>118</v>
      </c>
      <c r="B22" s="267">
        <f>'- 41 -'!I22</f>
        <v>83.43961665259171</v>
      </c>
      <c r="C22" s="267">
        <f>'- 42 -'!C22</f>
        <v>0.11733209117759473</v>
      </c>
      <c r="D22" s="267">
        <f>'- 42 -'!E22</f>
        <v>15.262397088756154</v>
      </c>
      <c r="E22" s="267">
        <f>'- 42 -'!G22</f>
        <v>7.3332556985996708E-2</v>
      </c>
      <c r="F22" s="267">
        <f>'- 42 -'!I22</f>
        <v>0.33244092500318506</v>
      </c>
      <c r="G22" s="267">
        <f>'- 43 -'!C22</f>
        <v>0</v>
      </c>
      <c r="H22" s="267">
        <f>'- 43 -'!E22</f>
        <v>0.77488068548536515</v>
      </c>
      <c r="J22" s="337">
        <f t="shared" si="0"/>
        <v>100.00000000000003</v>
      </c>
    </row>
    <row r="23" spans="1:12" ht="14.1" customHeight="1">
      <c r="A23" s="271" t="s">
        <v>119</v>
      </c>
      <c r="B23" s="273">
        <f>'- 41 -'!I23</f>
        <v>70.886556861474247</v>
      </c>
      <c r="C23" s="273">
        <f>'- 42 -'!C23</f>
        <v>0</v>
      </c>
      <c r="D23" s="273">
        <f>'- 42 -'!E23</f>
        <v>21.048503430021839</v>
      </c>
      <c r="E23" s="273">
        <f>'- 42 -'!G23</f>
        <v>0.53535072521285987</v>
      </c>
      <c r="F23" s="273">
        <f>'- 42 -'!I23</f>
        <v>5.7996328564726491</v>
      </c>
      <c r="G23" s="273">
        <f>'- 43 -'!C23</f>
        <v>1.4920224711682406</v>
      </c>
      <c r="H23" s="273">
        <f>'- 43 -'!E23</f>
        <v>0.23793365565015998</v>
      </c>
      <c r="J23" s="337">
        <f t="shared" si="0"/>
        <v>100.00000000000001</v>
      </c>
    </row>
    <row r="24" spans="1:12" ht="14.1" customHeight="1">
      <c r="A24" s="15" t="s">
        <v>120</v>
      </c>
      <c r="B24" s="267">
        <f>'- 41 -'!I24</f>
        <v>58.298357462880688</v>
      </c>
      <c r="C24" s="267">
        <f>'- 42 -'!C24</f>
        <v>0</v>
      </c>
      <c r="D24" s="267">
        <f>'- 42 -'!E24</f>
        <v>39.935224273021028</v>
      </c>
      <c r="E24" s="267">
        <f>'- 42 -'!G24</f>
        <v>0.30190426602406578</v>
      </c>
      <c r="F24" s="267">
        <f>'- 42 -'!I24</f>
        <v>0.65742121134434051</v>
      </c>
      <c r="G24" s="267">
        <f>'- 43 -'!C24</f>
        <v>0.63976659020030224</v>
      </c>
      <c r="H24" s="267">
        <f>'- 43 -'!E24</f>
        <v>0.16732619652956932</v>
      </c>
      <c r="J24" s="337">
        <f t="shared" si="0"/>
        <v>99.999999999999986</v>
      </c>
    </row>
    <row r="25" spans="1:12" ht="14.1" customHeight="1">
      <c r="A25" s="271" t="s">
        <v>121</v>
      </c>
      <c r="B25" s="273">
        <f>'- 41 -'!I25</f>
        <v>60.659245250591887</v>
      </c>
      <c r="C25" s="273">
        <f>'- 42 -'!C25</f>
        <v>0</v>
      </c>
      <c r="D25" s="273">
        <f>'- 42 -'!E25</f>
        <v>37.753820977763198</v>
      </c>
      <c r="E25" s="273">
        <f>'- 42 -'!G25</f>
        <v>0.27932815247890702</v>
      </c>
      <c r="F25" s="273">
        <f>'- 42 -'!I25</f>
        <v>0</v>
      </c>
      <c r="G25" s="273">
        <f>'- 43 -'!C25</f>
        <v>1.2652831718207169</v>
      </c>
      <c r="H25" s="273">
        <f>'- 43 -'!E25</f>
        <v>4.2322447345288942E-2</v>
      </c>
      <c r="J25" s="337">
        <f t="shared" si="0"/>
        <v>100</v>
      </c>
    </row>
    <row r="26" spans="1:12" ht="14.1" customHeight="1">
      <c r="A26" s="15" t="s">
        <v>122</v>
      </c>
      <c r="B26" s="267">
        <f>'- 41 -'!I26</f>
        <v>65.499948741567849</v>
      </c>
      <c r="C26" s="267">
        <f>'- 42 -'!C26</f>
        <v>4.7828455464286303E-2</v>
      </c>
      <c r="D26" s="267">
        <f>'- 42 -'!E26</f>
        <v>28.899422781532309</v>
      </c>
      <c r="E26" s="267">
        <f>'- 42 -'!G26</f>
        <v>1.3328387474260535</v>
      </c>
      <c r="F26" s="267">
        <f>'- 42 -'!I26</f>
        <v>2.3393540538822806</v>
      </c>
      <c r="G26" s="267">
        <f>'- 43 -'!C26</f>
        <v>1.3356353137875334</v>
      </c>
      <c r="H26" s="267">
        <f>'- 43 -'!E26</f>
        <v>0.54497190633969406</v>
      </c>
      <c r="J26" s="337">
        <f t="shared" si="0"/>
        <v>100</v>
      </c>
    </row>
    <row r="27" spans="1:12" ht="14.1" customHeight="1">
      <c r="A27" s="271" t="s">
        <v>123</v>
      </c>
      <c r="B27" s="273">
        <f>'- 41 -'!I27</f>
        <v>79.249966352087199</v>
      </c>
      <c r="C27" s="273">
        <f>'- 42 -'!C27</f>
        <v>2.2812144273125241E-2</v>
      </c>
      <c r="D27" s="273">
        <f>'- 42 -'!E27</f>
        <v>19.374461348243351</v>
      </c>
      <c r="E27" s="273">
        <f>'- 42 -'!G27</f>
        <v>0.25093358700437762</v>
      </c>
      <c r="F27" s="273">
        <f>'- 42 -'!I27</f>
        <v>0.46764895759906744</v>
      </c>
      <c r="G27" s="273">
        <f>'- 43 -'!C27</f>
        <v>0.55091328419597463</v>
      </c>
      <c r="H27" s="273">
        <f>'- 43 -'!E27</f>
        <v>8.3264326596907134E-2</v>
      </c>
      <c r="J27" s="337">
        <f t="shared" si="0"/>
        <v>100.00000000000001</v>
      </c>
    </row>
    <row r="28" spans="1:12" ht="14.1" customHeight="1">
      <c r="A28" s="15" t="s">
        <v>124</v>
      </c>
      <c r="B28" s="267">
        <f>'- 41 -'!I28</f>
        <v>47.83254948201008</v>
      </c>
      <c r="C28" s="267">
        <f>'- 42 -'!C28</f>
        <v>0</v>
      </c>
      <c r="D28" s="267">
        <f>'- 42 -'!E28</f>
        <v>25.57109155539327</v>
      </c>
      <c r="E28" s="267">
        <f>'- 42 -'!G28</f>
        <v>0.23277428136191822</v>
      </c>
      <c r="F28" s="267">
        <f>'- 42 -'!I28</f>
        <v>26.274056111480149</v>
      </c>
      <c r="G28" s="267">
        <f>'- 43 -'!C28</f>
        <v>6.5424724051426728E-2</v>
      </c>
      <c r="H28" s="267">
        <f>'- 43 -'!E28</f>
        <v>2.4103845703157215E-2</v>
      </c>
      <c r="J28" s="337">
        <f t="shared" si="0"/>
        <v>99.999999999999986</v>
      </c>
    </row>
    <row r="29" spans="1:12" ht="14.1" customHeight="1">
      <c r="A29" s="271" t="s">
        <v>125</v>
      </c>
      <c r="B29" s="273">
        <f>'- 41 -'!I29</f>
        <v>51.576939694735493</v>
      </c>
      <c r="C29" s="273">
        <f>'- 42 -'!C29</f>
        <v>0</v>
      </c>
      <c r="D29" s="273">
        <f>'- 42 -'!E29</f>
        <v>46.341200093193784</v>
      </c>
      <c r="E29" s="273">
        <f>'- 42 -'!G29</f>
        <v>0.36096272200989077</v>
      </c>
      <c r="F29" s="273">
        <f>'- 42 -'!I29</f>
        <v>0</v>
      </c>
      <c r="G29" s="273">
        <f>'- 43 -'!C29</f>
        <v>1.6382154306602736</v>
      </c>
      <c r="H29" s="273">
        <f>'- 43 -'!E29</f>
        <v>8.2682059400556174E-2</v>
      </c>
      <c r="J29" s="337">
        <f t="shared" si="0"/>
        <v>99.999999999999986</v>
      </c>
    </row>
    <row r="30" spans="1:12" ht="14.1" customHeight="1">
      <c r="A30" s="15" t="s">
        <v>126</v>
      </c>
      <c r="B30" s="267">
        <f>'- 41 -'!I30</f>
        <v>60.446253908673064</v>
      </c>
      <c r="C30" s="267">
        <f>'- 42 -'!C30</f>
        <v>0</v>
      </c>
      <c r="D30" s="267">
        <f>'- 42 -'!E30</f>
        <v>39.138091754768176</v>
      </c>
      <c r="E30" s="267">
        <f>'- 42 -'!G30</f>
        <v>0.2538271306851651</v>
      </c>
      <c r="F30" s="267">
        <f>'- 42 -'!I30</f>
        <v>0</v>
      </c>
      <c r="G30" s="267">
        <f>'- 43 -'!C30</f>
        <v>2.1841708768214993E-2</v>
      </c>
      <c r="H30" s="267">
        <f>'- 43 -'!E30</f>
        <v>0.13998549710537792</v>
      </c>
      <c r="J30" s="337">
        <f t="shared" si="0"/>
        <v>100</v>
      </c>
    </row>
    <row r="31" spans="1:12" ht="14.1" customHeight="1">
      <c r="A31" s="271" t="s">
        <v>127</v>
      </c>
      <c r="B31" s="273">
        <f>'- 41 -'!I31</f>
        <v>61.117831764525278</v>
      </c>
      <c r="C31" s="273">
        <f>'- 42 -'!C31</f>
        <v>0</v>
      </c>
      <c r="D31" s="273">
        <f>'- 42 -'!E31</f>
        <v>36.275833110001649</v>
      </c>
      <c r="E31" s="273">
        <f>'- 42 -'!G31</f>
        <v>0.46581348269176842</v>
      </c>
      <c r="F31" s="273">
        <f>'- 42 -'!I31</f>
        <v>2.0551225042878132</v>
      </c>
      <c r="G31" s="273">
        <f>'- 43 -'!C31</f>
        <v>1.293926340810468E-2</v>
      </c>
      <c r="H31" s="273">
        <f>'- 43 -'!E31</f>
        <v>7.2459875085386191E-2</v>
      </c>
      <c r="J31" s="337">
        <f t="shared" si="0"/>
        <v>100</v>
      </c>
    </row>
    <row r="32" spans="1:12" ht="14.1" customHeight="1">
      <c r="A32" s="15" t="s">
        <v>128</v>
      </c>
      <c r="B32" s="267">
        <f>'- 41 -'!I32</f>
        <v>56.264205740610585</v>
      </c>
      <c r="C32" s="267">
        <f>'- 42 -'!C32</f>
        <v>0</v>
      </c>
      <c r="D32" s="267">
        <f>'- 42 -'!E32</f>
        <v>43.225713806585652</v>
      </c>
      <c r="E32" s="267">
        <f>'- 42 -'!G32</f>
        <v>0.25261127186472004</v>
      </c>
      <c r="F32" s="267">
        <f>'- 42 -'!I32</f>
        <v>0</v>
      </c>
      <c r="G32" s="267">
        <f>'- 43 -'!C32</f>
        <v>4.53404846936677E-2</v>
      </c>
      <c r="H32" s="267">
        <f>'- 43 -'!E32</f>
        <v>0.21212869624537392</v>
      </c>
      <c r="J32" s="337">
        <f t="shared" si="0"/>
        <v>100</v>
      </c>
    </row>
    <row r="33" spans="1:10" ht="14.1" customHeight="1">
      <c r="A33" s="271" t="s">
        <v>129</v>
      </c>
      <c r="B33" s="273">
        <f>'- 41 -'!I33</f>
        <v>60.956651784249274</v>
      </c>
      <c r="C33" s="273">
        <f>'- 42 -'!C33</f>
        <v>0</v>
      </c>
      <c r="D33" s="273">
        <f>'- 42 -'!E33</f>
        <v>37.527280129150284</v>
      </c>
      <c r="E33" s="273">
        <f>'- 42 -'!G33</f>
        <v>0.10395895450974464</v>
      </c>
      <c r="F33" s="273">
        <f>'- 42 -'!I33</f>
        <v>0.77969215882308485</v>
      </c>
      <c r="G33" s="273">
        <f>'- 43 -'!C33</f>
        <v>0.38118283320239699</v>
      </c>
      <c r="H33" s="273">
        <f>'- 43 -'!E33</f>
        <v>0.25123414006521627</v>
      </c>
      <c r="J33" s="337">
        <f t="shared" si="0"/>
        <v>100.00000000000001</v>
      </c>
    </row>
    <row r="34" spans="1:10" ht="14.1" customHeight="1">
      <c r="A34" s="15" t="s">
        <v>130</v>
      </c>
      <c r="B34" s="267">
        <f>'- 41 -'!I34</f>
        <v>53.785957707612276</v>
      </c>
      <c r="C34" s="267">
        <f>'- 42 -'!C34</f>
        <v>7.0363919867474589E-2</v>
      </c>
      <c r="D34" s="267">
        <f>'- 42 -'!E34</f>
        <v>42.577943949978916</v>
      </c>
      <c r="E34" s="267">
        <f>'- 42 -'!G34</f>
        <v>2.8936435145500292</v>
      </c>
      <c r="F34" s="267">
        <f>'- 42 -'!I34</f>
        <v>0</v>
      </c>
      <c r="G34" s="267">
        <f>'- 43 -'!C34</f>
        <v>0.54646265039934805</v>
      </c>
      <c r="H34" s="267">
        <f>'- 43 -'!E34</f>
        <v>0.12562825759195956</v>
      </c>
      <c r="J34" s="337">
        <f t="shared" si="0"/>
        <v>100</v>
      </c>
    </row>
    <row r="35" spans="1:10" ht="14.1" customHeight="1">
      <c r="A35" s="271" t="s">
        <v>131</v>
      </c>
      <c r="B35" s="273">
        <f>'- 41 -'!I35</f>
        <v>65.708615739118343</v>
      </c>
      <c r="C35" s="273">
        <f>'- 42 -'!C35</f>
        <v>0</v>
      </c>
      <c r="D35" s="273">
        <f>'- 42 -'!E35</f>
        <v>33.760328064399971</v>
      </c>
      <c r="E35" s="273">
        <f>'- 42 -'!G35</f>
        <v>0.11770833220985748</v>
      </c>
      <c r="F35" s="273">
        <f>'- 42 -'!I35</f>
        <v>0</v>
      </c>
      <c r="G35" s="273">
        <f>'- 43 -'!C35</f>
        <v>0.40239825197323376</v>
      </c>
      <c r="H35" s="273">
        <f>'- 43 -'!E35</f>
        <v>1.0949612298591394E-2</v>
      </c>
      <c r="J35" s="337">
        <f t="shared" si="0"/>
        <v>100</v>
      </c>
    </row>
    <row r="36" spans="1:10" ht="14.1" customHeight="1">
      <c r="A36" s="15" t="s">
        <v>132</v>
      </c>
      <c r="B36" s="267">
        <f>'- 41 -'!I36</f>
        <v>57.021116215540687</v>
      </c>
      <c r="C36" s="267">
        <f>'- 42 -'!C36</f>
        <v>0.25759235708226269</v>
      </c>
      <c r="D36" s="267">
        <f>'- 42 -'!E36</f>
        <v>36.350004809858902</v>
      </c>
      <c r="E36" s="267">
        <f>'- 42 -'!G36</f>
        <v>0.30521307674934983</v>
      </c>
      <c r="F36" s="267">
        <f>'- 42 -'!I36</f>
        <v>5.6048257324750246</v>
      </c>
      <c r="G36" s="267">
        <f>'- 43 -'!C36</f>
        <v>0.10388464150760715</v>
      </c>
      <c r="H36" s="267">
        <f>'- 43 -'!E36</f>
        <v>0.35736316678616864</v>
      </c>
      <c r="J36" s="337">
        <f t="shared" si="0"/>
        <v>100</v>
      </c>
    </row>
    <row r="37" spans="1:10" ht="14.1" customHeight="1">
      <c r="A37" s="271" t="s">
        <v>133</v>
      </c>
      <c r="B37" s="273">
        <f>'- 41 -'!I37</f>
        <v>70.387800222062054</v>
      </c>
      <c r="C37" s="273">
        <f>'- 42 -'!C37</f>
        <v>2.921869217133841E-2</v>
      </c>
      <c r="D37" s="273">
        <f>'- 42 -'!E37</f>
        <v>28.986919765471299</v>
      </c>
      <c r="E37" s="273">
        <f>'- 42 -'!G37</f>
        <v>0.48697820285564014</v>
      </c>
      <c r="F37" s="273">
        <f>'- 42 -'!I37</f>
        <v>0</v>
      </c>
      <c r="G37" s="273">
        <f>'- 43 -'!C37</f>
        <v>0</v>
      </c>
      <c r="H37" s="273">
        <f>'- 43 -'!E37</f>
        <v>0.10908311743966341</v>
      </c>
      <c r="J37" s="337">
        <f t="shared" si="0"/>
        <v>100</v>
      </c>
    </row>
    <row r="38" spans="1:10" ht="14.1" customHeight="1">
      <c r="A38" s="15" t="s">
        <v>134</v>
      </c>
      <c r="B38" s="267">
        <f>'- 41 -'!I38</f>
        <v>68.210366627422189</v>
      </c>
      <c r="C38" s="267">
        <f>'- 42 -'!C38</f>
        <v>0.64862566173599001</v>
      </c>
      <c r="D38" s="267">
        <f>'- 42 -'!E38</f>
        <v>29.216679988788659</v>
      </c>
      <c r="E38" s="267">
        <f>'- 42 -'!G38</f>
        <v>0.78035537670223964</v>
      </c>
      <c r="F38" s="267">
        <f>'- 42 -'!I38</f>
        <v>0.31643768486457791</v>
      </c>
      <c r="G38" s="267">
        <f>'- 43 -'!C38</f>
        <v>0.78959077519715604</v>
      </c>
      <c r="H38" s="267">
        <f>'- 43 -'!E38</f>
        <v>3.7943885289191473E-2</v>
      </c>
      <c r="J38" s="337">
        <f t="shared" si="0"/>
        <v>100.00000000000001</v>
      </c>
    </row>
    <row r="39" spans="1:10" ht="14.1" customHeight="1">
      <c r="A39" s="271" t="s">
        <v>135</v>
      </c>
      <c r="B39" s="273">
        <f>'- 41 -'!I39</f>
        <v>51.818055477766038</v>
      </c>
      <c r="C39" s="273">
        <f>'- 42 -'!C39</f>
        <v>0</v>
      </c>
      <c r="D39" s="273">
        <f>'- 42 -'!E39</f>
        <v>47.462848897767643</v>
      </c>
      <c r="E39" s="273">
        <f>'- 42 -'!G39</f>
        <v>0.42721935864206445</v>
      </c>
      <c r="F39" s="273">
        <f>'- 42 -'!I39</f>
        <v>0</v>
      </c>
      <c r="G39" s="273">
        <f>'- 43 -'!C39</f>
        <v>0</v>
      </c>
      <c r="H39" s="273">
        <f>'- 43 -'!E39</f>
        <v>0.29187626582425846</v>
      </c>
      <c r="J39" s="337">
        <f t="shared" si="0"/>
        <v>100</v>
      </c>
    </row>
    <row r="40" spans="1:10" ht="14.1" customHeight="1">
      <c r="A40" s="15" t="s">
        <v>136</v>
      </c>
      <c r="B40" s="267">
        <f>'- 41 -'!I40</f>
        <v>54.843255385394109</v>
      </c>
      <c r="C40" s="267">
        <f>'- 42 -'!C40</f>
        <v>0</v>
      </c>
      <c r="D40" s="267">
        <f>'- 42 -'!E40</f>
        <v>41.393899974477662</v>
      </c>
      <c r="E40" s="267">
        <f>'- 42 -'!G40</f>
        <v>0.67498973917740446</v>
      </c>
      <c r="F40" s="267">
        <f>'- 42 -'!I40</f>
        <v>0.15879649889589262</v>
      </c>
      <c r="G40" s="267">
        <f>'- 43 -'!C40</f>
        <v>2.2682678721699769</v>
      </c>
      <c r="H40" s="267">
        <f>'- 43 -'!E40</f>
        <v>0.66079052988495468</v>
      </c>
      <c r="J40" s="337">
        <f t="shared" si="0"/>
        <v>99.999999999999986</v>
      </c>
    </row>
    <row r="41" spans="1:10" ht="14.1" customHeight="1">
      <c r="A41" s="271" t="s">
        <v>137</v>
      </c>
      <c r="B41" s="273">
        <f>'- 41 -'!I41</f>
        <v>57.940583283159043</v>
      </c>
      <c r="C41" s="273">
        <f>'- 42 -'!C41</f>
        <v>0</v>
      </c>
      <c r="D41" s="273">
        <f>'- 42 -'!E41</f>
        <v>41.199165085177682</v>
      </c>
      <c r="E41" s="273">
        <f>'- 42 -'!G41</f>
        <v>0.23604313270635435</v>
      </c>
      <c r="F41" s="273">
        <f>'- 42 -'!I41</f>
        <v>0.4689511284193269</v>
      </c>
      <c r="G41" s="273">
        <f>'- 43 -'!C41</f>
        <v>0</v>
      </c>
      <c r="H41" s="273">
        <f>'- 43 -'!E41</f>
        <v>0.15525737053760458</v>
      </c>
      <c r="J41" s="337">
        <f t="shared" si="0"/>
        <v>100</v>
      </c>
    </row>
    <row r="42" spans="1:10" ht="14.1" customHeight="1">
      <c r="A42" s="15" t="s">
        <v>138</v>
      </c>
      <c r="B42" s="267">
        <f>'- 41 -'!I42</f>
        <v>70.362284039535808</v>
      </c>
      <c r="C42" s="267">
        <f>'- 42 -'!C42</f>
        <v>0</v>
      </c>
      <c r="D42" s="267">
        <f>'- 42 -'!E42</f>
        <v>27.035098699054878</v>
      </c>
      <c r="E42" s="267">
        <f>'- 42 -'!G42</f>
        <v>0.12274269689215019</v>
      </c>
      <c r="F42" s="267">
        <f>'- 42 -'!I42</f>
        <v>0.89460542542547927</v>
      </c>
      <c r="G42" s="267">
        <f>'- 43 -'!C42</f>
        <v>1.2245944451470676</v>
      </c>
      <c r="H42" s="267">
        <f>'- 43 -'!E42</f>
        <v>0.36067469394462598</v>
      </c>
      <c r="J42" s="337">
        <f t="shared" si="0"/>
        <v>100.00000000000001</v>
      </c>
    </row>
    <row r="43" spans="1:10" ht="14.1" customHeight="1">
      <c r="A43" s="271" t="s">
        <v>139</v>
      </c>
      <c r="B43" s="273">
        <f>'- 41 -'!I43</f>
        <v>57.851206808306102</v>
      </c>
      <c r="C43" s="273">
        <f>'- 42 -'!C43</f>
        <v>0</v>
      </c>
      <c r="D43" s="273">
        <f>'- 42 -'!E43</f>
        <v>41.69922544458462</v>
      </c>
      <c r="E43" s="273">
        <f>'- 42 -'!G43</f>
        <v>0.1840831001184538</v>
      </c>
      <c r="F43" s="273">
        <f>'- 42 -'!I43</f>
        <v>0</v>
      </c>
      <c r="G43" s="273">
        <f>'- 43 -'!C43</f>
        <v>9.5391862481382747E-2</v>
      </c>
      <c r="H43" s="273">
        <f>'- 43 -'!E43</f>
        <v>0.17009278450945131</v>
      </c>
      <c r="J43" s="337">
        <f t="shared" si="0"/>
        <v>100</v>
      </c>
    </row>
    <row r="44" spans="1:10" ht="14.1" customHeight="1">
      <c r="A44" s="15" t="s">
        <v>140</v>
      </c>
      <c r="B44" s="267">
        <f>'- 41 -'!I44</f>
        <v>77.962381634814179</v>
      </c>
      <c r="C44" s="267">
        <f>'- 42 -'!C44</f>
        <v>0</v>
      </c>
      <c r="D44" s="267">
        <f>'- 42 -'!E44</f>
        <v>21.670468869183935</v>
      </c>
      <c r="E44" s="267">
        <f>'- 42 -'!G44</f>
        <v>0.27339055549543495</v>
      </c>
      <c r="F44" s="267">
        <f>'- 42 -'!I44</f>
        <v>0</v>
      </c>
      <c r="G44" s="267">
        <f>'- 43 -'!C44</f>
        <v>0</v>
      </c>
      <c r="H44" s="267">
        <f>'- 43 -'!E44</f>
        <v>9.375894050644723E-2</v>
      </c>
      <c r="J44" s="337">
        <f t="shared" si="0"/>
        <v>100</v>
      </c>
    </row>
    <row r="45" spans="1:10" ht="14.1" customHeight="1">
      <c r="A45" s="271" t="s">
        <v>141</v>
      </c>
      <c r="B45" s="273">
        <f>'- 41 -'!I45</f>
        <v>64.680360210043872</v>
      </c>
      <c r="C45" s="273">
        <f>'- 42 -'!C45</f>
        <v>9.8518716906023623E-2</v>
      </c>
      <c r="D45" s="273">
        <f>'- 42 -'!E45</f>
        <v>33.662062378012273</v>
      </c>
      <c r="E45" s="273">
        <f>'- 42 -'!G45</f>
        <v>0.32979140484291414</v>
      </c>
      <c r="F45" s="273">
        <f>'- 42 -'!I45</f>
        <v>0</v>
      </c>
      <c r="G45" s="273">
        <f>'- 43 -'!C45</f>
        <v>1.1499597230855609</v>
      </c>
      <c r="H45" s="273">
        <f>'- 43 -'!E45</f>
        <v>7.9307567109349025E-2</v>
      </c>
      <c r="J45" s="337">
        <f t="shared" si="0"/>
        <v>99.999999999999986</v>
      </c>
    </row>
    <row r="46" spans="1:10" ht="14.1" customHeight="1">
      <c r="A46" s="15" t="s">
        <v>142</v>
      </c>
      <c r="B46" s="267">
        <f>'- 41 -'!I46</f>
        <v>61.37014400696502</v>
      </c>
      <c r="C46" s="267">
        <f>'- 42 -'!C46</f>
        <v>0.88375714959534024</v>
      </c>
      <c r="D46" s="267">
        <f>'- 42 -'!E46</f>
        <v>36.259669818228829</v>
      </c>
      <c r="E46" s="267">
        <f>'- 42 -'!G46</f>
        <v>0.6254475598707594</v>
      </c>
      <c r="F46" s="267">
        <f>'- 42 -'!I46</f>
        <v>0.51947245253214103</v>
      </c>
      <c r="G46" s="267">
        <f>'- 43 -'!C46</f>
        <v>0.16538883799569939</v>
      </c>
      <c r="H46" s="267">
        <f>'- 43 -'!E46</f>
        <v>0.17612017481221423</v>
      </c>
      <c r="J46" s="337">
        <f t="shared" si="0"/>
        <v>100</v>
      </c>
    </row>
    <row r="47" spans="1:10" ht="5.0999999999999996" customHeight="1">
      <c r="A47"/>
      <c r="B47"/>
      <c r="C47"/>
      <c r="D47"/>
      <c r="E47"/>
      <c r="F47"/>
      <c r="G47"/>
      <c r="H47"/>
      <c r="J47" s="337"/>
    </row>
    <row r="48" spans="1:10" ht="14.1" customHeight="1">
      <c r="A48" s="274" t="s">
        <v>143</v>
      </c>
      <c r="B48" s="276">
        <f>'- 41 -'!I48</f>
        <v>60.82458912090879</v>
      </c>
      <c r="C48" s="276">
        <f>'- 42 -'!C48</f>
        <v>0.19810444554635137</v>
      </c>
      <c r="D48" s="276">
        <f>'- 42 -'!E48</f>
        <v>33.358664875414838</v>
      </c>
      <c r="E48" s="276">
        <f>'- 42 -'!G48</f>
        <v>0.51302804225549892</v>
      </c>
      <c r="F48" s="276">
        <f>'- 42 -'!I48</f>
        <v>4.1029588765415292</v>
      </c>
      <c r="G48" s="276">
        <f>'- 43 -'!C48</f>
        <v>0.79449420187751152</v>
      </c>
      <c r="H48" s="276">
        <f>'- 43 -'!E48</f>
        <v>0.20816043745548268</v>
      </c>
      <c r="J48" s="337">
        <f>SUM(B48:H48)</f>
        <v>100</v>
      </c>
    </row>
    <row r="49" spans="1:10" ht="5.0999999999999996" customHeight="1">
      <c r="A49" s="17" t="s">
        <v>1</v>
      </c>
      <c r="B49" s="266"/>
      <c r="C49" s="266"/>
      <c r="D49" s="266"/>
      <c r="E49" s="266"/>
      <c r="F49" s="266"/>
      <c r="G49" s="266"/>
      <c r="H49" s="266"/>
      <c r="J49" s="337"/>
    </row>
    <row r="50" spans="1:10" ht="14.1" customHeight="1">
      <c r="A50" s="15" t="s">
        <v>144</v>
      </c>
      <c r="B50" s="267">
        <f>'- 41 -'!I50</f>
        <v>41.962681106986096</v>
      </c>
      <c r="C50" s="267">
        <f>'- 42 -'!C50</f>
        <v>0</v>
      </c>
      <c r="D50" s="267">
        <f>'- 42 -'!E50</f>
        <v>54.969981025171201</v>
      </c>
      <c r="E50" s="267">
        <f>'- 42 -'!G50</f>
        <v>1.0493524284725062</v>
      </c>
      <c r="F50" s="267">
        <f>'- 42 -'!I50</f>
        <v>0</v>
      </c>
      <c r="G50" s="267">
        <f>'- 43 -'!C50</f>
        <v>0.57656726839148686</v>
      </c>
      <c r="H50" s="267">
        <f>'- 43 -'!E50</f>
        <v>1.4414181709787171</v>
      </c>
      <c r="J50" s="337">
        <f>SUM(B50:H50)</f>
        <v>100.00000000000001</v>
      </c>
    </row>
    <row r="51" spans="1:10" ht="14.1" customHeight="1">
      <c r="A51" s="360" t="s">
        <v>523</v>
      </c>
      <c r="B51" s="273">
        <f>'- 41 -'!I51</f>
        <v>33.877734765340669</v>
      </c>
      <c r="C51" s="273">
        <f>'- 42 -'!C51</f>
        <v>15.531066615990863</v>
      </c>
      <c r="D51" s="273">
        <f>'- 42 -'!E51</f>
        <v>0</v>
      </c>
      <c r="E51" s="273">
        <f>'- 42 -'!G51</f>
        <v>5.585104980875581</v>
      </c>
      <c r="F51" s="273">
        <f>'- 42 -'!I51</f>
        <v>0</v>
      </c>
      <c r="G51" s="273">
        <f>'- 43 -'!C51</f>
        <v>40.892833280106714</v>
      </c>
      <c r="H51" s="273">
        <f>'- 43 -'!E51</f>
        <v>4.1132603576861753</v>
      </c>
      <c r="J51" s="337">
        <f>SUM(B51:H51)</f>
        <v>100</v>
      </c>
    </row>
    <row r="52" spans="1:10" ht="50.1" customHeight="1">
      <c r="A52" s="19"/>
      <c r="B52" s="19"/>
      <c r="C52" s="19"/>
      <c r="D52" s="19"/>
      <c r="E52" s="19"/>
      <c r="F52" s="19"/>
      <c r="G52" s="19"/>
      <c r="H52" s="19"/>
    </row>
    <row r="53" spans="1:10" ht="14.45" customHeight="1">
      <c r="A53" s="709" t="e">
        <f>"(1)  The portion shown here is comprised of operating support only. The total provincial contribution to K-12 public school education, which also
"&amp;"       includes teachers' retirement allowances, capital support and the education property tax credit, is projected to be "&amp;TEXT(#REF!,"0.0%")&amp; " in "&amp;'- 60 -'!C9&amp;". See page i 
       for more information. "</f>
        <v>#REF!</v>
      </c>
      <c r="B53" s="709"/>
      <c r="C53" s="709"/>
      <c r="D53" s="709"/>
      <c r="E53" s="709"/>
      <c r="F53" s="709"/>
      <c r="G53" s="709"/>
      <c r="H53" s="709"/>
    </row>
    <row r="54" spans="1:10">
      <c r="A54" s="710"/>
      <c r="B54" s="710"/>
      <c r="C54" s="710"/>
      <c r="D54" s="710"/>
      <c r="E54" s="710"/>
      <c r="F54" s="710"/>
      <c r="G54" s="710"/>
      <c r="H54" s="710"/>
    </row>
    <row r="55" spans="1:10">
      <c r="A55" s="710"/>
      <c r="B55" s="710"/>
      <c r="C55" s="710"/>
      <c r="D55" s="710"/>
      <c r="E55" s="710"/>
      <c r="F55" s="710"/>
      <c r="G55" s="710"/>
      <c r="H55" s="710"/>
    </row>
    <row r="56" spans="1:10" ht="14.45" customHeight="1"/>
    <row r="57" spans="1:10" ht="14.45" customHeight="1"/>
    <row r="58" spans="1:10" ht="14.45" customHeight="1"/>
    <row r="59" spans="1:10" ht="14.45" customHeight="1"/>
  </sheetData>
  <mergeCells count="6">
    <mergeCell ref="A53:H55"/>
    <mergeCell ref="B6:H6"/>
    <mergeCell ref="B7:D8"/>
    <mergeCell ref="E7:E9"/>
    <mergeCell ref="F8:F9"/>
    <mergeCell ref="G7:G9"/>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6.xml><?xml version="1.0" encoding="utf-8"?>
<worksheet xmlns="http://schemas.openxmlformats.org/spreadsheetml/2006/main" xmlns:r="http://schemas.openxmlformats.org/officeDocument/2006/relationships">
  <sheetPr codeName="Sheet36">
    <pageSetUpPr fitToPage="1"/>
  </sheetPr>
  <dimension ref="A1:BB62"/>
  <sheetViews>
    <sheetView showGridLines="0" showZeros="0" workbookViewId="0"/>
  </sheetViews>
  <sheetFormatPr defaultColWidth="15.83203125" defaultRowHeight="12"/>
  <cols>
    <col min="1" max="1" width="26.83203125" style="1" customWidth="1"/>
    <col min="2" max="2" width="14.6640625" style="1" customWidth="1"/>
    <col min="3" max="3" width="15.5" style="1" customWidth="1"/>
    <col min="4" max="4" width="14.33203125" style="1" customWidth="1"/>
    <col min="5" max="5" width="14.1640625" style="1" customWidth="1"/>
    <col min="6" max="6" width="15.6640625" style="1" customWidth="1"/>
    <col min="7" max="7" width="13.5" style="1" customWidth="1"/>
    <col min="8" max="8" width="15.33203125" style="1" customWidth="1"/>
    <col min="9" max="9" width="13.33203125" style="1" customWidth="1"/>
    <col min="10" max="16384" width="15.83203125" style="1"/>
  </cols>
  <sheetData>
    <row r="1" spans="1:54" ht="18" customHeight="1">
      <c r="A1" s="183"/>
      <c r="B1" s="184" t="str">
        <f>IF(Lang=1,BA1,BB1)</f>
        <v>ANALYSIS OF OPERATING FUND REVENUE: 2016/2017 BUDGET</v>
      </c>
      <c r="C1" s="184"/>
      <c r="D1" s="184"/>
      <c r="E1" s="101"/>
      <c r="F1" s="101"/>
      <c r="G1" s="101"/>
      <c r="H1" s="101"/>
      <c r="I1" s="185" t="s">
        <v>0</v>
      </c>
      <c r="BA1" s="472" t="str">
        <f>"ANALYSIS OF OPERATING FUND REVENUE: "&amp;YEAR&amp;"/"&amp;YEAR+1&amp;" BUDGET"</f>
        <v>ANALYSIS OF OPERATING FUND REVENUE: 2016/2017 BUDGET</v>
      </c>
      <c r="BB1" s="472" t="str">
        <f>"ANALYSE DES RECETTES DU FONDS DE FONCTIONNEMENT : BUDGET "&amp;YEAR&amp;" - "&amp;YEAR+1</f>
        <v>ANALYSE DES RECETTES DU FONDS DE FONCTIONNEMENT : BUDGET 2016 - 2017</v>
      </c>
    </row>
    <row r="2" spans="1:54" ht="8.1" customHeight="1">
      <c r="A2" s="180"/>
    </row>
    <row r="3" spans="1:54" ht="15.95" customHeight="1">
      <c r="B3" s="593" t="s">
        <v>45</v>
      </c>
      <c r="C3" s="727"/>
      <c r="D3" s="727"/>
      <c r="E3" s="727"/>
      <c r="F3" s="727"/>
      <c r="G3" s="727"/>
      <c r="H3" s="727"/>
      <c r="I3" s="594"/>
    </row>
    <row r="4" spans="1:54" ht="8.1" customHeight="1"/>
    <row r="5" spans="1:54" ht="15.95" customHeight="1">
      <c r="B5" s="724" t="s">
        <v>34</v>
      </c>
      <c r="C5" s="725"/>
      <c r="D5" s="725"/>
      <c r="E5" s="725"/>
      <c r="F5" s="726"/>
    </row>
    <row r="6" spans="1:54" ht="15.95" customHeight="1">
      <c r="B6" s="251"/>
      <c r="C6" s="251"/>
      <c r="D6" s="251"/>
      <c r="E6" s="253"/>
      <c r="F6" s="253"/>
      <c r="G6" s="251"/>
      <c r="H6" s="470"/>
      <c r="I6" s="734" t="s">
        <v>458</v>
      </c>
    </row>
    <row r="7" spans="1:54" ht="15.95" customHeight="1">
      <c r="B7" s="728" t="s">
        <v>452</v>
      </c>
      <c r="C7" s="728" t="s">
        <v>453</v>
      </c>
      <c r="D7" s="728" t="s">
        <v>454</v>
      </c>
      <c r="E7" s="254"/>
      <c r="F7" s="254"/>
      <c r="G7" s="728" t="s">
        <v>456</v>
      </c>
      <c r="H7" s="732" t="s">
        <v>457</v>
      </c>
      <c r="I7" s="735"/>
    </row>
    <row r="8" spans="1:54" ht="15.95" customHeight="1">
      <c r="A8" s="249"/>
      <c r="B8" s="729"/>
      <c r="C8" s="729"/>
      <c r="D8" s="729"/>
      <c r="E8" s="728" t="s">
        <v>455</v>
      </c>
      <c r="F8" s="254"/>
      <c r="G8" s="729"/>
      <c r="H8" s="732"/>
      <c r="I8" s="735"/>
    </row>
    <row r="9" spans="1:54" ht="15.95" customHeight="1">
      <c r="A9" s="250" t="s">
        <v>37</v>
      </c>
      <c r="B9" s="730"/>
      <c r="C9" s="730"/>
      <c r="D9" s="730"/>
      <c r="E9" s="731"/>
      <c r="F9" s="252" t="s">
        <v>25</v>
      </c>
      <c r="G9" s="730"/>
      <c r="H9" s="733"/>
      <c r="I9" s="736"/>
    </row>
    <row r="10" spans="1:54" ht="5.0999999999999996" customHeight="1">
      <c r="A10" s="29"/>
      <c r="B10" s="182"/>
      <c r="C10" s="182"/>
      <c r="D10" s="182"/>
      <c r="E10" s="182"/>
      <c r="F10" s="182"/>
      <c r="G10" s="182"/>
      <c r="H10" s="182"/>
      <c r="I10" s="182"/>
    </row>
    <row r="11" spans="1:54" ht="14.1" customHeight="1">
      <c r="A11" s="271" t="s">
        <v>108</v>
      </c>
      <c r="B11" s="272">
        <f>'- 55 -'!$F11</f>
        <v>10059473</v>
      </c>
      <c r="C11" s="272">
        <v>1655023</v>
      </c>
      <c r="D11" s="272">
        <v>504331</v>
      </c>
      <c r="E11" s="272">
        <f>Data!Q11-C11-D11</f>
        <v>751500</v>
      </c>
      <c r="F11" s="272">
        <f>SUM(B11:E11)</f>
        <v>12970327</v>
      </c>
      <c r="G11" s="272">
        <v>0</v>
      </c>
      <c r="H11" s="272">
        <f>SUM(F11,G11)</f>
        <v>12970327</v>
      </c>
      <c r="I11" s="273">
        <f>H11/'- 43 -'!$I11*100</f>
        <v>65.182082083329647</v>
      </c>
    </row>
    <row r="12" spans="1:54" ht="14.1" customHeight="1">
      <c r="A12" s="15" t="s">
        <v>109</v>
      </c>
      <c r="B12" s="16">
        <f>'- 55 -'!$F12</f>
        <v>15310252</v>
      </c>
      <c r="C12" s="16">
        <v>2341473</v>
      </c>
      <c r="D12" s="16">
        <v>2717589</v>
      </c>
      <c r="E12" s="16">
        <f>Data!Q12-C12-D12</f>
        <v>1092014</v>
      </c>
      <c r="F12" s="16">
        <f t="shared" ref="F12:F46" si="0">SUM(B12:E12)</f>
        <v>21461328</v>
      </c>
      <c r="G12" s="16">
        <v>468143</v>
      </c>
      <c r="H12" s="16">
        <f>SUM(F12,G12)</f>
        <v>21929471</v>
      </c>
      <c r="I12" s="267">
        <f>H12/'- 43 -'!$I12*100</f>
        <v>57.613601761920563</v>
      </c>
    </row>
    <row r="13" spans="1:54" ht="14.1" customHeight="1">
      <c r="A13" s="271" t="s">
        <v>110</v>
      </c>
      <c r="B13" s="272">
        <f>'- 55 -'!$F13</f>
        <v>48204100</v>
      </c>
      <c r="C13" s="272">
        <v>7558832</v>
      </c>
      <c r="D13" s="272">
        <v>1824654</v>
      </c>
      <c r="E13" s="272">
        <f>Data!Q13-C13-D13</f>
        <v>2766600</v>
      </c>
      <c r="F13" s="272">
        <f t="shared" si="0"/>
        <v>60354186</v>
      </c>
      <c r="G13" s="272">
        <v>0</v>
      </c>
      <c r="H13" s="272">
        <f t="shared" ref="H13:H46" si="1">SUM(F13,G13)</f>
        <v>60354186</v>
      </c>
      <c r="I13" s="273">
        <f>H13/'- 43 -'!$I13*100</f>
        <v>61.15123114676696</v>
      </c>
    </row>
    <row r="14" spans="1:54" ht="14.1" customHeight="1">
      <c r="A14" s="15" t="s">
        <v>319</v>
      </c>
      <c r="B14" s="16">
        <f>'- 55 -'!$F14</f>
        <v>34595983</v>
      </c>
      <c r="C14" s="16">
        <v>6251963</v>
      </c>
      <c r="D14" s="16">
        <f>+Data!L2</f>
        <v>1948654</v>
      </c>
      <c r="E14" s="16">
        <f>Data!Q14-C14-D14</f>
        <v>18170419</v>
      </c>
      <c r="F14" s="16">
        <f t="shared" si="0"/>
        <v>60967019</v>
      </c>
      <c r="G14" s="16">
        <v>822941</v>
      </c>
      <c r="H14" s="16">
        <f t="shared" si="1"/>
        <v>61789960</v>
      </c>
      <c r="I14" s="267">
        <f>H14/'- 43 -'!$I14*100</f>
        <v>71.840228344877502</v>
      </c>
    </row>
    <row r="15" spans="1:54" ht="14.1" customHeight="1">
      <c r="A15" s="271" t="s">
        <v>111</v>
      </c>
      <c r="B15" s="272">
        <f>'- 55 -'!$F15</f>
        <v>8288083</v>
      </c>
      <c r="C15" s="272">
        <v>2616668</v>
      </c>
      <c r="D15" s="272">
        <v>1595317</v>
      </c>
      <c r="E15" s="272">
        <f>Data!Q15-C15-D15</f>
        <v>476667</v>
      </c>
      <c r="F15" s="272">
        <f t="shared" si="0"/>
        <v>12976735</v>
      </c>
      <c r="G15" s="272">
        <v>0</v>
      </c>
      <c r="H15" s="272">
        <f t="shared" si="1"/>
        <v>12976735</v>
      </c>
      <c r="I15" s="273">
        <f>H15/'- 43 -'!$I15*100</f>
        <v>62.211718996146892</v>
      </c>
    </row>
    <row r="16" spans="1:54" ht="14.1" customHeight="1">
      <c r="A16" s="15" t="s">
        <v>112</v>
      </c>
      <c r="B16" s="16">
        <f>'- 55 -'!$F16</f>
        <v>8634081</v>
      </c>
      <c r="C16" s="16">
        <v>888979</v>
      </c>
      <c r="D16" s="16">
        <v>752713</v>
      </c>
      <c r="E16" s="16">
        <f>Data!Q16-C16-D16</f>
        <v>407212</v>
      </c>
      <c r="F16" s="16">
        <f t="shared" si="0"/>
        <v>10682985</v>
      </c>
      <c r="G16" s="16">
        <v>92300</v>
      </c>
      <c r="H16" s="16">
        <f t="shared" si="1"/>
        <v>10775285</v>
      </c>
      <c r="I16" s="267">
        <f>H16/'- 43 -'!$I16*100</f>
        <v>72.437035394253087</v>
      </c>
    </row>
    <row r="17" spans="1:9" ht="14.1" customHeight="1">
      <c r="A17" s="271" t="s">
        <v>113</v>
      </c>
      <c r="B17" s="272">
        <f>'- 55 -'!$F17</f>
        <v>7447552</v>
      </c>
      <c r="C17" s="272">
        <v>1384701</v>
      </c>
      <c r="D17" s="272">
        <v>487785</v>
      </c>
      <c r="E17" s="272">
        <f>Data!Q17-C17-D17</f>
        <v>608000</v>
      </c>
      <c r="F17" s="272">
        <f t="shared" si="0"/>
        <v>9928038</v>
      </c>
      <c r="G17" s="272">
        <v>247300</v>
      </c>
      <c r="H17" s="272">
        <f t="shared" si="1"/>
        <v>10175338</v>
      </c>
      <c r="I17" s="273">
        <f>H17/'- 43 -'!$I17*100</f>
        <v>54.661351807952116</v>
      </c>
    </row>
    <row r="18" spans="1:9" ht="14.1" customHeight="1">
      <c r="A18" s="15" t="s">
        <v>114</v>
      </c>
      <c r="B18" s="16">
        <f>'- 55 -'!$F18</f>
        <v>38117679</v>
      </c>
      <c r="C18" s="16">
        <v>523335</v>
      </c>
      <c r="D18" s="16">
        <v>318474</v>
      </c>
      <c r="E18" s="16">
        <f>Data!Q18-C18-D18</f>
        <v>10768903</v>
      </c>
      <c r="F18" s="16">
        <f t="shared" si="0"/>
        <v>49728391</v>
      </c>
      <c r="G18" s="16">
        <v>1279500</v>
      </c>
      <c r="H18" s="16">
        <f t="shared" si="1"/>
        <v>51007891</v>
      </c>
      <c r="I18" s="267">
        <f>H18/'- 43 -'!$I18*100</f>
        <v>37.053015985234666</v>
      </c>
    </row>
    <row r="19" spans="1:9" ht="14.1" customHeight="1">
      <c r="A19" s="271" t="s">
        <v>115</v>
      </c>
      <c r="B19" s="272">
        <f>'- 55 -'!$F19</f>
        <v>27708192</v>
      </c>
      <c r="C19" s="272">
        <v>3220682</v>
      </c>
      <c r="D19" s="272">
        <v>646173</v>
      </c>
      <c r="E19" s="272">
        <f>Data!Q19-C19-D19</f>
        <v>1112943</v>
      </c>
      <c r="F19" s="272">
        <f t="shared" si="0"/>
        <v>32687990</v>
      </c>
      <c r="G19" s="272">
        <v>0</v>
      </c>
      <c r="H19" s="272">
        <f t="shared" si="1"/>
        <v>32687990</v>
      </c>
      <c r="I19" s="273">
        <f>H19/'- 43 -'!$I19*100</f>
        <v>67.923797571478289</v>
      </c>
    </row>
    <row r="20" spans="1:9" ht="14.1" customHeight="1">
      <c r="A20" s="15" t="s">
        <v>116</v>
      </c>
      <c r="B20" s="16">
        <f>'- 55 -'!$F20</f>
        <v>49086091</v>
      </c>
      <c r="C20" s="16">
        <v>6095703</v>
      </c>
      <c r="D20" s="16">
        <v>1496607</v>
      </c>
      <c r="E20" s="16">
        <f>Data!Q20-C20-D20</f>
        <v>2411167</v>
      </c>
      <c r="F20" s="16">
        <f t="shared" si="0"/>
        <v>59089568</v>
      </c>
      <c r="G20" s="16">
        <v>0</v>
      </c>
      <c r="H20" s="16">
        <f t="shared" si="1"/>
        <v>59089568</v>
      </c>
      <c r="I20" s="267">
        <f>H20/'- 43 -'!$I20*100</f>
        <v>69.001172409605346</v>
      </c>
    </row>
    <row r="21" spans="1:9" ht="14.1" customHeight="1">
      <c r="A21" s="271" t="s">
        <v>117</v>
      </c>
      <c r="B21" s="272">
        <f>'- 55 -'!$F21</f>
        <v>17210788</v>
      </c>
      <c r="C21" s="272">
        <v>3588988</v>
      </c>
      <c r="D21" s="272">
        <v>1289551</v>
      </c>
      <c r="E21" s="272">
        <f>Data!Q21-C21-D21</f>
        <v>866595</v>
      </c>
      <c r="F21" s="272">
        <f t="shared" si="0"/>
        <v>22955922</v>
      </c>
      <c r="G21" s="272">
        <v>30000</v>
      </c>
      <c r="H21" s="272">
        <f t="shared" si="1"/>
        <v>22985922</v>
      </c>
      <c r="I21" s="273">
        <f>H21/'- 43 -'!$I21*100</f>
        <v>61.573282258712602</v>
      </c>
    </row>
    <row r="22" spans="1:9" ht="14.1" customHeight="1">
      <c r="A22" s="15" t="s">
        <v>118</v>
      </c>
      <c r="B22" s="16">
        <f>'- 55 -'!$F22</f>
        <v>14041457</v>
      </c>
      <c r="C22" s="16">
        <v>1138574</v>
      </c>
      <c r="D22" s="16">
        <v>309407</v>
      </c>
      <c r="E22" s="16">
        <f>Data!Q22-C22-D22</f>
        <v>968362</v>
      </c>
      <c r="F22" s="16">
        <f t="shared" si="0"/>
        <v>16457800</v>
      </c>
      <c r="G22" s="16">
        <v>609575</v>
      </c>
      <c r="H22" s="16">
        <f t="shared" si="1"/>
        <v>17067375</v>
      </c>
      <c r="I22" s="267">
        <f>H22/'- 43 -'!$I22*100</f>
        <v>83.43961665259171</v>
      </c>
    </row>
    <row r="23" spans="1:9" ht="14.1" customHeight="1">
      <c r="A23" s="271" t="s">
        <v>119</v>
      </c>
      <c r="B23" s="272">
        <f>'- 55 -'!$F23</f>
        <v>9726897</v>
      </c>
      <c r="C23" s="272">
        <v>1075093</v>
      </c>
      <c r="D23" s="272">
        <v>440073</v>
      </c>
      <c r="E23" s="272">
        <f>Data!Q23-C23-D23</f>
        <v>408666</v>
      </c>
      <c r="F23" s="272">
        <f t="shared" si="0"/>
        <v>11650729</v>
      </c>
      <c r="G23" s="272">
        <v>266300</v>
      </c>
      <c r="H23" s="272">
        <f t="shared" si="1"/>
        <v>11917029</v>
      </c>
      <c r="I23" s="273">
        <f>H23/'- 43 -'!$I23*100</f>
        <v>70.886556861474247</v>
      </c>
    </row>
    <row r="24" spans="1:9" ht="14.1" customHeight="1">
      <c r="A24" s="15" t="s">
        <v>120</v>
      </c>
      <c r="B24" s="16">
        <f>'- 55 -'!$F24</f>
        <v>24072105</v>
      </c>
      <c r="C24" s="16">
        <v>5809861</v>
      </c>
      <c r="D24" s="16">
        <v>2692903</v>
      </c>
      <c r="E24" s="16">
        <f>Data!Q24-C24-D24</f>
        <v>1250310</v>
      </c>
      <c r="F24" s="16">
        <f t="shared" si="0"/>
        <v>33825179</v>
      </c>
      <c r="G24" s="16">
        <v>319140</v>
      </c>
      <c r="H24" s="16">
        <f t="shared" si="1"/>
        <v>34144319</v>
      </c>
      <c r="I24" s="267">
        <f>H24/'- 43 -'!$I24*100</f>
        <v>58.298357462880688</v>
      </c>
    </row>
    <row r="25" spans="1:9" ht="14.1" customHeight="1">
      <c r="A25" s="271" t="s">
        <v>121</v>
      </c>
      <c r="B25" s="272">
        <f>'- 55 -'!$F25</f>
        <v>74106774</v>
      </c>
      <c r="C25" s="272">
        <v>21704065</v>
      </c>
      <c r="D25" s="272">
        <v>5815259</v>
      </c>
      <c r="E25" s="272">
        <f>Data!Q25-C25-D25</f>
        <v>5868711</v>
      </c>
      <c r="F25" s="272">
        <f t="shared" si="0"/>
        <v>107494809</v>
      </c>
      <c r="G25" s="272">
        <v>0</v>
      </c>
      <c r="H25" s="272">
        <f t="shared" si="1"/>
        <v>107494809</v>
      </c>
      <c r="I25" s="273">
        <f>H25/'- 43 -'!$I25*100</f>
        <v>60.659245250591887</v>
      </c>
    </row>
    <row r="26" spans="1:9" ht="14.1" customHeight="1">
      <c r="A26" s="15" t="s">
        <v>122</v>
      </c>
      <c r="B26" s="16">
        <f>'- 55 -'!$F26</f>
        <v>22207685</v>
      </c>
      <c r="C26" s="16">
        <v>3569752</v>
      </c>
      <c r="D26" s="16">
        <v>690360</v>
      </c>
      <c r="E26" s="16">
        <f>Data!Q26-C26-D26</f>
        <v>935429</v>
      </c>
      <c r="F26" s="16">
        <f t="shared" si="0"/>
        <v>27403226</v>
      </c>
      <c r="G26" s="16">
        <v>0</v>
      </c>
      <c r="H26" s="16">
        <f t="shared" si="1"/>
        <v>27403226</v>
      </c>
      <c r="I26" s="267">
        <f>H26/'- 43 -'!$I26*100</f>
        <v>65.499948741567849</v>
      </c>
    </row>
    <row r="27" spans="1:9" ht="14.1" customHeight="1">
      <c r="A27" s="271" t="s">
        <v>123</v>
      </c>
      <c r="B27" s="272">
        <f>'- 55 -'!$F27</f>
        <v>31069959</v>
      </c>
      <c r="C27" s="272">
        <v>1708576</v>
      </c>
      <c r="D27" s="272">
        <v>1059703</v>
      </c>
      <c r="E27" s="272">
        <f>Data!Q27-C27-D27</f>
        <v>878015</v>
      </c>
      <c r="F27" s="272">
        <f t="shared" si="0"/>
        <v>34716253</v>
      </c>
      <c r="G27" s="272">
        <v>24000</v>
      </c>
      <c r="H27" s="272">
        <f t="shared" si="1"/>
        <v>34740253</v>
      </c>
      <c r="I27" s="273">
        <f>H27/'- 43 -'!$I27*100</f>
        <v>79.249966352087199</v>
      </c>
    </row>
    <row r="28" spans="1:9" ht="14.1" customHeight="1">
      <c r="A28" s="15" t="s">
        <v>124</v>
      </c>
      <c r="B28" s="16">
        <f>'- 55 -'!$F28</f>
        <v>10749603</v>
      </c>
      <c r="C28" s="16">
        <v>1639455</v>
      </c>
      <c r="D28" s="16">
        <v>793747</v>
      </c>
      <c r="E28" s="16">
        <f>Data!Q28-C28-D28</f>
        <v>708250</v>
      </c>
      <c r="F28" s="16">
        <f t="shared" si="0"/>
        <v>13891055</v>
      </c>
      <c r="G28" s="16">
        <v>0</v>
      </c>
      <c r="H28" s="16">
        <f t="shared" si="1"/>
        <v>13891055</v>
      </c>
      <c r="I28" s="267">
        <f>H28/'- 43 -'!$I28*100</f>
        <v>47.83254948201008</v>
      </c>
    </row>
    <row r="29" spans="1:9" ht="14.1" customHeight="1">
      <c r="A29" s="271" t="s">
        <v>125</v>
      </c>
      <c r="B29" s="272">
        <f>'- 55 -'!$F29</f>
        <v>54094689</v>
      </c>
      <c r="C29" s="272">
        <v>20771896</v>
      </c>
      <c r="D29" s="272">
        <v>4804898</v>
      </c>
      <c r="E29" s="272">
        <f>Data!Q29-C29-D29</f>
        <v>3833424</v>
      </c>
      <c r="F29" s="272">
        <f t="shared" si="0"/>
        <v>83504907</v>
      </c>
      <c r="G29" s="272">
        <v>84084</v>
      </c>
      <c r="H29" s="272">
        <f t="shared" si="1"/>
        <v>83588991</v>
      </c>
      <c r="I29" s="273">
        <f>H29/'- 43 -'!$I29*100</f>
        <v>51.576939694735493</v>
      </c>
    </row>
    <row r="30" spans="1:9" ht="14.1" customHeight="1">
      <c r="A30" s="15" t="s">
        <v>126</v>
      </c>
      <c r="B30" s="16">
        <f>'- 55 -'!$F30</f>
        <v>7554228</v>
      </c>
      <c r="C30" s="16">
        <v>966706</v>
      </c>
      <c r="D30" s="16">
        <v>331554</v>
      </c>
      <c r="E30" s="16">
        <f>Data!Q30-C30-D30</f>
        <v>280160</v>
      </c>
      <c r="F30" s="16">
        <f t="shared" si="0"/>
        <v>9132648</v>
      </c>
      <c r="G30" s="16">
        <v>0</v>
      </c>
      <c r="H30" s="16">
        <f t="shared" si="1"/>
        <v>9132648</v>
      </c>
      <c r="I30" s="267">
        <f>H30/'- 43 -'!$I30*100</f>
        <v>60.446253908673064</v>
      </c>
    </row>
    <row r="31" spans="1:9" ht="14.1" customHeight="1">
      <c r="A31" s="271" t="s">
        <v>127</v>
      </c>
      <c r="B31" s="272">
        <f>'- 55 -'!$F31</f>
        <v>19106178</v>
      </c>
      <c r="C31" s="272">
        <v>3180626</v>
      </c>
      <c r="D31" s="272">
        <v>520939</v>
      </c>
      <c r="E31" s="272">
        <f>Data!Q31-C31-D31</f>
        <v>809456</v>
      </c>
      <c r="F31" s="272">
        <f t="shared" si="0"/>
        <v>23617199</v>
      </c>
      <c r="G31" s="272">
        <v>0</v>
      </c>
      <c r="H31" s="272">
        <f t="shared" si="1"/>
        <v>23617199</v>
      </c>
      <c r="I31" s="273">
        <f>H31/'- 43 -'!$I31*100</f>
        <v>61.117831764525278</v>
      </c>
    </row>
    <row r="32" spans="1:9" ht="14.1" customHeight="1">
      <c r="A32" s="15" t="s">
        <v>128</v>
      </c>
      <c r="B32" s="16">
        <f>'- 55 -'!$F32</f>
        <v>12871415</v>
      </c>
      <c r="C32" s="16">
        <v>2416360</v>
      </c>
      <c r="D32" s="16">
        <v>1121076</v>
      </c>
      <c r="E32" s="16">
        <f>Data!Q32-C32-D32</f>
        <v>623221</v>
      </c>
      <c r="F32" s="16">
        <f t="shared" si="0"/>
        <v>17032072</v>
      </c>
      <c r="G32" s="16">
        <v>340898</v>
      </c>
      <c r="H32" s="16">
        <f t="shared" si="1"/>
        <v>17372970</v>
      </c>
      <c r="I32" s="267">
        <f>H32/'- 43 -'!$I32*100</f>
        <v>56.264205740610585</v>
      </c>
    </row>
    <row r="33" spans="1:9" ht="14.1" customHeight="1">
      <c r="A33" s="271" t="s">
        <v>129</v>
      </c>
      <c r="B33" s="272">
        <f>'- 55 -'!$F33</f>
        <v>14148490</v>
      </c>
      <c r="C33" s="272">
        <v>1975409</v>
      </c>
      <c r="D33" s="272">
        <v>812693</v>
      </c>
      <c r="E33" s="272">
        <f>Data!Q33-C33-D33</f>
        <v>644000</v>
      </c>
      <c r="F33" s="272">
        <f t="shared" si="0"/>
        <v>17580592</v>
      </c>
      <c r="G33" s="272">
        <v>10000</v>
      </c>
      <c r="H33" s="272">
        <f t="shared" si="1"/>
        <v>17590592</v>
      </c>
      <c r="I33" s="273">
        <f>H33/'- 43 -'!$I33*100</f>
        <v>60.956651784249274</v>
      </c>
    </row>
    <row r="34" spans="1:9" ht="14.1" customHeight="1">
      <c r="A34" s="15" t="s">
        <v>130</v>
      </c>
      <c r="B34" s="16">
        <f>'- 55 -'!$F34</f>
        <v>12573041</v>
      </c>
      <c r="C34" s="16">
        <v>2123334</v>
      </c>
      <c r="D34" s="16">
        <v>698822</v>
      </c>
      <c r="E34" s="16">
        <f>Data!Q34-C34-D34</f>
        <v>790906</v>
      </c>
      <c r="F34" s="16">
        <f t="shared" si="0"/>
        <v>16186103</v>
      </c>
      <c r="G34" s="16">
        <v>0</v>
      </c>
      <c r="H34" s="16">
        <f t="shared" si="1"/>
        <v>16186103</v>
      </c>
      <c r="I34" s="267">
        <f>H34/'- 43 -'!$I34*100</f>
        <v>53.785957707612276</v>
      </c>
    </row>
    <row r="35" spans="1:9" ht="14.1" customHeight="1">
      <c r="A35" s="271" t="s">
        <v>131</v>
      </c>
      <c r="B35" s="272">
        <f>'- 55 -'!$F35</f>
        <v>89584820</v>
      </c>
      <c r="C35" s="272">
        <v>23551764</v>
      </c>
      <c r="D35" s="272">
        <v>1469556</v>
      </c>
      <c r="E35" s="272">
        <f>Data!Q35-C35-D35</f>
        <v>5413846</v>
      </c>
      <c r="F35" s="272">
        <f t="shared" si="0"/>
        <v>120019986</v>
      </c>
      <c r="G35" s="272">
        <v>0</v>
      </c>
      <c r="H35" s="272">
        <f t="shared" si="1"/>
        <v>120019986</v>
      </c>
      <c r="I35" s="273">
        <f>H35/'- 43 -'!$I35*100</f>
        <v>65.708615739118343</v>
      </c>
    </row>
    <row r="36" spans="1:9" ht="14.1" customHeight="1">
      <c r="A36" s="15" t="s">
        <v>132</v>
      </c>
      <c r="B36" s="16">
        <f>'- 55 -'!$F36</f>
        <v>10199700</v>
      </c>
      <c r="C36" s="16">
        <v>2116568</v>
      </c>
      <c r="D36" s="16">
        <v>762422</v>
      </c>
      <c r="E36" s="16">
        <f>Data!Q36-C36-D36</f>
        <v>519530</v>
      </c>
      <c r="F36" s="16">
        <f t="shared" si="0"/>
        <v>13598220</v>
      </c>
      <c r="G36" s="16">
        <v>124000</v>
      </c>
      <c r="H36" s="16">
        <f t="shared" si="1"/>
        <v>13722220</v>
      </c>
      <c r="I36" s="267">
        <f>H36/'- 43 -'!$I36*100</f>
        <v>57.021116215540687</v>
      </c>
    </row>
    <row r="37" spans="1:9" ht="14.1" customHeight="1">
      <c r="A37" s="271" t="s">
        <v>133</v>
      </c>
      <c r="B37" s="272">
        <f>'- 55 -'!$F37</f>
        <v>28360187</v>
      </c>
      <c r="C37" s="272">
        <v>4623005</v>
      </c>
      <c r="D37" s="272">
        <v>2025980</v>
      </c>
      <c r="E37" s="272">
        <f>Data!Q37-C37-D37</f>
        <v>1125813</v>
      </c>
      <c r="F37" s="272">
        <f t="shared" si="0"/>
        <v>36134985</v>
      </c>
      <c r="G37" s="272">
        <v>0</v>
      </c>
      <c r="H37" s="272">
        <f t="shared" si="1"/>
        <v>36134985</v>
      </c>
      <c r="I37" s="273">
        <f>H37/'- 43 -'!$I37*100</f>
        <v>70.387800222062054</v>
      </c>
    </row>
    <row r="38" spans="1:9" ht="14.1" customHeight="1">
      <c r="A38" s="15" t="s">
        <v>134</v>
      </c>
      <c r="B38" s="16">
        <f>'- 55 -'!$F38</f>
        <v>72491553</v>
      </c>
      <c r="C38" s="16">
        <v>12464990</v>
      </c>
      <c r="D38" s="16">
        <v>5352779</v>
      </c>
      <c r="E38" s="16">
        <f>Data!Q38-C38-D38</f>
        <v>3535684</v>
      </c>
      <c r="F38" s="16">
        <f t="shared" si="0"/>
        <v>93845006</v>
      </c>
      <c r="G38" s="16">
        <v>1431200</v>
      </c>
      <c r="H38" s="16">
        <f t="shared" si="1"/>
        <v>95276206</v>
      </c>
      <c r="I38" s="267">
        <f>H38/'- 43 -'!$I38*100</f>
        <v>68.210366627422189</v>
      </c>
    </row>
    <row r="39" spans="1:9" ht="14.1" customHeight="1">
      <c r="A39" s="271" t="s">
        <v>135</v>
      </c>
      <c r="B39" s="272">
        <f>'- 55 -'!$F39</f>
        <v>9162415</v>
      </c>
      <c r="C39" s="272">
        <v>1600024</v>
      </c>
      <c r="D39" s="272">
        <v>758456</v>
      </c>
      <c r="E39" s="272">
        <f>Data!Q39-C39-D39</f>
        <v>456250</v>
      </c>
      <c r="F39" s="272">
        <f t="shared" si="0"/>
        <v>11977145</v>
      </c>
      <c r="G39" s="272">
        <v>152000</v>
      </c>
      <c r="H39" s="272">
        <f t="shared" si="1"/>
        <v>12129145</v>
      </c>
      <c r="I39" s="273">
        <f>H39/'- 43 -'!$I39*100</f>
        <v>51.818055477766038</v>
      </c>
    </row>
    <row r="40" spans="1:9" ht="14.1" customHeight="1">
      <c r="A40" s="15" t="s">
        <v>136</v>
      </c>
      <c r="B40" s="16">
        <f>'- 55 -'!$F40</f>
        <v>38986110</v>
      </c>
      <c r="C40" s="16">
        <v>12880564</v>
      </c>
      <c r="D40" s="16">
        <v>3448151</v>
      </c>
      <c r="E40" s="16">
        <f>Data!Q40-C40-D40</f>
        <v>3300959</v>
      </c>
      <c r="F40" s="16">
        <f t="shared" si="0"/>
        <v>58615784</v>
      </c>
      <c r="G40" s="16">
        <v>96804</v>
      </c>
      <c r="H40" s="16">
        <f t="shared" si="1"/>
        <v>58712588</v>
      </c>
      <c r="I40" s="267">
        <f>H40/'- 43 -'!$I40*100</f>
        <v>54.843255385394109</v>
      </c>
    </row>
    <row r="41" spans="1:9" ht="14.1" customHeight="1">
      <c r="A41" s="271" t="s">
        <v>137</v>
      </c>
      <c r="B41" s="272">
        <f>'- 55 -'!$F41</f>
        <v>25670253</v>
      </c>
      <c r="C41" s="272">
        <v>6851474</v>
      </c>
      <c r="D41" s="272">
        <v>2928156</v>
      </c>
      <c r="E41" s="272">
        <f>Data!Q41-C41-D41</f>
        <v>1840867</v>
      </c>
      <c r="F41" s="272">
        <f t="shared" si="0"/>
        <v>37290750</v>
      </c>
      <c r="G41" s="272">
        <v>1001959</v>
      </c>
      <c r="H41" s="272">
        <f t="shared" si="1"/>
        <v>38292709</v>
      </c>
      <c r="I41" s="273">
        <f>H41/'- 43 -'!$I41*100</f>
        <v>57.940583283159043</v>
      </c>
    </row>
    <row r="42" spans="1:9" ht="14.1" customHeight="1">
      <c r="A42" s="15" t="s">
        <v>138</v>
      </c>
      <c r="B42" s="16">
        <f>'- 55 -'!$F42</f>
        <v>11768756</v>
      </c>
      <c r="C42" s="16">
        <v>1579321</v>
      </c>
      <c r="D42" s="16">
        <v>1056497</v>
      </c>
      <c r="E42" s="16">
        <f>Data!Q42-C42-D42</f>
        <v>458933</v>
      </c>
      <c r="F42" s="16">
        <f t="shared" si="0"/>
        <v>14863507</v>
      </c>
      <c r="G42" s="16">
        <v>41000</v>
      </c>
      <c r="H42" s="16">
        <f t="shared" si="1"/>
        <v>14904507</v>
      </c>
      <c r="I42" s="267">
        <f>H42/'- 43 -'!$I42*100</f>
        <v>70.362284039535808</v>
      </c>
    </row>
    <row r="43" spans="1:9" ht="14.1" customHeight="1">
      <c r="A43" s="271" t="s">
        <v>139</v>
      </c>
      <c r="B43" s="272">
        <f>'- 55 -'!$F43</f>
        <v>6038874</v>
      </c>
      <c r="C43" s="272">
        <v>1283202</v>
      </c>
      <c r="D43" s="272">
        <v>0</v>
      </c>
      <c r="E43" s="272">
        <f>Data!Q43-C43-D43</f>
        <v>354214</v>
      </c>
      <c r="F43" s="272">
        <f t="shared" si="0"/>
        <v>7676290</v>
      </c>
      <c r="G43" s="272">
        <v>180380</v>
      </c>
      <c r="H43" s="272">
        <f t="shared" si="1"/>
        <v>7856670</v>
      </c>
      <c r="I43" s="273">
        <f>H43/'- 43 -'!$I43*100</f>
        <v>57.851206808306102</v>
      </c>
    </row>
    <row r="44" spans="1:9" ht="14.1" customHeight="1">
      <c r="A44" s="15" t="s">
        <v>140</v>
      </c>
      <c r="B44" s="16">
        <f>'- 55 -'!$F44</f>
        <v>7357301</v>
      </c>
      <c r="C44" s="16">
        <v>699910</v>
      </c>
      <c r="D44" s="16">
        <v>452306</v>
      </c>
      <c r="E44" s="16">
        <f>Data!Q44-C44-D44</f>
        <v>387741</v>
      </c>
      <c r="F44" s="16">
        <f t="shared" si="0"/>
        <v>8897258</v>
      </c>
      <c r="G44" s="16">
        <v>0</v>
      </c>
      <c r="H44" s="16">
        <f t="shared" si="1"/>
        <v>8897258</v>
      </c>
      <c r="I44" s="267">
        <f>H44/'- 43 -'!$I44*100</f>
        <v>77.962381634814179</v>
      </c>
    </row>
    <row r="45" spans="1:9" ht="14.1" customHeight="1">
      <c r="A45" s="271" t="s">
        <v>141</v>
      </c>
      <c r="B45" s="272">
        <f>'- 55 -'!$F45</f>
        <v>10278935</v>
      </c>
      <c r="C45" s="272">
        <v>2013753</v>
      </c>
      <c r="D45" s="272">
        <v>0</v>
      </c>
      <c r="E45" s="272">
        <f>Data!Q45-C45-D45</f>
        <v>421252</v>
      </c>
      <c r="F45" s="272">
        <f t="shared" si="0"/>
        <v>12713940</v>
      </c>
      <c r="G45" s="272">
        <v>416633</v>
      </c>
      <c r="H45" s="272">
        <f t="shared" si="1"/>
        <v>13130573</v>
      </c>
      <c r="I45" s="273">
        <f>H45/'- 43 -'!$I45*100</f>
        <v>64.680360210043872</v>
      </c>
    </row>
    <row r="46" spans="1:9" ht="14.1" customHeight="1">
      <c r="A46" s="15" t="s">
        <v>142</v>
      </c>
      <c r="B46" s="16">
        <f>'- 55 -'!$F46</f>
        <v>182893800</v>
      </c>
      <c r="C46" s="16">
        <v>30257052</v>
      </c>
      <c r="D46" s="16">
        <v>9490742</v>
      </c>
      <c r="E46" s="16">
        <f>Data!Q46-C46-D46</f>
        <v>19271815</v>
      </c>
      <c r="F46" s="16">
        <f t="shared" si="0"/>
        <v>241913409</v>
      </c>
      <c r="G46" s="16">
        <v>1134700</v>
      </c>
      <c r="H46" s="16">
        <f t="shared" si="1"/>
        <v>243048109</v>
      </c>
      <c r="I46" s="267">
        <f>H46/'- 43 -'!$I46*100</f>
        <v>61.37014400696502</v>
      </c>
    </row>
    <row r="47" spans="1:9" ht="5.0999999999999996" customHeight="1">
      <c r="A47"/>
      <c r="B47"/>
      <c r="C47"/>
      <c r="D47"/>
      <c r="E47"/>
      <c r="F47"/>
      <c r="G47" s="508"/>
      <c r="H47"/>
      <c r="I47"/>
    </row>
    <row r="48" spans="1:9" ht="14.1" customHeight="1">
      <c r="A48" s="274" t="s">
        <v>143</v>
      </c>
      <c r="B48" s="275">
        <f t="shared" ref="B48:H48" si="2">SUM(B11:B46)</f>
        <v>1063777499</v>
      </c>
      <c r="C48" s="275">
        <f t="shared" si="2"/>
        <v>204127681</v>
      </c>
      <c r="D48" s="275">
        <f>SUM(D11:D46)</f>
        <v>61418327</v>
      </c>
      <c r="E48" s="275">
        <f t="shared" si="2"/>
        <v>94517834</v>
      </c>
      <c r="F48" s="275">
        <f t="shared" si="2"/>
        <v>1423841341</v>
      </c>
      <c r="G48" s="275">
        <f>SUM(G11:G46)</f>
        <v>9172857</v>
      </c>
      <c r="H48" s="275">
        <f t="shared" si="2"/>
        <v>1433014198</v>
      </c>
      <c r="I48" s="276">
        <f>H48/'- 43 -'!$I48*100</f>
        <v>60.82458912090879</v>
      </c>
    </row>
    <row r="49" spans="1:9" ht="5.0999999999999996" customHeight="1">
      <c r="A49" s="17" t="s">
        <v>1</v>
      </c>
      <c r="B49" s="18"/>
      <c r="C49" s="18"/>
      <c r="D49" s="18"/>
      <c r="E49" s="18"/>
      <c r="F49" s="18"/>
      <c r="G49" s="18"/>
      <c r="H49" s="18"/>
      <c r="I49" s="266"/>
    </row>
    <row r="50" spans="1:9" ht="14.1" customHeight="1">
      <c r="A50" s="15" t="s">
        <v>144</v>
      </c>
      <c r="B50" s="16">
        <f>'- 55 -'!$F50</f>
        <v>945502</v>
      </c>
      <c r="C50" s="16">
        <v>386252</v>
      </c>
      <c r="D50" s="16">
        <v>24000</v>
      </c>
      <c r="E50" s="16">
        <f>Data!Q50-C50-D50</f>
        <v>99850</v>
      </c>
      <c r="F50" s="16">
        <f>SUM(B50:E50)</f>
        <v>1455604</v>
      </c>
      <c r="G50" s="16">
        <v>0</v>
      </c>
      <c r="H50" s="16">
        <f>SUM(F50,G50)</f>
        <v>1455604</v>
      </c>
      <c r="I50" s="267">
        <f>H50/'- 43 -'!$I50*100</f>
        <v>41.962681106986096</v>
      </c>
    </row>
    <row r="51" spans="1:9" ht="14.1" customHeight="1">
      <c r="A51" s="360" t="s">
        <v>523</v>
      </c>
      <c r="B51" s="272">
        <f>'- 55 -'!$F51</f>
        <v>75096</v>
      </c>
      <c r="C51" s="272">
        <v>0</v>
      </c>
      <c r="D51" s="272">
        <v>0</v>
      </c>
      <c r="E51" s="272">
        <f>Data!Q51-C51-D51</f>
        <v>7433473</v>
      </c>
      <c r="F51" s="272">
        <f>SUM(B51:E51)</f>
        <v>7508569</v>
      </c>
      <c r="G51" s="272">
        <v>2837430</v>
      </c>
      <c r="H51" s="272">
        <f>SUM(F51,G51)</f>
        <v>10345999</v>
      </c>
      <c r="I51" s="273">
        <f>H51/'- 43 -'!$I51*100</f>
        <v>33.877734765340669</v>
      </c>
    </row>
    <row r="52" spans="1:9" ht="50.1" customHeight="1">
      <c r="A52" s="19"/>
      <c r="B52" s="19"/>
      <c r="C52" s="19"/>
      <c r="D52" s="19"/>
      <c r="E52" s="19"/>
      <c r="F52" s="19"/>
      <c r="G52" s="19"/>
      <c r="H52" s="19"/>
      <c r="I52" s="19"/>
    </row>
    <row r="53" spans="1:9" ht="15" customHeight="1">
      <c r="A53" s="2" t="s">
        <v>334</v>
      </c>
      <c r="E53" s="31"/>
      <c r="F53" s="187"/>
      <c r="G53" s="187"/>
      <c r="H53" s="187"/>
      <c r="I53" s="187"/>
    </row>
    <row r="54" spans="1:9" ht="12" customHeight="1">
      <c r="A54" s="547" t="s">
        <v>460</v>
      </c>
      <c r="B54" s="547"/>
      <c r="C54" s="547"/>
      <c r="D54" s="547"/>
      <c r="E54" s="547"/>
      <c r="F54" s="547"/>
      <c r="G54" s="547"/>
      <c r="H54" s="547"/>
      <c r="I54" s="547"/>
    </row>
    <row r="55" spans="1:9" ht="12" customHeight="1">
      <c r="A55" s="547"/>
      <c r="B55" s="547"/>
      <c r="C55" s="547"/>
      <c r="D55" s="547"/>
      <c r="E55" s="547"/>
      <c r="F55" s="547"/>
      <c r="G55" s="547"/>
      <c r="H55" s="547"/>
      <c r="I55" s="547"/>
    </row>
    <row r="56" spans="1:9" ht="12" customHeight="1">
      <c r="A56" s="547"/>
      <c r="B56" s="547"/>
      <c r="C56" s="547"/>
      <c r="D56" s="547"/>
      <c r="E56" s="547"/>
      <c r="F56" s="547"/>
      <c r="G56" s="547"/>
      <c r="H56" s="547"/>
      <c r="I56" s="547"/>
    </row>
    <row r="57" spans="1:9" ht="12" customHeight="1">
      <c r="A57" s="547"/>
      <c r="B57" s="547"/>
      <c r="C57" s="547"/>
      <c r="D57" s="547"/>
      <c r="E57" s="547"/>
      <c r="F57" s="547"/>
      <c r="G57" s="547"/>
      <c r="H57" s="547"/>
      <c r="I57" s="547"/>
    </row>
    <row r="58" spans="1:9" ht="12" customHeight="1">
      <c r="A58" s="723" t="s">
        <v>459</v>
      </c>
      <c r="B58" s="723"/>
      <c r="C58" s="723"/>
      <c r="D58" s="723"/>
      <c r="E58" s="723"/>
      <c r="F58" s="723"/>
      <c r="G58" s="723"/>
      <c r="H58" s="723"/>
      <c r="I58" s="723"/>
    </row>
    <row r="59" spans="1:9" ht="12" customHeight="1">
      <c r="A59" s="723"/>
      <c r="B59" s="723"/>
      <c r="C59" s="723"/>
      <c r="D59" s="723"/>
      <c r="E59" s="723"/>
      <c r="F59" s="723"/>
      <c r="G59" s="723"/>
      <c r="H59" s="723"/>
      <c r="I59" s="723"/>
    </row>
    <row r="60" spans="1:9" ht="12" customHeight="1">
      <c r="A60" s="356" t="s">
        <v>360</v>
      </c>
      <c r="B60" s="90"/>
      <c r="C60" s="90"/>
      <c r="D60" s="90"/>
      <c r="E60" s="90"/>
      <c r="F60" s="90"/>
      <c r="G60" s="90"/>
      <c r="H60" s="90"/>
      <c r="I60" s="90"/>
    </row>
    <row r="61" spans="1:9">
      <c r="A61" s="2" t="s">
        <v>335</v>
      </c>
      <c r="B61" s="90"/>
      <c r="C61" s="90"/>
      <c r="D61" s="90"/>
      <c r="E61" s="90"/>
      <c r="F61" s="90"/>
      <c r="G61" s="90"/>
      <c r="H61" s="90"/>
      <c r="I61" s="90"/>
    </row>
    <row r="62" spans="1:9">
      <c r="A62" s="443" t="e">
        <f>"(6)  Total provincial contribution to public education is "&amp;TEXT(#REF!,"0.0%")&amp;". See page i for more details."</f>
        <v>#REF!</v>
      </c>
    </row>
  </sheetData>
  <mergeCells count="11">
    <mergeCell ref="A58:I59"/>
    <mergeCell ref="A54:I57"/>
    <mergeCell ref="B5:F5"/>
    <mergeCell ref="B3:I3"/>
    <mergeCell ref="B7:B9"/>
    <mergeCell ref="C7:C9"/>
    <mergeCell ref="D7:D9"/>
    <mergeCell ref="E8:E9"/>
    <mergeCell ref="G7:G9"/>
    <mergeCell ref="H7:H9"/>
    <mergeCell ref="I6:I9"/>
  </mergeCells>
  <phoneticPr fontId="0" type="noConversion"/>
  <printOptions horizontalCentered="1"/>
  <pageMargins left="0.51181102362204722" right="0.51181102362204722" top="0.59055118110236227" bottom="0" header="0.31496062992125984" footer="0"/>
  <pageSetup scale="82" orientation="portrait" r:id="rId1"/>
  <headerFooter alignWithMargins="0">
    <oddHeader>&amp;C&amp;"Arial,Bold"&amp;10&amp;A</oddHeader>
  </headerFooter>
</worksheet>
</file>

<file path=xl/worksheets/sheet37.xml><?xml version="1.0" encoding="utf-8"?>
<worksheet xmlns="http://schemas.openxmlformats.org/spreadsheetml/2006/main" xmlns:r="http://schemas.openxmlformats.org/officeDocument/2006/relationships">
  <sheetPr codeName="Sheet37"/>
  <dimension ref="A1:I59"/>
  <sheetViews>
    <sheetView showGridLines="0" showZeros="0" workbookViewId="0"/>
  </sheetViews>
  <sheetFormatPr defaultColWidth="15.83203125" defaultRowHeight="12"/>
  <cols>
    <col min="1" max="1" width="33.83203125" style="1" customWidth="1"/>
    <col min="2" max="2" width="16.83203125" style="1" customWidth="1"/>
    <col min="3" max="3" width="8.83203125" style="1" customWidth="1"/>
    <col min="4" max="4" width="15.83203125" style="1"/>
    <col min="5" max="5" width="8.83203125" style="1" customWidth="1"/>
    <col min="6" max="6" width="15.83203125" style="1"/>
    <col min="7" max="7" width="8.83203125" style="1" customWidth="1"/>
    <col min="8" max="8" width="15.83203125" style="1"/>
    <col min="9" max="9" width="8.83203125" style="1" customWidth="1"/>
    <col min="10" max="16384" width="15.83203125" style="1"/>
  </cols>
  <sheetData>
    <row r="1" spans="1:9" ht="6.95" customHeight="1">
      <c r="A1" s="3"/>
    </row>
    <row r="2" spans="1:9" ht="15.95" customHeight="1">
      <c r="A2" s="183"/>
      <c r="B2" s="53" t="str">
        <f>REVYEAR</f>
        <v>ANALYSIS OF OPERATING FUND REVENUE: 2016/2017 BUDGET</v>
      </c>
      <c r="C2" s="101"/>
      <c r="D2" s="101"/>
      <c r="E2" s="101"/>
      <c r="F2" s="101"/>
      <c r="G2" s="190"/>
      <c r="H2" s="191"/>
      <c r="I2" s="185" t="s">
        <v>2</v>
      </c>
    </row>
    <row r="3" spans="1:9" ht="15.95" customHeight="1">
      <c r="A3" s="180"/>
    </row>
    <row r="4" spans="1:9" ht="15.95" customHeight="1">
      <c r="B4" s="4"/>
      <c r="C4" s="4"/>
      <c r="D4" s="4"/>
      <c r="E4" s="4"/>
      <c r="F4" s="4"/>
      <c r="G4" s="4"/>
      <c r="H4" s="4"/>
      <c r="I4" s="55"/>
    </row>
    <row r="5" spans="1:9" ht="15.95" customHeight="1">
      <c r="B5" s="4"/>
      <c r="C5" s="4"/>
      <c r="D5" s="4"/>
      <c r="E5" s="4"/>
      <c r="F5" s="4"/>
      <c r="G5" s="4"/>
      <c r="H5" s="4"/>
      <c r="I5" s="4"/>
    </row>
    <row r="6" spans="1:9" ht="15.95" customHeight="1">
      <c r="B6" s="4"/>
      <c r="C6" s="4"/>
      <c r="D6" s="4"/>
      <c r="E6" s="4"/>
      <c r="F6" s="4"/>
      <c r="G6" s="4"/>
      <c r="H6" s="4"/>
      <c r="I6" s="4"/>
    </row>
    <row r="7" spans="1:9" ht="15.95" customHeight="1">
      <c r="B7" s="689" t="s">
        <v>461</v>
      </c>
      <c r="C7" s="690"/>
      <c r="D7" s="737" t="s">
        <v>462</v>
      </c>
      <c r="E7" s="619"/>
      <c r="F7" s="622" t="s">
        <v>450</v>
      </c>
      <c r="G7" s="619"/>
      <c r="H7" s="278"/>
      <c r="I7" s="270"/>
    </row>
    <row r="8" spans="1:9" ht="15.95" customHeight="1">
      <c r="A8" s="249"/>
      <c r="B8" s="691"/>
      <c r="C8" s="692"/>
      <c r="D8" s="738"/>
      <c r="E8" s="621"/>
      <c r="F8" s="620"/>
      <c r="G8" s="621"/>
      <c r="H8" s="625" t="s">
        <v>54</v>
      </c>
      <c r="I8" s="613"/>
    </row>
    <row r="9" spans="1:9" ht="15.95" customHeight="1">
      <c r="A9" s="27" t="s">
        <v>37</v>
      </c>
      <c r="B9" s="473" t="s">
        <v>55</v>
      </c>
      <c r="C9" s="108" t="s">
        <v>39</v>
      </c>
      <c r="D9" s="181" t="s">
        <v>55</v>
      </c>
      <c r="E9" s="181" t="s">
        <v>39</v>
      </c>
      <c r="F9" s="181" t="s">
        <v>55</v>
      </c>
      <c r="G9" s="181" t="s">
        <v>39</v>
      </c>
      <c r="H9" s="189" t="s">
        <v>55</v>
      </c>
      <c r="I9" s="189" t="s">
        <v>39</v>
      </c>
    </row>
    <row r="10" spans="1:9" ht="5.0999999999999996" customHeight="1">
      <c r="A10" s="29"/>
      <c r="B10" s="182"/>
      <c r="C10" s="182"/>
      <c r="D10" s="182"/>
      <c r="E10" s="182"/>
      <c r="F10" s="182"/>
      <c r="G10" s="182"/>
      <c r="H10" s="182"/>
      <c r="I10" s="182"/>
    </row>
    <row r="11" spans="1:9" ht="14.1" customHeight="1">
      <c r="A11" s="271" t="s">
        <v>108</v>
      </c>
      <c r="B11" s="272">
        <v>0</v>
      </c>
      <c r="C11" s="273">
        <f>B11/'- 43 -'!$I11*100</f>
        <v>0</v>
      </c>
      <c r="D11" s="272">
        <v>6795781</v>
      </c>
      <c r="E11" s="273">
        <f>D11/'- 43 -'!$I11*100</f>
        <v>34.152042193102147</v>
      </c>
      <c r="F11" s="272">
        <v>30000</v>
      </c>
      <c r="G11" s="273">
        <f>F11/'- 43 -'!$I11*100</f>
        <v>0.15076431477015881</v>
      </c>
      <c r="H11" s="272">
        <v>11000</v>
      </c>
      <c r="I11" s="273">
        <f>H11/'- 43 -'!$I11*100</f>
        <v>5.5280248749058222E-2</v>
      </c>
    </row>
    <row r="12" spans="1:9" ht="14.1" customHeight="1">
      <c r="A12" s="15" t="s">
        <v>109</v>
      </c>
      <c r="B12" s="16">
        <v>15623</v>
      </c>
      <c r="C12" s="267">
        <f>B12/'- 43 -'!$I12*100</f>
        <v>4.1045098640386031E-2</v>
      </c>
      <c r="D12" s="16">
        <v>13585818</v>
      </c>
      <c r="E12" s="267">
        <f>D12/'- 43 -'!$I12*100</f>
        <v>35.692968054812269</v>
      </c>
      <c r="F12" s="16">
        <v>631173</v>
      </c>
      <c r="G12" s="267">
        <f>F12/'- 43 -'!$I12*100</f>
        <v>1.6582319685174662</v>
      </c>
      <c r="H12" s="16">
        <v>1252605</v>
      </c>
      <c r="I12" s="267">
        <f>H12/'- 43 -'!$I12*100</f>
        <v>3.2908721617129073</v>
      </c>
    </row>
    <row r="13" spans="1:9" ht="14.1" customHeight="1">
      <c r="A13" s="271" t="s">
        <v>110</v>
      </c>
      <c r="B13" s="272">
        <v>18500</v>
      </c>
      <c r="C13" s="273">
        <f>B13/'- 43 -'!$I13*100</f>
        <v>1.8744313380602777E-2</v>
      </c>
      <c r="D13" s="272">
        <v>36956014</v>
      </c>
      <c r="E13" s="273">
        <f>D13/'- 43 -'!$I13*100</f>
        <v>37.444059876429378</v>
      </c>
      <c r="F13" s="272">
        <v>328700</v>
      </c>
      <c r="G13" s="273">
        <f>F13/'- 43 -'!$I13*100</f>
        <v>0.33304085449752069</v>
      </c>
      <c r="H13" s="272">
        <v>193100</v>
      </c>
      <c r="I13" s="273">
        <f>H13/'- 43 -'!$I13*100</f>
        <v>0.19565010344834577</v>
      </c>
    </row>
    <row r="14" spans="1:9" ht="14.1" customHeight="1">
      <c r="A14" s="15" t="s">
        <v>319</v>
      </c>
      <c r="B14" s="16">
        <v>55000</v>
      </c>
      <c r="C14" s="267">
        <f>B14/'- 43 -'!$I14*100</f>
        <v>6.3945866917024419E-2</v>
      </c>
      <c r="D14" s="16">
        <v>22397831</v>
      </c>
      <c r="E14" s="267">
        <f>D14/'- 43 -'!$I14*100</f>
        <v>26.04088582465462</v>
      </c>
      <c r="F14" s="16">
        <v>1667459</v>
      </c>
      <c r="G14" s="267">
        <f>F14/'- 43 -'!$I14*100</f>
        <v>1.9386747509744477</v>
      </c>
      <c r="H14" s="16">
        <v>0</v>
      </c>
      <c r="I14" s="267">
        <f>H14/'- 43 -'!$I14*100</f>
        <v>0</v>
      </c>
    </row>
    <row r="15" spans="1:9" ht="14.1" customHeight="1">
      <c r="A15" s="271" t="s">
        <v>111</v>
      </c>
      <c r="B15" s="272">
        <v>0</v>
      </c>
      <c r="C15" s="273">
        <f>B15/'- 43 -'!$I15*100</f>
        <v>0</v>
      </c>
      <c r="D15" s="272">
        <v>7664753</v>
      </c>
      <c r="E15" s="273">
        <f>D15/'- 43 -'!$I15*100</f>
        <v>36.745565029329327</v>
      </c>
      <c r="F15" s="272">
        <v>45000</v>
      </c>
      <c r="G15" s="273">
        <f>F15/'- 43 -'!$I15*100</f>
        <v>0.21573433955664581</v>
      </c>
      <c r="H15" s="272">
        <v>110000</v>
      </c>
      <c r="I15" s="273">
        <f>H15/'- 43 -'!$I15*100</f>
        <v>0.5273506078051341</v>
      </c>
    </row>
    <row r="16" spans="1:9" ht="14.1" customHeight="1">
      <c r="A16" s="15" t="s">
        <v>112</v>
      </c>
      <c r="B16" s="16">
        <v>0</v>
      </c>
      <c r="C16" s="267">
        <f>B16/'- 43 -'!$I16*100</f>
        <v>0</v>
      </c>
      <c r="D16" s="16">
        <v>3538582</v>
      </c>
      <c r="E16" s="267">
        <f>D16/'- 43 -'!$I16*100</f>
        <v>23.788177257443017</v>
      </c>
      <c r="F16" s="16">
        <v>248696</v>
      </c>
      <c r="G16" s="267">
        <f>F16/'- 43 -'!$I16*100</f>
        <v>1.6718630601797697</v>
      </c>
      <c r="H16" s="16">
        <v>0</v>
      </c>
      <c r="I16" s="267">
        <f>H16/'- 43 -'!$I16*100</f>
        <v>0</v>
      </c>
    </row>
    <row r="17" spans="1:9" ht="14.1" customHeight="1">
      <c r="A17" s="271" t="s">
        <v>113</v>
      </c>
      <c r="B17" s="272">
        <v>0</v>
      </c>
      <c r="C17" s="273">
        <f>B17/'- 43 -'!$I17*100</f>
        <v>0</v>
      </c>
      <c r="D17" s="272">
        <v>7436925</v>
      </c>
      <c r="E17" s="273">
        <f>D17/'- 43 -'!$I17*100</f>
        <v>39.950748937711388</v>
      </c>
      <c r="F17" s="272">
        <v>28400</v>
      </c>
      <c r="G17" s="273">
        <f>F17/'- 43 -'!$I17*100</f>
        <v>0.15256322604181211</v>
      </c>
      <c r="H17" s="272">
        <v>949470</v>
      </c>
      <c r="I17" s="273">
        <f>H17/'- 43 -'!$I17*100</f>
        <v>5.1005002193633571</v>
      </c>
    </row>
    <row r="18" spans="1:9" ht="14.1" customHeight="1">
      <c r="A18" s="15" t="s">
        <v>114</v>
      </c>
      <c r="B18" s="16">
        <v>0</v>
      </c>
      <c r="C18" s="374">
        <f>B18/'- 43 -'!$I18*100</f>
        <v>0</v>
      </c>
      <c r="D18" s="16">
        <v>3099478</v>
      </c>
      <c r="E18" s="267">
        <f>D18/'- 43 -'!$I18*100</f>
        <v>2.2515145329157638</v>
      </c>
      <c r="F18" s="16">
        <v>0</v>
      </c>
      <c r="G18" s="267">
        <f>F18/'- 43 -'!$I18*100</f>
        <v>0</v>
      </c>
      <c r="H18" s="16">
        <v>78369964</v>
      </c>
      <c r="I18" s="267">
        <f>H18/'- 43 -'!$I18*100</f>
        <v>56.929299995058912</v>
      </c>
    </row>
    <row r="19" spans="1:9" ht="14.1" customHeight="1">
      <c r="A19" s="271" t="s">
        <v>115</v>
      </c>
      <c r="B19" s="272">
        <v>0</v>
      </c>
      <c r="C19" s="273">
        <f>B19/'- 43 -'!$I19*100</f>
        <v>0</v>
      </c>
      <c r="D19" s="272">
        <v>14616513</v>
      </c>
      <c r="E19" s="273">
        <f>D19/'- 43 -'!$I19*100</f>
        <v>30.372288727844111</v>
      </c>
      <c r="F19" s="272">
        <v>400000</v>
      </c>
      <c r="G19" s="273">
        <f>F19/'- 43 -'!$I19*100</f>
        <v>0.83117741496468023</v>
      </c>
      <c r="H19" s="272">
        <v>0</v>
      </c>
      <c r="I19" s="273">
        <f>H19/'- 43 -'!$I19*100</f>
        <v>0</v>
      </c>
    </row>
    <row r="20" spans="1:9" ht="14.1" customHeight="1">
      <c r="A20" s="15" t="s">
        <v>116</v>
      </c>
      <c r="B20" s="16">
        <v>0</v>
      </c>
      <c r="C20" s="267">
        <f>B20/'- 43 -'!$I20*100</f>
        <v>0</v>
      </c>
      <c r="D20" s="16">
        <v>25834132</v>
      </c>
      <c r="E20" s="267">
        <f>D20/'- 43 -'!$I20*100</f>
        <v>30.167514444927107</v>
      </c>
      <c r="F20" s="16">
        <v>120000</v>
      </c>
      <c r="G20" s="267">
        <f>F20/'- 43 -'!$I20*100</f>
        <v>0.14012863808976639</v>
      </c>
      <c r="H20" s="16">
        <v>0</v>
      </c>
      <c r="I20" s="267">
        <f>H20/'- 43 -'!$I20*100</f>
        <v>0</v>
      </c>
    </row>
    <row r="21" spans="1:9" ht="14.1" customHeight="1">
      <c r="A21" s="271" t="s">
        <v>117</v>
      </c>
      <c r="B21" s="272">
        <v>0</v>
      </c>
      <c r="C21" s="273">
        <f>B21/'- 43 -'!$I21*100</f>
        <v>0</v>
      </c>
      <c r="D21" s="272">
        <v>13955461</v>
      </c>
      <c r="E21" s="273">
        <f>D21/'- 43 -'!$I21*100</f>
        <v>37.383035546864534</v>
      </c>
      <c r="F21" s="272">
        <v>60000</v>
      </c>
      <c r="G21" s="273">
        <f>F21/'- 43 -'!$I21*100</f>
        <v>0.16072433098497227</v>
      </c>
      <c r="H21" s="272">
        <v>0</v>
      </c>
      <c r="I21" s="273">
        <f>H21/'- 43 -'!$I21*100</f>
        <v>0</v>
      </c>
    </row>
    <row r="22" spans="1:9" ht="14.1" customHeight="1">
      <c r="A22" s="15" t="s">
        <v>118</v>
      </c>
      <c r="B22" s="16">
        <v>24000</v>
      </c>
      <c r="C22" s="267">
        <f>B22/'- 43 -'!$I22*100</f>
        <v>0.11733209117759473</v>
      </c>
      <c r="D22" s="16">
        <v>3121887</v>
      </c>
      <c r="E22" s="267">
        <f>D22/'- 43 -'!$I22*100</f>
        <v>15.262397088756154</v>
      </c>
      <c r="F22" s="16">
        <v>15000</v>
      </c>
      <c r="G22" s="267">
        <f>F22/'- 43 -'!$I22*100</f>
        <v>7.3332556985996708E-2</v>
      </c>
      <c r="H22" s="16">
        <v>68000</v>
      </c>
      <c r="I22" s="267">
        <f>H22/'- 43 -'!$I22*100</f>
        <v>0.33244092500318506</v>
      </c>
    </row>
    <row r="23" spans="1:9" ht="14.1" customHeight="1">
      <c r="A23" s="271" t="s">
        <v>119</v>
      </c>
      <c r="B23" s="272">
        <v>0</v>
      </c>
      <c r="C23" s="273">
        <f>B23/'- 43 -'!$I23*100</f>
        <v>0</v>
      </c>
      <c r="D23" s="272">
        <v>3538550</v>
      </c>
      <c r="E23" s="273">
        <f>D23/'- 43 -'!$I23*100</f>
        <v>21.048503430021839</v>
      </c>
      <c r="F23" s="272">
        <v>90000</v>
      </c>
      <c r="G23" s="273">
        <f>F23/'- 43 -'!$I23*100</f>
        <v>0.53535072521285987</v>
      </c>
      <c r="H23" s="272">
        <v>975000</v>
      </c>
      <c r="I23" s="273">
        <f>H23/'- 43 -'!$I23*100</f>
        <v>5.7996328564726491</v>
      </c>
    </row>
    <row r="24" spans="1:9" ht="14.1" customHeight="1">
      <c r="A24" s="15" t="s">
        <v>120</v>
      </c>
      <c r="B24" s="16">
        <v>0</v>
      </c>
      <c r="C24" s="267">
        <f>B24/'- 43 -'!$I24*100</f>
        <v>0</v>
      </c>
      <c r="D24" s="16">
        <v>23389356</v>
      </c>
      <c r="E24" s="267">
        <f>D24/'- 43 -'!$I24*100</f>
        <v>39.935224273021028</v>
      </c>
      <c r="F24" s="16">
        <v>176820</v>
      </c>
      <c r="G24" s="267">
        <f>F24/'- 43 -'!$I24*100</f>
        <v>0.30190426602406578</v>
      </c>
      <c r="H24" s="16">
        <v>385040</v>
      </c>
      <c r="I24" s="267">
        <f>H24/'- 43 -'!$I24*100</f>
        <v>0.65742121134434051</v>
      </c>
    </row>
    <row r="25" spans="1:9" ht="14.1" customHeight="1">
      <c r="A25" s="271" t="s">
        <v>121</v>
      </c>
      <c r="B25" s="272">
        <v>0</v>
      </c>
      <c r="C25" s="273">
        <f>B25/'- 43 -'!$I25*100</f>
        <v>0</v>
      </c>
      <c r="D25" s="272">
        <v>66903895</v>
      </c>
      <c r="E25" s="273">
        <f>D25/'- 43 -'!$I25*100</f>
        <v>37.753820977763198</v>
      </c>
      <c r="F25" s="272">
        <v>495000</v>
      </c>
      <c r="G25" s="273">
        <f>F25/'- 43 -'!$I25*100</f>
        <v>0.27932815247890702</v>
      </c>
      <c r="H25" s="272">
        <v>0</v>
      </c>
      <c r="I25" s="273">
        <f>H25/'- 43 -'!$I25*100</f>
        <v>0</v>
      </c>
    </row>
    <row r="26" spans="1:9" ht="14.1" customHeight="1">
      <c r="A26" s="15" t="s">
        <v>122</v>
      </c>
      <c r="B26" s="16">
        <v>20010</v>
      </c>
      <c r="C26" s="267">
        <f>B26/'- 43 -'!$I26*100</f>
        <v>4.7828455464286303E-2</v>
      </c>
      <c r="D26" s="16">
        <v>12090657</v>
      </c>
      <c r="E26" s="267">
        <f>D26/'- 43 -'!$I26*100</f>
        <v>28.899422781532309</v>
      </c>
      <c r="F26" s="16">
        <v>557620</v>
      </c>
      <c r="G26" s="267">
        <f>F26/'- 43 -'!$I26*100</f>
        <v>1.3328387474260535</v>
      </c>
      <c r="H26" s="16">
        <v>978716</v>
      </c>
      <c r="I26" s="267">
        <f>H26/'- 43 -'!$I26*100</f>
        <v>2.3393540538822806</v>
      </c>
    </row>
    <row r="27" spans="1:9" ht="14.1" customHeight="1">
      <c r="A27" s="271" t="s">
        <v>123</v>
      </c>
      <c r="B27" s="272">
        <v>10000</v>
      </c>
      <c r="C27" s="273">
        <f>B27/'- 43 -'!$I27*100</f>
        <v>2.2812144273125241E-2</v>
      </c>
      <c r="D27" s="272">
        <v>8493047</v>
      </c>
      <c r="E27" s="273">
        <f>D27/'- 43 -'!$I27*100</f>
        <v>19.374461348243351</v>
      </c>
      <c r="F27" s="272">
        <v>110000</v>
      </c>
      <c r="G27" s="273">
        <f>F27/'- 43 -'!$I27*100</f>
        <v>0.25093358700437762</v>
      </c>
      <c r="H27" s="272">
        <v>205000</v>
      </c>
      <c r="I27" s="273">
        <f>H27/'- 43 -'!$I27*100</f>
        <v>0.46764895759906744</v>
      </c>
    </row>
    <row r="28" spans="1:9" ht="14.1" customHeight="1">
      <c r="A28" s="15" t="s">
        <v>124</v>
      </c>
      <c r="B28" s="16">
        <v>0</v>
      </c>
      <c r="C28" s="267">
        <f>B28/'- 43 -'!$I28*100</f>
        <v>0</v>
      </c>
      <c r="D28" s="16">
        <v>7426103</v>
      </c>
      <c r="E28" s="267">
        <f>D28/'- 43 -'!$I28*100</f>
        <v>25.57109155539327</v>
      </c>
      <c r="F28" s="16">
        <v>67600</v>
      </c>
      <c r="G28" s="267">
        <f>F28/'- 43 -'!$I28*100</f>
        <v>0.23277428136191822</v>
      </c>
      <c r="H28" s="16">
        <v>7630251</v>
      </c>
      <c r="I28" s="267">
        <f>H28/'- 43 -'!$I28*100</f>
        <v>26.274056111480149</v>
      </c>
    </row>
    <row r="29" spans="1:9" ht="14.1" customHeight="1">
      <c r="A29" s="271" t="s">
        <v>125</v>
      </c>
      <c r="B29" s="272">
        <v>0</v>
      </c>
      <c r="C29" s="273">
        <f>B29/'- 43 -'!$I29*100</f>
        <v>0</v>
      </c>
      <c r="D29" s="272">
        <v>75103606</v>
      </c>
      <c r="E29" s="273">
        <f>D29/'- 43 -'!$I29*100</f>
        <v>46.341200093193784</v>
      </c>
      <c r="F29" s="272">
        <v>585000</v>
      </c>
      <c r="G29" s="273">
        <f>F29/'- 43 -'!$I29*100</f>
        <v>0.36096272200989077</v>
      </c>
      <c r="H29" s="272">
        <v>0</v>
      </c>
      <c r="I29" s="273">
        <f>H29/'- 43 -'!$I29*100</f>
        <v>0</v>
      </c>
    </row>
    <row r="30" spans="1:9" ht="14.1" customHeight="1">
      <c r="A30" s="15" t="s">
        <v>126</v>
      </c>
      <c r="B30" s="16">
        <v>0</v>
      </c>
      <c r="C30" s="267">
        <f>B30/'- 43 -'!$I30*100</f>
        <v>0</v>
      </c>
      <c r="D30" s="16">
        <v>5913260</v>
      </c>
      <c r="E30" s="267">
        <f>D30/'- 43 -'!$I30*100</f>
        <v>39.138091754768176</v>
      </c>
      <c r="F30" s="16">
        <v>38350</v>
      </c>
      <c r="G30" s="267">
        <f>F30/'- 43 -'!$I30*100</f>
        <v>0.2538271306851651</v>
      </c>
      <c r="H30" s="16">
        <v>0</v>
      </c>
      <c r="I30" s="267">
        <f>H30/'- 43 -'!$I30*100</f>
        <v>0</v>
      </c>
    </row>
    <row r="31" spans="1:9" ht="14.1" customHeight="1">
      <c r="A31" s="271" t="s">
        <v>127</v>
      </c>
      <c r="B31" s="272">
        <v>0</v>
      </c>
      <c r="C31" s="273">
        <f>B31/'- 43 -'!$I31*100</f>
        <v>0</v>
      </c>
      <c r="D31" s="272">
        <v>14017735</v>
      </c>
      <c r="E31" s="273">
        <f>D31/'- 43 -'!$I31*100</f>
        <v>36.275833110001649</v>
      </c>
      <c r="F31" s="272">
        <v>180000</v>
      </c>
      <c r="G31" s="273">
        <f>F31/'- 43 -'!$I31*100</f>
        <v>0.46581348269176842</v>
      </c>
      <c r="H31" s="272">
        <v>794142</v>
      </c>
      <c r="I31" s="273">
        <f>H31/'- 43 -'!$I31*100</f>
        <v>2.0551225042878132</v>
      </c>
    </row>
    <row r="32" spans="1:9" ht="14.1" customHeight="1">
      <c r="A32" s="15" t="s">
        <v>128</v>
      </c>
      <c r="B32" s="16">
        <v>0</v>
      </c>
      <c r="C32" s="267">
        <f>B32/'- 43 -'!$I32*100</f>
        <v>0</v>
      </c>
      <c r="D32" s="16">
        <v>13347012</v>
      </c>
      <c r="E32" s="267">
        <f>D32/'- 43 -'!$I32*100</f>
        <v>43.225713806585652</v>
      </c>
      <c r="F32" s="16">
        <v>78000</v>
      </c>
      <c r="G32" s="267">
        <f>F32/'- 43 -'!$I32*100</f>
        <v>0.25261127186472004</v>
      </c>
      <c r="H32" s="16">
        <v>0</v>
      </c>
      <c r="I32" s="267">
        <f>H32/'- 43 -'!$I32*100</f>
        <v>0</v>
      </c>
    </row>
    <row r="33" spans="1:9" ht="14.1" customHeight="1">
      <c r="A33" s="271" t="s">
        <v>129</v>
      </c>
      <c r="B33" s="272">
        <v>0</v>
      </c>
      <c r="C33" s="273">
        <f>B33/'- 43 -'!$I33*100</f>
        <v>0</v>
      </c>
      <c r="D33" s="272">
        <v>10829451</v>
      </c>
      <c r="E33" s="273">
        <f>D33/'- 43 -'!$I33*100</f>
        <v>37.527280129150284</v>
      </c>
      <c r="F33" s="272">
        <v>30000</v>
      </c>
      <c r="G33" s="273">
        <f>F33/'- 43 -'!$I33*100</f>
        <v>0.10395895450974464</v>
      </c>
      <c r="H33" s="272">
        <v>225000</v>
      </c>
      <c r="I33" s="273">
        <f>H33/'- 43 -'!$I33*100</f>
        <v>0.77969215882308485</v>
      </c>
    </row>
    <row r="34" spans="1:9" ht="14.1" customHeight="1">
      <c r="A34" s="15" t="s">
        <v>130</v>
      </c>
      <c r="B34" s="16">
        <v>21175</v>
      </c>
      <c r="C34" s="267">
        <f>B34/'- 43 -'!$I34*100</f>
        <v>7.0363919867474589E-2</v>
      </c>
      <c r="D34" s="16">
        <v>12813214</v>
      </c>
      <c r="E34" s="267">
        <f>D34/'- 43 -'!$I34*100</f>
        <v>42.577943949978916</v>
      </c>
      <c r="F34" s="16">
        <v>870800</v>
      </c>
      <c r="G34" s="267">
        <f>F34/'- 43 -'!$I34*100</f>
        <v>2.8936435145500292</v>
      </c>
      <c r="H34" s="16">
        <v>0</v>
      </c>
      <c r="I34" s="267">
        <f>H34/'- 43 -'!$I34*100</f>
        <v>0</v>
      </c>
    </row>
    <row r="35" spans="1:9" ht="14.1" customHeight="1">
      <c r="A35" s="271" t="s">
        <v>131</v>
      </c>
      <c r="B35" s="272">
        <v>0</v>
      </c>
      <c r="C35" s="273">
        <f>B35/'- 43 -'!$I35*100</f>
        <v>0</v>
      </c>
      <c r="D35" s="272">
        <v>61664883</v>
      </c>
      <c r="E35" s="273">
        <f>D35/'- 43 -'!$I35*100</f>
        <v>33.760328064399971</v>
      </c>
      <c r="F35" s="272">
        <v>215000</v>
      </c>
      <c r="G35" s="273">
        <f>F35/'- 43 -'!$I35*100</f>
        <v>0.11770833220985748</v>
      </c>
      <c r="H35" s="272">
        <v>0</v>
      </c>
      <c r="I35" s="273">
        <f>H35/'- 43 -'!$I35*100</f>
        <v>0</v>
      </c>
    </row>
    <row r="36" spans="1:9" ht="14.1" customHeight="1">
      <c r="A36" s="15" t="s">
        <v>132</v>
      </c>
      <c r="B36" s="16">
        <v>61990</v>
      </c>
      <c r="C36" s="267">
        <f>B36/'- 43 -'!$I36*100</f>
        <v>0.25759235708226269</v>
      </c>
      <c r="D36" s="16">
        <v>8747685</v>
      </c>
      <c r="E36" s="267">
        <f>D36/'- 43 -'!$I36*100</f>
        <v>36.350004809858902</v>
      </c>
      <c r="F36" s="16">
        <v>73450</v>
      </c>
      <c r="G36" s="267">
        <f>F36/'- 43 -'!$I36*100</f>
        <v>0.30521307674934983</v>
      </c>
      <c r="H36" s="16">
        <v>1348810</v>
      </c>
      <c r="I36" s="267">
        <f>H36/'- 43 -'!$I36*100</f>
        <v>5.6048257324750246</v>
      </c>
    </row>
    <row r="37" spans="1:9" ht="14.1" customHeight="1">
      <c r="A37" s="271" t="s">
        <v>133</v>
      </c>
      <c r="B37" s="272">
        <v>15000</v>
      </c>
      <c r="C37" s="273">
        <f>B37/'- 43 -'!$I37*100</f>
        <v>2.921869217133841E-2</v>
      </c>
      <c r="D37" s="272">
        <v>14881015</v>
      </c>
      <c r="E37" s="273">
        <f>D37/'- 43 -'!$I37*100</f>
        <v>28.986919765471299</v>
      </c>
      <c r="F37" s="272">
        <v>250000</v>
      </c>
      <c r="G37" s="273">
        <f>F37/'- 43 -'!$I37*100</f>
        <v>0.48697820285564014</v>
      </c>
      <c r="H37" s="272">
        <v>0</v>
      </c>
      <c r="I37" s="273">
        <f>H37/'- 43 -'!$I37*100</f>
        <v>0</v>
      </c>
    </row>
    <row r="38" spans="1:9" ht="14.1" customHeight="1">
      <c r="A38" s="15" t="s">
        <v>134</v>
      </c>
      <c r="B38" s="16">
        <v>906000</v>
      </c>
      <c r="C38" s="267">
        <f>B38/'- 43 -'!$I38*100</f>
        <v>0.64862566173599001</v>
      </c>
      <c r="D38" s="16">
        <v>40809844</v>
      </c>
      <c r="E38" s="267">
        <f>D38/'- 43 -'!$I38*100</f>
        <v>29.216679988788659</v>
      </c>
      <c r="F38" s="16">
        <v>1090000</v>
      </c>
      <c r="G38" s="267">
        <f>F38/'- 43 -'!$I38*100</f>
        <v>0.78035537670223964</v>
      </c>
      <c r="H38" s="16">
        <v>442000</v>
      </c>
      <c r="I38" s="267">
        <f>H38/'- 43 -'!$I38*100</f>
        <v>0.31643768486457791</v>
      </c>
    </row>
    <row r="39" spans="1:9" ht="14.1" customHeight="1">
      <c r="A39" s="271" t="s">
        <v>135</v>
      </c>
      <c r="B39" s="272">
        <v>0</v>
      </c>
      <c r="C39" s="273">
        <f>B39/'- 43 -'!$I39*100</f>
        <v>0</v>
      </c>
      <c r="D39" s="272">
        <v>11109714</v>
      </c>
      <c r="E39" s="273">
        <f>D39/'- 43 -'!$I39*100</f>
        <v>47.462848897767643</v>
      </c>
      <c r="F39" s="272">
        <v>100000</v>
      </c>
      <c r="G39" s="273">
        <f>F39/'- 43 -'!$I39*100</f>
        <v>0.42721935864206445</v>
      </c>
      <c r="H39" s="272">
        <v>0</v>
      </c>
      <c r="I39" s="273">
        <f>H39/'- 43 -'!$I39*100</f>
        <v>0</v>
      </c>
    </row>
    <row r="40" spans="1:9" ht="14.1" customHeight="1">
      <c r="A40" s="15" t="s">
        <v>136</v>
      </c>
      <c r="B40" s="16">
        <v>0</v>
      </c>
      <c r="C40" s="267">
        <f>B40/'- 43 -'!$I40*100</f>
        <v>0</v>
      </c>
      <c r="D40" s="16">
        <v>44314346</v>
      </c>
      <c r="E40" s="267">
        <f>D40/'- 43 -'!$I40*100</f>
        <v>41.393899974477662</v>
      </c>
      <c r="F40" s="16">
        <v>722612</v>
      </c>
      <c r="G40" s="267">
        <f>F40/'- 43 -'!$I40*100</f>
        <v>0.67498973917740446</v>
      </c>
      <c r="H40" s="16">
        <v>170000</v>
      </c>
      <c r="I40" s="267">
        <f>H40/'- 43 -'!$I40*100</f>
        <v>0.15879649889589262</v>
      </c>
    </row>
    <row r="41" spans="1:9" ht="14.1" customHeight="1">
      <c r="A41" s="271" t="s">
        <v>137</v>
      </c>
      <c r="B41" s="272">
        <v>0</v>
      </c>
      <c r="C41" s="273">
        <f>B41/'- 43 -'!$I41*100</f>
        <v>0</v>
      </c>
      <c r="D41" s="272">
        <v>27228370</v>
      </c>
      <c r="E41" s="273">
        <f>D41/'- 43 -'!$I41*100</f>
        <v>41.199165085177682</v>
      </c>
      <c r="F41" s="272">
        <v>156000</v>
      </c>
      <c r="G41" s="273">
        <f>F41/'- 43 -'!$I41*100</f>
        <v>0.23604313270635435</v>
      </c>
      <c r="H41" s="272">
        <v>309928</v>
      </c>
      <c r="I41" s="273">
        <f>H41/'- 43 -'!$I41*100</f>
        <v>0.4689511284193269</v>
      </c>
    </row>
    <row r="42" spans="1:9" ht="14.1" customHeight="1">
      <c r="A42" s="15" t="s">
        <v>138</v>
      </c>
      <c r="B42" s="16">
        <v>0</v>
      </c>
      <c r="C42" s="267">
        <f>B42/'- 43 -'!$I42*100</f>
        <v>0</v>
      </c>
      <c r="D42" s="16">
        <v>5726716</v>
      </c>
      <c r="E42" s="267">
        <f>D42/'- 43 -'!$I42*100</f>
        <v>27.035098699054878</v>
      </c>
      <c r="F42" s="16">
        <v>26000</v>
      </c>
      <c r="G42" s="267">
        <f>F42/'- 43 -'!$I42*100</f>
        <v>0.12274269689215019</v>
      </c>
      <c r="H42" s="16">
        <v>189500</v>
      </c>
      <c r="I42" s="267">
        <f>H42/'- 43 -'!$I42*100</f>
        <v>0.89460542542547927</v>
      </c>
    </row>
    <row r="43" spans="1:9" ht="14.1" customHeight="1">
      <c r="A43" s="271" t="s">
        <v>139</v>
      </c>
      <c r="B43" s="272">
        <v>0</v>
      </c>
      <c r="C43" s="273">
        <f>B43/'- 43 -'!$I43*100</f>
        <v>0</v>
      </c>
      <c r="D43" s="272">
        <v>5663098</v>
      </c>
      <c r="E43" s="273">
        <f>D43/'- 43 -'!$I43*100</f>
        <v>41.69922544458462</v>
      </c>
      <c r="F43" s="272">
        <v>25000</v>
      </c>
      <c r="G43" s="273">
        <f>F43/'- 43 -'!$I43*100</f>
        <v>0.1840831001184538</v>
      </c>
      <c r="H43" s="272">
        <v>0</v>
      </c>
      <c r="I43" s="273">
        <f>H43/'- 43 -'!$I43*100</f>
        <v>0</v>
      </c>
    </row>
    <row r="44" spans="1:9" ht="14.1" customHeight="1">
      <c r="A44" s="15" t="s">
        <v>140</v>
      </c>
      <c r="B44" s="16">
        <v>0</v>
      </c>
      <c r="C44" s="267">
        <f>B44/'- 43 -'!$I44*100</f>
        <v>0</v>
      </c>
      <c r="D44" s="16">
        <v>2473087</v>
      </c>
      <c r="E44" s="267">
        <f>D44/'- 43 -'!$I44*100</f>
        <v>21.670468869183935</v>
      </c>
      <c r="F44" s="16">
        <v>31200</v>
      </c>
      <c r="G44" s="267">
        <f>F44/'- 43 -'!$I44*100</f>
        <v>0.27339055549543495</v>
      </c>
      <c r="H44" s="16">
        <v>0</v>
      </c>
      <c r="I44" s="267">
        <f>H44/'- 43 -'!$I44*100</f>
        <v>0</v>
      </c>
    </row>
    <row r="45" spans="1:9" ht="14.1" customHeight="1">
      <c r="A45" s="271" t="s">
        <v>141</v>
      </c>
      <c r="B45" s="272">
        <v>20000</v>
      </c>
      <c r="C45" s="273">
        <f>B45/'- 43 -'!$I45*100</f>
        <v>9.8518716906023623E-2</v>
      </c>
      <c r="D45" s="272">
        <v>6833638</v>
      </c>
      <c r="E45" s="273">
        <f>D45/'- 43 -'!$I45*100</f>
        <v>33.662062378012273</v>
      </c>
      <c r="F45" s="272">
        <v>66950</v>
      </c>
      <c r="G45" s="273">
        <f>F45/'- 43 -'!$I45*100</f>
        <v>0.32979140484291414</v>
      </c>
      <c r="H45" s="272">
        <v>0</v>
      </c>
      <c r="I45" s="273">
        <f>H45/'- 43 -'!$I45*100</f>
        <v>0</v>
      </c>
    </row>
    <row r="46" spans="1:9" ht="14.1" customHeight="1">
      <c r="A46" s="15" t="s">
        <v>142</v>
      </c>
      <c r="B46" s="16">
        <v>3500000</v>
      </c>
      <c r="C46" s="267">
        <f>B46/'- 43 -'!$I46*100</f>
        <v>0.88375714959534024</v>
      </c>
      <c r="D46" s="16">
        <v>143601491</v>
      </c>
      <c r="E46" s="267">
        <f>D46/'- 43 -'!$I46*100</f>
        <v>36.259669818228829</v>
      </c>
      <c r="F46" s="16">
        <v>2477000</v>
      </c>
      <c r="G46" s="267">
        <f>F46/'- 43 -'!$I46*100</f>
        <v>0.6254475598707594</v>
      </c>
      <c r="H46" s="16">
        <v>2057300</v>
      </c>
      <c r="I46" s="267">
        <f>H46/'- 43 -'!$I46*100</f>
        <v>0.51947245253214103</v>
      </c>
    </row>
    <row r="47" spans="1:9" ht="5.0999999999999996" customHeight="1">
      <c r="A47"/>
      <c r="B47"/>
      <c r="C47"/>
      <c r="D47" s="508"/>
      <c r="E47"/>
      <c r="F47" s="508"/>
      <c r="G47"/>
      <c r="H47" s="508"/>
      <c r="I47"/>
    </row>
    <row r="48" spans="1:9" ht="14.1" customHeight="1">
      <c r="A48" s="274" t="s">
        <v>143</v>
      </c>
      <c r="B48" s="275">
        <f>SUM(B11:B46)</f>
        <v>4667298</v>
      </c>
      <c r="C48" s="276">
        <f>B48/'- 43 -'!$I48*100</f>
        <v>0.19810444554635137</v>
      </c>
      <c r="D48" s="275">
        <f>SUM(D11:D46)</f>
        <v>785922948</v>
      </c>
      <c r="E48" s="276">
        <f>D48/'- 43 -'!$I48*100</f>
        <v>33.358664875414838</v>
      </c>
      <c r="F48" s="275">
        <f>SUM(F11:F46)</f>
        <v>12086830</v>
      </c>
      <c r="G48" s="276">
        <f>F48/'- 43 -'!$I48*100</f>
        <v>0.51302804225549892</v>
      </c>
      <c r="H48" s="275">
        <f>SUM(H11:H46)</f>
        <v>96664826</v>
      </c>
      <c r="I48" s="276">
        <f>H48/'- 43 -'!$I48*100</f>
        <v>4.1029588765415292</v>
      </c>
    </row>
    <row r="49" spans="1:9" ht="5.0999999999999996" customHeight="1">
      <c r="A49" s="17" t="s">
        <v>1</v>
      </c>
      <c r="B49" s="18"/>
      <c r="C49" s="266"/>
      <c r="D49" s="18"/>
      <c r="E49" s="266"/>
      <c r="F49" s="18"/>
      <c r="G49" s="266"/>
      <c r="H49" s="18"/>
      <c r="I49" s="266"/>
    </row>
    <row r="50" spans="1:9" ht="14.1" customHeight="1">
      <c r="A50" s="15" t="s">
        <v>144</v>
      </c>
      <c r="B50" s="16">
        <v>0</v>
      </c>
      <c r="C50" s="267">
        <f>B50/'- 43 -'!$I50*100</f>
        <v>0</v>
      </c>
      <c r="D50" s="16">
        <v>1906802</v>
      </c>
      <c r="E50" s="267">
        <f>D50/'- 43 -'!$I50*100</f>
        <v>54.969981025171201</v>
      </c>
      <c r="F50" s="16">
        <v>36400</v>
      </c>
      <c r="G50" s="267">
        <f>F50/'- 43 -'!$I50*100</f>
        <v>1.0493524284725062</v>
      </c>
      <c r="H50" s="16">
        <v>0</v>
      </c>
      <c r="I50" s="267">
        <f>H50/'- 43 -'!$I50*100</f>
        <v>0</v>
      </c>
    </row>
    <row r="51" spans="1:9" ht="14.1" customHeight="1">
      <c r="A51" s="360" t="s">
        <v>523</v>
      </c>
      <c r="B51" s="272">
        <v>4743068</v>
      </c>
      <c r="C51" s="273">
        <f>B51/'- 43 -'!$I51*100</f>
        <v>15.531066615990863</v>
      </c>
      <c r="D51" s="272">
        <v>0</v>
      </c>
      <c r="E51" s="273">
        <f>D51/'- 43 -'!$I51*100</f>
        <v>0</v>
      </c>
      <c r="F51" s="272">
        <v>1705648</v>
      </c>
      <c r="G51" s="273">
        <f>F51/'- 43 -'!$I51*100</f>
        <v>5.585104980875581</v>
      </c>
      <c r="H51" s="272">
        <v>0</v>
      </c>
      <c r="I51" s="273">
        <f>H51/'- 43 -'!$I51*100</f>
        <v>0</v>
      </c>
    </row>
    <row r="52" spans="1:9" ht="50.1" customHeight="1">
      <c r="A52" s="19"/>
      <c r="B52" s="19"/>
      <c r="C52" s="19"/>
      <c r="D52" s="19"/>
      <c r="E52" s="19"/>
      <c r="F52" s="19"/>
      <c r="G52" s="19"/>
      <c r="H52" s="19"/>
      <c r="I52" s="19"/>
    </row>
    <row r="53" spans="1:9" ht="14.45" customHeight="1">
      <c r="A53" s="739" t="str">
        <f>"(1)  Municipal Government revenue is net of "&amp;"$"&amp;TEXT('- 41 -'!C48,"00,0")&amp;" in Education Property Tax Credit (EPTC) revenue paid directly to school divisions. See 
       page 41 for EPTC revenue."</f>
        <v>(1)  Municipal Government revenue is net of $204,127,681 in Education Property Tax Credit (EPTC) revenue paid directly to school divisions. See 
       page 41 for EPTC revenue.</v>
      </c>
      <c r="B53" s="739"/>
      <c r="C53" s="739"/>
      <c r="D53" s="739"/>
      <c r="E53" s="739"/>
      <c r="F53" s="739"/>
      <c r="G53" s="739"/>
      <c r="H53" s="739"/>
      <c r="I53" s="739"/>
    </row>
    <row r="54" spans="1:9" ht="12" customHeight="1">
      <c r="A54" s="740"/>
      <c r="B54" s="740"/>
      <c r="C54" s="740"/>
      <c r="D54" s="740"/>
      <c r="E54" s="740"/>
      <c r="F54" s="740"/>
      <c r="G54" s="740"/>
      <c r="H54" s="740"/>
      <c r="I54" s="740"/>
    </row>
    <row r="55" spans="1:9" ht="14.45" customHeight="1"/>
    <row r="56" spans="1:9" ht="14.45" customHeight="1"/>
    <row r="57" spans="1:9" ht="14.45" customHeight="1"/>
    <row r="58" spans="1:9" ht="14.45" customHeight="1"/>
    <row r="59" spans="1:9" ht="14.45" customHeight="1"/>
  </sheetData>
  <mergeCells count="5">
    <mergeCell ref="B7:C8"/>
    <mergeCell ref="D7:E8"/>
    <mergeCell ref="F7:G8"/>
    <mergeCell ref="H8:I8"/>
    <mergeCell ref="A53:I54"/>
  </mergeCells>
  <phoneticPr fontId="0" type="noConversion"/>
  <printOptions horizontalCentered="1"/>
  <pageMargins left="0.51181102362204722" right="0.51181102362204722" top="0.59055118110236227" bottom="0" header="0.31496062992125984" footer="0"/>
  <pageSetup scale="85" orientation="portrait" r:id="rId1"/>
  <headerFooter alignWithMargins="0">
    <oddHeader>&amp;C&amp;"Arial,Bold"&amp;10&amp;A</oddHeader>
  </headerFooter>
</worksheet>
</file>

<file path=xl/worksheets/sheet38.xml><?xml version="1.0" encoding="utf-8"?>
<worksheet xmlns="http://schemas.openxmlformats.org/spreadsheetml/2006/main" xmlns:r="http://schemas.openxmlformats.org/officeDocument/2006/relationships">
  <sheetPr codeName="Sheet38"/>
  <dimension ref="A1:K63"/>
  <sheetViews>
    <sheetView showGridLines="0" showZeros="0" workbookViewId="0"/>
  </sheetViews>
  <sheetFormatPr defaultColWidth="15.83203125" defaultRowHeight="12"/>
  <cols>
    <col min="1" max="1" width="33.83203125" style="1" customWidth="1"/>
    <col min="2" max="2" width="16.83203125" style="1" customWidth="1"/>
    <col min="3" max="3" width="8.83203125" style="1" customWidth="1"/>
    <col min="4" max="4" width="15.83203125" style="1"/>
    <col min="5" max="5" width="8.83203125" style="1" customWidth="1"/>
    <col min="6" max="6" width="15.83203125" style="1"/>
    <col min="7" max="7" width="8.83203125" style="1" customWidth="1"/>
    <col min="8" max="8" width="4.83203125" style="1" customWidth="1"/>
    <col min="9" max="9" width="19.83203125" style="1" customWidth="1"/>
    <col min="10" max="16384" width="15.83203125" style="1"/>
  </cols>
  <sheetData>
    <row r="1" spans="1:9" ht="6.95" customHeight="1">
      <c r="A1" s="3"/>
    </row>
    <row r="2" spans="1:9" ht="15.95" customHeight="1">
      <c r="A2" s="183"/>
      <c r="B2" s="53" t="str">
        <f>REVYEAR</f>
        <v>ANALYSIS OF OPERATING FUND REVENUE: 2016/2017 BUDGET</v>
      </c>
      <c r="C2" s="101"/>
      <c r="D2" s="101"/>
      <c r="E2" s="101"/>
      <c r="F2" s="101"/>
      <c r="G2" s="188"/>
      <c r="H2" s="102"/>
      <c r="I2" s="185" t="s">
        <v>3</v>
      </c>
    </row>
    <row r="3" spans="1:9" ht="15.95" customHeight="1">
      <c r="A3" s="180"/>
    </row>
    <row r="4" spans="1:9" ht="15.95" customHeight="1">
      <c r="B4" s="55"/>
      <c r="C4" s="4"/>
      <c r="D4" s="4"/>
      <c r="E4" s="4"/>
      <c r="F4" s="4"/>
      <c r="G4" s="4"/>
      <c r="H4" s="4"/>
      <c r="I4" s="4"/>
    </row>
    <row r="5" spans="1:9" ht="15.95" customHeight="1">
      <c r="B5" s="4"/>
      <c r="C5" s="4"/>
      <c r="D5" s="4"/>
      <c r="E5" s="4"/>
      <c r="F5" s="4"/>
      <c r="G5" s="4"/>
      <c r="H5" s="4"/>
      <c r="I5" s="4"/>
    </row>
    <row r="6" spans="1:9" ht="15.95" customHeight="1">
      <c r="B6" s="689" t="s">
        <v>463</v>
      </c>
      <c r="C6" s="707"/>
      <c r="D6" s="278"/>
      <c r="E6" s="278"/>
      <c r="F6" s="618" t="s">
        <v>464</v>
      </c>
      <c r="G6" s="619"/>
      <c r="H6" s="4"/>
      <c r="I6" s="741" t="s">
        <v>465</v>
      </c>
    </row>
    <row r="7" spans="1:9" ht="15.95" customHeight="1">
      <c r="B7" s="679"/>
      <c r="C7" s="680"/>
      <c r="D7" s="315"/>
      <c r="E7" s="315"/>
      <c r="F7" s="685"/>
      <c r="G7" s="684"/>
      <c r="H7" s="4"/>
      <c r="I7" s="742"/>
    </row>
    <row r="8" spans="1:9" ht="15.95" customHeight="1">
      <c r="A8" s="249"/>
      <c r="B8" s="681"/>
      <c r="C8" s="682"/>
      <c r="D8" s="612" t="s">
        <v>19</v>
      </c>
      <c r="E8" s="613"/>
      <c r="F8" s="620"/>
      <c r="G8" s="621"/>
      <c r="H8" s="4"/>
      <c r="I8" s="743"/>
    </row>
    <row r="9" spans="1:9" ht="15.95" customHeight="1">
      <c r="A9" s="27" t="s">
        <v>37</v>
      </c>
      <c r="B9" s="473" t="s">
        <v>55</v>
      </c>
      <c r="C9" s="108" t="s">
        <v>39</v>
      </c>
      <c r="D9" s="189" t="s">
        <v>55</v>
      </c>
      <c r="E9" s="189" t="s">
        <v>39</v>
      </c>
      <c r="F9" s="181" t="s">
        <v>55</v>
      </c>
      <c r="G9" s="189" t="s">
        <v>39</v>
      </c>
      <c r="H9" s="4"/>
      <c r="I9" s="189" t="s">
        <v>55</v>
      </c>
    </row>
    <row r="10" spans="1:9" ht="5.0999999999999996" customHeight="1">
      <c r="A10" s="29"/>
      <c r="B10" s="182"/>
      <c r="C10" s="182"/>
      <c r="D10" s="182"/>
      <c r="E10" s="182"/>
      <c r="F10" s="182"/>
      <c r="G10" s="3"/>
      <c r="H10" s="3"/>
      <c r="I10" s="182"/>
    </row>
    <row r="11" spans="1:9" ht="14.1" customHeight="1">
      <c r="A11" s="271" t="s">
        <v>108</v>
      </c>
      <c r="B11" s="272">
        <v>15000</v>
      </c>
      <c r="C11" s="273">
        <f>B11/I11*100</f>
        <v>7.5382157385079404E-2</v>
      </c>
      <c r="D11" s="272">
        <v>76500</v>
      </c>
      <c r="E11" s="273">
        <f>D11/I11*100</f>
        <v>0.38444900266390492</v>
      </c>
      <c r="F11" s="272">
        <f>SUM('- 42 -'!$B11,'- 42 -'!$D11,'- 42 -'!$F11,'- 42 -'!$H11,B11,D11)</f>
        <v>6928281</v>
      </c>
      <c r="G11" s="273">
        <f>F11/I11*100</f>
        <v>34.817917916670353</v>
      </c>
      <c r="I11" s="272">
        <f>SUM('- 41 -'!$H11,F11)</f>
        <v>19898608</v>
      </c>
    </row>
    <row r="12" spans="1:9" ht="14.1" customHeight="1">
      <c r="A12" s="15" t="s">
        <v>109</v>
      </c>
      <c r="B12" s="16">
        <v>114952</v>
      </c>
      <c r="C12" s="267">
        <f t="shared" ref="C12:C46" si="0">B12/I12*100</f>
        <v>0.30200449202519719</v>
      </c>
      <c r="D12" s="16">
        <v>533368</v>
      </c>
      <c r="E12" s="267">
        <f t="shared" ref="E12:E48" si="1">D12/I12*100</f>
        <v>1.4012764623712104</v>
      </c>
      <c r="F12" s="16">
        <f>SUM('- 42 -'!$B12,'- 42 -'!$D12,'- 42 -'!$F12,'- 42 -'!$H12,B12,D12)</f>
        <v>16133539</v>
      </c>
      <c r="G12" s="267">
        <f t="shared" ref="G12:G48" si="2">F12/I12*100</f>
        <v>42.386398238079437</v>
      </c>
      <c r="I12" s="16">
        <f>SUM('- 41 -'!$H12,F12)</f>
        <v>38063010</v>
      </c>
    </row>
    <row r="13" spans="1:9" ht="14.1" customHeight="1">
      <c r="A13" s="271" t="s">
        <v>110</v>
      </c>
      <c r="B13" s="272">
        <v>754700</v>
      </c>
      <c r="C13" s="273">
        <f t="shared" si="0"/>
        <v>0.76466666531572514</v>
      </c>
      <c r="D13" s="272">
        <v>91400</v>
      </c>
      <c r="E13" s="273">
        <f t="shared" si="1"/>
        <v>9.2607040161464524E-2</v>
      </c>
      <c r="F13" s="272">
        <f>SUM('- 42 -'!$B13,'- 42 -'!$D13,'- 42 -'!$F13,'- 42 -'!$H13,B13,D13)</f>
        <v>38342414</v>
      </c>
      <c r="G13" s="273">
        <f t="shared" si="2"/>
        <v>38.84876885323304</v>
      </c>
      <c r="I13" s="272">
        <f>SUM('- 41 -'!$H13,F13)</f>
        <v>98696600</v>
      </c>
    </row>
    <row r="14" spans="1:9" ht="14.1" customHeight="1">
      <c r="A14" s="15" t="s">
        <v>319</v>
      </c>
      <c r="B14" s="16">
        <v>90000</v>
      </c>
      <c r="C14" s="267">
        <f t="shared" si="0"/>
        <v>0.10463869131876724</v>
      </c>
      <c r="D14" s="16">
        <v>10000</v>
      </c>
      <c r="E14" s="267">
        <f t="shared" si="1"/>
        <v>1.1626521257640804E-2</v>
      </c>
      <c r="F14" s="16">
        <f>SUM('- 42 -'!$B14,'- 42 -'!$D14,'- 42 -'!$F14,'- 42 -'!$H14,B14,D14)</f>
        <v>24220290</v>
      </c>
      <c r="G14" s="267">
        <f t="shared" si="2"/>
        <v>28.159771655122501</v>
      </c>
      <c r="I14" s="16">
        <f>SUM('- 41 -'!$H14,F14)</f>
        <v>86010250</v>
      </c>
    </row>
    <row r="15" spans="1:9" ht="14.1" customHeight="1">
      <c r="A15" s="271" t="s">
        <v>111</v>
      </c>
      <c r="B15" s="272">
        <v>53500</v>
      </c>
      <c r="C15" s="273">
        <f t="shared" si="0"/>
        <v>0.25648415925067891</v>
      </c>
      <c r="D15" s="272">
        <v>9000</v>
      </c>
      <c r="E15" s="273">
        <f t="shared" si="1"/>
        <v>4.3146867911329156E-2</v>
      </c>
      <c r="F15" s="272">
        <f>SUM('- 42 -'!$B15,'- 42 -'!$D15,'- 42 -'!$F15,'- 42 -'!$H15,B15,D15)</f>
        <v>7882253</v>
      </c>
      <c r="G15" s="273">
        <f t="shared" si="2"/>
        <v>37.788281003853115</v>
      </c>
      <c r="I15" s="272">
        <f>SUM('- 41 -'!$H15,F15)</f>
        <v>20858988</v>
      </c>
    </row>
    <row r="16" spans="1:9" ht="14.1" customHeight="1">
      <c r="A16" s="15" t="s">
        <v>112</v>
      </c>
      <c r="B16" s="16">
        <v>238284</v>
      </c>
      <c r="C16" s="267">
        <f t="shared" si="0"/>
        <v>1.6018682143334679</v>
      </c>
      <c r="D16" s="16">
        <v>74534</v>
      </c>
      <c r="E16" s="267">
        <f t="shared" si="1"/>
        <v>0.50105607379064776</v>
      </c>
      <c r="F16" s="16">
        <f>SUM('- 42 -'!$B16,'- 42 -'!$D16,'- 42 -'!$F16,'- 42 -'!$H16,B16,D16)</f>
        <v>4100096</v>
      </c>
      <c r="G16" s="267">
        <f t="shared" si="2"/>
        <v>27.562964605746902</v>
      </c>
      <c r="I16" s="16">
        <f>SUM('- 41 -'!$H16,F16)</f>
        <v>14875381</v>
      </c>
    </row>
    <row r="17" spans="1:9" ht="14.1" customHeight="1">
      <c r="A17" s="271" t="s">
        <v>113</v>
      </c>
      <c r="B17" s="272">
        <v>0</v>
      </c>
      <c r="C17" s="273">
        <f t="shared" si="0"/>
        <v>0</v>
      </c>
      <c r="D17" s="272">
        <v>25100</v>
      </c>
      <c r="E17" s="273">
        <f t="shared" si="1"/>
        <v>0.13483580893131986</v>
      </c>
      <c r="F17" s="272">
        <f>SUM('- 42 -'!$B17,'- 42 -'!$D17,'- 42 -'!$F17,'- 42 -'!$H17,B17,D17)</f>
        <v>8439895</v>
      </c>
      <c r="G17" s="273">
        <f t="shared" si="2"/>
        <v>45.338648192047877</v>
      </c>
      <c r="I17" s="272">
        <f>SUM('- 41 -'!$H17,F17)</f>
        <v>18615233</v>
      </c>
    </row>
    <row r="18" spans="1:9" ht="14.1" customHeight="1">
      <c r="A18" s="15" t="s">
        <v>114</v>
      </c>
      <c r="B18" s="16">
        <v>4684581</v>
      </c>
      <c r="C18" s="267">
        <f t="shared" si="0"/>
        <v>3.4029608218290499</v>
      </c>
      <c r="D18" s="16">
        <v>500000</v>
      </c>
      <c r="E18" s="267">
        <f t="shared" si="1"/>
        <v>0.36320866496161025</v>
      </c>
      <c r="F18" s="16">
        <f>SUM('- 42 -'!$B18,'- 42 -'!$D18,'- 42 -'!$F18,'- 42 -'!$H18,B18,D18)</f>
        <v>86654023</v>
      </c>
      <c r="G18" s="267">
        <f t="shared" si="2"/>
        <v>62.946984014765327</v>
      </c>
      <c r="I18" s="16">
        <f>SUM('- 41 -'!$H18,F18)</f>
        <v>137661914</v>
      </c>
    </row>
    <row r="19" spans="1:9" ht="14.1" customHeight="1">
      <c r="A19" s="271" t="s">
        <v>115</v>
      </c>
      <c r="B19" s="272">
        <v>10000</v>
      </c>
      <c r="C19" s="273">
        <f t="shared" si="0"/>
        <v>2.0779435374117007E-2</v>
      </c>
      <c r="D19" s="272">
        <v>410000</v>
      </c>
      <c r="E19" s="273">
        <f t="shared" si="1"/>
        <v>0.8519568503387972</v>
      </c>
      <c r="F19" s="272">
        <f>SUM('- 42 -'!$B19,'- 42 -'!$D19,'- 42 -'!$F19,'- 42 -'!$H19,B19,D19)</f>
        <v>15436513</v>
      </c>
      <c r="G19" s="273">
        <f t="shared" si="2"/>
        <v>32.076202428521704</v>
      </c>
      <c r="I19" s="272">
        <f>SUM('- 41 -'!$H19,F19)</f>
        <v>48124503</v>
      </c>
    </row>
    <row r="20" spans="1:9" ht="14.1" customHeight="1">
      <c r="A20" s="15" t="s">
        <v>116</v>
      </c>
      <c r="B20" s="16">
        <v>464500</v>
      </c>
      <c r="C20" s="267">
        <f t="shared" si="0"/>
        <v>0.54241460327247082</v>
      </c>
      <c r="D20" s="16">
        <v>127400</v>
      </c>
      <c r="E20" s="267">
        <f t="shared" si="1"/>
        <v>0.148769904105302</v>
      </c>
      <c r="F20" s="16">
        <f>SUM('- 42 -'!$B20,'- 42 -'!$D20,'- 42 -'!$F20,'- 42 -'!$H20,B20,D20)</f>
        <v>26546032</v>
      </c>
      <c r="G20" s="267">
        <f t="shared" si="2"/>
        <v>30.998827590394651</v>
      </c>
      <c r="I20" s="16">
        <f>SUM('- 41 -'!$H20,F20)</f>
        <v>85635600</v>
      </c>
    </row>
    <row r="21" spans="1:9" ht="14.1" customHeight="1">
      <c r="A21" s="271" t="s">
        <v>117</v>
      </c>
      <c r="B21" s="272">
        <v>201800</v>
      </c>
      <c r="C21" s="273">
        <f t="shared" si="0"/>
        <v>0.54056949987945679</v>
      </c>
      <c r="D21" s="272">
        <v>127817</v>
      </c>
      <c r="E21" s="273">
        <f t="shared" si="1"/>
        <v>0.34238836355843666</v>
      </c>
      <c r="F21" s="272">
        <f>SUM('- 42 -'!$B21,'- 42 -'!$D21,'- 42 -'!$F21,'- 42 -'!$H21,B21,D21)</f>
        <v>14345078</v>
      </c>
      <c r="G21" s="273">
        <f t="shared" si="2"/>
        <v>38.426717741287405</v>
      </c>
      <c r="I21" s="272">
        <f>SUM('- 41 -'!$H21,F21)</f>
        <v>37331000</v>
      </c>
    </row>
    <row r="22" spans="1:9" ht="14.1" customHeight="1">
      <c r="A22" s="15" t="s">
        <v>118</v>
      </c>
      <c r="B22" s="16">
        <v>0</v>
      </c>
      <c r="C22" s="267">
        <f t="shared" si="0"/>
        <v>0</v>
      </c>
      <c r="D22" s="16">
        <v>158500</v>
      </c>
      <c r="E22" s="267">
        <f t="shared" si="1"/>
        <v>0.77488068548536515</v>
      </c>
      <c r="F22" s="16">
        <f>SUM('- 42 -'!$B22,'- 42 -'!$D22,'- 42 -'!$F22,'- 42 -'!$H22,B22,D22)</f>
        <v>3387387</v>
      </c>
      <c r="G22" s="267">
        <f t="shared" si="2"/>
        <v>16.560383347408294</v>
      </c>
      <c r="I22" s="16">
        <f>SUM('- 41 -'!$H22,F22)</f>
        <v>20454762</v>
      </c>
    </row>
    <row r="23" spans="1:9" ht="14.1" customHeight="1">
      <c r="A23" s="271" t="s">
        <v>119</v>
      </c>
      <c r="B23" s="272">
        <v>250830</v>
      </c>
      <c r="C23" s="273">
        <f t="shared" si="0"/>
        <v>1.4920224711682406</v>
      </c>
      <c r="D23" s="272">
        <v>40000</v>
      </c>
      <c r="E23" s="273">
        <f t="shared" si="1"/>
        <v>0.23793365565015998</v>
      </c>
      <c r="F23" s="272">
        <f>SUM('- 42 -'!$B23,'- 42 -'!$D23,'- 42 -'!$F23,'- 42 -'!$H23,B23,D23)</f>
        <v>4894380</v>
      </c>
      <c r="G23" s="273">
        <f t="shared" si="2"/>
        <v>29.113443138525746</v>
      </c>
      <c r="I23" s="272">
        <f>SUM('- 41 -'!$H23,F23)</f>
        <v>16811409</v>
      </c>
    </row>
    <row r="24" spans="1:9" ht="14.1" customHeight="1">
      <c r="A24" s="15" t="s">
        <v>120</v>
      </c>
      <c r="B24" s="16">
        <v>374700</v>
      </c>
      <c r="C24" s="267">
        <f t="shared" si="0"/>
        <v>0.63976659020030224</v>
      </c>
      <c r="D24" s="16">
        <v>98000</v>
      </c>
      <c r="E24" s="267">
        <f t="shared" si="1"/>
        <v>0.16732619652956932</v>
      </c>
      <c r="F24" s="16">
        <f>SUM('- 42 -'!$B24,'- 42 -'!$D24,'- 42 -'!$F24,'- 42 -'!$H24,B24,D24)</f>
        <v>24423916</v>
      </c>
      <c r="G24" s="267">
        <f t="shared" si="2"/>
        <v>41.701642537119312</v>
      </c>
      <c r="I24" s="16">
        <f>SUM('- 41 -'!$H24,F24)</f>
        <v>58568235</v>
      </c>
    </row>
    <row r="25" spans="1:9" ht="14.1" customHeight="1">
      <c r="A25" s="271" t="s">
        <v>121</v>
      </c>
      <c r="B25" s="272">
        <v>2242220</v>
      </c>
      <c r="C25" s="273">
        <f t="shared" si="0"/>
        <v>1.2652831718207169</v>
      </c>
      <c r="D25" s="272">
        <v>75000</v>
      </c>
      <c r="E25" s="273">
        <f t="shared" si="1"/>
        <v>4.2322447345288942E-2</v>
      </c>
      <c r="F25" s="272">
        <f>SUM('- 42 -'!$B25,'- 42 -'!$D25,'- 42 -'!$F25,'- 42 -'!$H25,B25,D25)</f>
        <v>69716115</v>
      </c>
      <c r="G25" s="273">
        <f t="shared" si="2"/>
        <v>39.340754749408113</v>
      </c>
      <c r="I25" s="272">
        <f>SUM('- 41 -'!$H25,F25)</f>
        <v>177210924</v>
      </c>
    </row>
    <row r="26" spans="1:9" ht="14.1" customHeight="1">
      <c r="A26" s="15" t="s">
        <v>122</v>
      </c>
      <c r="B26" s="16">
        <v>558790</v>
      </c>
      <c r="C26" s="267">
        <f t="shared" si="0"/>
        <v>1.3356353137875334</v>
      </c>
      <c r="D26" s="16">
        <v>228000</v>
      </c>
      <c r="E26" s="267">
        <f t="shared" si="1"/>
        <v>0.54497190633969406</v>
      </c>
      <c r="F26" s="16">
        <f>SUM('- 42 -'!$B26,'- 42 -'!$D26,'- 42 -'!$F26,'- 42 -'!$H26,B26,D26)</f>
        <v>14433793</v>
      </c>
      <c r="G26" s="267">
        <f t="shared" si="2"/>
        <v>34.500051258432158</v>
      </c>
      <c r="I26" s="16">
        <f>SUM('- 41 -'!$H26,F26)</f>
        <v>41837019</v>
      </c>
    </row>
    <row r="27" spans="1:9" ht="14.1" customHeight="1">
      <c r="A27" s="271" t="s">
        <v>123</v>
      </c>
      <c r="B27" s="272">
        <v>241500</v>
      </c>
      <c r="C27" s="273">
        <f t="shared" si="0"/>
        <v>0.55091328419597463</v>
      </c>
      <c r="D27" s="272">
        <v>36500</v>
      </c>
      <c r="E27" s="273">
        <f t="shared" si="1"/>
        <v>8.3264326596907134E-2</v>
      </c>
      <c r="F27" s="272">
        <f>SUM('- 42 -'!$B27,'- 42 -'!$D27,'- 42 -'!$F27,'- 42 -'!$H27,B27,D27)</f>
        <v>9096047</v>
      </c>
      <c r="G27" s="273">
        <f t="shared" si="2"/>
        <v>20.750033647912801</v>
      </c>
      <c r="I27" s="272">
        <f>SUM('- 41 -'!$H27,F27)</f>
        <v>43836300</v>
      </c>
    </row>
    <row r="28" spans="1:9" ht="14.1" customHeight="1">
      <c r="A28" s="15" t="s">
        <v>124</v>
      </c>
      <c r="B28" s="16">
        <v>19000</v>
      </c>
      <c r="C28" s="267">
        <f t="shared" si="0"/>
        <v>6.5424724051426728E-2</v>
      </c>
      <c r="D28" s="16">
        <v>7000</v>
      </c>
      <c r="E28" s="267">
        <f t="shared" si="1"/>
        <v>2.4103845703157215E-2</v>
      </c>
      <c r="F28" s="16">
        <f>SUM('- 42 -'!$B28,'- 42 -'!$D28,'- 42 -'!$F28,'- 42 -'!$H28,B28,D28)</f>
        <v>15149954</v>
      </c>
      <c r="G28" s="267">
        <f t="shared" si="2"/>
        <v>52.16745051798992</v>
      </c>
      <c r="I28" s="16">
        <f>SUM('- 41 -'!$H28,F28)</f>
        <v>29041009</v>
      </c>
    </row>
    <row r="29" spans="1:9" ht="14.1" customHeight="1">
      <c r="A29" s="271" t="s">
        <v>125</v>
      </c>
      <c r="B29" s="272">
        <v>2655000</v>
      </c>
      <c r="C29" s="273">
        <f t="shared" si="0"/>
        <v>1.6382154306602736</v>
      </c>
      <c r="D29" s="272">
        <v>134000</v>
      </c>
      <c r="E29" s="273">
        <f t="shared" si="1"/>
        <v>8.2682059400556174E-2</v>
      </c>
      <c r="F29" s="272">
        <f>SUM('- 42 -'!$B29,'- 42 -'!$D29,'- 42 -'!$F29,'- 42 -'!$H29,B29,D29)</f>
        <v>78477606</v>
      </c>
      <c r="G29" s="273">
        <f t="shared" si="2"/>
        <v>48.423060305264507</v>
      </c>
      <c r="I29" s="272">
        <f>SUM('- 41 -'!$H29,F29)</f>
        <v>162066597</v>
      </c>
    </row>
    <row r="30" spans="1:9" ht="14.1" customHeight="1">
      <c r="A30" s="15" t="s">
        <v>126</v>
      </c>
      <c r="B30" s="16">
        <v>3300</v>
      </c>
      <c r="C30" s="267">
        <f t="shared" si="0"/>
        <v>2.1841708768214993E-2</v>
      </c>
      <c r="D30" s="16">
        <v>21150</v>
      </c>
      <c r="E30" s="267">
        <f t="shared" si="1"/>
        <v>0.13998549710537792</v>
      </c>
      <c r="F30" s="16">
        <f>SUM('- 42 -'!$B30,'- 42 -'!$D30,'- 42 -'!$F30,'- 42 -'!$H30,B30,D30)</f>
        <v>5976060</v>
      </c>
      <c r="G30" s="267">
        <f t="shared" si="2"/>
        <v>39.553746091326936</v>
      </c>
      <c r="I30" s="16">
        <f>SUM('- 41 -'!$H30,F30)</f>
        <v>15108708</v>
      </c>
    </row>
    <row r="31" spans="1:9" ht="14.1" customHeight="1">
      <c r="A31" s="271" t="s">
        <v>127</v>
      </c>
      <c r="B31" s="272">
        <v>5000</v>
      </c>
      <c r="C31" s="273">
        <f t="shared" si="0"/>
        <v>1.293926340810468E-2</v>
      </c>
      <c r="D31" s="272">
        <v>28000</v>
      </c>
      <c r="E31" s="273">
        <f t="shared" si="1"/>
        <v>7.2459875085386191E-2</v>
      </c>
      <c r="F31" s="272">
        <f>SUM('- 42 -'!$B31,'- 42 -'!$D31,'- 42 -'!$F31,'- 42 -'!$H31,B31,D31)</f>
        <v>15024877</v>
      </c>
      <c r="G31" s="273">
        <f t="shared" si="2"/>
        <v>38.882168235474715</v>
      </c>
      <c r="I31" s="272">
        <f>SUM('- 41 -'!$H31,F31)</f>
        <v>38642076</v>
      </c>
    </row>
    <row r="32" spans="1:9" ht="14.1" customHeight="1">
      <c r="A32" s="15" t="s">
        <v>128</v>
      </c>
      <c r="B32" s="16">
        <v>14000</v>
      </c>
      <c r="C32" s="267">
        <f t="shared" si="0"/>
        <v>4.53404846936677E-2</v>
      </c>
      <c r="D32" s="16">
        <v>65500</v>
      </c>
      <c r="E32" s="267">
        <f t="shared" si="1"/>
        <v>0.21212869624537392</v>
      </c>
      <c r="F32" s="16">
        <f>SUM('- 42 -'!$B32,'- 42 -'!$D32,'- 42 -'!$F32,'- 42 -'!$H32,B32,D32)</f>
        <v>13504512</v>
      </c>
      <c r="G32" s="267">
        <f t="shared" si="2"/>
        <v>43.735794259389415</v>
      </c>
      <c r="I32" s="16">
        <f>SUM('- 41 -'!$H32,F32)</f>
        <v>30877482</v>
      </c>
    </row>
    <row r="33" spans="1:11" ht="14.1" customHeight="1">
      <c r="A33" s="271" t="s">
        <v>129</v>
      </c>
      <c r="B33" s="272">
        <v>110000</v>
      </c>
      <c r="C33" s="273">
        <f t="shared" si="0"/>
        <v>0.38118283320239699</v>
      </c>
      <c r="D33" s="272">
        <v>72500</v>
      </c>
      <c r="E33" s="273">
        <f t="shared" si="1"/>
        <v>0.25123414006521627</v>
      </c>
      <c r="F33" s="272">
        <f>SUM('- 42 -'!$B33,'- 42 -'!$D33,'- 42 -'!$F33,'- 42 -'!$H33,B33,D33)</f>
        <v>11266951</v>
      </c>
      <c r="G33" s="273">
        <f t="shared" si="2"/>
        <v>39.043348215750726</v>
      </c>
      <c r="I33" s="272">
        <f>SUM('- 41 -'!$H33,F33)</f>
        <v>28857543</v>
      </c>
    </row>
    <row r="34" spans="1:11" ht="14.1" customHeight="1">
      <c r="A34" s="15" t="s">
        <v>130</v>
      </c>
      <c r="B34" s="16">
        <v>164450</v>
      </c>
      <c r="C34" s="267">
        <f t="shared" si="0"/>
        <v>0.54646265039934805</v>
      </c>
      <c r="D34" s="16">
        <v>37806</v>
      </c>
      <c r="E34" s="267">
        <f t="shared" si="1"/>
        <v>0.12562825759195956</v>
      </c>
      <c r="F34" s="16">
        <f>SUM('- 42 -'!$B34,'- 42 -'!$D34,'- 42 -'!$F34,'- 42 -'!$H34,B34,D34)</f>
        <v>13907445</v>
      </c>
      <c r="G34" s="267">
        <f t="shared" si="2"/>
        <v>46.214042292387724</v>
      </c>
      <c r="I34" s="16">
        <f>SUM('- 41 -'!$H34,F34)</f>
        <v>30093548</v>
      </c>
    </row>
    <row r="35" spans="1:11" ht="14.1" customHeight="1">
      <c r="A35" s="271" t="s">
        <v>131</v>
      </c>
      <c r="B35" s="272">
        <v>735000</v>
      </c>
      <c r="C35" s="273">
        <f t="shared" si="0"/>
        <v>0.40239825197323376</v>
      </c>
      <c r="D35" s="272">
        <v>20000</v>
      </c>
      <c r="E35" s="273">
        <f t="shared" si="1"/>
        <v>1.0949612298591394E-2</v>
      </c>
      <c r="F35" s="272">
        <f>SUM('- 42 -'!$B35,'- 42 -'!$D35,'- 42 -'!$F35,'- 42 -'!$H35,B35,D35)</f>
        <v>62634883</v>
      </c>
      <c r="G35" s="273">
        <f t="shared" si="2"/>
        <v>34.291384260881649</v>
      </c>
      <c r="I35" s="272">
        <f>SUM('- 41 -'!$H35,F35)</f>
        <v>182654869</v>
      </c>
    </row>
    <row r="36" spans="1:11" ht="14.1" customHeight="1">
      <c r="A36" s="15" t="s">
        <v>132</v>
      </c>
      <c r="B36" s="16">
        <v>25000</v>
      </c>
      <c r="C36" s="267">
        <f t="shared" si="0"/>
        <v>0.10388464150760715</v>
      </c>
      <c r="D36" s="16">
        <v>86000</v>
      </c>
      <c r="E36" s="267">
        <f t="shared" si="1"/>
        <v>0.35736316678616864</v>
      </c>
      <c r="F36" s="16">
        <f>SUM('- 42 -'!$B36,'- 42 -'!$D36,'- 42 -'!$F36,'- 42 -'!$H36,B36,D36)</f>
        <v>10342935</v>
      </c>
      <c r="G36" s="267">
        <f t="shared" si="2"/>
        <v>42.978883784459313</v>
      </c>
      <c r="I36" s="16">
        <f>SUM('- 41 -'!$H36,F36)</f>
        <v>24065155</v>
      </c>
    </row>
    <row r="37" spans="1:11" ht="14.1" customHeight="1">
      <c r="A37" s="271" t="s">
        <v>133</v>
      </c>
      <c r="B37" s="272">
        <v>0</v>
      </c>
      <c r="C37" s="273">
        <f t="shared" si="0"/>
        <v>0</v>
      </c>
      <c r="D37" s="272">
        <v>56000</v>
      </c>
      <c r="E37" s="273">
        <f t="shared" si="1"/>
        <v>0.10908311743966341</v>
      </c>
      <c r="F37" s="272">
        <f>SUM('- 42 -'!$B37,'- 42 -'!$D37,'- 42 -'!$F37,'- 42 -'!$H37,B37,D37)</f>
        <v>15202015</v>
      </c>
      <c r="G37" s="273">
        <f t="shared" si="2"/>
        <v>29.612199777937942</v>
      </c>
      <c r="I37" s="272">
        <f>SUM('- 41 -'!$H37,F37)</f>
        <v>51337000</v>
      </c>
    </row>
    <row r="38" spans="1:11" ht="14.1" customHeight="1">
      <c r="A38" s="15" t="s">
        <v>134</v>
      </c>
      <c r="B38" s="16">
        <v>1102900</v>
      </c>
      <c r="C38" s="267">
        <f t="shared" si="0"/>
        <v>0.78959077519715604</v>
      </c>
      <c r="D38" s="16">
        <v>53000</v>
      </c>
      <c r="E38" s="267">
        <f t="shared" si="1"/>
        <v>3.7943885289191473E-2</v>
      </c>
      <c r="F38" s="16">
        <f>SUM('- 42 -'!$B38,'- 42 -'!$D38,'- 42 -'!$F38,'- 42 -'!$H38,B38,D38)</f>
        <v>44403744</v>
      </c>
      <c r="G38" s="267">
        <f t="shared" si="2"/>
        <v>31.789633372577814</v>
      </c>
      <c r="I38" s="16">
        <f>SUM('- 41 -'!$H38,F38)</f>
        <v>139679950</v>
      </c>
    </row>
    <row r="39" spans="1:11" ht="14.1" customHeight="1">
      <c r="A39" s="271" t="s">
        <v>135</v>
      </c>
      <c r="B39" s="272">
        <v>0</v>
      </c>
      <c r="C39" s="273">
        <f t="shared" si="0"/>
        <v>0</v>
      </c>
      <c r="D39" s="272">
        <v>68320</v>
      </c>
      <c r="E39" s="273">
        <f t="shared" si="1"/>
        <v>0.29187626582425846</v>
      </c>
      <c r="F39" s="272">
        <f>SUM('- 42 -'!$B39,'- 42 -'!$D39,'- 42 -'!$F39,'- 42 -'!$H39,B39,D39)</f>
        <v>11278034</v>
      </c>
      <c r="G39" s="273">
        <f t="shared" si="2"/>
        <v>48.18194452223397</v>
      </c>
      <c r="I39" s="272">
        <f>SUM('- 41 -'!$H39,F39)</f>
        <v>23407179</v>
      </c>
    </row>
    <row r="40" spans="1:11" ht="14.1" customHeight="1">
      <c r="A40" s="15" t="s">
        <v>136</v>
      </c>
      <c r="B40" s="16">
        <v>2428300</v>
      </c>
      <c r="C40" s="267">
        <f t="shared" si="0"/>
        <v>2.2682678721699769</v>
      </c>
      <c r="D40" s="16">
        <v>707411</v>
      </c>
      <c r="E40" s="267">
        <f t="shared" si="1"/>
        <v>0.66079052988495468</v>
      </c>
      <c r="F40" s="16">
        <f>SUM('- 42 -'!$B40,'- 42 -'!$D40,'- 42 -'!$F40,'- 42 -'!$H40,B40,D40)</f>
        <v>48342669</v>
      </c>
      <c r="G40" s="267">
        <f t="shared" si="2"/>
        <v>45.156744614605891</v>
      </c>
      <c r="I40" s="16">
        <f>SUM('- 41 -'!$H40,F40)</f>
        <v>107055257</v>
      </c>
    </row>
    <row r="41" spans="1:11" ht="14.1" customHeight="1">
      <c r="A41" s="271" t="s">
        <v>137</v>
      </c>
      <c r="B41" s="272">
        <v>0</v>
      </c>
      <c r="C41" s="273">
        <f t="shared" si="0"/>
        <v>0</v>
      </c>
      <c r="D41" s="272">
        <v>102609</v>
      </c>
      <c r="E41" s="273">
        <f t="shared" si="1"/>
        <v>0.15525737053760458</v>
      </c>
      <c r="F41" s="272">
        <f>SUM('- 42 -'!$B41,'- 42 -'!$D41,'- 42 -'!$F41,'- 42 -'!$H41,B41,D41)</f>
        <v>27796907</v>
      </c>
      <c r="G41" s="273">
        <f t="shared" si="2"/>
        <v>42.059416716840964</v>
      </c>
      <c r="I41" s="272">
        <f>SUM('- 41 -'!$H41,F41)</f>
        <v>66089616</v>
      </c>
    </row>
    <row r="42" spans="1:11" ht="14.1" customHeight="1">
      <c r="A42" s="15" t="s">
        <v>138</v>
      </c>
      <c r="B42" s="16">
        <v>259400</v>
      </c>
      <c r="C42" s="267">
        <f t="shared" si="0"/>
        <v>1.2245944451470676</v>
      </c>
      <c r="D42" s="16">
        <v>76400</v>
      </c>
      <c r="E42" s="267">
        <f t="shared" si="1"/>
        <v>0.36067469394462598</v>
      </c>
      <c r="F42" s="16">
        <f>SUM('- 42 -'!$B42,'- 42 -'!$D42,'- 42 -'!$F42,'- 42 -'!$H42,B42,D42)</f>
        <v>6278016</v>
      </c>
      <c r="G42" s="267">
        <f t="shared" si="2"/>
        <v>29.637715960464199</v>
      </c>
      <c r="I42" s="16">
        <f>SUM('- 41 -'!$H42,F42)</f>
        <v>21182523</v>
      </c>
    </row>
    <row r="43" spans="1:11" ht="14.1" customHeight="1">
      <c r="A43" s="271" t="s">
        <v>139</v>
      </c>
      <c r="B43" s="272">
        <v>12955</v>
      </c>
      <c r="C43" s="273">
        <f t="shared" si="0"/>
        <v>9.5391862481382747E-2</v>
      </c>
      <c r="D43" s="272">
        <v>23100</v>
      </c>
      <c r="E43" s="273">
        <f t="shared" si="1"/>
        <v>0.17009278450945131</v>
      </c>
      <c r="F43" s="272">
        <f>SUM('- 42 -'!$B43,'- 42 -'!$D43,'- 42 -'!$F43,'- 42 -'!$H43,B43,D43)</f>
        <v>5724153</v>
      </c>
      <c r="G43" s="273">
        <f t="shared" si="2"/>
        <v>42.148793191693905</v>
      </c>
      <c r="I43" s="272">
        <f>SUM('- 41 -'!$H43,F43)</f>
        <v>13580823</v>
      </c>
    </row>
    <row r="44" spans="1:11" ht="14.1" customHeight="1">
      <c r="A44" s="15" t="s">
        <v>140</v>
      </c>
      <c r="B44" s="16">
        <v>0</v>
      </c>
      <c r="C44" s="267">
        <f t="shared" si="0"/>
        <v>0</v>
      </c>
      <c r="D44" s="16">
        <v>10700</v>
      </c>
      <c r="E44" s="267">
        <f t="shared" si="1"/>
        <v>9.375894050644723E-2</v>
      </c>
      <c r="F44" s="16">
        <f>SUM('- 42 -'!$B44,'- 42 -'!$D44,'- 42 -'!$F44,'- 42 -'!$H44,B44,D44)</f>
        <v>2514987</v>
      </c>
      <c r="G44" s="267">
        <f t="shared" si="2"/>
        <v>22.037618365185814</v>
      </c>
      <c r="I44" s="16">
        <f>SUM('- 41 -'!$H44,F44)</f>
        <v>11412245</v>
      </c>
    </row>
    <row r="45" spans="1:11" ht="14.1" customHeight="1">
      <c r="A45" s="271" t="s">
        <v>141</v>
      </c>
      <c r="B45" s="272">
        <v>233450</v>
      </c>
      <c r="C45" s="273">
        <f t="shared" si="0"/>
        <v>1.1499597230855609</v>
      </c>
      <c r="D45" s="272">
        <v>16100</v>
      </c>
      <c r="E45" s="273">
        <f t="shared" si="1"/>
        <v>7.9307567109349025E-2</v>
      </c>
      <c r="F45" s="272">
        <f>SUM('- 42 -'!$B45,'- 42 -'!$D45,'- 42 -'!$F45,'- 42 -'!$H45,B45,D45)</f>
        <v>7170138</v>
      </c>
      <c r="G45" s="273">
        <f t="shared" si="2"/>
        <v>35.319639789956128</v>
      </c>
      <c r="I45" s="272">
        <f>SUM('- 41 -'!$H45,F45)</f>
        <v>20300711</v>
      </c>
    </row>
    <row r="46" spans="1:11" ht="14.1" customHeight="1">
      <c r="A46" s="15" t="s">
        <v>142</v>
      </c>
      <c r="B46" s="16">
        <v>655000</v>
      </c>
      <c r="C46" s="267">
        <f t="shared" si="0"/>
        <v>0.16538883799569939</v>
      </c>
      <c r="D46" s="16">
        <v>697500</v>
      </c>
      <c r="E46" s="267">
        <f t="shared" si="1"/>
        <v>0.17612017481221423</v>
      </c>
      <c r="F46" s="16">
        <f>SUM('- 42 -'!$B46,'- 42 -'!$D46,'- 42 -'!$F46,'- 42 -'!$H46,B46,D46)</f>
        <v>152988291</v>
      </c>
      <c r="G46" s="267">
        <f t="shared" si="2"/>
        <v>38.629855993034987</v>
      </c>
      <c r="I46" s="16">
        <f>SUM('- 41 -'!$H46,F46)</f>
        <v>396036400</v>
      </c>
    </row>
    <row r="47" spans="1:11" ht="5.0999999999999996" customHeight="1">
      <c r="A47"/>
      <c r="B47" s="508"/>
      <c r="C47"/>
      <c r="D47" s="508"/>
      <c r="E47"/>
      <c r="F47"/>
      <c r="G47"/>
      <c r="I47"/>
    </row>
    <row r="48" spans="1:11" ht="14.1" customHeight="1">
      <c r="A48" s="274" t="s">
        <v>143</v>
      </c>
      <c r="B48" s="275">
        <f>SUM(B11:B46)</f>
        <v>18718112</v>
      </c>
      <c r="C48" s="276">
        <f>B48/I48*100</f>
        <v>0.79449420187751152</v>
      </c>
      <c r="D48" s="275">
        <f>SUM(D11:D46)</f>
        <v>4904215</v>
      </c>
      <c r="E48" s="276">
        <f t="shared" si="1"/>
        <v>0.20816043745548268</v>
      </c>
      <c r="F48" s="275">
        <f>SUM(F11:F46)</f>
        <v>922964229</v>
      </c>
      <c r="G48" s="276">
        <f t="shared" si="2"/>
        <v>39.17541087909121</v>
      </c>
      <c r="I48" s="275">
        <f>SUM(I11:I46)</f>
        <v>2355978427</v>
      </c>
      <c r="K48" s="1">
        <v>0</v>
      </c>
    </row>
    <row r="49" spans="1:9" ht="5.0999999999999996" customHeight="1">
      <c r="A49" s="17" t="s">
        <v>1</v>
      </c>
      <c r="B49" s="18"/>
      <c r="C49" s="266"/>
      <c r="D49" s="18"/>
      <c r="E49" s="266"/>
      <c r="F49" s="18"/>
      <c r="G49" s="266"/>
      <c r="I49" s="18"/>
    </row>
    <row r="50" spans="1:9" ht="14.1" customHeight="1">
      <c r="A50" s="15" t="s">
        <v>144</v>
      </c>
      <c r="B50" s="16">
        <v>20000</v>
      </c>
      <c r="C50" s="267">
        <f>B50/I50*100</f>
        <v>0.57656726839148686</v>
      </c>
      <c r="D50" s="16">
        <v>50000</v>
      </c>
      <c r="E50" s="267">
        <f>D50/I50*100</f>
        <v>1.4414181709787171</v>
      </c>
      <c r="F50" s="16">
        <f>SUM('- 42 -'!$B50,'- 42 -'!$D50,'- 42 -'!$F50,'- 42 -'!$H50,B50,D50)</f>
        <v>2013202</v>
      </c>
      <c r="G50" s="267">
        <f>F50/I50*100</f>
        <v>58.037318893013911</v>
      </c>
      <c r="I50" s="16">
        <f>SUM('- 41 -'!$H50,F50)</f>
        <v>3468806</v>
      </c>
    </row>
    <row r="51" spans="1:9" ht="14.1" customHeight="1">
      <c r="A51" s="360" t="s">
        <v>523</v>
      </c>
      <c r="B51" s="272">
        <v>12488356</v>
      </c>
      <c r="C51" s="273">
        <f>B51/I51*100</f>
        <v>40.892833280106714</v>
      </c>
      <c r="D51" s="272">
        <v>1256158</v>
      </c>
      <c r="E51" s="273">
        <f>D51/I51*100</f>
        <v>4.1132603576861753</v>
      </c>
      <c r="F51" s="272">
        <f>SUM('- 42 -'!$B51,'- 42 -'!$D51,'- 42 -'!$F51,'- 42 -'!$H51,B51,D51)</f>
        <v>20193230</v>
      </c>
      <c r="G51" s="273">
        <f>F51/I51*100</f>
        <v>66.122265234659324</v>
      </c>
      <c r="I51" s="272">
        <f>SUM('- 41 -'!$H51,F51)</f>
        <v>30539229</v>
      </c>
    </row>
    <row r="52" spans="1:9" ht="50.1" customHeight="1"/>
    <row r="53" spans="1:9" ht="14.45" customHeight="1">
      <c r="I53" s="72"/>
    </row>
    <row r="54" spans="1:9" ht="14.45" customHeight="1"/>
    <row r="55" spans="1:9" ht="14.45" customHeight="1"/>
    <row r="56" spans="1:9" ht="14.45" customHeight="1"/>
    <row r="57" spans="1:9" ht="14.45" customHeight="1"/>
    <row r="58" spans="1:9" ht="14.45" customHeight="1"/>
    <row r="59" spans="1:9" ht="14.45" customHeight="1"/>
    <row r="63" spans="1:9">
      <c r="I63" s="1">
        <v>0</v>
      </c>
    </row>
  </sheetData>
  <mergeCells count="4">
    <mergeCell ref="B6:C8"/>
    <mergeCell ref="D8:E8"/>
    <mergeCell ref="F6:G8"/>
    <mergeCell ref="I6:I8"/>
  </mergeCells>
  <phoneticPr fontId="0" type="noConversion"/>
  <printOptions horizontalCentered="1"/>
  <pageMargins left="0.51181102362204722" right="0.51181102362204722" top="0.59055118110236227" bottom="0" header="0.31496062992125984" footer="0"/>
  <pageSetup scale="85" orientation="portrait" r:id="rId1"/>
  <headerFooter alignWithMargins="0">
    <oddHeader>&amp;C&amp;"Arial,Bold"&amp;10&amp;A</oddHeader>
  </headerFooter>
</worksheet>
</file>

<file path=xl/worksheets/sheet39.xml><?xml version="1.0" encoding="utf-8"?>
<worksheet xmlns="http://schemas.openxmlformats.org/spreadsheetml/2006/main" xmlns:r="http://schemas.openxmlformats.org/officeDocument/2006/relationships">
  <sheetPr codeName="Sheet41">
    <pageSetUpPr fitToPage="1"/>
  </sheetPr>
  <dimension ref="A1:BB60"/>
  <sheetViews>
    <sheetView showGridLines="0" showZeros="0" workbookViewId="0"/>
  </sheetViews>
  <sheetFormatPr defaultColWidth="19.83203125" defaultRowHeight="12"/>
  <cols>
    <col min="1" max="1" width="38.83203125" style="1" customWidth="1"/>
    <col min="2" max="2" width="40.83203125" style="1" customWidth="1"/>
    <col min="3" max="3" width="53.83203125" style="1" customWidth="1"/>
    <col min="4" max="16384" width="19.83203125" style="1"/>
  </cols>
  <sheetData>
    <row r="1" spans="1:54" ht="6.95" customHeight="1">
      <c r="A1" s="3"/>
    </row>
    <row r="2" spans="1:54" ht="15.95" customHeight="1">
      <c r="A2" s="193" t="str">
        <f>IF(Lang=1,BA2,BB2)</f>
        <v>NET TRANSFERS TO/(FROM) CAPITAL FUND</v>
      </c>
      <c r="B2" s="193"/>
      <c r="C2" s="194"/>
      <c r="BA2" s="456" t="s">
        <v>320</v>
      </c>
      <c r="BB2" s="474" t="s">
        <v>466</v>
      </c>
    </row>
    <row r="3" spans="1:54" ht="15.95" customHeight="1">
      <c r="A3" s="195" t="str">
        <f>IF(Lang=1,BA3,BB3)</f>
        <v>2016/2017 BUDGET</v>
      </c>
      <c r="B3" s="195"/>
      <c r="C3" s="196"/>
      <c r="BA3" s="456" t="str">
        <f>REPLACE(REVYEAR,1,36,"")</f>
        <v>2016/2017 BUDGET</v>
      </c>
      <c r="BB3" s="475" t="str">
        <f>"BUDGET "&amp;YEAR&amp;" -"&amp;YEAR+1</f>
        <v>BUDGET 2016 -2017</v>
      </c>
    </row>
    <row r="4" spans="1:54" ht="15.95" customHeight="1">
      <c r="B4" s="4"/>
    </row>
    <row r="5" spans="1:54" ht="15.95" customHeight="1">
      <c r="A5"/>
      <c r="B5"/>
      <c r="C5"/>
    </row>
    <row r="6" spans="1:54" ht="15.95" customHeight="1">
      <c r="A6"/>
      <c r="B6"/>
      <c r="C6"/>
    </row>
    <row r="7" spans="1:54" ht="15.95" customHeight="1">
      <c r="B7" s="741" t="s">
        <v>467</v>
      </c>
      <c r="C7"/>
    </row>
    <row r="8" spans="1:54" ht="15.95" customHeight="1">
      <c r="A8" s="249"/>
      <c r="B8" s="721"/>
      <c r="C8"/>
    </row>
    <row r="9" spans="1:54" ht="15.95" customHeight="1">
      <c r="A9" s="250" t="s">
        <v>37</v>
      </c>
      <c r="B9" s="605"/>
      <c r="C9"/>
    </row>
    <row r="10" spans="1:54" ht="5.0999999999999996" customHeight="1">
      <c r="A10" s="29"/>
      <c r="B10" s="182"/>
      <c r="C10"/>
    </row>
    <row r="11" spans="1:54" ht="14.1" customHeight="1">
      <c r="A11" s="271" t="s">
        <v>108</v>
      </c>
      <c r="B11" s="272">
        <v>275000</v>
      </c>
      <c r="C11"/>
    </row>
    <row r="12" spans="1:54" ht="14.1" customHeight="1">
      <c r="A12" s="15" t="s">
        <v>109</v>
      </c>
      <c r="B12" s="16">
        <v>2037319</v>
      </c>
      <c r="C12"/>
    </row>
    <row r="13" spans="1:54" ht="14.1" customHeight="1">
      <c r="A13" s="271" t="s">
        <v>110</v>
      </c>
      <c r="B13" s="272">
        <v>588900</v>
      </c>
      <c r="C13"/>
    </row>
    <row r="14" spans="1:54" ht="14.1" customHeight="1">
      <c r="A14" s="15" t="s">
        <v>319</v>
      </c>
      <c r="B14" s="16">
        <v>132500</v>
      </c>
      <c r="C14"/>
    </row>
    <row r="15" spans="1:54" ht="14.1" customHeight="1">
      <c r="A15" s="271" t="s">
        <v>111</v>
      </c>
      <c r="B15" s="272">
        <v>385934</v>
      </c>
      <c r="C15"/>
    </row>
    <row r="16" spans="1:54" ht="14.1" customHeight="1">
      <c r="A16" s="15" t="s">
        <v>112</v>
      </c>
      <c r="B16" s="16">
        <v>20000</v>
      </c>
      <c r="C16"/>
    </row>
    <row r="17" spans="1:3" ht="14.1" customHeight="1">
      <c r="A17" s="271" t="s">
        <v>113</v>
      </c>
      <c r="B17" s="272">
        <v>320000</v>
      </c>
      <c r="C17"/>
    </row>
    <row r="18" spans="1:3" ht="14.1" customHeight="1">
      <c r="A18" s="15" t="s">
        <v>114</v>
      </c>
      <c r="B18" s="16">
        <v>1042000</v>
      </c>
      <c r="C18"/>
    </row>
    <row r="19" spans="1:3" ht="14.1" customHeight="1">
      <c r="A19" s="271" t="s">
        <v>115</v>
      </c>
      <c r="B19" s="272">
        <v>881900</v>
      </c>
      <c r="C19"/>
    </row>
    <row r="20" spans="1:3" ht="14.1" customHeight="1">
      <c r="A20" s="15" t="s">
        <v>116</v>
      </c>
      <c r="B20" s="16">
        <v>1856300</v>
      </c>
      <c r="C20"/>
    </row>
    <row r="21" spans="1:3" ht="14.1" customHeight="1">
      <c r="A21" s="271" t="s">
        <v>117</v>
      </c>
      <c r="B21" s="272">
        <v>624000</v>
      </c>
      <c r="C21"/>
    </row>
    <row r="22" spans="1:3" ht="14.1" customHeight="1">
      <c r="A22" s="15" t="s">
        <v>118</v>
      </c>
      <c r="B22" s="16">
        <v>115000</v>
      </c>
      <c r="C22"/>
    </row>
    <row r="23" spans="1:3" ht="14.1" customHeight="1">
      <c r="A23" s="271" t="s">
        <v>119</v>
      </c>
      <c r="B23" s="272">
        <v>200000</v>
      </c>
      <c r="C23"/>
    </row>
    <row r="24" spans="1:3" ht="14.1" customHeight="1">
      <c r="A24" s="15" t="s">
        <v>120</v>
      </c>
      <c r="B24" s="16">
        <v>483193</v>
      </c>
      <c r="C24"/>
    </row>
    <row r="25" spans="1:3" ht="14.1" customHeight="1">
      <c r="A25" s="271" t="s">
        <v>121</v>
      </c>
      <c r="B25" s="272">
        <v>1376167</v>
      </c>
      <c r="C25"/>
    </row>
    <row r="26" spans="1:3" ht="14.1" customHeight="1">
      <c r="A26" s="15" t="s">
        <v>122</v>
      </c>
      <c r="B26" s="16">
        <v>1010322</v>
      </c>
      <c r="C26"/>
    </row>
    <row r="27" spans="1:3" ht="14.1" customHeight="1">
      <c r="A27" s="271" t="s">
        <v>123</v>
      </c>
      <c r="B27" s="272">
        <v>60000</v>
      </c>
      <c r="C27"/>
    </row>
    <row r="28" spans="1:3" ht="14.1" customHeight="1">
      <c r="A28" s="15" t="s">
        <v>124</v>
      </c>
      <c r="B28" s="16">
        <v>220000</v>
      </c>
      <c r="C28"/>
    </row>
    <row r="29" spans="1:3" ht="14.1" customHeight="1">
      <c r="A29" s="271" t="s">
        <v>125</v>
      </c>
      <c r="B29" s="272">
        <v>1699000</v>
      </c>
      <c r="C29"/>
    </row>
    <row r="30" spans="1:3" ht="14.1" customHeight="1">
      <c r="A30" s="15" t="s">
        <v>126</v>
      </c>
      <c r="B30" s="16">
        <v>354313</v>
      </c>
      <c r="C30"/>
    </row>
    <row r="31" spans="1:3" ht="14.1" customHeight="1">
      <c r="A31" s="271" t="s">
        <v>127</v>
      </c>
      <c r="B31" s="272">
        <v>576000</v>
      </c>
      <c r="C31"/>
    </row>
    <row r="32" spans="1:3" ht="14.1" customHeight="1">
      <c r="A32" s="15" t="s">
        <v>128</v>
      </c>
      <c r="B32" s="16">
        <v>451100</v>
      </c>
      <c r="C32"/>
    </row>
    <row r="33" spans="1:3" ht="14.1" customHeight="1">
      <c r="A33" s="271" t="s">
        <v>129</v>
      </c>
      <c r="B33" s="272">
        <v>833893</v>
      </c>
      <c r="C33"/>
    </row>
    <row r="34" spans="1:3" ht="14.1" customHeight="1">
      <c r="A34" s="15" t="s">
        <v>130</v>
      </c>
      <c r="B34" s="16">
        <v>338103</v>
      </c>
      <c r="C34"/>
    </row>
    <row r="35" spans="1:3" ht="14.1" customHeight="1">
      <c r="A35" s="271" t="s">
        <v>131</v>
      </c>
      <c r="B35" s="272">
        <v>1563000</v>
      </c>
      <c r="C35"/>
    </row>
    <row r="36" spans="1:3" ht="14.1" customHeight="1">
      <c r="A36" s="15" t="s">
        <v>132</v>
      </c>
      <c r="B36" s="16">
        <v>50000</v>
      </c>
      <c r="C36"/>
    </row>
    <row r="37" spans="1:3" ht="14.1" customHeight="1">
      <c r="A37" s="271" t="s">
        <v>133</v>
      </c>
      <c r="B37" s="272">
        <v>833000</v>
      </c>
      <c r="C37"/>
    </row>
    <row r="38" spans="1:3" ht="14.1" customHeight="1">
      <c r="A38" s="15" t="s">
        <v>134</v>
      </c>
      <c r="B38" s="16">
        <v>2172525</v>
      </c>
      <c r="C38"/>
    </row>
    <row r="39" spans="1:3" ht="14.1" customHeight="1">
      <c r="A39" s="271" t="s">
        <v>135</v>
      </c>
      <c r="B39" s="272">
        <v>333500</v>
      </c>
      <c r="C39"/>
    </row>
    <row r="40" spans="1:3" ht="14.1" customHeight="1">
      <c r="A40" s="15" t="s">
        <v>136</v>
      </c>
      <c r="B40" s="16">
        <v>995424</v>
      </c>
      <c r="C40"/>
    </row>
    <row r="41" spans="1:3" ht="14.1" customHeight="1">
      <c r="A41" s="271" t="s">
        <v>137</v>
      </c>
      <c r="B41" s="272">
        <v>1429036</v>
      </c>
      <c r="C41"/>
    </row>
    <row r="42" spans="1:3" ht="14.1" customHeight="1">
      <c r="A42" s="15" t="s">
        <v>138</v>
      </c>
      <c r="B42" s="16">
        <v>149331</v>
      </c>
      <c r="C42"/>
    </row>
    <row r="43" spans="1:3" ht="14.1" customHeight="1">
      <c r="A43" s="271" t="s">
        <v>139</v>
      </c>
      <c r="B43" s="272">
        <v>206000</v>
      </c>
      <c r="C43"/>
    </row>
    <row r="44" spans="1:3" ht="14.1" customHeight="1">
      <c r="A44" s="15" t="s">
        <v>140</v>
      </c>
      <c r="B44" s="16">
        <v>0</v>
      </c>
      <c r="C44"/>
    </row>
    <row r="45" spans="1:3" ht="14.1" customHeight="1">
      <c r="A45" s="271" t="s">
        <v>141</v>
      </c>
      <c r="B45" s="272">
        <v>305200</v>
      </c>
      <c r="C45"/>
    </row>
    <row r="46" spans="1:3" ht="14.1" customHeight="1">
      <c r="A46" s="15" t="s">
        <v>142</v>
      </c>
      <c r="B46" s="16">
        <v>1779700</v>
      </c>
      <c r="C46"/>
    </row>
    <row r="47" spans="1:3" ht="5.0999999999999996" customHeight="1">
      <c r="A47"/>
      <c r="B47" s="368"/>
      <c r="C47"/>
    </row>
    <row r="48" spans="1:3" ht="14.1" customHeight="1">
      <c r="A48" s="274" t="s">
        <v>143</v>
      </c>
      <c r="B48" s="275">
        <f>SUM(B11:B46)</f>
        <v>25697660</v>
      </c>
      <c r="C48"/>
    </row>
    <row r="49" spans="1:3" ht="5.0999999999999996" customHeight="1">
      <c r="A49" s="17" t="s">
        <v>1</v>
      </c>
      <c r="B49" s="369"/>
      <c r="C49"/>
    </row>
    <row r="50" spans="1:3" ht="14.1" customHeight="1">
      <c r="A50" s="15" t="s">
        <v>144</v>
      </c>
      <c r="B50" s="16">
        <v>0</v>
      </c>
      <c r="C50"/>
    </row>
    <row r="51" spans="1:3" ht="14.1" customHeight="1">
      <c r="A51" s="360" t="s">
        <v>523</v>
      </c>
      <c r="B51" s="272">
        <v>601800</v>
      </c>
      <c r="C51"/>
    </row>
    <row r="52" spans="1:3" ht="14.1" customHeight="1">
      <c r="A52" s="239"/>
      <c r="B52" s="240"/>
      <c r="C52"/>
    </row>
    <row r="53" spans="1:3" ht="50.1" customHeight="1">
      <c r="A53" s="19"/>
      <c r="B53" s="19"/>
      <c r="C53" s="429"/>
    </row>
    <row r="54" spans="1:3" ht="14.45" customHeight="1">
      <c r="A54" s="127" t="s">
        <v>333</v>
      </c>
    </row>
    <row r="55" spans="1:3" ht="14.45" customHeight="1"/>
    <row r="56" spans="1:3" ht="14.45" customHeight="1"/>
    <row r="57" spans="1:3" ht="14.45" customHeight="1"/>
    <row r="58" spans="1:3" ht="14.45" customHeight="1"/>
    <row r="59" spans="1:3" ht="14.45" customHeight="1"/>
    <row r="60" spans="1:3" ht="14.45" customHeight="1"/>
  </sheetData>
  <mergeCells count="1">
    <mergeCell ref="B7:B9"/>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4.xml><?xml version="1.0" encoding="utf-8"?>
<worksheet xmlns="http://schemas.openxmlformats.org/spreadsheetml/2006/main" xmlns:r="http://schemas.openxmlformats.org/officeDocument/2006/relationships">
  <sheetPr codeName="Sheet3">
    <pageSetUpPr fitToPage="1"/>
  </sheetPr>
  <dimension ref="A1:BC59"/>
  <sheetViews>
    <sheetView showGridLines="0" showZeros="0" workbookViewId="0"/>
  </sheetViews>
  <sheetFormatPr defaultColWidth="12.83203125" defaultRowHeight="12"/>
  <cols>
    <col min="1" max="1" width="29.83203125" style="1" customWidth="1"/>
    <col min="2" max="8" width="14.83203125" style="1" customWidth="1"/>
    <col min="9" max="9" width="15.83203125" style="1" customWidth="1"/>
    <col min="10" max="16384" width="12.83203125" style="1"/>
  </cols>
  <sheetData>
    <row r="1" spans="1:55" ht="6.95" customHeight="1">
      <c r="A1" s="3"/>
      <c r="B1" s="32"/>
      <c r="C1" s="32"/>
      <c r="D1" s="32"/>
      <c r="E1" s="32"/>
      <c r="F1" s="32"/>
      <c r="G1" s="32"/>
      <c r="H1" s="32"/>
      <c r="I1" s="32"/>
      <c r="BA1" s="164"/>
      <c r="BB1" s="164"/>
      <c r="BC1" s="164"/>
    </row>
    <row r="2" spans="1:55" ht="15.95" customHeight="1">
      <c r="A2" s="33"/>
      <c r="B2" s="34" t="str">
        <f>IF(Lang=1,BA2,BB2)</f>
        <v>FRAME STUDENT STATISTICS</v>
      </c>
      <c r="C2" s="35"/>
      <c r="D2" s="35"/>
      <c r="E2" s="35"/>
      <c r="F2" s="35"/>
      <c r="G2" s="35"/>
      <c r="H2" s="36" t="s">
        <v>74</v>
      </c>
      <c r="BA2" s="461" t="s">
        <v>73</v>
      </c>
      <c r="BB2" s="461" t="s">
        <v>379</v>
      </c>
      <c r="BC2" s="164"/>
    </row>
    <row r="3" spans="1:55" ht="15.95" customHeight="1">
      <c r="A3" s="37"/>
      <c r="B3" s="38" t="str">
        <f>IF(Lang=1,BA3,BB3)</f>
        <v>ESTIMATE SEPTEMBER 30, 2016</v>
      </c>
      <c r="C3" s="39"/>
      <c r="D3" s="40"/>
      <c r="E3" s="39"/>
      <c r="F3" s="40"/>
      <c r="G3" s="39"/>
      <c r="H3" s="41"/>
      <c r="BA3" s="462" t="str">
        <f>"ESTIMATE SEPTEMBER 30, "&amp;YEAR</f>
        <v>ESTIMATE SEPTEMBER 30, 2016</v>
      </c>
      <c r="BB3" s="462" t="str">
        <f>"PRÉVISIONS AU 30 SEPTEMBRE "&amp;YEAR</f>
        <v>PRÉVISIONS AU 30 SEPTEMBRE 2016</v>
      </c>
      <c r="BC3" s="164"/>
    </row>
    <row r="4" spans="1:55" ht="15.95" customHeight="1">
      <c r="B4" s="32"/>
      <c r="C4" s="32"/>
      <c r="D4" s="32"/>
      <c r="E4" s="32"/>
      <c r="F4" s="32"/>
      <c r="G4" s="42"/>
      <c r="H4" s="32"/>
      <c r="I4" s="32"/>
      <c r="BA4" s="164"/>
      <c r="BB4" s="164"/>
      <c r="BC4" s="164"/>
    </row>
    <row r="5" spans="1:55" ht="15.95" customHeight="1">
      <c r="B5" s="32"/>
      <c r="C5" s="32"/>
      <c r="D5" s="32"/>
      <c r="E5" s="32"/>
      <c r="F5" s="32"/>
      <c r="G5" s="32"/>
      <c r="H5" s="32"/>
      <c r="I5" s="32"/>
    </row>
    <row r="6" spans="1:55" ht="15.95" customHeight="1">
      <c r="B6" s="555" t="s">
        <v>21</v>
      </c>
      <c r="C6" s="556"/>
      <c r="D6" s="556"/>
      <c r="E6" s="556"/>
      <c r="F6" s="556"/>
      <c r="G6" s="556"/>
      <c r="H6" s="557"/>
    </row>
    <row r="7" spans="1:55" ht="15.95" customHeight="1">
      <c r="B7" s="553" t="s">
        <v>231</v>
      </c>
      <c r="C7" s="551"/>
      <c r="D7" s="554"/>
      <c r="E7" s="550" t="s">
        <v>232</v>
      </c>
      <c r="F7" s="551"/>
      <c r="G7" s="551"/>
      <c r="H7" s="552"/>
    </row>
    <row r="8" spans="1:55" ht="15.95" customHeight="1">
      <c r="A8" s="44"/>
      <c r="B8" s="558" t="s">
        <v>15</v>
      </c>
      <c r="C8" s="548" t="s">
        <v>16</v>
      </c>
      <c r="D8" s="560" t="s">
        <v>17</v>
      </c>
      <c r="E8" s="562" t="s">
        <v>15</v>
      </c>
      <c r="F8" s="548" t="s">
        <v>377</v>
      </c>
      <c r="G8" s="548" t="s">
        <v>17</v>
      </c>
      <c r="H8" s="548" t="s">
        <v>378</v>
      </c>
    </row>
    <row r="9" spans="1:55" ht="15.95" customHeight="1">
      <c r="A9" s="45" t="s">
        <v>37</v>
      </c>
      <c r="B9" s="559"/>
      <c r="C9" s="549"/>
      <c r="D9" s="561"/>
      <c r="E9" s="563"/>
      <c r="F9" s="549"/>
      <c r="G9" s="549"/>
      <c r="H9" s="549"/>
    </row>
    <row r="10" spans="1:55" ht="5.0999999999999996" customHeight="1">
      <c r="A10" s="29"/>
      <c r="B10" s="46"/>
      <c r="C10" s="46"/>
      <c r="D10" s="46"/>
      <c r="E10" s="46"/>
      <c r="F10" s="46"/>
      <c r="G10" s="46"/>
      <c r="H10" s="46"/>
    </row>
    <row r="11" spans="1:55" ht="14.1" customHeight="1">
      <c r="A11" s="271" t="s">
        <v>108</v>
      </c>
      <c r="B11" s="292">
        <v>1753</v>
      </c>
      <c r="C11" s="292">
        <v>0</v>
      </c>
      <c r="D11" s="295">
        <v>0</v>
      </c>
      <c r="E11" s="296">
        <v>0</v>
      </c>
      <c r="F11" s="292">
        <v>0</v>
      </c>
      <c r="G11" s="292">
        <v>0</v>
      </c>
      <c r="H11" s="292">
        <v>0</v>
      </c>
    </row>
    <row r="12" spans="1:55" ht="14.1" customHeight="1">
      <c r="A12" s="15" t="s">
        <v>109</v>
      </c>
      <c r="B12" s="47">
        <v>2000</v>
      </c>
      <c r="C12" s="47">
        <v>0</v>
      </c>
      <c r="D12" s="48">
        <v>0</v>
      </c>
      <c r="E12" s="49">
        <v>0</v>
      </c>
      <c r="F12" s="47">
        <v>0</v>
      </c>
      <c r="G12" s="47">
        <v>0</v>
      </c>
      <c r="H12" s="47">
        <v>0</v>
      </c>
    </row>
    <row r="13" spans="1:55" ht="14.1" customHeight="1">
      <c r="A13" s="271" t="s">
        <v>110</v>
      </c>
      <c r="B13" s="292">
        <v>6241</v>
      </c>
      <c r="C13" s="292">
        <v>0</v>
      </c>
      <c r="D13" s="295">
        <v>340</v>
      </c>
      <c r="E13" s="296">
        <v>958.5</v>
      </c>
      <c r="F13" s="292">
        <v>0</v>
      </c>
      <c r="G13" s="292">
        <v>417.5</v>
      </c>
      <c r="H13" s="292">
        <v>0</v>
      </c>
    </row>
    <row r="14" spans="1:55" ht="14.1" customHeight="1">
      <c r="A14" s="15" t="s">
        <v>319</v>
      </c>
      <c r="B14" s="47">
        <v>0</v>
      </c>
      <c r="C14" s="47">
        <v>5470</v>
      </c>
      <c r="D14" s="48">
        <v>0</v>
      </c>
      <c r="E14" s="49">
        <v>0</v>
      </c>
      <c r="F14" s="47">
        <v>0</v>
      </c>
      <c r="G14" s="47">
        <v>0</v>
      </c>
      <c r="H14" s="47">
        <v>0</v>
      </c>
    </row>
    <row r="15" spans="1:55" ht="14.1" customHeight="1">
      <c r="A15" s="271" t="s">
        <v>111</v>
      </c>
      <c r="B15" s="292">
        <v>1349.5</v>
      </c>
      <c r="C15" s="292">
        <v>0</v>
      </c>
      <c r="D15" s="295">
        <v>0</v>
      </c>
      <c r="E15" s="296">
        <v>0</v>
      </c>
      <c r="F15" s="292">
        <v>0</v>
      </c>
      <c r="G15" s="292">
        <v>0</v>
      </c>
      <c r="H15" s="292">
        <v>0</v>
      </c>
    </row>
    <row r="16" spans="1:55" ht="14.1" customHeight="1">
      <c r="A16" s="15" t="s">
        <v>112</v>
      </c>
      <c r="B16" s="47">
        <v>553.9</v>
      </c>
      <c r="C16" s="47">
        <v>0</v>
      </c>
      <c r="D16" s="48">
        <v>0</v>
      </c>
      <c r="E16" s="49">
        <v>297.5</v>
      </c>
      <c r="F16" s="47">
        <v>0</v>
      </c>
      <c r="G16" s="47">
        <v>86</v>
      </c>
      <c r="H16" s="47">
        <v>0</v>
      </c>
    </row>
    <row r="17" spans="1:8" ht="14.1" customHeight="1">
      <c r="A17" s="271" t="s">
        <v>113</v>
      </c>
      <c r="B17" s="292">
        <v>1328.5</v>
      </c>
      <c r="C17" s="292">
        <v>0</v>
      </c>
      <c r="D17" s="295">
        <v>0</v>
      </c>
      <c r="E17" s="296">
        <v>0</v>
      </c>
      <c r="F17" s="292">
        <v>0</v>
      </c>
      <c r="G17" s="292">
        <v>0</v>
      </c>
      <c r="H17" s="292">
        <v>0</v>
      </c>
    </row>
    <row r="18" spans="1:8" ht="14.1" customHeight="1">
      <c r="A18" s="15" t="s">
        <v>114</v>
      </c>
      <c r="B18" s="47">
        <v>6224.6</v>
      </c>
      <c r="C18" s="47">
        <v>0</v>
      </c>
      <c r="D18" s="48">
        <v>0</v>
      </c>
      <c r="E18" s="49">
        <v>0</v>
      </c>
      <c r="F18" s="47">
        <v>0</v>
      </c>
      <c r="G18" s="47">
        <v>0</v>
      </c>
      <c r="H18" s="47">
        <v>0</v>
      </c>
    </row>
    <row r="19" spans="1:8" ht="14.1" customHeight="1">
      <c r="A19" s="271" t="s">
        <v>115</v>
      </c>
      <c r="B19" s="292">
        <v>4093</v>
      </c>
      <c r="C19" s="292">
        <v>0</v>
      </c>
      <c r="D19" s="295">
        <v>0</v>
      </c>
      <c r="E19" s="296">
        <v>0</v>
      </c>
      <c r="F19" s="292">
        <v>0</v>
      </c>
      <c r="G19" s="292">
        <v>0</v>
      </c>
      <c r="H19" s="292">
        <v>0</v>
      </c>
    </row>
    <row r="20" spans="1:8" ht="14.1" customHeight="1">
      <c r="A20" s="15" t="s">
        <v>116</v>
      </c>
      <c r="B20" s="47">
        <v>7128.9</v>
      </c>
      <c r="C20" s="47">
        <v>0</v>
      </c>
      <c r="D20" s="48">
        <v>0</v>
      </c>
      <c r="E20" s="49">
        <v>0</v>
      </c>
      <c r="F20" s="47">
        <v>0</v>
      </c>
      <c r="G20" s="47">
        <v>0</v>
      </c>
      <c r="H20" s="47">
        <v>0</v>
      </c>
    </row>
    <row r="21" spans="1:8" ht="14.1" customHeight="1">
      <c r="A21" s="271" t="s">
        <v>117</v>
      </c>
      <c r="B21" s="292">
        <v>2028</v>
      </c>
      <c r="C21" s="292">
        <v>0</v>
      </c>
      <c r="D21" s="295">
        <v>0</v>
      </c>
      <c r="E21" s="296">
        <v>429</v>
      </c>
      <c r="F21" s="292">
        <v>0</v>
      </c>
      <c r="G21" s="292">
        <v>249</v>
      </c>
      <c r="H21" s="292">
        <v>0</v>
      </c>
    </row>
    <row r="22" spans="1:8" ht="14.1" customHeight="1">
      <c r="A22" s="15" t="s">
        <v>118</v>
      </c>
      <c r="B22" s="47">
        <v>928.7</v>
      </c>
      <c r="C22" s="47">
        <v>0</v>
      </c>
      <c r="D22" s="48">
        <v>0</v>
      </c>
      <c r="E22" s="49">
        <v>496</v>
      </c>
      <c r="F22" s="47">
        <v>0</v>
      </c>
      <c r="G22" s="47">
        <v>133.5</v>
      </c>
      <c r="H22" s="47">
        <v>0</v>
      </c>
    </row>
    <row r="23" spans="1:8" ht="14.1" customHeight="1">
      <c r="A23" s="271" t="s">
        <v>119</v>
      </c>
      <c r="B23" s="292">
        <v>1100</v>
      </c>
      <c r="C23" s="292">
        <v>0</v>
      </c>
      <c r="D23" s="295">
        <v>0</v>
      </c>
      <c r="E23" s="296">
        <v>0</v>
      </c>
      <c r="F23" s="292">
        <v>0</v>
      </c>
      <c r="G23" s="292">
        <v>0</v>
      </c>
      <c r="H23" s="292">
        <v>0</v>
      </c>
    </row>
    <row r="24" spans="1:8" ht="14.1" customHeight="1">
      <c r="A24" s="15" t="s">
        <v>120</v>
      </c>
      <c r="B24" s="47">
        <v>2821.5</v>
      </c>
      <c r="C24" s="47">
        <v>0</v>
      </c>
      <c r="D24" s="48">
        <v>232</v>
      </c>
      <c r="E24" s="49">
        <v>458.5</v>
      </c>
      <c r="F24" s="47">
        <v>0</v>
      </c>
      <c r="G24" s="47">
        <v>101</v>
      </c>
      <c r="H24" s="47">
        <v>73.5</v>
      </c>
    </row>
    <row r="25" spans="1:8" ht="14.1" customHeight="1">
      <c r="A25" s="271" t="s">
        <v>121</v>
      </c>
      <c r="B25" s="292">
        <v>9465.7999999999993</v>
      </c>
      <c r="C25" s="292">
        <v>0</v>
      </c>
      <c r="D25" s="295">
        <v>4656.5</v>
      </c>
      <c r="E25" s="296">
        <v>0</v>
      </c>
      <c r="F25" s="292">
        <v>0</v>
      </c>
      <c r="G25" s="292">
        <v>0</v>
      </c>
      <c r="H25" s="292">
        <v>0</v>
      </c>
    </row>
    <row r="26" spans="1:8" ht="14.1" customHeight="1">
      <c r="A26" s="15" t="s">
        <v>122</v>
      </c>
      <c r="B26" s="47">
        <v>2523</v>
      </c>
      <c r="C26" s="47">
        <v>0</v>
      </c>
      <c r="D26" s="48">
        <v>210</v>
      </c>
      <c r="E26" s="49">
        <v>226</v>
      </c>
      <c r="F26" s="47">
        <v>0</v>
      </c>
      <c r="G26" s="47">
        <v>40</v>
      </c>
      <c r="H26" s="47">
        <v>74</v>
      </c>
    </row>
    <row r="27" spans="1:8" ht="14.1" customHeight="1">
      <c r="A27" s="271" t="s">
        <v>123</v>
      </c>
      <c r="B27" s="292">
        <v>2335.3000000000002</v>
      </c>
      <c r="C27" s="292">
        <v>0</v>
      </c>
      <c r="D27" s="295">
        <v>0</v>
      </c>
      <c r="E27" s="296">
        <v>120</v>
      </c>
      <c r="F27" s="292">
        <v>0</v>
      </c>
      <c r="G27" s="292">
        <v>223</v>
      </c>
      <c r="H27" s="292">
        <v>0</v>
      </c>
    </row>
    <row r="28" spans="1:8" ht="14.1" customHeight="1">
      <c r="A28" s="15" t="s">
        <v>124</v>
      </c>
      <c r="B28" s="47">
        <v>1945.5</v>
      </c>
      <c r="C28" s="47">
        <v>0</v>
      </c>
      <c r="D28" s="48">
        <v>0</v>
      </c>
      <c r="E28" s="49">
        <v>0</v>
      </c>
      <c r="F28" s="47">
        <v>0</v>
      </c>
      <c r="G28" s="47">
        <v>0</v>
      </c>
      <c r="H28" s="47">
        <v>0</v>
      </c>
    </row>
    <row r="29" spans="1:8" ht="14.1" customHeight="1">
      <c r="A29" s="271" t="s">
        <v>125</v>
      </c>
      <c r="B29" s="292">
        <v>7756.5</v>
      </c>
      <c r="C29" s="292">
        <v>0</v>
      </c>
      <c r="D29" s="295">
        <v>1147.5</v>
      </c>
      <c r="E29" s="296">
        <v>2335</v>
      </c>
      <c r="F29" s="292">
        <v>0</v>
      </c>
      <c r="G29" s="292">
        <v>1440</v>
      </c>
      <c r="H29" s="292">
        <v>0</v>
      </c>
    </row>
    <row r="30" spans="1:8" ht="14.1" customHeight="1">
      <c r="A30" s="15" t="s">
        <v>126</v>
      </c>
      <c r="B30" s="47">
        <v>975.6</v>
      </c>
      <c r="C30" s="47">
        <v>0</v>
      </c>
      <c r="D30" s="48">
        <v>0</v>
      </c>
      <c r="E30" s="49">
        <v>0</v>
      </c>
      <c r="F30" s="47">
        <v>0</v>
      </c>
      <c r="G30" s="47">
        <v>0</v>
      </c>
      <c r="H30" s="47">
        <v>0</v>
      </c>
    </row>
    <row r="31" spans="1:8" ht="14.1" customHeight="1">
      <c r="A31" s="271" t="s">
        <v>127</v>
      </c>
      <c r="B31" s="292">
        <v>2429</v>
      </c>
      <c r="C31" s="292">
        <v>0</v>
      </c>
      <c r="D31" s="295">
        <v>0</v>
      </c>
      <c r="E31" s="296">
        <v>422</v>
      </c>
      <c r="F31" s="292">
        <v>0</v>
      </c>
      <c r="G31" s="292">
        <v>290</v>
      </c>
      <c r="H31" s="292">
        <v>0</v>
      </c>
    </row>
    <row r="32" spans="1:8" ht="14.1" customHeight="1">
      <c r="A32" s="15" t="s">
        <v>128</v>
      </c>
      <c r="B32" s="47">
        <v>1829</v>
      </c>
      <c r="C32" s="47">
        <v>0</v>
      </c>
      <c r="D32" s="48">
        <v>122</v>
      </c>
      <c r="E32" s="49">
        <v>125</v>
      </c>
      <c r="F32" s="47">
        <v>0</v>
      </c>
      <c r="G32" s="47">
        <v>58</v>
      </c>
      <c r="H32" s="47">
        <v>0</v>
      </c>
    </row>
    <row r="33" spans="1:9" ht="14.1" customHeight="1">
      <c r="A33" s="271" t="s">
        <v>129</v>
      </c>
      <c r="B33" s="292">
        <v>1524.5</v>
      </c>
      <c r="C33" s="292">
        <v>0</v>
      </c>
      <c r="D33" s="295">
        <v>0</v>
      </c>
      <c r="E33" s="296">
        <v>249</v>
      </c>
      <c r="F33" s="292">
        <v>100.5</v>
      </c>
      <c r="G33" s="292">
        <v>90</v>
      </c>
      <c r="H33" s="292">
        <v>0</v>
      </c>
    </row>
    <row r="34" spans="1:9" ht="14.1" customHeight="1">
      <c r="A34" s="15" t="s">
        <v>130</v>
      </c>
      <c r="B34" s="47">
        <v>1537</v>
      </c>
      <c r="C34" s="47">
        <v>0</v>
      </c>
      <c r="D34" s="48">
        <v>226</v>
      </c>
      <c r="E34" s="49">
        <v>67.5</v>
      </c>
      <c r="F34" s="47">
        <v>140.5</v>
      </c>
      <c r="G34" s="47">
        <v>0</v>
      </c>
      <c r="H34" s="47">
        <v>0</v>
      </c>
    </row>
    <row r="35" spans="1:9" ht="14.1" customHeight="1">
      <c r="A35" s="271" t="s">
        <v>131</v>
      </c>
      <c r="B35" s="292">
        <v>9095.5</v>
      </c>
      <c r="C35" s="292">
        <v>0</v>
      </c>
      <c r="D35" s="295">
        <v>1257</v>
      </c>
      <c r="E35" s="296">
        <v>2278</v>
      </c>
      <c r="F35" s="292">
        <v>0</v>
      </c>
      <c r="G35" s="292">
        <v>1746.5</v>
      </c>
      <c r="H35" s="292">
        <v>363</v>
      </c>
    </row>
    <row r="36" spans="1:9" ht="14.1" customHeight="1">
      <c r="A36" s="15" t="s">
        <v>132</v>
      </c>
      <c r="B36" s="47">
        <v>1648.4</v>
      </c>
      <c r="C36" s="47">
        <v>0</v>
      </c>
      <c r="D36" s="48">
        <v>0</v>
      </c>
      <c r="E36" s="49">
        <v>0</v>
      </c>
      <c r="F36" s="47">
        <v>0</v>
      </c>
      <c r="G36" s="47">
        <v>0</v>
      </c>
      <c r="H36" s="47">
        <v>0</v>
      </c>
    </row>
    <row r="37" spans="1:9" ht="14.1" customHeight="1">
      <c r="A37" s="271" t="s">
        <v>133</v>
      </c>
      <c r="B37" s="292">
        <v>2098</v>
      </c>
      <c r="C37" s="292">
        <v>0</v>
      </c>
      <c r="D37" s="295">
        <v>728.5</v>
      </c>
      <c r="E37" s="296">
        <v>757</v>
      </c>
      <c r="F37" s="292">
        <v>0</v>
      </c>
      <c r="G37" s="292">
        <v>520</v>
      </c>
      <c r="H37" s="292">
        <v>0</v>
      </c>
    </row>
    <row r="38" spans="1:9" ht="14.1" customHeight="1">
      <c r="A38" s="15" t="s">
        <v>134</v>
      </c>
      <c r="B38" s="47">
        <v>6496.5</v>
      </c>
      <c r="C38" s="47">
        <v>0</v>
      </c>
      <c r="D38" s="48">
        <v>581</v>
      </c>
      <c r="E38" s="49">
        <v>2430</v>
      </c>
      <c r="F38" s="47">
        <v>0</v>
      </c>
      <c r="G38" s="47">
        <v>1157</v>
      </c>
      <c r="H38" s="47">
        <v>132.5</v>
      </c>
    </row>
    <row r="39" spans="1:9" ht="14.1" customHeight="1">
      <c r="A39" s="271" t="s">
        <v>135</v>
      </c>
      <c r="B39" s="292">
        <v>1508</v>
      </c>
      <c r="C39" s="292">
        <v>0</v>
      </c>
      <c r="D39" s="295">
        <v>0</v>
      </c>
      <c r="E39" s="296">
        <v>0</v>
      </c>
      <c r="F39" s="292">
        <v>0</v>
      </c>
      <c r="G39" s="292">
        <v>0</v>
      </c>
      <c r="H39" s="292">
        <v>0</v>
      </c>
    </row>
    <row r="40" spans="1:9" ht="14.1" customHeight="1">
      <c r="A40" s="15" t="s">
        <v>136</v>
      </c>
      <c r="B40" s="47">
        <v>5261.4</v>
      </c>
      <c r="C40" s="47">
        <v>0</v>
      </c>
      <c r="D40" s="48">
        <v>928.5</v>
      </c>
      <c r="E40" s="49">
        <v>889.5</v>
      </c>
      <c r="F40" s="47">
        <v>0</v>
      </c>
      <c r="G40" s="47">
        <v>598.79999999999995</v>
      </c>
      <c r="H40" s="47">
        <v>0</v>
      </c>
    </row>
    <row r="41" spans="1:9" ht="14.1" customHeight="1">
      <c r="A41" s="271" t="s">
        <v>137</v>
      </c>
      <c r="B41" s="292">
        <v>1764.5</v>
      </c>
      <c r="C41" s="292">
        <v>0</v>
      </c>
      <c r="D41" s="295">
        <v>0</v>
      </c>
      <c r="E41" s="296">
        <v>1825</v>
      </c>
      <c r="F41" s="292">
        <v>0</v>
      </c>
      <c r="G41" s="292">
        <v>747.5</v>
      </c>
      <c r="H41" s="292">
        <v>72.5</v>
      </c>
    </row>
    <row r="42" spans="1:9" ht="14.1" customHeight="1">
      <c r="A42" s="15" t="s">
        <v>138</v>
      </c>
      <c r="B42" s="47">
        <v>982</v>
      </c>
      <c r="C42" s="47">
        <v>0</v>
      </c>
      <c r="D42" s="48">
        <v>0</v>
      </c>
      <c r="E42" s="49">
        <v>156.5</v>
      </c>
      <c r="F42" s="47">
        <v>0</v>
      </c>
      <c r="G42" s="47">
        <v>82.5</v>
      </c>
      <c r="H42" s="47">
        <v>0</v>
      </c>
    </row>
    <row r="43" spans="1:9" ht="14.1" customHeight="1">
      <c r="A43" s="271" t="s">
        <v>139</v>
      </c>
      <c r="B43" s="292">
        <v>911.5</v>
      </c>
      <c r="C43" s="292">
        <v>0</v>
      </c>
      <c r="D43" s="295">
        <v>0</v>
      </c>
      <c r="E43" s="296">
        <v>0</v>
      </c>
      <c r="F43" s="292">
        <v>0</v>
      </c>
      <c r="G43" s="292">
        <v>0</v>
      </c>
      <c r="H43" s="292">
        <v>0</v>
      </c>
    </row>
    <row r="44" spans="1:9" ht="14.1" customHeight="1">
      <c r="A44" s="15" t="s">
        <v>140</v>
      </c>
      <c r="B44" s="47">
        <v>666</v>
      </c>
      <c r="C44" s="47">
        <v>35</v>
      </c>
      <c r="D44" s="48">
        <v>0</v>
      </c>
      <c r="E44" s="49">
        <v>0</v>
      </c>
      <c r="F44" s="47">
        <v>0</v>
      </c>
      <c r="G44" s="47">
        <v>0</v>
      </c>
      <c r="H44" s="47">
        <v>0</v>
      </c>
    </row>
    <row r="45" spans="1:9" ht="14.1" customHeight="1">
      <c r="A45" s="271" t="s">
        <v>141</v>
      </c>
      <c r="B45" s="292">
        <v>751</v>
      </c>
      <c r="C45" s="292">
        <v>0</v>
      </c>
      <c r="D45" s="295">
        <v>0</v>
      </c>
      <c r="E45" s="296">
        <v>668</v>
      </c>
      <c r="F45" s="292">
        <v>0</v>
      </c>
      <c r="G45" s="292">
        <v>243</v>
      </c>
      <c r="H45" s="292">
        <v>0</v>
      </c>
    </row>
    <row r="46" spans="1:9" ht="14.1" customHeight="1">
      <c r="A46" s="15" t="s">
        <v>142</v>
      </c>
      <c r="B46" s="47">
        <v>22294.2</v>
      </c>
      <c r="C46" s="47">
        <v>0</v>
      </c>
      <c r="D46" s="48">
        <v>1237</v>
      </c>
      <c r="E46" s="49">
        <v>3115</v>
      </c>
      <c r="F46" s="47">
        <v>0</v>
      </c>
      <c r="G46" s="47">
        <v>2377</v>
      </c>
      <c r="H46" s="47">
        <v>240</v>
      </c>
    </row>
    <row r="47" spans="1:9" ht="5.0999999999999996" customHeight="1">
      <c r="A47"/>
      <c r="B47"/>
      <c r="C47"/>
      <c r="D47"/>
      <c r="E47"/>
      <c r="F47"/>
      <c r="G47"/>
      <c r="H47"/>
      <c r="I47"/>
    </row>
    <row r="48" spans="1:9" ht="14.1" customHeight="1">
      <c r="A48" s="274" t="s">
        <v>143</v>
      </c>
      <c r="B48" s="293">
        <f>SUM(B11:B46)</f>
        <v>123348.79999999997</v>
      </c>
      <c r="C48" s="293">
        <f t="shared" ref="C48:H48" si="0">SUM(C11:C46)</f>
        <v>5505</v>
      </c>
      <c r="D48" s="358">
        <f t="shared" si="0"/>
        <v>11666</v>
      </c>
      <c r="E48" s="357">
        <f t="shared" si="0"/>
        <v>18303</v>
      </c>
      <c r="F48" s="293">
        <f t="shared" si="0"/>
        <v>241</v>
      </c>
      <c r="G48" s="293">
        <f t="shared" si="0"/>
        <v>10600.3</v>
      </c>
      <c r="H48" s="293">
        <f t="shared" si="0"/>
        <v>955.5</v>
      </c>
    </row>
    <row r="49" spans="1:9" ht="5.0999999999999996" customHeight="1">
      <c r="A49" s="17" t="s">
        <v>1</v>
      </c>
      <c r="B49" s="50"/>
      <c r="C49" s="50"/>
      <c r="D49" s="50"/>
      <c r="E49" s="50"/>
      <c r="F49" s="50"/>
      <c r="G49" s="50"/>
      <c r="H49" s="50"/>
    </row>
    <row r="50" spans="1:9" ht="14.1" customHeight="1">
      <c r="A50" s="15" t="s">
        <v>144</v>
      </c>
      <c r="B50" s="47">
        <v>161</v>
      </c>
      <c r="C50" s="47">
        <v>0</v>
      </c>
      <c r="D50" s="48">
        <v>0</v>
      </c>
      <c r="E50" s="49">
        <v>0</v>
      </c>
      <c r="F50" s="47">
        <v>0</v>
      </c>
      <c r="G50" s="47">
        <v>0</v>
      </c>
      <c r="H50" s="47">
        <v>0</v>
      </c>
    </row>
    <row r="51" spans="1:9" ht="14.1" customHeight="1">
      <c r="A51" s="360" t="s">
        <v>523</v>
      </c>
      <c r="B51" s="292">
        <v>139.5</v>
      </c>
      <c r="C51" s="292">
        <v>0</v>
      </c>
      <c r="D51" s="295">
        <v>0</v>
      </c>
      <c r="E51" s="296">
        <v>0</v>
      </c>
      <c r="F51" s="292">
        <v>0</v>
      </c>
      <c r="G51" s="292">
        <v>0</v>
      </c>
      <c r="H51" s="292">
        <v>0</v>
      </c>
    </row>
    <row r="52" spans="1:9" ht="50.1" customHeight="1">
      <c r="A52" s="19"/>
      <c r="B52" s="51"/>
      <c r="C52" s="51"/>
      <c r="D52" s="51"/>
      <c r="E52" s="51"/>
      <c r="F52" s="51"/>
      <c r="G52" s="51"/>
      <c r="H52" s="51"/>
      <c r="I52" s="46"/>
    </row>
    <row r="53" spans="1:9" ht="15" customHeight="1">
      <c r="A53" s="46" t="s">
        <v>341</v>
      </c>
      <c r="C53" s="46"/>
      <c r="D53" s="46"/>
      <c r="E53" s="46"/>
      <c r="F53" s="46"/>
      <c r="G53" s="46"/>
      <c r="H53" s="46"/>
      <c r="I53" s="46"/>
    </row>
    <row r="54" spans="1:9" ht="12" customHeight="1">
      <c r="A54" s="46" t="s">
        <v>342</v>
      </c>
      <c r="C54" s="46"/>
      <c r="D54" s="46"/>
      <c r="E54" s="46"/>
      <c r="F54" s="46"/>
      <c r="G54" s="46"/>
      <c r="H54" s="46"/>
      <c r="I54" s="46"/>
    </row>
    <row r="55" spans="1:9" ht="14.45" customHeight="1"/>
    <row r="56" spans="1:9" ht="14.45" customHeight="1"/>
    <row r="57" spans="1:9" ht="14.45" customHeight="1"/>
    <row r="58" spans="1:9" ht="14.45" customHeight="1"/>
    <row r="59" spans="1:9" ht="14.45" customHeight="1"/>
  </sheetData>
  <mergeCells count="10">
    <mergeCell ref="H8:H9"/>
    <mergeCell ref="E7:H7"/>
    <mergeCell ref="B7:D7"/>
    <mergeCell ref="B6:H6"/>
    <mergeCell ref="B8:B9"/>
    <mergeCell ref="C8:C9"/>
    <mergeCell ref="D8:D9"/>
    <mergeCell ref="E8:E9"/>
    <mergeCell ref="F8:F9"/>
    <mergeCell ref="G8:G9"/>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40.xml><?xml version="1.0" encoding="utf-8"?>
<worksheet xmlns="http://schemas.openxmlformats.org/spreadsheetml/2006/main" xmlns:r="http://schemas.openxmlformats.org/officeDocument/2006/relationships">
  <sheetPr codeName="Sheet42">
    <pageSetUpPr fitToPage="1"/>
  </sheetPr>
  <dimension ref="A1:BB59"/>
  <sheetViews>
    <sheetView showGridLines="0" showZeros="0" workbookViewId="0"/>
  </sheetViews>
  <sheetFormatPr defaultColWidth="15.83203125" defaultRowHeight="12"/>
  <cols>
    <col min="1" max="1" width="35.83203125" style="1" customWidth="1"/>
    <col min="2" max="3" width="25.83203125" style="1" customWidth="1"/>
    <col min="4" max="4" width="45.83203125" style="1" customWidth="1"/>
    <col min="5" max="52" width="15.83203125" style="1"/>
    <col min="53" max="53" width="73.5" style="1" bestFit="1" customWidth="1"/>
    <col min="54" max="16384" width="15.83203125" style="1"/>
  </cols>
  <sheetData>
    <row r="1" spans="1:54" ht="6.95" customHeight="1">
      <c r="A1" s="3"/>
    </row>
    <row r="2" spans="1:54" ht="17.100000000000001" customHeight="1">
      <c r="A2" s="241"/>
      <c r="B2" s="242" t="s">
        <v>562</v>
      </c>
      <c r="C2" s="133"/>
      <c r="D2" s="141"/>
      <c r="BA2" s="131" t="s">
        <v>470</v>
      </c>
      <c r="BB2" s="1" t="s">
        <v>466</v>
      </c>
    </row>
    <row r="3" spans="1:54" ht="15" customHeight="1">
      <c r="A3" s="243"/>
      <c r="B3" s="195" t="str">
        <f>IF(Lang=1,BA3,BB3)</f>
        <v xml:space="preserve">FOR THE 2016 TAXATION YEAR (2016 IS A REASSESSMENT YEAR) </v>
      </c>
      <c r="C3" s="144"/>
      <c r="D3" s="244"/>
      <c r="BA3" s="1" t="str">
        <f>"FOR THE "&amp;YEAR&amp;" TAXATION YEAR (2016 IS A REASSESSMENT YEAR) "</f>
        <v xml:space="preserve">FOR THE 2016 TAXATION YEAR (2016 IS A REASSESSMENT YEAR) </v>
      </c>
      <c r="BB3" s="131" t="s">
        <v>581</v>
      </c>
    </row>
    <row r="4" spans="1:54" ht="15.95" customHeight="1">
      <c r="A4" s="131"/>
      <c r="B4" s="4"/>
      <c r="C4" s="55"/>
    </row>
    <row r="5" spans="1:54" ht="15.95" customHeight="1">
      <c r="A5" s="1" t="str">
        <f>REPLACE(A4,5,5,"")</f>
        <v/>
      </c>
      <c r="B5" s="4"/>
      <c r="C5" s="4"/>
    </row>
    <row r="6" spans="1:54" ht="15.95" customHeight="1">
      <c r="B6"/>
      <c r="C6"/>
    </row>
    <row r="7" spans="1:54" ht="15.95" customHeight="1">
      <c r="B7" s="744" t="s">
        <v>468</v>
      </c>
      <c r="C7" s="476"/>
    </row>
    <row r="8" spans="1:54" ht="15.95" customHeight="1">
      <c r="A8" s="249"/>
      <c r="B8" s="745"/>
      <c r="C8" s="747" t="s">
        <v>469</v>
      </c>
    </row>
    <row r="9" spans="1:54" ht="15.95" customHeight="1">
      <c r="A9" s="250" t="s">
        <v>37</v>
      </c>
      <c r="B9" s="746"/>
      <c r="C9" s="748"/>
    </row>
    <row r="10" spans="1:54" ht="5.0999999999999996" customHeight="1">
      <c r="A10" s="29"/>
      <c r="B10" s="182"/>
      <c r="C10" s="422">
        <v>1.0500000000000001E-2</v>
      </c>
    </row>
    <row r="11" spans="1:54" ht="14.1" customHeight="1">
      <c r="A11" s="271" t="s">
        <v>108</v>
      </c>
      <c r="B11" s="272">
        <f>'- 47 -'!D11</f>
        <v>149041600</v>
      </c>
      <c r="C11" s="272">
        <f t="shared" ref="C11:C46" si="0">B11*C$10</f>
        <v>1564936.8</v>
      </c>
    </row>
    <row r="12" spans="1:54" ht="14.1" customHeight="1">
      <c r="A12" s="15" t="s">
        <v>109</v>
      </c>
      <c r="B12" s="16">
        <f>'- 47 -'!D12</f>
        <v>202589750</v>
      </c>
      <c r="C12" s="16">
        <f t="shared" si="0"/>
        <v>2127192.375</v>
      </c>
    </row>
    <row r="13" spans="1:54" ht="14.1" customHeight="1">
      <c r="A13" s="271" t="s">
        <v>110</v>
      </c>
      <c r="B13" s="272">
        <f>'- 47 -'!D13</f>
        <v>891977080</v>
      </c>
      <c r="C13" s="272">
        <f t="shared" si="0"/>
        <v>9365759.3399999999</v>
      </c>
    </row>
    <row r="14" spans="1:54" ht="14.1" customHeight="1">
      <c r="A14" s="15" t="s">
        <v>319</v>
      </c>
      <c r="B14" s="16">
        <f>'- 47 -'!D14</f>
        <v>0</v>
      </c>
      <c r="C14" s="16">
        <f t="shared" si="0"/>
        <v>0</v>
      </c>
    </row>
    <row r="15" spans="1:54" ht="14.1" customHeight="1">
      <c r="A15" s="271" t="s">
        <v>111</v>
      </c>
      <c r="B15" s="272">
        <f>'- 47 -'!D15</f>
        <v>115724220</v>
      </c>
      <c r="C15" s="272">
        <f t="shared" si="0"/>
        <v>1215104.31</v>
      </c>
    </row>
    <row r="16" spans="1:54" ht="14.1" customHeight="1">
      <c r="A16" s="15" t="s">
        <v>112</v>
      </c>
      <c r="B16" s="16">
        <f>'- 47 -'!D16</f>
        <v>34365300</v>
      </c>
      <c r="C16" s="16">
        <f t="shared" si="0"/>
        <v>360835.65</v>
      </c>
    </row>
    <row r="17" spans="1:3" ht="14.1" customHeight="1">
      <c r="A17" s="271" t="s">
        <v>113</v>
      </c>
      <c r="B17" s="272">
        <f>'- 47 -'!D17</f>
        <v>567888420</v>
      </c>
      <c r="C17" s="272">
        <f t="shared" si="0"/>
        <v>5962828.4100000001</v>
      </c>
    </row>
    <row r="18" spans="1:3" ht="14.1" customHeight="1">
      <c r="A18" s="15" t="s">
        <v>114</v>
      </c>
      <c r="B18" s="16">
        <f>'- 47 -'!D18</f>
        <v>73229640</v>
      </c>
      <c r="C18" s="16">
        <f t="shared" si="0"/>
        <v>768911.22000000009</v>
      </c>
    </row>
    <row r="19" spans="1:3" ht="14.1" customHeight="1">
      <c r="A19" s="271" t="s">
        <v>115</v>
      </c>
      <c r="B19" s="272">
        <f>'- 47 -'!D19</f>
        <v>299276160</v>
      </c>
      <c r="C19" s="272">
        <f t="shared" si="0"/>
        <v>3142399.68</v>
      </c>
    </row>
    <row r="20" spans="1:3" ht="14.1" customHeight="1">
      <c r="A20" s="15" t="s">
        <v>116</v>
      </c>
      <c r="B20" s="16">
        <f>'- 47 -'!D20</f>
        <v>398430210</v>
      </c>
      <c r="C20" s="16">
        <f t="shared" si="0"/>
        <v>4183517.2050000001</v>
      </c>
    </row>
    <row r="21" spans="1:3" ht="14.1" customHeight="1">
      <c r="A21" s="271" t="s">
        <v>117</v>
      </c>
      <c r="B21" s="272">
        <f>'- 47 -'!D21</f>
        <v>272372680</v>
      </c>
      <c r="C21" s="272">
        <f t="shared" si="0"/>
        <v>2859913.14</v>
      </c>
    </row>
    <row r="22" spans="1:3" ht="14.1" customHeight="1">
      <c r="A22" s="15" t="s">
        <v>118</v>
      </c>
      <c r="B22" s="16">
        <f>'- 47 -'!D22</f>
        <v>66668310</v>
      </c>
      <c r="C22" s="16">
        <f t="shared" si="0"/>
        <v>700017.255</v>
      </c>
    </row>
    <row r="23" spans="1:3" ht="14.1" customHeight="1">
      <c r="A23" s="271" t="s">
        <v>119</v>
      </c>
      <c r="B23" s="272">
        <f>'- 47 -'!D23</f>
        <v>31250210</v>
      </c>
      <c r="C23" s="272">
        <f t="shared" si="0"/>
        <v>328127.20500000002</v>
      </c>
    </row>
    <row r="24" spans="1:3" ht="14.1" customHeight="1">
      <c r="A24" s="15" t="s">
        <v>120</v>
      </c>
      <c r="B24" s="16">
        <f>'- 47 -'!D24</f>
        <v>251100000</v>
      </c>
      <c r="C24" s="16">
        <f t="shared" si="0"/>
        <v>2636550</v>
      </c>
    </row>
    <row r="25" spans="1:3" ht="14.1" customHeight="1">
      <c r="A25" s="271" t="s">
        <v>121</v>
      </c>
      <c r="B25" s="272">
        <f>'- 47 -'!D25</f>
        <v>1394287470</v>
      </c>
      <c r="C25" s="272">
        <f t="shared" si="0"/>
        <v>14640018.435000001</v>
      </c>
    </row>
    <row r="26" spans="1:3" ht="14.1" customHeight="1">
      <c r="A26" s="15" t="s">
        <v>122</v>
      </c>
      <c r="B26" s="16">
        <f>'- 47 -'!D26</f>
        <v>132889360</v>
      </c>
      <c r="C26" s="16">
        <f t="shared" si="0"/>
        <v>1395338.28</v>
      </c>
    </row>
    <row r="27" spans="1:3" ht="14.1" customHeight="1">
      <c r="A27" s="271" t="s">
        <v>123</v>
      </c>
      <c r="B27" s="272">
        <f>'- 47 -'!D27</f>
        <v>143639480</v>
      </c>
      <c r="C27" s="272">
        <f t="shared" si="0"/>
        <v>1508214.54</v>
      </c>
    </row>
    <row r="28" spans="1:3" ht="14.1" customHeight="1">
      <c r="A28" s="15" t="s">
        <v>124</v>
      </c>
      <c r="B28" s="16">
        <f>'- 47 -'!D28</f>
        <v>194480680</v>
      </c>
      <c r="C28" s="16">
        <f t="shared" si="0"/>
        <v>2042047.1400000001</v>
      </c>
    </row>
    <row r="29" spans="1:3" ht="14.1" customHeight="1">
      <c r="A29" s="271" t="s">
        <v>125</v>
      </c>
      <c r="B29" s="272">
        <f>'- 47 -'!D29</f>
        <v>1468488040</v>
      </c>
      <c r="C29" s="272">
        <f t="shared" si="0"/>
        <v>15419124.420000002</v>
      </c>
    </row>
    <row r="30" spans="1:3" ht="14.1" customHeight="1">
      <c r="A30" s="15" t="s">
        <v>126</v>
      </c>
      <c r="B30" s="16">
        <f>'- 47 -'!D30</f>
        <v>95687060</v>
      </c>
      <c r="C30" s="16">
        <f t="shared" si="0"/>
        <v>1004714.13</v>
      </c>
    </row>
    <row r="31" spans="1:3" ht="14.1" customHeight="1">
      <c r="A31" s="271" t="s">
        <v>127</v>
      </c>
      <c r="B31" s="272">
        <f>'- 47 -'!D31</f>
        <v>340909230</v>
      </c>
      <c r="C31" s="272">
        <f t="shared" si="0"/>
        <v>3579546.915</v>
      </c>
    </row>
    <row r="32" spans="1:3" ht="14.1" customHeight="1">
      <c r="A32" s="15" t="s">
        <v>128</v>
      </c>
      <c r="B32" s="16">
        <f>'- 47 -'!D32</f>
        <v>146423520</v>
      </c>
      <c r="C32" s="16">
        <f t="shared" si="0"/>
        <v>1537446.9600000002</v>
      </c>
    </row>
    <row r="33" spans="1:4" ht="14.1" customHeight="1">
      <c r="A33" s="271" t="s">
        <v>129</v>
      </c>
      <c r="B33" s="272">
        <f>'- 47 -'!D33</f>
        <v>174002000</v>
      </c>
      <c r="C33" s="272">
        <f t="shared" si="0"/>
        <v>1827021</v>
      </c>
    </row>
    <row r="34" spans="1:4" ht="14.1" customHeight="1">
      <c r="A34" s="15" t="s">
        <v>130</v>
      </c>
      <c r="B34" s="16">
        <f>'- 47 -'!D34</f>
        <v>267422290</v>
      </c>
      <c r="C34" s="16">
        <f t="shared" si="0"/>
        <v>2807934.0450000004</v>
      </c>
    </row>
    <row r="35" spans="1:4" ht="14.1" customHeight="1">
      <c r="A35" s="271" t="s">
        <v>131</v>
      </c>
      <c r="B35" s="272">
        <f>'- 47 -'!D35</f>
        <v>1082984190</v>
      </c>
      <c r="C35" s="272">
        <f t="shared" si="0"/>
        <v>11371333.995000001</v>
      </c>
    </row>
    <row r="36" spans="1:4" ht="14.1" customHeight="1">
      <c r="A36" s="15" t="s">
        <v>132</v>
      </c>
      <c r="B36" s="16">
        <f>'- 47 -'!D36</f>
        <v>182069180</v>
      </c>
      <c r="C36" s="16">
        <f t="shared" si="0"/>
        <v>1911726.3900000001</v>
      </c>
    </row>
    <row r="37" spans="1:4" ht="14.1" customHeight="1">
      <c r="A37" s="271" t="s">
        <v>133</v>
      </c>
      <c r="B37" s="272">
        <f>'- 47 -'!D37</f>
        <v>182241700</v>
      </c>
      <c r="C37" s="272">
        <f t="shared" si="0"/>
        <v>1913537.85</v>
      </c>
    </row>
    <row r="38" spans="1:4" ht="14.1" customHeight="1">
      <c r="A38" s="15" t="s">
        <v>134</v>
      </c>
      <c r="B38" s="16">
        <f>'- 47 -'!D38</f>
        <v>392616130</v>
      </c>
      <c r="C38" s="16">
        <f t="shared" si="0"/>
        <v>4122469.3650000002</v>
      </c>
    </row>
    <row r="39" spans="1:4" ht="14.1" customHeight="1">
      <c r="A39" s="271" t="s">
        <v>135</v>
      </c>
      <c r="B39" s="272">
        <f>'- 47 -'!D39</f>
        <v>424960310</v>
      </c>
      <c r="C39" s="272">
        <f t="shared" si="0"/>
        <v>4462083.2549999999</v>
      </c>
    </row>
    <row r="40" spans="1:4" ht="14.1" customHeight="1">
      <c r="A40" s="15" t="s">
        <v>136</v>
      </c>
      <c r="B40" s="16">
        <f>'- 47 -'!D40</f>
        <v>1581603350</v>
      </c>
      <c r="C40" s="16">
        <f t="shared" si="0"/>
        <v>16606835.175000001</v>
      </c>
    </row>
    <row r="41" spans="1:4" ht="14.1" customHeight="1">
      <c r="A41" s="271" t="s">
        <v>137</v>
      </c>
      <c r="B41" s="272">
        <f>'- 47 -'!D41</f>
        <v>439352980</v>
      </c>
      <c r="C41" s="272">
        <f t="shared" si="0"/>
        <v>4613206.29</v>
      </c>
    </row>
    <row r="42" spans="1:4" ht="14.1" customHeight="1">
      <c r="A42" s="15" t="s">
        <v>138</v>
      </c>
      <c r="B42" s="16">
        <f>'- 47 -'!D42</f>
        <v>81636510</v>
      </c>
      <c r="C42" s="16">
        <f t="shared" si="0"/>
        <v>857183.3550000001</v>
      </c>
    </row>
    <row r="43" spans="1:4" ht="14.1" customHeight="1">
      <c r="A43" s="271" t="s">
        <v>139</v>
      </c>
      <c r="B43" s="272">
        <f>'- 47 -'!D43</f>
        <v>65383910</v>
      </c>
      <c r="C43" s="272">
        <f t="shared" si="0"/>
        <v>686531.05500000005</v>
      </c>
    </row>
    <row r="44" spans="1:4" ht="14.1" customHeight="1">
      <c r="A44" s="15" t="s">
        <v>140</v>
      </c>
      <c r="B44" s="16">
        <f>'- 47 -'!D44</f>
        <v>13752250</v>
      </c>
      <c r="C44" s="16">
        <f t="shared" si="0"/>
        <v>144398.625</v>
      </c>
    </row>
    <row r="45" spans="1:4" ht="14.1" customHeight="1">
      <c r="A45" s="271" t="s">
        <v>141</v>
      </c>
      <c r="B45" s="272">
        <f>'- 47 -'!D45</f>
        <v>98873520</v>
      </c>
      <c r="C45" s="272">
        <f t="shared" si="0"/>
        <v>1038171.9600000001</v>
      </c>
    </row>
    <row r="46" spans="1:4" ht="14.1" customHeight="1">
      <c r="A46" s="15" t="s">
        <v>142</v>
      </c>
      <c r="B46" s="16">
        <f>'- 47 -'!D46</f>
        <v>4965888970</v>
      </c>
      <c r="C46" s="16">
        <f t="shared" si="0"/>
        <v>52141834.185000002</v>
      </c>
      <c r="D46"/>
    </row>
    <row r="47" spans="1:4" ht="6" customHeight="1">
      <c r="A47"/>
      <c r="B47"/>
      <c r="C47"/>
      <c r="D47"/>
    </row>
    <row r="48" spans="1:4" ht="14.1" customHeight="1">
      <c r="A48" s="274" t="s">
        <v>147</v>
      </c>
      <c r="B48" s="275">
        <f>SUM(B11:B46)</f>
        <v>17223505710</v>
      </c>
      <c r="C48" s="275">
        <f>SUM(C11:C46)</f>
        <v>180846809.95499998</v>
      </c>
      <c r="D48"/>
    </row>
    <row r="49" spans="1:4" ht="6" customHeight="1">
      <c r="A49" s="17"/>
      <c r="B49" s="18"/>
      <c r="C49" s="18"/>
      <c r="D49"/>
    </row>
    <row r="50" spans="1:4" ht="14.1" customHeight="1">
      <c r="A50" s="15" t="s">
        <v>145</v>
      </c>
      <c r="B50" s="16">
        <f>'- 47 -'!D50</f>
        <v>3879610</v>
      </c>
      <c r="C50" s="16">
        <v>0</v>
      </c>
      <c r="D50"/>
    </row>
    <row r="51" spans="1:4" ht="14.1" customHeight="1">
      <c r="A51" s="271" t="s">
        <v>146</v>
      </c>
      <c r="B51" s="272">
        <f>'- 47 -'!D51</f>
        <v>54144440</v>
      </c>
      <c r="C51" s="272">
        <f>B51*C$10</f>
        <v>568516.62</v>
      </c>
      <c r="D51"/>
    </row>
    <row r="52" spans="1:4" ht="6" customHeight="1">
      <c r="A52" s="127"/>
      <c r="B52" s="140"/>
      <c r="C52" s="140"/>
      <c r="D52"/>
    </row>
    <row r="53" spans="1:4" ht="14.45" customHeight="1">
      <c r="A53" s="274" t="s">
        <v>143</v>
      </c>
      <c r="B53" s="275">
        <f>SUM(B48,B50:B51)</f>
        <v>17281529760</v>
      </c>
      <c r="C53" s="275">
        <f>SUM(C48,C50:C51)</f>
        <v>181415326.57499999</v>
      </c>
      <c r="D53" s="428"/>
    </row>
    <row r="54" spans="1:4" ht="29.1" customHeight="1">
      <c r="A54" s="245"/>
      <c r="B54" s="245"/>
      <c r="C54" s="245"/>
      <c r="D54" s="19"/>
    </row>
    <row r="55" spans="1:4" ht="14.45" customHeight="1">
      <c r="A55" s="356" t="s">
        <v>578</v>
      </c>
      <c r="B55" s="31"/>
      <c r="C55" s="31"/>
      <c r="D55" s="31"/>
    </row>
    <row r="56" spans="1:4" ht="14.45" customHeight="1">
      <c r="A56" s="20"/>
      <c r="B56" s="31"/>
      <c r="C56" s="31"/>
      <c r="D56" s="31"/>
    </row>
    <row r="57" spans="1:4" ht="14.45" customHeight="1">
      <c r="A57" s="21"/>
      <c r="B57" s="31"/>
      <c r="C57" s="31"/>
      <c r="D57" s="31"/>
    </row>
    <row r="58" spans="1:4" ht="14.45" customHeight="1">
      <c r="B58" s="90"/>
      <c r="C58" s="90"/>
    </row>
    <row r="59" spans="1:4" ht="14.45" customHeight="1"/>
  </sheetData>
  <mergeCells count="2">
    <mergeCell ref="B7:B9"/>
    <mergeCell ref="C8:C9"/>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41.xml><?xml version="1.0" encoding="utf-8"?>
<worksheet xmlns="http://schemas.openxmlformats.org/spreadsheetml/2006/main" xmlns:r="http://schemas.openxmlformats.org/officeDocument/2006/relationships">
  <sheetPr codeName="Sheet43">
    <pageSetUpPr fitToPage="1"/>
  </sheetPr>
  <dimension ref="A1:BB57"/>
  <sheetViews>
    <sheetView showGridLines="0" showZeros="0" workbookViewId="0"/>
  </sheetViews>
  <sheetFormatPr defaultColWidth="15.83203125" defaultRowHeight="12"/>
  <cols>
    <col min="1" max="1" width="30.83203125" style="1" customWidth="1"/>
    <col min="2" max="2" width="18.83203125" style="1" customWidth="1"/>
    <col min="3" max="3" width="15.83203125" style="1"/>
    <col min="4" max="4" width="16.83203125" style="1" customWidth="1"/>
    <col min="5" max="5" width="17.83203125" style="1" customWidth="1"/>
    <col min="6" max="6" width="15.83203125" style="1"/>
    <col min="7" max="7" width="16" style="1" customWidth="1"/>
    <col min="8" max="8" width="0" style="1" hidden="1" customWidth="1"/>
    <col min="9" max="9" width="21" style="1" hidden="1" customWidth="1"/>
    <col min="10" max="10" width="0" style="1" hidden="1" customWidth="1"/>
    <col min="11" max="16384" width="15.83203125" style="1"/>
  </cols>
  <sheetData>
    <row r="1" spans="1:54" ht="6.95" customHeight="1">
      <c r="A1" s="3"/>
    </row>
    <row r="2" spans="1:54" ht="15.95" customHeight="1">
      <c r="A2" s="193" t="str">
        <f>IF(Lang=1,BA2,BB2)</f>
        <v>TOTAL PORTIONED ASSESSMENT, SPECIAL LEVY AND MILL RATES</v>
      </c>
      <c r="B2" s="194"/>
      <c r="C2" s="194"/>
      <c r="D2" s="194"/>
      <c r="E2" s="194"/>
      <c r="F2" s="194"/>
      <c r="G2" s="194"/>
      <c r="BA2" s="456" t="s">
        <v>43</v>
      </c>
      <c r="BB2" s="456" t="s">
        <v>475</v>
      </c>
    </row>
    <row r="3" spans="1:54" ht="15.95" customHeight="1">
      <c r="A3" s="195" t="str">
        <f>TAXYEAR</f>
        <v xml:space="preserve">FOR THE 2016 TAXATION YEAR (2016 IS A REASSESSMENT YEAR) </v>
      </c>
      <c r="B3" s="196"/>
      <c r="C3" s="196"/>
      <c r="D3" s="196"/>
      <c r="E3" s="197"/>
      <c r="F3" s="197"/>
      <c r="G3" s="196"/>
    </row>
    <row r="4" spans="1:54" ht="15.95" customHeight="1">
      <c r="B4" s="4"/>
      <c r="C4" s="4"/>
      <c r="D4" s="4"/>
      <c r="E4" s="55"/>
      <c r="F4" s="55"/>
      <c r="G4" s="55"/>
    </row>
    <row r="5" spans="1:54" ht="15.95" customHeight="1">
      <c r="B5" s="4"/>
      <c r="C5" s="4"/>
      <c r="D5" s="4"/>
      <c r="E5" s="4"/>
      <c r="F5" s="4"/>
      <c r="G5" s="4"/>
    </row>
    <row r="6" spans="1:54" ht="15.95" customHeight="1">
      <c r="B6" s="752" t="s">
        <v>299</v>
      </c>
      <c r="C6" s="713"/>
      <c r="D6" s="713"/>
      <c r="E6" s="714"/>
      <c r="F6" s="4"/>
      <c r="G6" s="4"/>
      <c r="H6" s="128" t="s">
        <v>56</v>
      </c>
    </row>
    <row r="7" spans="1:54" ht="15.95" customHeight="1">
      <c r="B7" s="753" t="s">
        <v>471</v>
      </c>
      <c r="C7" s="753" t="s">
        <v>472</v>
      </c>
      <c r="D7" s="318"/>
      <c r="E7" s="284"/>
      <c r="F7" s="317"/>
      <c r="G7" s="741" t="s">
        <v>474</v>
      </c>
      <c r="H7" s="128" t="s">
        <v>55</v>
      </c>
    </row>
    <row r="8" spans="1:54" ht="15.95" customHeight="1">
      <c r="A8" s="24"/>
      <c r="B8" s="754"/>
      <c r="C8" s="756"/>
      <c r="D8" s="320" t="s">
        <v>1</v>
      </c>
      <c r="E8" s="321"/>
      <c r="F8" s="742" t="s">
        <v>473</v>
      </c>
      <c r="G8" s="721"/>
      <c r="H8" s="128" t="s">
        <v>99</v>
      </c>
    </row>
    <row r="9" spans="1:54" ht="15.95" customHeight="1">
      <c r="A9" s="198" t="s">
        <v>37</v>
      </c>
      <c r="B9" s="755"/>
      <c r="C9" s="757"/>
      <c r="D9" s="319" t="s">
        <v>60</v>
      </c>
      <c r="E9" s="285" t="s">
        <v>25</v>
      </c>
      <c r="F9" s="605"/>
      <c r="G9" s="605"/>
      <c r="H9" s="128" t="s">
        <v>100</v>
      </c>
    </row>
    <row r="10" spans="1:54" ht="5.0999999999999996" customHeight="1">
      <c r="A10" s="14"/>
      <c r="B10" s="182"/>
      <c r="C10" s="3"/>
      <c r="D10" s="182"/>
      <c r="E10" s="182"/>
      <c r="F10" s="3"/>
      <c r="G10" s="3"/>
    </row>
    <row r="11" spans="1:54" ht="14.1" customHeight="1">
      <c r="A11" s="271" t="s">
        <v>108</v>
      </c>
      <c r="B11" s="272">
        <v>295950050</v>
      </c>
      <c r="C11" s="272">
        <v>271873200</v>
      </c>
      <c r="D11" s="272">
        <v>149041600</v>
      </c>
      <c r="E11" s="272">
        <v>716864850</v>
      </c>
      <c r="F11" s="272">
        <f>'- 50 -'!C11</f>
        <v>8208918</v>
      </c>
      <c r="G11" s="273">
        <f t="shared" ref="G11:G46" si="0">F11/E11*1000</f>
        <v>11.451137547056465</v>
      </c>
      <c r="I11" s="192" t="str">
        <f>A11</f>
        <v xml:space="preserve"> BEAUTIFUL PLAINS</v>
      </c>
      <c r="J11" s="199">
        <f>G11</f>
        <v>11.451137547056465</v>
      </c>
      <c r="K11" s="1">
        <f>F11-'- 50 -'!C11</f>
        <v>0</v>
      </c>
    </row>
    <row r="12" spans="1:54" ht="14.1" customHeight="1">
      <c r="A12" s="15" t="s">
        <v>109</v>
      </c>
      <c r="B12" s="16">
        <v>333891570</v>
      </c>
      <c r="C12" s="16">
        <v>359191110</v>
      </c>
      <c r="D12" s="16">
        <v>202589750</v>
      </c>
      <c r="E12" s="16">
        <v>895672430</v>
      </c>
      <c r="F12" s="16">
        <f>'- 50 -'!C12</f>
        <v>13402666</v>
      </c>
      <c r="G12" s="267">
        <f t="shared" si="0"/>
        <v>14.963803228821055</v>
      </c>
      <c r="I12" s="192" t="str">
        <f>A12</f>
        <v xml:space="preserve"> BORDER LAND</v>
      </c>
      <c r="J12" s="199">
        <f>G12</f>
        <v>14.963803228821055</v>
      </c>
      <c r="K12" s="79">
        <f>F12-'- 50 -'!C12</f>
        <v>0</v>
      </c>
    </row>
    <row r="13" spans="1:54" ht="14.1" customHeight="1">
      <c r="A13" s="271" t="s">
        <v>110</v>
      </c>
      <c r="B13" s="272">
        <v>2055161630</v>
      </c>
      <c r="C13" s="272">
        <v>87169740</v>
      </c>
      <c r="D13" s="272">
        <v>891977080</v>
      </c>
      <c r="E13" s="272">
        <v>3034308450</v>
      </c>
      <c r="F13" s="272">
        <f>'- 50 -'!C13</f>
        <v>43987372</v>
      </c>
      <c r="G13" s="273">
        <f t="shared" si="0"/>
        <v>14.496671226684288</v>
      </c>
      <c r="I13" s="192" t="str">
        <f>A13</f>
        <v xml:space="preserve"> BRANDON</v>
      </c>
      <c r="J13" s="199">
        <f>G13</f>
        <v>14.496671226684288</v>
      </c>
      <c r="K13" s="1">
        <f>F13-'- 50 -'!C13</f>
        <v>0</v>
      </c>
    </row>
    <row r="14" spans="1:54" ht="14.1" customHeight="1">
      <c r="A14" s="15" t="s">
        <v>319</v>
      </c>
      <c r="B14" s="16"/>
      <c r="C14" s="16"/>
      <c r="D14" s="16"/>
      <c r="E14" s="16"/>
      <c r="F14" s="16">
        <f>'- 50 -'!C14</f>
        <v>0</v>
      </c>
      <c r="G14" s="267"/>
      <c r="I14" s="192" t="str">
        <f t="shared" ref="I14:I45" si="1">A15</f>
        <v xml:space="preserve"> EVERGREEN</v>
      </c>
      <c r="J14" s="199">
        <f t="shared" ref="J14:J45" si="2">G15</f>
        <v>10.697684987662338</v>
      </c>
      <c r="K14" s="1">
        <f>F14-'- 50 -'!C14</f>
        <v>0</v>
      </c>
      <c r="L14" s="442"/>
    </row>
    <row r="15" spans="1:54" ht="14.1" customHeight="1">
      <c r="A15" s="271" t="s">
        <v>111</v>
      </c>
      <c r="B15" s="272">
        <v>735757380</v>
      </c>
      <c r="C15" s="272">
        <v>94236470</v>
      </c>
      <c r="D15" s="272">
        <v>115724220</v>
      </c>
      <c r="E15" s="272">
        <v>945718070</v>
      </c>
      <c r="F15" s="272">
        <f>'- 50 -'!C15</f>
        <v>10116994</v>
      </c>
      <c r="G15" s="273">
        <f t="shared" si="0"/>
        <v>10.697684987662338</v>
      </c>
      <c r="I15" s="192" t="str">
        <f t="shared" si="1"/>
        <v xml:space="preserve"> FLIN FLON</v>
      </c>
      <c r="J15" s="199">
        <f t="shared" si="2"/>
        <v>19.707525662850252</v>
      </c>
      <c r="K15" s="1">
        <f>F15-'- 50 -'!C15</f>
        <v>0</v>
      </c>
    </row>
    <row r="16" spans="1:54" ht="14.1" customHeight="1">
      <c r="A16" s="15" t="s">
        <v>112</v>
      </c>
      <c r="B16" s="16">
        <v>100926570</v>
      </c>
      <c r="C16" s="16">
        <v>0</v>
      </c>
      <c r="D16" s="16">
        <v>34365300</v>
      </c>
      <c r="E16" s="16">
        <v>135291870</v>
      </c>
      <c r="F16" s="16">
        <f>'- 50 -'!C16</f>
        <v>4102586</v>
      </c>
      <c r="G16" s="267">
        <f>(F16-H16)/E16*1000</f>
        <v>19.707525662850252</v>
      </c>
      <c r="H16" s="446">
        <v>1436318</v>
      </c>
      <c r="I16" s="192" t="str">
        <f t="shared" si="1"/>
        <v xml:space="preserve"> FORT LA BOSSE</v>
      </c>
      <c r="J16" s="199">
        <f t="shared" si="2"/>
        <v>7.7675100411131464</v>
      </c>
      <c r="K16" s="1">
        <f>F16-'- 50 -'!C16</f>
        <v>0</v>
      </c>
      <c r="L16" s="518"/>
    </row>
    <row r="17" spans="1:11" ht="14.1" customHeight="1">
      <c r="A17" s="271" t="s">
        <v>113</v>
      </c>
      <c r="B17" s="272">
        <v>336882080</v>
      </c>
      <c r="C17" s="272">
        <v>205808560</v>
      </c>
      <c r="D17" s="272">
        <v>567888420</v>
      </c>
      <c r="E17" s="272">
        <v>1110579060</v>
      </c>
      <c r="F17" s="272">
        <f>'- 50 -'!C17</f>
        <v>8626434</v>
      </c>
      <c r="G17" s="273">
        <f t="shared" si="0"/>
        <v>7.7675100411131464</v>
      </c>
      <c r="I17" s="192" t="str">
        <f t="shared" si="1"/>
        <v xml:space="preserve"> FRONTIER</v>
      </c>
      <c r="J17" s="199">
        <f t="shared" si="2"/>
        <v>13.501126808906184</v>
      </c>
      <c r="K17" s="1">
        <f>F17-'- 50 -'!C17</f>
        <v>0</v>
      </c>
    </row>
    <row r="18" spans="1:11" ht="14.1" customHeight="1">
      <c r="A18" s="15" t="s">
        <v>114</v>
      </c>
      <c r="B18" s="16">
        <v>148094620</v>
      </c>
      <c r="C18" s="16">
        <v>22066610</v>
      </c>
      <c r="D18" s="16">
        <v>73229640</v>
      </c>
      <c r="E18" s="16">
        <v>243390870</v>
      </c>
      <c r="F18" s="16">
        <f>'- 50 -'!C18</f>
        <v>3286051</v>
      </c>
      <c r="G18" s="267">
        <f t="shared" si="0"/>
        <v>13.501126808906184</v>
      </c>
      <c r="I18" s="192" t="str">
        <f t="shared" si="1"/>
        <v xml:space="preserve"> GARDEN VALLEY</v>
      </c>
      <c r="J18" s="199">
        <f t="shared" si="2"/>
        <v>15.986978437482181</v>
      </c>
      <c r="K18" s="1">
        <f>F18-'- 50 -'!C18</f>
        <v>0</v>
      </c>
    </row>
    <row r="19" spans="1:11" ht="14.1" customHeight="1">
      <c r="A19" s="271" t="s">
        <v>115</v>
      </c>
      <c r="B19" s="272">
        <v>597302200</v>
      </c>
      <c r="C19" s="272">
        <v>228537000</v>
      </c>
      <c r="D19" s="272">
        <v>299276160</v>
      </c>
      <c r="E19" s="272">
        <v>1125115360</v>
      </c>
      <c r="F19" s="272">
        <f>'- 50 -'!C19</f>
        <v>17987195</v>
      </c>
      <c r="G19" s="273">
        <f t="shared" si="0"/>
        <v>15.986978437482181</v>
      </c>
      <c r="I19" s="192" t="str">
        <f t="shared" si="1"/>
        <v xml:space="preserve"> HANOVER</v>
      </c>
      <c r="J19" s="199">
        <f t="shared" si="2"/>
        <v>14.943420292054606</v>
      </c>
      <c r="K19" s="1">
        <f>F19-'- 50 -'!C19</f>
        <v>0</v>
      </c>
    </row>
    <row r="20" spans="1:11" ht="14.1" customHeight="1">
      <c r="A20" s="15" t="s">
        <v>116</v>
      </c>
      <c r="B20" s="16">
        <v>1473692220</v>
      </c>
      <c r="C20" s="16">
        <v>201043980</v>
      </c>
      <c r="D20" s="16">
        <v>398430210</v>
      </c>
      <c r="E20" s="16">
        <v>2073166410</v>
      </c>
      <c r="F20" s="16">
        <f>'- 50 -'!C20</f>
        <v>30980197</v>
      </c>
      <c r="G20" s="267">
        <f t="shared" si="0"/>
        <v>14.943420292054606</v>
      </c>
      <c r="I20" s="192" t="str">
        <f t="shared" si="1"/>
        <v xml:space="preserve"> INTERLAKE</v>
      </c>
      <c r="J20" s="199">
        <f t="shared" si="2"/>
        <v>13.156761198914246</v>
      </c>
      <c r="K20" s="1">
        <f>F20-'- 50 -'!C20</f>
        <v>0</v>
      </c>
    </row>
    <row r="21" spans="1:11" ht="14.1" customHeight="1">
      <c r="A21" s="271" t="s">
        <v>117</v>
      </c>
      <c r="B21" s="272">
        <v>808024710</v>
      </c>
      <c r="C21" s="272">
        <v>213641450</v>
      </c>
      <c r="D21" s="272">
        <v>272372680</v>
      </c>
      <c r="E21" s="272">
        <v>1294038840</v>
      </c>
      <c r="F21" s="272">
        <f>'- 50 -'!C21</f>
        <v>17025360</v>
      </c>
      <c r="G21" s="273">
        <f>F21/E21*1000</f>
        <v>13.156761198914246</v>
      </c>
      <c r="I21" s="192" t="str">
        <f t="shared" si="1"/>
        <v xml:space="preserve"> KELSEY</v>
      </c>
      <c r="J21" s="199">
        <f t="shared" si="2"/>
        <v>17.338417914110664</v>
      </c>
      <c r="K21" s="1">
        <f>F21-'- 50 -'!C21</f>
        <v>0</v>
      </c>
    </row>
    <row r="22" spans="1:11" ht="14.1" customHeight="1">
      <c r="A22" s="15" t="s">
        <v>118</v>
      </c>
      <c r="B22" s="16">
        <v>177380850</v>
      </c>
      <c r="C22" s="16">
        <v>18771590</v>
      </c>
      <c r="D22" s="16">
        <v>66668310</v>
      </c>
      <c r="E22" s="16">
        <v>262820750</v>
      </c>
      <c r="F22" s="16">
        <f>'- 50 -'!C22</f>
        <v>4556896</v>
      </c>
      <c r="G22" s="267">
        <f t="shared" si="0"/>
        <v>17.338417914110664</v>
      </c>
      <c r="I22" s="192" t="str">
        <f t="shared" si="1"/>
        <v xml:space="preserve"> LAKESHORE</v>
      </c>
      <c r="J22" s="199">
        <f t="shared" si="2"/>
        <v>16.116129461525475</v>
      </c>
      <c r="K22" s="1">
        <f>F22-'- 50 -'!C22</f>
        <v>0</v>
      </c>
    </row>
    <row r="23" spans="1:11" ht="14.1" customHeight="1">
      <c r="A23" s="271" t="s">
        <v>119</v>
      </c>
      <c r="B23" s="272">
        <v>148995060</v>
      </c>
      <c r="C23" s="272">
        <v>102306630</v>
      </c>
      <c r="D23" s="272">
        <v>31250210</v>
      </c>
      <c r="E23" s="272">
        <v>282551900</v>
      </c>
      <c r="F23" s="272">
        <f>'- 50 -'!C23</f>
        <v>4553643</v>
      </c>
      <c r="G23" s="273">
        <f t="shared" si="0"/>
        <v>16.116129461525475</v>
      </c>
      <c r="H23" s="201"/>
      <c r="I23" s="192" t="str">
        <f t="shared" si="1"/>
        <v xml:space="preserve"> LORD SELKIRK</v>
      </c>
      <c r="J23" s="199">
        <f t="shared" si="2"/>
        <v>13.819839248448121</v>
      </c>
      <c r="K23" s="1">
        <f>H23*E23</f>
        <v>0</v>
      </c>
    </row>
    <row r="24" spans="1:11" ht="14.1" customHeight="1">
      <c r="A24" s="15" t="s">
        <v>120</v>
      </c>
      <c r="B24" s="16">
        <v>1705815380</v>
      </c>
      <c r="C24" s="16">
        <v>71863790</v>
      </c>
      <c r="D24" s="16">
        <v>251100000</v>
      </c>
      <c r="E24" s="16">
        <v>2028779170</v>
      </c>
      <c r="F24" s="16">
        <f>'- 50 -'!C24</f>
        <v>28037402</v>
      </c>
      <c r="G24" s="267">
        <f t="shared" si="0"/>
        <v>13.819839248448121</v>
      </c>
      <c r="I24" s="192" t="str">
        <f t="shared" si="1"/>
        <v xml:space="preserve"> LOUIS RIEL</v>
      </c>
      <c r="J24" s="199">
        <f t="shared" si="2"/>
        <v>12.679022158127459</v>
      </c>
      <c r="K24" s="1">
        <f>F24-'- 50 -'!C24</f>
        <v>0</v>
      </c>
    </row>
    <row r="25" spans="1:11" ht="14.1" customHeight="1">
      <c r="A25" s="271" t="s">
        <v>121</v>
      </c>
      <c r="B25" s="272">
        <v>6208694550</v>
      </c>
      <c r="C25" s="272">
        <v>19786660</v>
      </c>
      <c r="D25" s="272">
        <v>1394287470</v>
      </c>
      <c r="E25" s="272">
        <v>7622768680</v>
      </c>
      <c r="F25" s="272">
        <f>'- 50 -'!C25</f>
        <v>96649253</v>
      </c>
      <c r="G25" s="273">
        <f t="shared" si="0"/>
        <v>12.679022158127459</v>
      </c>
      <c r="I25" s="192" t="str">
        <f t="shared" si="1"/>
        <v xml:space="preserve"> MOUNTAIN VIEW</v>
      </c>
      <c r="J25" s="199">
        <f t="shared" si="2"/>
        <v>14.996851936873073</v>
      </c>
      <c r="K25" s="1">
        <f>F25-'- 50 -'!C25</f>
        <v>0</v>
      </c>
    </row>
    <row r="26" spans="1:11" ht="14.1" customHeight="1">
      <c r="A26" s="15" t="s">
        <v>122</v>
      </c>
      <c r="B26" s="16">
        <v>523023260</v>
      </c>
      <c r="C26" s="16">
        <v>345623840</v>
      </c>
      <c r="D26" s="16">
        <v>132889360</v>
      </c>
      <c r="E26" s="16">
        <v>1001536460</v>
      </c>
      <c r="F26" s="16">
        <f>'- 50 -'!C26</f>
        <v>15019894</v>
      </c>
      <c r="G26" s="267">
        <f t="shared" si="0"/>
        <v>14.996851936873073</v>
      </c>
      <c r="I26" s="192" t="str">
        <f t="shared" si="1"/>
        <v xml:space="preserve"> MYSTERY LAKE</v>
      </c>
      <c r="J26" s="199">
        <f t="shared" si="2"/>
        <v>18.528571178179497</v>
      </c>
      <c r="K26" s="1">
        <f>F26-'- 50 -'!C26</f>
        <v>0</v>
      </c>
    </row>
    <row r="27" spans="1:11" ht="14.1" customHeight="1">
      <c r="A27" s="271" t="s">
        <v>123</v>
      </c>
      <c r="B27" s="272">
        <v>325910110</v>
      </c>
      <c r="C27" s="272">
        <v>0</v>
      </c>
      <c r="D27" s="272">
        <v>143639480</v>
      </c>
      <c r="E27" s="272">
        <v>469549590</v>
      </c>
      <c r="F27" s="272">
        <f>'- 50 -'!C27</f>
        <v>8700083</v>
      </c>
      <c r="G27" s="273">
        <f t="shared" si="0"/>
        <v>18.528571178179497</v>
      </c>
      <c r="I27" s="192" t="str">
        <f t="shared" si="1"/>
        <v xml:space="preserve"> PARK WEST</v>
      </c>
      <c r="J27" s="199">
        <f t="shared" si="2"/>
        <v>10.63448002179722</v>
      </c>
      <c r="K27" s="1">
        <f>F27-'- 50 -'!C27</f>
        <v>0</v>
      </c>
    </row>
    <row r="28" spans="1:11" ht="14.1" customHeight="1">
      <c r="A28" s="15" t="s">
        <v>124</v>
      </c>
      <c r="B28" s="16">
        <v>267075420</v>
      </c>
      <c r="C28" s="16">
        <v>377927070</v>
      </c>
      <c r="D28" s="16">
        <v>194480680</v>
      </c>
      <c r="E28" s="16">
        <v>839483170</v>
      </c>
      <c r="F28" s="16">
        <f>'- 50 -'!C28</f>
        <v>8927467</v>
      </c>
      <c r="G28" s="267">
        <f t="shared" si="0"/>
        <v>10.63448002179722</v>
      </c>
      <c r="I28" s="192" t="str">
        <f t="shared" si="1"/>
        <v xml:space="preserve"> PEMBINA TRAILS</v>
      </c>
      <c r="J28" s="199">
        <f t="shared" si="2"/>
        <v>12.001809868751904</v>
      </c>
      <c r="K28" s="1">
        <f>F28-'- 50 -'!C28</f>
        <v>0</v>
      </c>
    </row>
    <row r="29" spans="1:11" ht="14.1" customHeight="1">
      <c r="A29" s="271" t="s">
        <v>125</v>
      </c>
      <c r="B29" s="272">
        <v>6366332960</v>
      </c>
      <c r="C29" s="272">
        <v>21505590</v>
      </c>
      <c r="D29" s="272">
        <v>1468488040</v>
      </c>
      <c r="E29" s="272">
        <v>7856326590</v>
      </c>
      <c r="F29" s="272">
        <f>'- 50 -'!C29</f>
        <v>94290138</v>
      </c>
      <c r="G29" s="273">
        <f t="shared" si="0"/>
        <v>12.001809868751904</v>
      </c>
      <c r="I29" s="192" t="str">
        <f t="shared" si="1"/>
        <v xml:space="preserve"> PINE CREEK</v>
      </c>
      <c r="J29" s="199">
        <f t="shared" si="2"/>
        <v>13.831392067473258</v>
      </c>
    </row>
    <row r="30" spans="1:11" ht="14.1" customHeight="1">
      <c r="A30" s="15" t="s">
        <v>126</v>
      </c>
      <c r="B30" s="16">
        <v>151665570</v>
      </c>
      <c r="C30" s="16">
        <v>221450580</v>
      </c>
      <c r="D30" s="16">
        <v>95687060</v>
      </c>
      <c r="E30" s="16">
        <v>468803210</v>
      </c>
      <c r="F30" s="16">
        <f>'- 50 -'!C30</f>
        <v>6484201</v>
      </c>
      <c r="G30" s="267">
        <f>F30/E30*1000</f>
        <v>13.831392067473258</v>
      </c>
      <c r="I30" s="192" t="str">
        <f t="shared" si="1"/>
        <v xml:space="preserve"> PORTAGE LA PRAIRIE</v>
      </c>
      <c r="J30" s="199">
        <f t="shared" si="2"/>
        <v>13.22893093788228</v>
      </c>
      <c r="K30" s="1">
        <f>F30-'- 50 -'!C30</f>
        <v>0</v>
      </c>
    </row>
    <row r="31" spans="1:11" ht="14.1" customHeight="1">
      <c r="A31" s="271" t="s">
        <v>127</v>
      </c>
      <c r="B31" s="272">
        <v>585226820</v>
      </c>
      <c r="C31" s="272">
        <v>325531910</v>
      </c>
      <c r="D31" s="272">
        <v>340909230</v>
      </c>
      <c r="E31" s="272">
        <v>1251667960</v>
      </c>
      <c r="F31" s="272">
        <f>'- 50 -'!C31</f>
        <v>16558229</v>
      </c>
      <c r="G31" s="273">
        <f>F31/E31*1000</f>
        <v>13.22893093788228</v>
      </c>
      <c r="I31" s="192" t="str">
        <f t="shared" si="1"/>
        <v xml:space="preserve"> PRAIRIE ROSE</v>
      </c>
      <c r="J31" s="199">
        <f t="shared" si="2"/>
        <v>11.56324914800193</v>
      </c>
      <c r="K31" s="1">
        <f>F31-'- 50 -'!C31</f>
        <v>0</v>
      </c>
    </row>
    <row r="32" spans="1:11" ht="14.1" customHeight="1">
      <c r="A32" s="15" t="s">
        <v>128</v>
      </c>
      <c r="B32" s="16">
        <v>503667080</v>
      </c>
      <c r="C32" s="16">
        <v>663034440</v>
      </c>
      <c r="D32" s="16">
        <v>146423520</v>
      </c>
      <c r="E32" s="16">
        <v>1313125040</v>
      </c>
      <c r="F32" s="16">
        <f>'- 50 -'!C32</f>
        <v>15183992</v>
      </c>
      <c r="G32" s="267">
        <f t="shared" si="0"/>
        <v>11.56324914800193</v>
      </c>
      <c r="I32" s="192" t="str">
        <f t="shared" si="1"/>
        <v xml:space="preserve"> PRAIRIE SPIRIT</v>
      </c>
      <c r="J32" s="199">
        <f t="shared" si="2"/>
        <v>10.569852746667964</v>
      </c>
      <c r="K32" s="1">
        <f>F32-'- 50 -'!C32</f>
        <v>0</v>
      </c>
    </row>
    <row r="33" spans="1:11" ht="14.1" customHeight="1">
      <c r="A33" s="271" t="s">
        <v>129</v>
      </c>
      <c r="B33" s="272">
        <v>320360930</v>
      </c>
      <c r="C33" s="272">
        <v>800378570</v>
      </c>
      <c r="D33" s="272">
        <v>174002000</v>
      </c>
      <c r="E33" s="272">
        <v>1294741500</v>
      </c>
      <c r="F33" s="272">
        <f>'- 50 -'!C33</f>
        <v>13685227</v>
      </c>
      <c r="G33" s="273">
        <f t="shared" si="0"/>
        <v>10.569852746667964</v>
      </c>
      <c r="I33" s="192" t="str">
        <f t="shared" si="1"/>
        <v xml:space="preserve"> RED RIVER VALLEY</v>
      </c>
      <c r="J33" s="199">
        <f t="shared" si="2"/>
        <v>12.966003036364162</v>
      </c>
      <c r="K33" s="1">
        <f>F33-'- 50 -'!C33</f>
        <v>0</v>
      </c>
    </row>
    <row r="34" spans="1:11" ht="14.1" customHeight="1">
      <c r="A34" s="15" t="s">
        <v>130</v>
      </c>
      <c r="B34" s="16">
        <v>512844060</v>
      </c>
      <c r="C34" s="16">
        <v>572911260</v>
      </c>
      <c r="D34" s="16">
        <v>267422290</v>
      </c>
      <c r="E34" s="16">
        <v>1353177610</v>
      </c>
      <c r="F34" s="16">
        <f>'- 50 -'!C34</f>
        <v>17545305</v>
      </c>
      <c r="G34" s="267">
        <f t="shared" si="0"/>
        <v>12.966003036364162</v>
      </c>
      <c r="I34" s="192" t="str">
        <f t="shared" si="1"/>
        <v xml:space="preserve"> RIVER EAST TRANSCONA</v>
      </c>
      <c r="J34" s="199">
        <f t="shared" si="2"/>
        <v>12.851057459864924</v>
      </c>
      <c r="K34" s="1">
        <f>F34-'- 50 -'!C34</f>
        <v>0</v>
      </c>
    </row>
    <row r="35" spans="1:11" ht="14.1" customHeight="1">
      <c r="A35" s="271" t="s">
        <v>131</v>
      </c>
      <c r="B35" s="272">
        <v>5459112110</v>
      </c>
      <c r="C35" s="272">
        <v>16118560</v>
      </c>
      <c r="D35" s="272">
        <v>1082984190</v>
      </c>
      <c r="E35" s="272">
        <v>6558214860</v>
      </c>
      <c r="F35" s="272">
        <f>'- 50 -'!C35</f>
        <v>84279996</v>
      </c>
      <c r="G35" s="273">
        <f t="shared" si="0"/>
        <v>12.851057459864924</v>
      </c>
      <c r="I35" s="192" t="str">
        <f t="shared" si="1"/>
        <v xml:space="preserve"> ROLLING RIVER</v>
      </c>
      <c r="J35" s="199">
        <f t="shared" si="2"/>
        <v>11.298269102446946</v>
      </c>
      <c r="K35" s="1">
        <f>F35-'- 50 -'!C35</f>
        <v>0</v>
      </c>
    </row>
    <row r="36" spans="1:11" ht="14.1" customHeight="1">
      <c r="A36" s="15" t="s">
        <v>132</v>
      </c>
      <c r="B36" s="16">
        <v>483486740</v>
      </c>
      <c r="C36" s="16">
        <v>267341580</v>
      </c>
      <c r="D36" s="16">
        <v>182069180</v>
      </c>
      <c r="E36" s="16">
        <v>932897500</v>
      </c>
      <c r="F36" s="16">
        <f>'- 50 -'!C36</f>
        <v>10540127</v>
      </c>
      <c r="G36" s="267">
        <f t="shared" si="0"/>
        <v>11.298269102446946</v>
      </c>
      <c r="I36" s="192" t="str">
        <f t="shared" si="1"/>
        <v xml:space="preserve"> SEINE RIVER</v>
      </c>
      <c r="J36" s="199">
        <f t="shared" si="2"/>
        <v>14.036827695365218</v>
      </c>
      <c r="K36" s="1">
        <f>F36-'- 50 -'!C36</f>
        <v>0</v>
      </c>
    </row>
    <row r="37" spans="1:11" ht="14.1" customHeight="1">
      <c r="A37" s="271" t="s">
        <v>133</v>
      </c>
      <c r="B37" s="272">
        <v>1369032570</v>
      </c>
      <c r="C37" s="272">
        <v>140289630</v>
      </c>
      <c r="D37" s="272">
        <v>182241700</v>
      </c>
      <c r="E37" s="272">
        <v>1691563900</v>
      </c>
      <c r="F37" s="272">
        <f>'- 50 -'!C37</f>
        <v>23744191</v>
      </c>
      <c r="G37" s="273">
        <f t="shared" si="0"/>
        <v>14.036827695365218</v>
      </c>
      <c r="I37" s="192" t="str">
        <f t="shared" si="1"/>
        <v xml:space="preserve"> SEVEN OAKS</v>
      </c>
      <c r="J37" s="199">
        <f t="shared" si="2"/>
        <v>15.238621334558534</v>
      </c>
      <c r="K37" s="1">
        <f>F37-'- 50 -'!C37</f>
        <v>0</v>
      </c>
    </row>
    <row r="38" spans="1:11" ht="14.1" customHeight="1">
      <c r="A38" s="15" t="s">
        <v>134</v>
      </c>
      <c r="B38" s="16">
        <v>2942220230</v>
      </c>
      <c r="C38" s="16">
        <v>15101530</v>
      </c>
      <c r="D38" s="16">
        <v>392616130</v>
      </c>
      <c r="E38" s="16">
        <v>3349937890</v>
      </c>
      <c r="F38" s="16">
        <f>'- 50 -'!C38</f>
        <v>51048435</v>
      </c>
      <c r="G38" s="267">
        <f t="shared" si="0"/>
        <v>15.238621334558534</v>
      </c>
      <c r="I38" s="192" t="str">
        <f t="shared" si="1"/>
        <v xml:space="preserve"> SOUTHWEST HORIZON</v>
      </c>
      <c r="J38" s="199">
        <f t="shared" si="2"/>
        <v>10.001962097911349</v>
      </c>
      <c r="K38" s="1">
        <f>F38-'- 50 -'!C38</f>
        <v>0</v>
      </c>
    </row>
    <row r="39" spans="1:11" ht="14.1" customHeight="1">
      <c r="A39" s="271" t="s">
        <v>135</v>
      </c>
      <c r="B39" s="272">
        <v>330672730</v>
      </c>
      <c r="C39" s="272">
        <v>472083470</v>
      </c>
      <c r="D39" s="272">
        <v>424960310</v>
      </c>
      <c r="E39" s="272">
        <v>1227716510</v>
      </c>
      <c r="F39" s="272">
        <f>'- 50 -'!C39</f>
        <v>12279574</v>
      </c>
      <c r="G39" s="273">
        <f t="shared" si="0"/>
        <v>10.001962097911349</v>
      </c>
      <c r="I39" s="192" t="str">
        <f t="shared" si="1"/>
        <v xml:space="preserve"> ST. JAMES-ASSINIBOIA</v>
      </c>
      <c r="J39" s="199">
        <f t="shared" si="2"/>
        <v>12.243473305972472</v>
      </c>
      <c r="K39" s="1">
        <f>F39-'- 50 -'!C39</f>
        <v>0</v>
      </c>
    </row>
    <row r="40" spans="1:11" ht="14.1" customHeight="1">
      <c r="A40" s="15" t="s">
        <v>136</v>
      </c>
      <c r="B40" s="16">
        <v>2960006960</v>
      </c>
      <c r="C40" s="16">
        <v>21920610</v>
      </c>
      <c r="D40" s="16">
        <v>1581603350</v>
      </c>
      <c r="E40" s="16">
        <v>4563530920</v>
      </c>
      <c r="F40" s="16">
        <f>'- 50 -'!C40</f>
        <v>55873469</v>
      </c>
      <c r="G40" s="267">
        <f t="shared" si="0"/>
        <v>12.243473305972472</v>
      </c>
      <c r="I40" s="192" t="str">
        <f t="shared" si="1"/>
        <v xml:space="preserve"> SUNRISE</v>
      </c>
      <c r="J40" s="199">
        <f t="shared" si="2"/>
        <v>13.294637840180883</v>
      </c>
      <c r="K40" s="1">
        <f>F40-'- 50 -'!C40</f>
        <v>0</v>
      </c>
    </row>
    <row r="41" spans="1:11" ht="14.1" customHeight="1">
      <c r="A41" s="271" t="s">
        <v>137</v>
      </c>
      <c r="B41" s="272">
        <v>1851318370</v>
      </c>
      <c r="C41" s="272">
        <v>241399580</v>
      </c>
      <c r="D41" s="272">
        <v>439352980</v>
      </c>
      <c r="E41" s="272">
        <v>2532070930</v>
      </c>
      <c r="F41" s="272">
        <f>'- 50 -'!C41</f>
        <v>33662966</v>
      </c>
      <c r="G41" s="273">
        <f t="shared" si="0"/>
        <v>13.294637840180883</v>
      </c>
      <c r="I41" s="192" t="str">
        <f t="shared" si="1"/>
        <v xml:space="preserve"> SWAN VALLEY</v>
      </c>
      <c r="J41" s="199">
        <f t="shared" si="2"/>
        <v>13.435665187773052</v>
      </c>
      <c r="K41" s="1">
        <f>F41-'- 50 -'!C41</f>
        <v>0</v>
      </c>
    </row>
    <row r="42" spans="1:11" ht="14.1" customHeight="1">
      <c r="A42" s="15" t="s">
        <v>138</v>
      </c>
      <c r="B42" s="16">
        <v>224375780</v>
      </c>
      <c r="C42" s="16">
        <v>224600590</v>
      </c>
      <c r="D42" s="16">
        <v>81636510</v>
      </c>
      <c r="E42" s="16">
        <v>530612880</v>
      </c>
      <c r="F42" s="16">
        <f>'- 50 -'!C42</f>
        <v>7129137</v>
      </c>
      <c r="G42" s="267">
        <f t="shared" si="0"/>
        <v>13.435665187773052</v>
      </c>
      <c r="I42" s="192" t="str">
        <f t="shared" si="1"/>
        <v xml:space="preserve"> TURTLE MOUNTAIN</v>
      </c>
      <c r="J42" s="199">
        <f t="shared" si="2"/>
        <v>11.520951505411723</v>
      </c>
      <c r="K42" s="1">
        <f>F42-'- 50 -'!C42</f>
        <v>0</v>
      </c>
    </row>
    <row r="43" spans="1:11" ht="14.1" customHeight="1">
      <c r="A43" s="271" t="s">
        <v>139</v>
      </c>
      <c r="B43" s="272">
        <v>234970150</v>
      </c>
      <c r="C43" s="272">
        <v>277182960</v>
      </c>
      <c r="D43" s="272">
        <v>65383910</v>
      </c>
      <c r="E43" s="272">
        <v>577537020</v>
      </c>
      <c r="F43" s="272">
        <f>'- 50 -'!C43</f>
        <v>6653776</v>
      </c>
      <c r="G43" s="273">
        <f t="shared" si="0"/>
        <v>11.520951505411723</v>
      </c>
      <c r="I43" s="192" t="str">
        <f t="shared" si="1"/>
        <v xml:space="preserve"> TURTLE RIVER</v>
      </c>
      <c r="J43" s="199">
        <f t="shared" si="2"/>
        <v>15.943048102976809</v>
      </c>
      <c r="K43" s="1">
        <f>F43-'- 50 -'!C43</f>
        <v>0</v>
      </c>
    </row>
    <row r="44" spans="1:11" ht="14.1" customHeight="1">
      <c r="A44" s="15" t="s">
        <v>140</v>
      </c>
      <c r="B44" s="16">
        <v>95491560</v>
      </c>
      <c r="C44" s="16">
        <v>92934530</v>
      </c>
      <c r="D44" s="16">
        <v>13752250</v>
      </c>
      <c r="E44" s="16">
        <v>202178340</v>
      </c>
      <c r="F44" s="16">
        <f>'- 50 -'!C44</f>
        <v>3223339</v>
      </c>
      <c r="G44" s="267">
        <f t="shared" si="0"/>
        <v>15.943048102976809</v>
      </c>
      <c r="I44" s="192" t="str">
        <f t="shared" si="1"/>
        <v xml:space="preserve"> WESTERN</v>
      </c>
      <c r="J44" s="199">
        <f t="shared" si="2"/>
        <v>15.993254874992084</v>
      </c>
      <c r="K44" s="1">
        <f>F44-'- 50 -'!C44</f>
        <v>0</v>
      </c>
    </row>
    <row r="45" spans="1:11" ht="14.1" customHeight="1">
      <c r="A45" s="271" t="s">
        <v>141</v>
      </c>
      <c r="B45" s="272">
        <v>330187440</v>
      </c>
      <c r="C45" s="272">
        <v>92269630</v>
      </c>
      <c r="D45" s="272">
        <v>98873520</v>
      </c>
      <c r="E45" s="272">
        <v>521330590</v>
      </c>
      <c r="F45" s="272">
        <f>'- 50 -'!C45</f>
        <v>8337773</v>
      </c>
      <c r="G45" s="273">
        <f t="shared" si="0"/>
        <v>15.993254874992084</v>
      </c>
      <c r="I45" s="192" t="str">
        <f t="shared" si="1"/>
        <v xml:space="preserve"> WINNIPEG</v>
      </c>
      <c r="J45" s="199">
        <f t="shared" si="2"/>
        <v>14.190948621361464</v>
      </c>
      <c r="K45" s="1">
        <f>F45-'- 50 -'!C45</f>
        <v>0</v>
      </c>
    </row>
    <row r="46" spans="1:11" ht="14.1" customHeight="1">
      <c r="A46" s="15" t="s">
        <v>142</v>
      </c>
      <c r="B46" s="16">
        <v>7134935210</v>
      </c>
      <c r="C46" s="16">
        <v>5527170</v>
      </c>
      <c r="D46" s="16">
        <v>4965888970</v>
      </c>
      <c r="E46" s="16">
        <v>12106351350</v>
      </c>
      <c r="F46" s="16">
        <f>'- 50 -'!C46</f>
        <v>171800610</v>
      </c>
      <c r="G46" s="267">
        <f t="shared" si="0"/>
        <v>14.190948621361464</v>
      </c>
      <c r="K46" s="1">
        <f>F46-'- 50 -'!C46</f>
        <v>0</v>
      </c>
    </row>
    <row r="47" spans="1:11" ht="5.0999999999999996" customHeight="1">
      <c r="A47"/>
      <c r="B47"/>
      <c r="C47"/>
      <c r="D47"/>
      <c r="E47"/>
      <c r="F47"/>
      <c r="G47"/>
      <c r="K47" s="1">
        <f>F47-'- 50 -'!C47</f>
        <v>0</v>
      </c>
    </row>
    <row r="48" spans="1:11" ht="14.1" customHeight="1">
      <c r="A48" s="274" t="s">
        <v>147</v>
      </c>
      <c r="B48" s="275">
        <f>SUM(B11:B46)</f>
        <v>48098484930</v>
      </c>
      <c r="C48" s="275">
        <f>SUM(C11:C46)</f>
        <v>7091429890</v>
      </c>
      <c r="D48" s="275">
        <f>SUM(D11:D46)</f>
        <v>17223505710</v>
      </c>
      <c r="E48" s="275">
        <f>SUM(E11:E46)</f>
        <v>72413420530</v>
      </c>
      <c r="F48" s="275">
        <f>SUM(F11:F46)</f>
        <v>956488896</v>
      </c>
      <c r="G48" s="276">
        <f>F48/E48*1000</f>
        <v>13.20872414256054</v>
      </c>
      <c r="K48" s="1">
        <f>F48-'- 50 -'!C48</f>
        <v>0</v>
      </c>
    </row>
    <row r="49" spans="1:10" ht="5.0999999999999996" customHeight="1">
      <c r="A49" s="127"/>
      <c r="B49" s="140"/>
      <c r="C49" s="140"/>
      <c r="D49" s="140"/>
      <c r="E49" s="140"/>
      <c r="F49" s="140"/>
      <c r="G49"/>
    </row>
    <row r="50" spans="1:10" ht="14.1" customHeight="1">
      <c r="A50" s="15" t="s">
        <v>145</v>
      </c>
      <c r="B50" s="16">
        <v>64661530</v>
      </c>
      <c r="C50" s="16">
        <v>383760</v>
      </c>
      <c r="D50" s="16">
        <v>3879610</v>
      </c>
      <c r="E50" s="16">
        <v>68924900</v>
      </c>
      <c r="F50"/>
      <c r="G50"/>
    </row>
    <row r="51" spans="1:10" ht="14.1" customHeight="1">
      <c r="A51" s="271" t="s">
        <v>146</v>
      </c>
      <c r="B51" s="272">
        <v>18764980</v>
      </c>
      <c r="C51" s="272">
        <v>14995580</v>
      </c>
      <c r="D51" s="272">
        <v>54144440</v>
      </c>
      <c r="E51" s="272">
        <v>87905000</v>
      </c>
      <c r="F51"/>
      <c r="G51"/>
    </row>
    <row r="52" spans="1:10" ht="5.0999999999999996" customHeight="1">
      <c r="A52" s="127"/>
      <c r="B52" s="140"/>
      <c r="C52" s="140"/>
      <c r="D52" s="140"/>
      <c r="E52" s="140"/>
      <c r="F52"/>
      <c r="G52"/>
    </row>
    <row r="53" spans="1:10" ht="14.1" customHeight="1">
      <c r="A53" s="274" t="s">
        <v>143</v>
      </c>
      <c r="B53" s="275">
        <f>SUM(B48,B50:B51)</f>
        <v>48181911440</v>
      </c>
      <c r="C53" s="275">
        <f>SUM(C48,C50:C51)</f>
        <v>7106809230</v>
      </c>
      <c r="D53" s="275">
        <f>SUM(D48,D50:D51)</f>
        <v>17281529760</v>
      </c>
      <c r="E53" s="275">
        <f>SUM(E48,E50:E51)</f>
        <v>72570250430</v>
      </c>
      <c r="F53" s="428"/>
      <c r="G53" s="428"/>
    </row>
    <row r="54" spans="1:10" ht="30" customHeight="1">
      <c r="A54" s="19"/>
      <c r="B54" s="19"/>
      <c r="C54" s="19"/>
      <c r="D54" s="19"/>
      <c r="E54" s="19"/>
      <c r="F54" s="19"/>
      <c r="G54" s="19"/>
    </row>
    <row r="55" spans="1:10" ht="15" customHeight="1">
      <c r="A55" s="749" t="s">
        <v>579</v>
      </c>
      <c r="B55" s="750"/>
      <c r="C55" s="750"/>
      <c r="D55" s="750"/>
      <c r="E55" s="750"/>
      <c r="F55" s="750"/>
      <c r="G55" s="750"/>
      <c r="H55" s="31"/>
      <c r="I55" s="31"/>
      <c r="J55" s="31"/>
    </row>
    <row r="56" spans="1:10" ht="12" customHeight="1">
      <c r="A56" s="751"/>
      <c r="B56" s="751"/>
      <c r="C56" s="751"/>
      <c r="D56" s="751"/>
      <c r="E56" s="751"/>
      <c r="F56" s="751"/>
      <c r="G56" s="751"/>
      <c r="H56" s="31"/>
      <c r="I56" s="31"/>
      <c r="J56" s="31"/>
    </row>
    <row r="57" spans="1:10" ht="12" customHeight="1">
      <c r="A57" s="1" t="s">
        <v>332</v>
      </c>
      <c r="B57" s="31"/>
      <c r="C57" s="31"/>
      <c r="D57" s="31"/>
      <c r="E57" s="31"/>
      <c r="F57" s="31"/>
      <c r="G57" s="31"/>
      <c r="H57" s="31"/>
      <c r="I57" s="31"/>
      <c r="J57" s="31"/>
    </row>
  </sheetData>
  <mergeCells count="6">
    <mergeCell ref="A55:G56"/>
    <mergeCell ref="B6:E6"/>
    <mergeCell ref="B7:B9"/>
    <mergeCell ref="C7:C9"/>
    <mergeCell ref="F8:F9"/>
    <mergeCell ref="G7:G9"/>
  </mergeCells>
  <phoneticPr fontId="0" type="noConversion"/>
  <printOptions horizontalCentered="1"/>
  <pageMargins left="0.5" right="0.5" top="0.6" bottom="0" header="0.3" footer="0"/>
  <pageSetup scale="89" orientation="portrait" r:id="rId1"/>
  <headerFooter alignWithMargins="0">
    <oddHeader>&amp;C&amp;"Arial,Bold"&amp;10&amp;A</oddHeader>
  </headerFooter>
  <legacyDrawing r:id="rId2"/>
</worksheet>
</file>

<file path=xl/worksheets/sheet42.xml><?xml version="1.0" encoding="utf-8"?>
<worksheet xmlns="http://schemas.openxmlformats.org/spreadsheetml/2006/main" xmlns:r="http://schemas.openxmlformats.org/officeDocument/2006/relationships">
  <sheetPr codeName="Sheet55"/>
  <dimension ref="A1:BB56"/>
  <sheetViews>
    <sheetView showGridLines="0" showZeros="0" workbookViewId="0"/>
  </sheetViews>
  <sheetFormatPr defaultColWidth="13.6640625" defaultRowHeight="12"/>
  <cols>
    <col min="1" max="1" width="37.5" style="1" customWidth="1"/>
    <col min="2" max="2" width="23.1640625" style="1" customWidth="1"/>
    <col min="3" max="3" width="19.83203125" style="1" customWidth="1"/>
    <col min="4" max="4" width="19.6640625" style="1" customWidth="1"/>
    <col min="5" max="5" width="13.6640625" style="1"/>
    <col min="6" max="6" width="15.6640625" style="1" customWidth="1"/>
    <col min="7" max="16384" width="13.6640625" style="1"/>
  </cols>
  <sheetData>
    <row r="1" spans="1:54" ht="6.95" customHeight="1">
      <c r="A1" s="3"/>
    </row>
    <row r="2" spans="1:54" ht="15.95" customHeight="1">
      <c r="A2" s="760" t="str">
        <f>IF(Lang=1,BA2,BB2)</f>
        <v>NET SPECIAL LEVY</v>
      </c>
      <c r="B2" s="760"/>
      <c r="C2" s="760"/>
      <c r="D2" s="760"/>
      <c r="E2" s="760"/>
      <c r="F2" s="760"/>
      <c r="BA2" s="460" t="s">
        <v>300</v>
      </c>
      <c r="BB2" s="456" t="s">
        <v>479</v>
      </c>
    </row>
    <row r="3" spans="1:54" ht="15.95" customHeight="1">
      <c r="A3" s="761" t="str">
        <f>TAXYEAR</f>
        <v xml:space="preserve">FOR THE 2016 TAXATION YEAR (2016 IS A REASSESSMENT YEAR) </v>
      </c>
      <c r="B3" s="761"/>
      <c r="C3" s="761"/>
      <c r="D3" s="761"/>
      <c r="E3" s="761"/>
      <c r="F3" s="761"/>
    </row>
    <row r="4" spans="1:54" ht="15.95" customHeight="1">
      <c r="B4" s="4"/>
      <c r="C4" s="4"/>
      <c r="D4" s="4"/>
    </row>
    <row r="5" spans="1:54" ht="15.95" customHeight="1">
      <c r="B5" s="4"/>
      <c r="C5" s="4"/>
      <c r="D5" s="4"/>
    </row>
    <row r="6" spans="1:54" ht="15.95" customHeight="1">
      <c r="B6" s="373"/>
      <c r="C6" s="373"/>
      <c r="D6" s="373"/>
    </row>
    <row r="7" spans="1:54" ht="15.95" customHeight="1">
      <c r="B7" s="322"/>
      <c r="C7" s="371"/>
      <c r="D7" s="316"/>
    </row>
    <row r="8" spans="1:54" ht="15.95" customHeight="1">
      <c r="A8" s="12"/>
      <c r="B8" s="762" t="s">
        <v>476</v>
      </c>
      <c r="C8" s="742" t="s">
        <v>477</v>
      </c>
      <c r="D8" s="742" t="s">
        <v>478</v>
      </c>
    </row>
    <row r="9" spans="1:54" ht="15.95" customHeight="1">
      <c r="A9" s="13" t="s">
        <v>37</v>
      </c>
      <c r="B9" s="763"/>
      <c r="C9" s="605"/>
      <c r="D9" s="603"/>
    </row>
    <row r="10" spans="1:54" ht="5.0999999999999996" customHeight="1">
      <c r="A10" s="14"/>
      <c r="B10" s="182"/>
      <c r="C10" s="182"/>
      <c r="D10" s="182"/>
    </row>
    <row r="11" spans="1:54" ht="14.1" customHeight="1">
      <c r="A11" s="271" t="s">
        <v>108</v>
      </c>
      <c r="B11" s="272">
        <f>+C11+D11</f>
        <v>8713249</v>
      </c>
      <c r="C11" s="272">
        <v>504331</v>
      </c>
      <c r="D11" s="272">
        <v>8208918</v>
      </c>
    </row>
    <row r="12" spans="1:54" ht="14.1" customHeight="1">
      <c r="A12" s="15" t="s">
        <v>109</v>
      </c>
      <c r="B12" s="16">
        <f t="shared" ref="B12:B46" si="0">+C12+D12</f>
        <v>16139621</v>
      </c>
      <c r="C12" s="16">
        <v>2736955</v>
      </c>
      <c r="D12" s="16">
        <v>13402666</v>
      </c>
    </row>
    <row r="13" spans="1:54" ht="14.1" customHeight="1">
      <c r="A13" s="271" t="s">
        <v>110</v>
      </c>
      <c r="B13" s="272">
        <f t="shared" si="0"/>
        <v>45835385</v>
      </c>
      <c r="C13" s="272">
        <v>1848013</v>
      </c>
      <c r="D13" s="272">
        <v>43987372</v>
      </c>
    </row>
    <row r="14" spans="1:54" ht="14.1" customHeight="1">
      <c r="A14" s="15" t="s">
        <v>319</v>
      </c>
      <c r="B14" s="16">
        <f t="shared" si="0"/>
        <v>0</v>
      </c>
      <c r="C14" s="16">
        <v>0</v>
      </c>
      <c r="D14" s="16">
        <v>0</v>
      </c>
    </row>
    <row r="15" spans="1:54" ht="14.1" customHeight="1">
      <c r="A15" s="271" t="s">
        <v>111</v>
      </c>
      <c r="B15" s="272">
        <f t="shared" si="0"/>
        <v>11712311</v>
      </c>
      <c r="C15" s="272">
        <v>1595317</v>
      </c>
      <c r="D15" s="272">
        <v>10116994</v>
      </c>
    </row>
    <row r="16" spans="1:54" ht="14.1" customHeight="1">
      <c r="A16" s="15" t="s">
        <v>112</v>
      </c>
      <c r="B16" s="16">
        <f t="shared" si="0"/>
        <v>4855299</v>
      </c>
      <c r="C16" s="16">
        <v>752713</v>
      </c>
      <c r="D16" s="16">
        <v>4102586</v>
      </c>
    </row>
    <row r="17" spans="1:4" ht="14.1" customHeight="1">
      <c r="A17" s="271" t="s">
        <v>113</v>
      </c>
      <c r="B17" s="272">
        <f t="shared" si="0"/>
        <v>9114219</v>
      </c>
      <c r="C17" s="272">
        <v>487785</v>
      </c>
      <c r="D17" s="272">
        <v>8626434</v>
      </c>
    </row>
    <row r="18" spans="1:4" ht="14.1" customHeight="1">
      <c r="A18" s="15" t="s">
        <v>114</v>
      </c>
      <c r="B18" s="16">
        <f t="shared" si="0"/>
        <v>3604525</v>
      </c>
      <c r="C18" s="16">
        <v>318474</v>
      </c>
      <c r="D18" s="16">
        <v>3286051</v>
      </c>
    </row>
    <row r="19" spans="1:4" ht="14.1" customHeight="1">
      <c r="A19" s="271" t="s">
        <v>115</v>
      </c>
      <c r="B19" s="272">
        <f t="shared" si="0"/>
        <v>18633368</v>
      </c>
      <c r="C19" s="272">
        <v>646173</v>
      </c>
      <c r="D19" s="272">
        <v>17987195</v>
      </c>
    </row>
    <row r="20" spans="1:4" ht="14.1" customHeight="1">
      <c r="A20" s="15" t="s">
        <v>116</v>
      </c>
      <c r="B20" s="16">
        <f t="shared" si="0"/>
        <v>32488323</v>
      </c>
      <c r="C20" s="16">
        <v>1508126</v>
      </c>
      <c r="D20" s="16">
        <v>30980197</v>
      </c>
    </row>
    <row r="21" spans="1:4" ht="14.1" customHeight="1">
      <c r="A21" s="271" t="s">
        <v>117</v>
      </c>
      <c r="B21" s="272">
        <f t="shared" si="0"/>
        <v>18314911</v>
      </c>
      <c r="C21" s="272">
        <v>1289551</v>
      </c>
      <c r="D21" s="272">
        <v>17025360</v>
      </c>
    </row>
    <row r="22" spans="1:4" ht="14.1" customHeight="1">
      <c r="A22" s="15" t="s">
        <v>118</v>
      </c>
      <c r="B22" s="16">
        <f t="shared" si="0"/>
        <v>4866303</v>
      </c>
      <c r="C22" s="16">
        <v>309407</v>
      </c>
      <c r="D22" s="16">
        <v>4556896</v>
      </c>
    </row>
    <row r="23" spans="1:4" ht="14.1" customHeight="1">
      <c r="A23" s="271" t="s">
        <v>119</v>
      </c>
      <c r="B23" s="272">
        <f t="shared" si="0"/>
        <v>4993716</v>
      </c>
      <c r="C23" s="272">
        <v>440073</v>
      </c>
      <c r="D23" s="272">
        <v>4553643</v>
      </c>
    </row>
    <row r="24" spans="1:4" ht="14.1" customHeight="1">
      <c r="A24" s="15" t="s">
        <v>120</v>
      </c>
      <c r="B24" s="16">
        <f t="shared" si="0"/>
        <v>30730305</v>
      </c>
      <c r="C24" s="16">
        <v>2692903</v>
      </c>
      <c r="D24" s="16">
        <v>28037402</v>
      </c>
    </row>
    <row r="25" spans="1:4" ht="14.1" customHeight="1">
      <c r="A25" s="271" t="s">
        <v>121</v>
      </c>
      <c r="B25" s="272">
        <f t="shared" si="0"/>
        <v>103190256</v>
      </c>
      <c r="C25" s="272">
        <v>6541003</v>
      </c>
      <c r="D25" s="272">
        <v>96649253</v>
      </c>
    </row>
    <row r="26" spans="1:4" ht="14.1" customHeight="1">
      <c r="A26" s="15" t="s">
        <v>122</v>
      </c>
      <c r="B26" s="16">
        <f t="shared" si="0"/>
        <v>15710254</v>
      </c>
      <c r="C26" s="16">
        <v>690360</v>
      </c>
      <c r="D26" s="16">
        <v>15019894</v>
      </c>
    </row>
    <row r="27" spans="1:4" ht="14.1" customHeight="1">
      <c r="A27" s="271" t="s">
        <v>123</v>
      </c>
      <c r="B27" s="272">
        <f t="shared" si="0"/>
        <v>9786133</v>
      </c>
      <c r="C27" s="272">
        <v>1086050</v>
      </c>
      <c r="D27" s="272">
        <v>8700083</v>
      </c>
    </row>
    <row r="28" spans="1:4" ht="14.1" customHeight="1">
      <c r="A28" s="15" t="s">
        <v>124</v>
      </c>
      <c r="B28" s="16">
        <f t="shared" si="0"/>
        <v>9744820</v>
      </c>
      <c r="C28" s="16">
        <v>817353</v>
      </c>
      <c r="D28" s="16">
        <v>8927467</v>
      </c>
    </row>
    <row r="29" spans="1:4" ht="14.1" customHeight="1">
      <c r="A29" s="271" t="s">
        <v>125</v>
      </c>
      <c r="B29" s="272">
        <f t="shared" si="0"/>
        <v>99149827</v>
      </c>
      <c r="C29" s="272">
        <v>4859689</v>
      </c>
      <c r="D29" s="272">
        <v>94290138</v>
      </c>
    </row>
    <row r="30" spans="1:4" ht="14.1" customHeight="1">
      <c r="A30" s="15" t="s">
        <v>126</v>
      </c>
      <c r="B30" s="16">
        <f t="shared" si="0"/>
        <v>6816416</v>
      </c>
      <c r="C30" s="16">
        <v>332215</v>
      </c>
      <c r="D30" s="16">
        <v>6484201</v>
      </c>
    </row>
    <row r="31" spans="1:4" ht="14.1" customHeight="1">
      <c r="A31" s="271" t="s">
        <v>127</v>
      </c>
      <c r="B31" s="272">
        <f t="shared" si="0"/>
        <v>17081265</v>
      </c>
      <c r="C31" s="272">
        <v>523036</v>
      </c>
      <c r="D31" s="272">
        <v>16558229</v>
      </c>
    </row>
    <row r="32" spans="1:4" ht="14.1" customHeight="1">
      <c r="A32" s="15" t="s">
        <v>128</v>
      </c>
      <c r="B32" s="16">
        <f t="shared" si="0"/>
        <v>16337101</v>
      </c>
      <c r="C32" s="16">
        <v>1153109</v>
      </c>
      <c r="D32" s="16">
        <v>15183992</v>
      </c>
    </row>
    <row r="33" spans="1:4" ht="14.1" customHeight="1">
      <c r="A33" s="271" t="s">
        <v>129</v>
      </c>
      <c r="B33" s="272">
        <f t="shared" si="0"/>
        <v>14579212</v>
      </c>
      <c r="C33" s="272">
        <v>893985</v>
      </c>
      <c r="D33" s="272">
        <v>13685227</v>
      </c>
    </row>
    <row r="34" spans="1:4" ht="14.1" customHeight="1">
      <c r="A34" s="15" t="s">
        <v>130</v>
      </c>
      <c r="B34" s="16">
        <f t="shared" si="0"/>
        <v>18415181</v>
      </c>
      <c r="C34" s="16">
        <v>869876</v>
      </c>
      <c r="D34" s="16">
        <v>17545305</v>
      </c>
    </row>
    <row r="35" spans="1:4" ht="14.1" customHeight="1">
      <c r="A35" s="271" t="s">
        <v>131</v>
      </c>
      <c r="B35" s="272">
        <f t="shared" si="0"/>
        <v>85770519</v>
      </c>
      <c r="C35" s="272">
        <v>1490523</v>
      </c>
      <c r="D35" s="272">
        <v>84279996</v>
      </c>
    </row>
    <row r="36" spans="1:4" ht="14.1" customHeight="1">
      <c r="A36" s="15" t="s">
        <v>132</v>
      </c>
      <c r="B36" s="16">
        <f t="shared" si="0"/>
        <v>11304018</v>
      </c>
      <c r="C36" s="16">
        <v>763891</v>
      </c>
      <c r="D36" s="16">
        <v>10540127</v>
      </c>
    </row>
    <row r="37" spans="1:4" ht="14.1" customHeight="1">
      <c r="A37" s="271" t="s">
        <v>133</v>
      </c>
      <c r="B37" s="272">
        <f t="shared" si="0"/>
        <v>26323285</v>
      </c>
      <c r="C37" s="272">
        <v>2579094</v>
      </c>
      <c r="D37" s="272">
        <v>23744191</v>
      </c>
    </row>
    <row r="38" spans="1:4" ht="14.1" customHeight="1">
      <c r="A38" s="15" t="s">
        <v>134</v>
      </c>
      <c r="B38" s="16">
        <f t="shared" si="0"/>
        <v>56412269</v>
      </c>
      <c r="C38" s="16">
        <v>5363834</v>
      </c>
      <c r="D38" s="16">
        <v>51048435</v>
      </c>
    </row>
    <row r="39" spans="1:4" ht="14.1" customHeight="1">
      <c r="A39" s="271" t="s">
        <v>135</v>
      </c>
      <c r="B39" s="272">
        <f t="shared" si="0"/>
        <v>13038030</v>
      </c>
      <c r="C39" s="272">
        <v>758456</v>
      </c>
      <c r="D39" s="272">
        <v>12279574</v>
      </c>
    </row>
    <row r="40" spans="1:4" ht="14.1" customHeight="1">
      <c r="A40" s="15" t="s">
        <v>136</v>
      </c>
      <c r="B40" s="16">
        <f t="shared" si="0"/>
        <v>59353992</v>
      </c>
      <c r="C40" s="16">
        <v>3480523</v>
      </c>
      <c r="D40" s="16">
        <v>55873469</v>
      </c>
    </row>
    <row r="41" spans="1:4" ht="14.1" customHeight="1">
      <c r="A41" s="271" t="s">
        <v>137</v>
      </c>
      <c r="B41" s="272">
        <f t="shared" si="0"/>
        <v>36642663</v>
      </c>
      <c r="C41" s="272">
        <v>2979697</v>
      </c>
      <c r="D41" s="272">
        <v>33662966</v>
      </c>
    </row>
    <row r="42" spans="1:4" ht="14.1" customHeight="1">
      <c r="A42" s="15" t="s">
        <v>138</v>
      </c>
      <c r="B42" s="16">
        <f t="shared" si="0"/>
        <v>8185634</v>
      </c>
      <c r="C42" s="16">
        <v>1056497</v>
      </c>
      <c r="D42" s="16">
        <v>7129137</v>
      </c>
    </row>
    <row r="43" spans="1:4" ht="14.1" customHeight="1">
      <c r="A43" s="271" t="s">
        <v>139</v>
      </c>
      <c r="B43" s="272">
        <f t="shared" si="0"/>
        <v>6653776</v>
      </c>
      <c r="C43" s="272">
        <v>0</v>
      </c>
      <c r="D43" s="272">
        <v>6653776</v>
      </c>
    </row>
    <row r="44" spans="1:4" ht="14.1" customHeight="1">
      <c r="A44" s="15" t="s">
        <v>140</v>
      </c>
      <c r="B44" s="16">
        <f t="shared" si="0"/>
        <v>3692258</v>
      </c>
      <c r="C44" s="16">
        <v>468919</v>
      </c>
      <c r="D44" s="16">
        <v>3223339</v>
      </c>
    </row>
    <row r="45" spans="1:4" ht="14.1" customHeight="1">
      <c r="A45" s="271" t="s">
        <v>141</v>
      </c>
      <c r="B45" s="272">
        <f t="shared" si="0"/>
        <v>8337773</v>
      </c>
      <c r="C45" s="272">
        <v>0</v>
      </c>
      <c r="D45" s="272">
        <v>8337773</v>
      </c>
    </row>
    <row r="46" spans="1:4" ht="14.1" customHeight="1">
      <c r="A46" s="15" t="s">
        <v>142</v>
      </c>
      <c r="B46" s="16">
        <f t="shared" si="0"/>
        <v>181381006</v>
      </c>
      <c r="C46" s="16">
        <v>9580396</v>
      </c>
      <c r="D46" s="16">
        <v>171800610</v>
      </c>
    </row>
    <row r="47" spans="1:4" ht="5.0999999999999996" customHeight="1">
      <c r="A47"/>
      <c r="B47"/>
      <c r="C47"/>
      <c r="D47"/>
    </row>
    <row r="48" spans="1:4" ht="14.1" customHeight="1">
      <c r="A48" s="274" t="s">
        <v>143</v>
      </c>
      <c r="B48" s="275">
        <f>SUM(B11:B47)</f>
        <v>1017907223</v>
      </c>
      <c r="C48" s="275">
        <f>SUM(C11:C47)</f>
        <v>61418327</v>
      </c>
      <c r="D48" s="275">
        <f>SUM(D11:D47)</f>
        <v>956488896</v>
      </c>
    </row>
    <row r="49" spans="1:6" s="164" customFormat="1" ht="49.5" customHeight="1">
      <c r="A49" s="372"/>
      <c r="B49" s="372"/>
      <c r="C49" s="372"/>
      <c r="D49" s="372"/>
      <c r="E49" s="19"/>
      <c r="F49" s="19"/>
    </row>
    <row r="50" spans="1:6" s="223" customFormat="1" ht="14.25" customHeight="1">
      <c r="A50" s="758" t="s">
        <v>580</v>
      </c>
      <c r="B50" s="758"/>
      <c r="C50" s="758"/>
      <c r="D50" s="758"/>
      <c r="E50" s="758"/>
      <c r="F50" s="758"/>
    </row>
    <row r="51" spans="1:6" s="478" customFormat="1">
      <c r="A51" s="759"/>
      <c r="B51" s="759"/>
      <c r="C51" s="759"/>
      <c r="D51" s="759"/>
      <c r="E51" s="759"/>
      <c r="F51" s="759"/>
    </row>
    <row r="52" spans="1:6" s="478" customFormat="1">
      <c r="A52" s="759"/>
      <c r="B52" s="759"/>
      <c r="C52" s="759"/>
      <c r="D52" s="759"/>
      <c r="E52" s="759"/>
      <c r="F52" s="759"/>
    </row>
    <row r="53" spans="1:6" ht="14.45" customHeight="1"/>
    <row r="54" spans="1:6" ht="14.45" customHeight="1"/>
    <row r="55" spans="1:6" ht="14.45" customHeight="1"/>
    <row r="56" spans="1:6" ht="14.45" customHeight="1"/>
  </sheetData>
  <mergeCells count="6">
    <mergeCell ref="A50:F52"/>
    <mergeCell ref="A2:F2"/>
    <mergeCell ref="A3:F3"/>
    <mergeCell ref="B8:B9"/>
    <mergeCell ref="C8:C9"/>
    <mergeCell ref="D8:D9"/>
  </mergeCells>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&amp;C&amp;"Arial,Regular"&amp;10 &amp;A</oddHeader>
  </headerFooter>
</worksheet>
</file>

<file path=xl/worksheets/sheet43.xml><?xml version="1.0" encoding="utf-8"?>
<worksheet xmlns="http://schemas.openxmlformats.org/spreadsheetml/2006/main" xmlns:r="http://schemas.openxmlformats.org/officeDocument/2006/relationships">
  <sheetPr codeName="Sheet44">
    <pageSetUpPr fitToPage="1"/>
  </sheetPr>
  <dimension ref="A1:BB58"/>
  <sheetViews>
    <sheetView showGridLines="0" showZeros="0" workbookViewId="0"/>
  </sheetViews>
  <sheetFormatPr defaultColWidth="15.83203125" defaultRowHeight="12"/>
  <cols>
    <col min="1" max="1" width="38.6640625" style="1" customWidth="1"/>
    <col min="2" max="2" width="24.1640625" style="1" customWidth="1"/>
    <col min="3" max="3" width="24" style="1" customWidth="1"/>
    <col min="4" max="4" width="20.33203125" style="1" customWidth="1"/>
    <col min="5" max="5" width="3.83203125" style="1" customWidth="1"/>
    <col min="6" max="6" width="25" style="1" customWidth="1"/>
    <col min="7" max="16384" width="15.83203125" style="1"/>
  </cols>
  <sheetData>
    <row r="1" spans="1:54" ht="6.95" customHeight="1">
      <c r="A1" s="3"/>
    </row>
    <row r="2" spans="1:54" ht="15.95" customHeight="1">
      <c r="A2" s="33"/>
      <c r="B2" s="193" t="str">
        <f>IF(Lang=1,BA2,BB2)</f>
        <v>LOCAL TAXATION AND ASSESSMENT PER RESIDENT PUPIL</v>
      </c>
      <c r="C2" s="212"/>
      <c r="D2" s="212"/>
      <c r="E2" s="213"/>
      <c r="F2" s="213"/>
      <c r="BA2" s="456" t="s">
        <v>191</v>
      </c>
      <c r="BB2" s="456" t="s">
        <v>480</v>
      </c>
    </row>
    <row r="3" spans="1:54" ht="15.95" customHeight="1">
      <c r="A3" s="37"/>
      <c r="B3" s="195" t="str">
        <f>TAXYEAR</f>
        <v xml:space="preserve">FOR THE 2016 TAXATION YEAR (2016 IS A REASSESSMENT YEAR) </v>
      </c>
      <c r="C3" s="214"/>
      <c r="D3" s="214"/>
      <c r="E3" s="215"/>
      <c r="F3" s="215"/>
    </row>
    <row r="4" spans="1:54" ht="15.95" customHeight="1">
      <c r="B4" s="4"/>
      <c r="C4" s="4"/>
      <c r="D4" s="4"/>
      <c r="E4" s="4"/>
      <c r="F4" s="4"/>
    </row>
    <row r="5" spans="1:54" ht="15.95" customHeight="1">
      <c r="B5" s="4"/>
      <c r="C5" s="4"/>
      <c r="D5" s="4"/>
      <c r="E5" s="4"/>
      <c r="F5" s="4"/>
    </row>
    <row r="6" spans="1:54" ht="15.95" customHeight="1">
      <c r="B6" s="4"/>
      <c r="C6" s="4"/>
      <c r="D6" s="4"/>
      <c r="E6" s="4"/>
      <c r="F6" s="373"/>
    </row>
    <row r="7" spans="1:54" ht="15.95" customHeight="1">
      <c r="B7" s="764" t="s">
        <v>482</v>
      </c>
      <c r="C7" s="481"/>
      <c r="D7" s="323"/>
      <c r="E7" s="4"/>
      <c r="F7" s="741" t="s">
        <v>481</v>
      </c>
    </row>
    <row r="8" spans="1:54" ht="15.95" customHeight="1">
      <c r="A8" s="479"/>
      <c r="B8" s="765"/>
      <c r="C8" s="477"/>
      <c r="D8" s="324"/>
      <c r="E8" s="4"/>
      <c r="F8" s="742"/>
    </row>
    <row r="9" spans="1:54" ht="15.95" customHeight="1">
      <c r="A9" s="480" t="s">
        <v>37</v>
      </c>
      <c r="B9" s="766"/>
      <c r="C9" s="325" t="s">
        <v>61</v>
      </c>
      <c r="D9" s="326" t="s">
        <v>25</v>
      </c>
      <c r="E9" s="4"/>
      <c r="F9" s="743"/>
    </row>
    <row r="10" spans="1:54" ht="5.0999999999999996" customHeight="1">
      <c r="A10" s="14"/>
      <c r="B10" s="182"/>
      <c r="C10" s="182"/>
      <c r="D10" s="182"/>
      <c r="E10" s="182"/>
      <c r="F10" s="182"/>
    </row>
    <row r="11" spans="1:54" ht="14.1" customHeight="1">
      <c r="A11" s="271" t="s">
        <v>108</v>
      </c>
      <c r="B11" s="272">
        <f>'- 45 -'!C11</f>
        <v>1564936.8</v>
      </c>
      <c r="C11" s="272">
        <v>8208918</v>
      </c>
      <c r="D11" s="272">
        <f t="shared" ref="D11:D46" si="0">SUM(B11,C11)</f>
        <v>9773854.8000000007</v>
      </c>
      <c r="F11" s="272">
        <f>+Data!S11</f>
        <v>426198</v>
      </c>
    </row>
    <row r="12" spans="1:54" ht="14.1" customHeight="1">
      <c r="A12" s="15" t="s">
        <v>109</v>
      </c>
      <c r="B12" s="16">
        <f>'- 45 -'!C12</f>
        <v>2127192.375</v>
      </c>
      <c r="C12" s="16">
        <v>13402666</v>
      </c>
      <c r="D12" s="16">
        <f t="shared" si="0"/>
        <v>15529858.375</v>
      </c>
      <c r="F12" s="16">
        <f>+Data!S12</f>
        <v>431721</v>
      </c>
    </row>
    <row r="13" spans="1:54" ht="14.1" customHeight="1">
      <c r="A13" s="271" t="s">
        <v>110</v>
      </c>
      <c r="B13" s="272">
        <f>'- 45 -'!C13</f>
        <v>9365759.3399999999</v>
      </c>
      <c r="C13" s="272">
        <v>43987372</v>
      </c>
      <c r="D13" s="272">
        <f t="shared" si="0"/>
        <v>53353131.340000004</v>
      </c>
      <c r="F13" s="272">
        <f>+Data!S13</f>
        <v>366719</v>
      </c>
    </row>
    <row r="14" spans="1:54" ht="14.1" customHeight="1">
      <c r="A14" s="15" t="s">
        <v>319</v>
      </c>
      <c r="B14" s="16">
        <f>'- 45 -'!C14</f>
        <v>0</v>
      </c>
      <c r="C14" s="16">
        <v>0</v>
      </c>
      <c r="D14" s="16">
        <f t="shared" si="0"/>
        <v>0</v>
      </c>
      <c r="F14" s="16">
        <f>+Data!S14</f>
        <v>447093</v>
      </c>
    </row>
    <row r="15" spans="1:54" ht="14.1" customHeight="1">
      <c r="A15" s="271" t="s">
        <v>111</v>
      </c>
      <c r="B15" s="272">
        <f>'- 45 -'!C15</f>
        <v>1215104.31</v>
      </c>
      <c r="C15" s="272">
        <v>10116994</v>
      </c>
      <c r="D15" s="272">
        <f t="shared" si="0"/>
        <v>11332098.310000001</v>
      </c>
      <c r="F15" s="272">
        <f>+Data!S15</f>
        <v>655020</v>
      </c>
    </row>
    <row r="16" spans="1:54" ht="14.1" customHeight="1">
      <c r="A16" s="15" t="s">
        <v>112</v>
      </c>
      <c r="B16" s="16">
        <f>'- 45 -'!C16</f>
        <v>360835.65</v>
      </c>
      <c r="C16" s="16">
        <v>4102586</v>
      </c>
      <c r="D16" s="16">
        <f t="shared" si="0"/>
        <v>4463421.6500000004</v>
      </c>
      <c r="F16" s="16">
        <f>+Data!S16</f>
        <v>199296</v>
      </c>
    </row>
    <row r="17" spans="1:6" ht="14.1" customHeight="1">
      <c r="A17" s="271" t="s">
        <v>113</v>
      </c>
      <c r="B17" s="272">
        <f>'- 45 -'!C17</f>
        <v>5962828.4100000001</v>
      </c>
      <c r="C17" s="272">
        <v>8626434</v>
      </c>
      <c r="D17" s="272">
        <f t="shared" si="0"/>
        <v>14589262.41</v>
      </c>
      <c r="F17" s="272">
        <f>+Data!S17</f>
        <v>865984</v>
      </c>
    </row>
    <row r="18" spans="1:6" ht="14.1" customHeight="1">
      <c r="A18" s="15" t="s">
        <v>114</v>
      </c>
      <c r="B18" s="16">
        <f>'- 45 -'!C18</f>
        <v>768911.22000000009</v>
      </c>
      <c r="C18" s="16">
        <v>3286051</v>
      </c>
      <c r="D18" s="16">
        <f t="shared" si="0"/>
        <v>4054962.22</v>
      </c>
      <c r="F18" s="16">
        <f>+Data!S18</f>
        <v>100073</v>
      </c>
    </row>
    <row r="19" spans="1:6" ht="14.1" customHeight="1">
      <c r="A19" s="271" t="s">
        <v>115</v>
      </c>
      <c r="B19" s="272">
        <f>'- 45 -'!C19</f>
        <v>3142399.68</v>
      </c>
      <c r="C19" s="272">
        <v>17987195</v>
      </c>
      <c r="D19" s="272">
        <f t="shared" si="0"/>
        <v>21129594.68</v>
      </c>
      <c r="F19" s="272">
        <f>+Data!S19</f>
        <v>269173</v>
      </c>
    </row>
    <row r="20" spans="1:6" ht="14.1" customHeight="1">
      <c r="A20" s="15" t="s">
        <v>116</v>
      </c>
      <c r="B20" s="16">
        <f>'- 45 -'!C20</f>
        <v>4183517.2050000001</v>
      </c>
      <c r="C20" s="16">
        <v>30980197</v>
      </c>
      <c r="D20" s="16">
        <f t="shared" si="0"/>
        <v>35163714.204999998</v>
      </c>
      <c r="F20" s="16">
        <f>+Data!S20</f>
        <v>263965</v>
      </c>
    </row>
    <row r="21" spans="1:6" ht="14.1" customHeight="1">
      <c r="A21" s="271" t="s">
        <v>117</v>
      </c>
      <c r="B21" s="272">
        <f>'- 45 -'!C21</f>
        <v>2859913.14</v>
      </c>
      <c r="C21" s="272">
        <v>17025360</v>
      </c>
      <c r="D21" s="272">
        <f t="shared" si="0"/>
        <v>19885273.140000001</v>
      </c>
      <c r="F21" s="272">
        <f>+Data!S21</f>
        <v>468889</v>
      </c>
    </row>
    <row r="22" spans="1:6" ht="14.1" customHeight="1">
      <c r="A22" s="15" t="s">
        <v>118</v>
      </c>
      <c r="B22" s="16">
        <f>'- 45 -'!C22</f>
        <v>700017.255</v>
      </c>
      <c r="C22" s="16">
        <v>4556896</v>
      </c>
      <c r="D22" s="16">
        <f t="shared" si="0"/>
        <v>5256913.2549999999</v>
      </c>
      <c r="F22" s="16">
        <f>+Data!S22</f>
        <v>171225</v>
      </c>
    </row>
    <row r="23" spans="1:6" ht="14.1" customHeight="1">
      <c r="A23" s="271" t="s">
        <v>119</v>
      </c>
      <c r="B23" s="272">
        <f>'- 45 -'!C23</f>
        <v>328127.20500000002</v>
      </c>
      <c r="C23" s="272">
        <v>4553643</v>
      </c>
      <c r="D23" s="272">
        <f t="shared" si="0"/>
        <v>4881770.2050000001</v>
      </c>
      <c r="F23" s="272">
        <f>+Data!S23</f>
        <v>279987</v>
      </c>
    </row>
    <row r="24" spans="1:6" ht="14.1" customHeight="1">
      <c r="A24" s="15" t="s">
        <v>120</v>
      </c>
      <c r="B24" s="16">
        <f>'- 45 -'!C24</f>
        <v>2636550</v>
      </c>
      <c r="C24" s="16">
        <v>28037402</v>
      </c>
      <c r="D24" s="16">
        <f t="shared" si="0"/>
        <v>30673952</v>
      </c>
      <c r="F24" s="16">
        <f>+Data!S24</f>
        <v>506733</v>
      </c>
    </row>
    <row r="25" spans="1:6" ht="14.1" customHeight="1">
      <c r="A25" s="271" t="s">
        <v>121</v>
      </c>
      <c r="B25" s="272">
        <f>'- 45 -'!C25</f>
        <v>14640018.435000001</v>
      </c>
      <c r="C25" s="272">
        <v>96649253</v>
      </c>
      <c r="D25" s="272">
        <f t="shared" si="0"/>
        <v>111289271.435</v>
      </c>
      <c r="F25" s="272">
        <f>+Data!S25</f>
        <v>483485</v>
      </c>
    </row>
    <row r="26" spans="1:6" ht="14.1" customHeight="1">
      <c r="A26" s="15" t="s">
        <v>122</v>
      </c>
      <c r="B26" s="16">
        <f>'- 45 -'!C26</f>
        <v>1395338.28</v>
      </c>
      <c r="C26" s="16">
        <v>15019894</v>
      </c>
      <c r="D26" s="16">
        <f t="shared" si="0"/>
        <v>16415232.279999999</v>
      </c>
      <c r="F26" s="16">
        <f>+Data!S26</f>
        <v>351006</v>
      </c>
    </row>
    <row r="27" spans="1:6" ht="14.1" customHeight="1">
      <c r="A27" s="271" t="s">
        <v>123</v>
      </c>
      <c r="B27" s="272">
        <f>'- 45 -'!C27</f>
        <v>1508214.54</v>
      </c>
      <c r="C27" s="272">
        <v>8700083</v>
      </c>
      <c r="D27" s="272">
        <f t="shared" si="0"/>
        <v>10208297.539999999</v>
      </c>
      <c r="F27" s="272">
        <f>+Data!S27</f>
        <v>182765</v>
      </c>
    </row>
    <row r="28" spans="1:6" ht="14.1" customHeight="1">
      <c r="A28" s="15" t="s">
        <v>124</v>
      </c>
      <c r="B28" s="16">
        <f>'- 45 -'!C28</f>
        <v>2042047.1400000001</v>
      </c>
      <c r="C28" s="16">
        <v>8927467</v>
      </c>
      <c r="D28" s="16">
        <f t="shared" si="0"/>
        <v>10969514.140000001</v>
      </c>
      <c r="F28" s="16">
        <f>+Data!S28</f>
        <v>532525</v>
      </c>
    </row>
    <row r="29" spans="1:6" ht="14.1" customHeight="1">
      <c r="A29" s="271" t="s">
        <v>125</v>
      </c>
      <c r="B29" s="272">
        <f>'- 45 -'!C29</f>
        <v>15419124.420000002</v>
      </c>
      <c r="C29" s="272">
        <v>94290138</v>
      </c>
      <c r="D29" s="272">
        <f t="shared" si="0"/>
        <v>109709262.42</v>
      </c>
      <c r="F29" s="272">
        <f>+Data!S29</f>
        <v>609197</v>
      </c>
    </row>
    <row r="30" spans="1:6" ht="14.1" customHeight="1">
      <c r="A30" s="15" t="s">
        <v>126</v>
      </c>
      <c r="B30" s="16">
        <f>'- 45 -'!C30</f>
        <v>1004714.13</v>
      </c>
      <c r="C30" s="16">
        <v>6484201</v>
      </c>
      <c r="D30" s="16">
        <f t="shared" si="0"/>
        <v>7488915.1299999999</v>
      </c>
      <c r="F30" s="16">
        <f>+Data!S30</f>
        <v>450522</v>
      </c>
    </row>
    <row r="31" spans="1:6" ht="14.1" customHeight="1">
      <c r="A31" s="271" t="s">
        <v>127</v>
      </c>
      <c r="B31" s="272">
        <f>'- 45 -'!C31</f>
        <v>3579546.915</v>
      </c>
      <c r="C31" s="272">
        <v>16558229</v>
      </c>
      <c r="D31" s="272">
        <f t="shared" si="0"/>
        <v>20137775.914999999</v>
      </c>
      <c r="F31" s="272">
        <f>+Data!S31</f>
        <v>401497</v>
      </c>
    </row>
    <row r="32" spans="1:6" ht="14.1" customHeight="1">
      <c r="A32" s="15" t="s">
        <v>128</v>
      </c>
      <c r="B32" s="16">
        <f>'- 45 -'!C32</f>
        <v>1537446.9600000002</v>
      </c>
      <c r="C32" s="16">
        <v>15183992</v>
      </c>
      <c r="D32" s="16">
        <f t="shared" si="0"/>
        <v>16721438.960000001</v>
      </c>
      <c r="F32" s="16">
        <f>+Data!S32</f>
        <v>574923</v>
      </c>
    </row>
    <row r="33" spans="1:6" ht="14.1" customHeight="1">
      <c r="A33" s="271" t="s">
        <v>129</v>
      </c>
      <c r="B33" s="272">
        <f>'- 45 -'!C33</f>
        <v>1827021</v>
      </c>
      <c r="C33" s="272">
        <v>13685227</v>
      </c>
      <c r="D33" s="272">
        <f t="shared" si="0"/>
        <v>15512248</v>
      </c>
      <c r="F33" s="272">
        <f>+Data!S33</f>
        <v>582533</v>
      </c>
    </row>
    <row r="34" spans="1:6" ht="14.1" customHeight="1">
      <c r="A34" s="15" t="s">
        <v>130</v>
      </c>
      <c r="B34" s="16">
        <f>'- 45 -'!C34</f>
        <v>2807934.0450000004</v>
      </c>
      <c r="C34" s="16">
        <v>17545305</v>
      </c>
      <c r="D34" s="16">
        <f t="shared" si="0"/>
        <v>20353239.045000002</v>
      </c>
      <c r="F34" s="16">
        <f>+Data!S34</f>
        <v>610676</v>
      </c>
    </row>
    <row r="35" spans="1:6" ht="14.1" customHeight="1">
      <c r="A35" s="271" t="s">
        <v>131</v>
      </c>
      <c r="B35" s="272">
        <f>'- 45 -'!C35</f>
        <v>11371333.995000001</v>
      </c>
      <c r="C35" s="272">
        <v>84279996</v>
      </c>
      <c r="D35" s="272">
        <f t="shared" si="0"/>
        <v>95651329.995000005</v>
      </c>
      <c r="F35" s="272">
        <f>+Data!S35</f>
        <v>425771</v>
      </c>
    </row>
    <row r="36" spans="1:6" ht="14.1" customHeight="1">
      <c r="A36" s="15" t="s">
        <v>132</v>
      </c>
      <c r="B36" s="16">
        <f>'- 45 -'!C36</f>
        <v>1911726.3900000001</v>
      </c>
      <c r="C36" s="16">
        <v>10540127</v>
      </c>
      <c r="D36" s="16">
        <f t="shared" si="0"/>
        <v>12451853.390000001</v>
      </c>
      <c r="F36" s="16">
        <f>+Data!S36</f>
        <v>598587</v>
      </c>
    </row>
    <row r="37" spans="1:6" ht="14.1" customHeight="1">
      <c r="A37" s="271" t="s">
        <v>133</v>
      </c>
      <c r="B37" s="272">
        <f>'- 45 -'!C37</f>
        <v>1913537.85</v>
      </c>
      <c r="C37" s="272">
        <v>23744191</v>
      </c>
      <c r="D37" s="272">
        <f t="shared" si="0"/>
        <v>25657728.850000001</v>
      </c>
      <c r="F37" s="272">
        <f>+Data!S37</f>
        <v>312066</v>
      </c>
    </row>
    <row r="38" spans="1:6" ht="14.1" customHeight="1">
      <c r="A38" s="15" t="s">
        <v>134</v>
      </c>
      <c r="B38" s="16">
        <f>'- 45 -'!C38</f>
        <v>4122469.3650000002</v>
      </c>
      <c r="C38" s="16">
        <v>51048435</v>
      </c>
      <c r="D38" s="16">
        <f t="shared" si="0"/>
        <v>55170904.365000002</v>
      </c>
      <c r="F38" s="16">
        <f>+Data!S38</f>
        <v>323994</v>
      </c>
    </row>
    <row r="39" spans="1:6" ht="14.1" customHeight="1">
      <c r="A39" s="271" t="s">
        <v>135</v>
      </c>
      <c r="B39" s="272">
        <f>'- 45 -'!C39</f>
        <v>4462083.2549999999</v>
      </c>
      <c r="C39" s="272">
        <v>12279574</v>
      </c>
      <c r="D39" s="272">
        <f t="shared" si="0"/>
        <v>16741657.254999999</v>
      </c>
      <c r="F39" s="272">
        <f>+Data!S39</f>
        <v>795669</v>
      </c>
    </row>
    <row r="40" spans="1:6" ht="14.1" customHeight="1">
      <c r="A40" s="15" t="s">
        <v>136</v>
      </c>
      <c r="B40" s="16">
        <f>'- 45 -'!C40</f>
        <v>16606835.175000001</v>
      </c>
      <c r="C40" s="16">
        <v>55873469</v>
      </c>
      <c r="D40" s="16">
        <f t="shared" si="0"/>
        <v>72480304.174999997</v>
      </c>
      <c r="F40" s="16">
        <f>+Data!S40</f>
        <v>589832</v>
      </c>
    </row>
    <row r="41" spans="1:6" ht="14.1" customHeight="1">
      <c r="A41" s="271" t="s">
        <v>137</v>
      </c>
      <c r="B41" s="272">
        <f>'- 45 -'!C41</f>
        <v>4613206.29</v>
      </c>
      <c r="C41" s="272">
        <v>33662966</v>
      </c>
      <c r="D41" s="272">
        <f t="shared" si="0"/>
        <v>38276172.289999999</v>
      </c>
      <c r="F41" s="272">
        <f>+Data!S41</f>
        <v>542780</v>
      </c>
    </row>
    <row r="42" spans="1:6" ht="14.1" customHeight="1">
      <c r="A42" s="15" t="s">
        <v>138</v>
      </c>
      <c r="B42" s="16">
        <f>'- 45 -'!C42</f>
        <v>857183.3550000001</v>
      </c>
      <c r="C42" s="16">
        <v>7129137</v>
      </c>
      <c r="D42" s="16">
        <f t="shared" si="0"/>
        <v>7986320.3550000004</v>
      </c>
      <c r="F42" s="16">
        <f>+Data!S42</f>
        <v>389427</v>
      </c>
    </row>
    <row r="43" spans="1:6" ht="14.1" customHeight="1">
      <c r="A43" s="271" t="s">
        <v>139</v>
      </c>
      <c r="B43" s="272">
        <f>'- 45 -'!C43</f>
        <v>686531.05500000005</v>
      </c>
      <c r="C43" s="272">
        <v>6653776</v>
      </c>
      <c r="D43" s="272">
        <f t="shared" si="0"/>
        <v>7340307.0549999997</v>
      </c>
      <c r="F43" s="272">
        <f>+Data!S43</f>
        <v>604308</v>
      </c>
    </row>
    <row r="44" spans="1:6" ht="14.1" customHeight="1">
      <c r="A44" s="15" t="s">
        <v>140</v>
      </c>
      <c r="B44" s="16">
        <f>'- 45 -'!C44</f>
        <v>144398.625</v>
      </c>
      <c r="C44" s="16">
        <v>3223339</v>
      </c>
      <c r="D44" s="16">
        <f t="shared" si="0"/>
        <v>3367737.625</v>
      </c>
      <c r="F44" s="16">
        <f>+Data!S44</f>
        <v>262545</v>
      </c>
    </row>
    <row r="45" spans="1:6" ht="14.1" customHeight="1">
      <c r="A45" s="271" t="s">
        <v>141</v>
      </c>
      <c r="B45" s="272">
        <f>'- 45 -'!C45</f>
        <v>1038171.9600000001</v>
      </c>
      <c r="C45" s="272">
        <v>8337773</v>
      </c>
      <c r="D45" s="272">
        <f t="shared" si="0"/>
        <v>9375944.9600000009</v>
      </c>
      <c r="F45" s="272">
        <f>+Data!S45</f>
        <v>326239</v>
      </c>
    </row>
    <row r="46" spans="1:6" ht="14.1" customHeight="1">
      <c r="A46" s="15" t="s">
        <v>142</v>
      </c>
      <c r="B46" s="16">
        <f>'- 45 -'!C46</f>
        <v>52141834.185000002</v>
      </c>
      <c r="C46" s="16">
        <v>171800610</v>
      </c>
      <c r="D46" s="16">
        <f t="shared" si="0"/>
        <v>223942444.185</v>
      </c>
      <c r="F46" s="16">
        <f>+Data!S46</f>
        <v>417567</v>
      </c>
    </row>
    <row r="47" spans="1:6" ht="5.0999999999999996" customHeight="1">
      <c r="A47"/>
      <c r="B47"/>
      <c r="C47"/>
      <c r="D47"/>
      <c r="F47"/>
    </row>
    <row r="48" spans="1:6" ht="14.1" customHeight="1">
      <c r="A48" s="274" t="s">
        <v>143</v>
      </c>
      <c r="B48" s="275">
        <f>SUM(B11:B46)</f>
        <v>180846809.95499998</v>
      </c>
      <c r="C48" s="275">
        <f>SUM(C11:C46)</f>
        <v>956488896</v>
      </c>
      <c r="D48" s="275">
        <f>SUM(D11:D46)</f>
        <v>1137335705.9549999</v>
      </c>
      <c r="F48" s="275">
        <f>+Data!S48</f>
        <v>434942.09930884093</v>
      </c>
    </row>
    <row r="49" spans="1:6" ht="50.1" customHeight="1">
      <c r="A49" s="216" t="s">
        <v>1</v>
      </c>
      <c r="B49" s="19"/>
      <c r="C49" s="19"/>
      <c r="D49" s="19"/>
      <c r="E49" s="19"/>
      <c r="F49" s="19"/>
    </row>
    <row r="50" spans="1:6" ht="15" customHeight="1">
      <c r="A50" s="758" t="s">
        <v>483</v>
      </c>
      <c r="B50" s="758"/>
      <c r="C50" s="758"/>
      <c r="D50" s="758"/>
      <c r="E50" s="758"/>
      <c r="F50" s="758"/>
    </row>
    <row r="51" spans="1:6" ht="12" customHeight="1">
      <c r="A51" s="759"/>
      <c r="B51" s="759"/>
      <c r="C51" s="759"/>
      <c r="D51" s="759"/>
      <c r="E51" s="759"/>
      <c r="F51" s="759"/>
    </row>
    <row r="52" spans="1:6" ht="12" customHeight="1">
      <c r="A52" s="759"/>
      <c r="B52" s="759"/>
      <c r="C52" s="759"/>
      <c r="D52" s="759"/>
      <c r="E52" s="759"/>
      <c r="F52" s="759"/>
    </row>
    <row r="53" spans="1:6" ht="14.45" customHeight="1"/>
    <row r="54" spans="1:6" ht="14.45" customHeight="1"/>
    <row r="55" spans="1:6" ht="14.45" customHeight="1"/>
    <row r="56" spans="1:6" ht="14.45" customHeight="1"/>
    <row r="57" spans="1:6" ht="14.45" customHeight="1"/>
    <row r="58" spans="1:6" ht="14.45" customHeight="1"/>
  </sheetData>
  <mergeCells count="3">
    <mergeCell ref="F7:F9"/>
    <mergeCell ref="B7:B9"/>
    <mergeCell ref="A50:F52"/>
  </mergeCells>
  <phoneticPr fontId="0" type="noConversion"/>
  <printOptions horizontalCentered="1"/>
  <pageMargins left="0.51181102362204722" right="0.51181102362204722" top="0.59055118110236227" bottom="0" header="0.31496062992125984" footer="0"/>
  <pageSetup scale="86" orientation="portrait" r:id="rId1"/>
  <headerFooter alignWithMargins="0">
    <oddHeader>&amp;C&amp;"Arial,Bold"&amp;10&amp;A</oddHeader>
  </headerFooter>
</worksheet>
</file>

<file path=xl/worksheets/sheet44.xml><?xml version="1.0" encoding="utf-8"?>
<worksheet xmlns="http://schemas.openxmlformats.org/spreadsheetml/2006/main" xmlns:r="http://schemas.openxmlformats.org/officeDocument/2006/relationships">
  <sheetPr codeName="Sheet45"/>
  <dimension ref="A1:G63"/>
  <sheetViews>
    <sheetView showGridLines="0" showZeros="0" workbookViewId="0"/>
  </sheetViews>
  <sheetFormatPr defaultColWidth="19.83203125" defaultRowHeight="12"/>
  <cols>
    <col min="1" max="1" width="31.6640625" style="1" customWidth="1"/>
    <col min="2" max="2" width="21.83203125" style="1" customWidth="1"/>
    <col min="3" max="3" width="18.5" style="1" customWidth="1"/>
    <col min="4" max="4" width="13.6640625" style="1" customWidth="1"/>
    <col min="5" max="5" width="15.33203125" style="1" customWidth="1"/>
    <col min="6" max="6" width="15.83203125" style="1" customWidth="1"/>
    <col min="7" max="7" width="13.33203125" style="1" customWidth="1"/>
    <col min="8" max="16384" width="19.83203125" style="1"/>
  </cols>
  <sheetData>
    <row r="1" spans="1:7" ht="6.95" customHeight="1">
      <c r="A1" s="3"/>
      <c r="B1" s="3"/>
      <c r="C1" s="3"/>
      <c r="D1" s="3"/>
      <c r="E1" s="3"/>
      <c r="F1" s="3"/>
      <c r="G1" s="3"/>
    </row>
    <row r="2" spans="1:7" ht="15.95" customHeight="1">
      <c r="A2" s="229"/>
      <c r="B2" s="235" t="str">
        <f>REVYEAR</f>
        <v>ANALYSIS OF OPERATING FUND REVENUE: 2016/2017 BUDGET</v>
      </c>
      <c r="C2" s="235"/>
      <c r="D2" s="236"/>
      <c r="E2" s="232"/>
      <c r="F2" s="232"/>
      <c r="G2" s="185" t="s">
        <v>92</v>
      </c>
    </row>
    <row r="3" spans="1:7" ht="15.95" customHeight="1">
      <c r="A3" s="180"/>
      <c r="B3" s="3"/>
      <c r="C3" s="3"/>
      <c r="D3" s="3"/>
      <c r="E3" s="3"/>
      <c r="F3" s="3"/>
      <c r="G3" s="3"/>
    </row>
    <row r="4" spans="1:7" ht="15.95" customHeight="1">
      <c r="B4" s="767" t="s">
        <v>34</v>
      </c>
      <c r="C4" s="768"/>
      <c r="D4" s="768"/>
      <c r="E4" s="768"/>
      <c r="F4" s="768"/>
      <c r="G4" s="769"/>
    </row>
    <row r="5" spans="1:7" ht="15.95" customHeight="1">
      <c r="B5" s="770" t="s">
        <v>106</v>
      </c>
      <c r="C5" s="771"/>
      <c r="D5" s="771"/>
      <c r="E5" s="771"/>
      <c r="F5" s="771"/>
      <c r="G5" s="772"/>
    </row>
    <row r="6" spans="1:7" ht="15.95" customHeight="1">
      <c r="B6" s="614" t="s">
        <v>46</v>
      </c>
      <c r="C6" s="615"/>
      <c r="D6" s="615"/>
      <c r="E6" s="615"/>
      <c r="F6" s="615"/>
      <c r="G6" s="616"/>
    </row>
    <row r="7" spans="1:7" ht="15.95" customHeight="1">
      <c r="B7" s="186"/>
      <c r="C7" s="700" t="s">
        <v>485</v>
      </c>
      <c r="D7" s="24"/>
      <c r="E7" s="24"/>
      <c r="F7" s="24"/>
      <c r="G7" s="24"/>
    </row>
    <row r="8" spans="1:7" ht="15.95" customHeight="1">
      <c r="A8" s="82"/>
      <c r="B8" s="773" t="s">
        <v>484</v>
      </c>
      <c r="C8" s="775"/>
      <c r="D8" s="775" t="s">
        <v>486</v>
      </c>
      <c r="E8" s="775" t="s">
        <v>487</v>
      </c>
      <c r="F8" s="775" t="s">
        <v>488</v>
      </c>
      <c r="G8" s="775" t="s">
        <v>489</v>
      </c>
    </row>
    <row r="9" spans="1:7" ht="15.95" customHeight="1">
      <c r="A9" s="27" t="s">
        <v>37</v>
      </c>
      <c r="B9" s="774"/>
      <c r="C9" s="776"/>
      <c r="D9" s="776"/>
      <c r="E9" s="776"/>
      <c r="F9" s="776"/>
      <c r="G9" s="776"/>
    </row>
    <row r="10" spans="1:7" ht="5.0999999999999996" customHeight="1">
      <c r="A10" s="29"/>
      <c r="E10" s="3"/>
      <c r="F10" s="3"/>
      <c r="G10" s="3"/>
    </row>
    <row r="11" spans="1:7" ht="14.1" customHeight="1">
      <c r="A11" s="271" t="s">
        <v>108</v>
      </c>
      <c r="B11" s="272">
        <v>3248729</v>
      </c>
      <c r="C11" s="272">
        <v>108525</v>
      </c>
      <c r="D11" s="272">
        <v>186643</v>
      </c>
      <c r="E11" s="272">
        <v>101154</v>
      </c>
      <c r="F11" s="272">
        <v>104526</v>
      </c>
      <c r="G11" s="272">
        <v>155103</v>
      </c>
    </row>
    <row r="12" spans="1:7" ht="14.1" customHeight="1">
      <c r="A12" s="15" t="s">
        <v>109</v>
      </c>
      <c r="B12" s="16">
        <v>3850531</v>
      </c>
      <c r="C12" s="16">
        <v>0</v>
      </c>
      <c r="D12" s="16">
        <v>396137</v>
      </c>
      <c r="E12" s="16">
        <v>119892</v>
      </c>
      <c r="F12" s="16">
        <v>123888</v>
      </c>
      <c r="G12" s="16">
        <v>183834</v>
      </c>
    </row>
    <row r="13" spans="1:7" ht="14.1" customHeight="1">
      <c r="A13" s="271" t="s">
        <v>110</v>
      </c>
      <c r="B13" s="272">
        <v>15828400</v>
      </c>
      <c r="C13" s="272">
        <v>0</v>
      </c>
      <c r="D13" s="272">
        <v>123100</v>
      </c>
      <c r="E13" s="272">
        <v>492800</v>
      </c>
      <c r="F13" s="272">
        <v>509300</v>
      </c>
      <c r="G13" s="272">
        <v>755700</v>
      </c>
    </row>
    <row r="14" spans="1:7" ht="14.1" customHeight="1">
      <c r="A14" s="15" t="s">
        <v>319</v>
      </c>
      <c r="B14" s="16">
        <v>9767000</v>
      </c>
      <c r="C14" s="16">
        <v>25971</v>
      </c>
      <c r="D14" s="16">
        <v>765929</v>
      </c>
      <c r="E14" s="16">
        <v>304110</v>
      </c>
      <c r="F14" s="16">
        <v>314247</v>
      </c>
      <c r="G14" s="16">
        <v>466302</v>
      </c>
    </row>
    <row r="15" spans="1:7" ht="14.1" customHeight="1">
      <c r="A15" s="271" t="s">
        <v>111</v>
      </c>
      <c r="B15" s="272">
        <v>2687972</v>
      </c>
      <c r="C15" s="272">
        <v>0</v>
      </c>
      <c r="D15" s="272">
        <v>242626</v>
      </c>
      <c r="E15" s="272">
        <v>83694</v>
      </c>
      <c r="F15" s="272">
        <v>86484</v>
      </c>
      <c r="G15" s="272">
        <v>128331</v>
      </c>
    </row>
    <row r="16" spans="1:7" ht="14.1" customHeight="1">
      <c r="A16" s="15" t="s">
        <v>112</v>
      </c>
      <c r="B16" s="16">
        <v>1759351</v>
      </c>
      <c r="C16" s="16">
        <v>40019</v>
      </c>
      <c r="D16" s="16">
        <v>0</v>
      </c>
      <c r="E16" s="16">
        <v>54780</v>
      </c>
      <c r="F16" s="16">
        <v>56606</v>
      </c>
      <c r="G16" s="16">
        <v>83996</v>
      </c>
    </row>
    <row r="17" spans="1:7" ht="14.1" customHeight="1">
      <c r="A17" s="271" t="s">
        <v>113</v>
      </c>
      <c r="B17" s="272">
        <v>2472341</v>
      </c>
      <c r="C17" s="272">
        <v>20759</v>
      </c>
      <c r="D17" s="272">
        <v>286085</v>
      </c>
      <c r="E17" s="272">
        <v>76980</v>
      </c>
      <c r="F17" s="272">
        <v>79546</v>
      </c>
      <c r="G17" s="272">
        <v>118036</v>
      </c>
    </row>
    <row r="18" spans="1:7" ht="14.1" customHeight="1">
      <c r="A18" s="15" t="s">
        <v>114</v>
      </c>
      <c r="B18" s="16">
        <v>4401461</v>
      </c>
      <c r="C18" s="16">
        <v>0</v>
      </c>
      <c r="D18" s="16">
        <v>998162</v>
      </c>
      <c r="E18" s="16">
        <v>137046</v>
      </c>
      <c r="F18" s="16">
        <v>141614</v>
      </c>
      <c r="G18" s="16">
        <v>210137</v>
      </c>
    </row>
    <row r="19" spans="1:7" ht="14.1" customHeight="1">
      <c r="A19" s="271" t="s">
        <v>115</v>
      </c>
      <c r="B19" s="272">
        <v>8095327</v>
      </c>
      <c r="C19" s="272">
        <v>18674</v>
      </c>
      <c r="D19" s="272">
        <v>191169</v>
      </c>
      <c r="E19" s="272">
        <v>252060</v>
      </c>
      <c r="F19" s="272">
        <v>260462</v>
      </c>
      <c r="G19" s="272">
        <v>386492</v>
      </c>
    </row>
    <row r="20" spans="1:7" ht="14.1" customHeight="1">
      <c r="A20" s="15" t="s">
        <v>116</v>
      </c>
      <c r="B20" s="16">
        <v>14569854</v>
      </c>
      <c r="C20" s="16">
        <v>0</v>
      </c>
      <c r="D20" s="16">
        <v>235595</v>
      </c>
      <c r="E20" s="16">
        <v>453654</v>
      </c>
      <c r="F20" s="16">
        <v>468776</v>
      </c>
      <c r="G20" s="16">
        <v>695603</v>
      </c>
    </row>
    <row r="21" spans="1:7" ht="14.1" customHeight="1">
      <c r="A21" s="271" t="s">
        <v>117</v>
      </c>
      <c r="B21" s="272">
        <v>5176115</v>
      </c>
      <c r="C21" s="272">
        <v>55181</v>
      </c>
      <c r="D21" s="272">
        <v>471490</v>
      </c>
      <c r="E21" s="272">
        <v>161166</v>
      </c>
      <c r="F21" s="272">
        <v>166538</v>
      </c>
      <c r="G21" s="272">
        <v>247121</v>
      </c>
    </row>
    <row r="22" spans="1:7" ht="14.1" customHeight="1">
      <c r="A22" s="15" t="s">
        <v>118</v>
      </c>
      <c r="B22" s="16">
        <v>2933472</v>
      </c>
      <c r="C22" s="16">
        <v>3441</v>
      </c>
      <c r="D22" s="16">
        <v>23282</v>
      </c>
      <c r="E22" s="16">
        <v>91338</v>
      </c>
      <c r="F22" s="16">
        <v>94383</v>
      </c>
      <c r="G22" s="16">
        <v>140052</v>
      </c>
    </row>
    <row r="23" spans="1:7" ht="14.1" customHeight="1">
      <c r="A23" s="271" t="s">
        <v>119</v>
      </c>
      <c r="B23" s="272">
        <v>1900022</v>
      </c>
      <c r="C23" s="272">
        <v>0</v>
      </c>
      <c r="D23" s="272">
        <v>370759</v>
      </c>
      <c r="E23" s="272">
        <v>59160</v>
      </c>
      <c r="F23" s="272">
        <v>61132</v>
      </c>
      <c r="G23" s="272">
        <v>90712</v>
      </c>
    </row>
    <row r="24" spans="1:7" ht="14.1" customHeight="1">
      <c r="A24" s="15" t="s">
        <v>120</v>
      </c>
      <c r="B24" s="16">
        <v>7548059</v>
      </c>
      <c r="C24" s="16">
        <v>0</v>
      </c>
      <c r="D24" s="16">
        <v>350489</v>
      </c>
      <c r="E24" s="16">
        <v>235020</v>
      </c>
      <c r="F24" s="16">
        <v>242854</v>
      </c>
      <c r="G24" s="16">
        <v>360364</v>
      </c>
    </row>
    <row r="25" spans="1:7" ht="14.1" customHeight="1">
      <c r="A25" s="271" t="s">
        <v>121</v>
      </c>
      <c r="B25" s="272">
        <v>26809966</v>
      </c>
      <c r="C25" s="272">
        <v>18630</v>
      </c>
      <c r="D25" s="272">
        <v>0</v>
      </c>
      <c r="E25" s="272">
        <v>834768</v>
      </c>
      <c r="F25" s="272">
        <v>862594</v>
      </c>
      <c r="G25" s="272">
        <v>1279978</v>
      </c>
    </row>
    <row r="26" spans="1:7" ht="14.1" customHeight="1">
      <c r="A26" s="15" t="s">
        <v>122</v>
      </c>
      <c r="B26" s="16">
        <v>5656901</v>
      </c>
      <c r="C26" s="16">
        <v>0</v>
      </c>
      <c r="D26" s="16">
        <v>568748</v>
      </c>
      <c r="E26" s="16">
        <v>176136</v>
      </c>
      <c r="F26" s="16">
        <v>182007</v>
      </c>
      <c r="G26" s="16">
        <v>270075</v>
      </c>
    </row>
    <row r="27" spans="1:7" ht="14.1" customHeight="1">
      <c r="A27" s="271" t="s">
        <v>123</v>
      </c>
      <c r="B27" s="272">
        <v>5507751</v>
      </c>
      <c r="C27" s="272">
        <v>0</v>
      </c>
      <c r="D27" s="272">
        <v>0</v>
      </c>
      <c r="E27" s="272">
        <v>171492</v>
      </c>
      <c r="F27" s="272">
        <v>177208</v>
      </c>
      <c r="G27" s="272">
        <v>262954</v>
      </c>
    </row>
    <row r="28" spans="1:7" ht="14.1" customHeight="1">
      <c r="A28" s="15" t="s">
        <v>124</v>
      </c>
      <c r="B28" s="16">
        <v>2924030</v>
      </c>
      <c r="C28" s="16">
        <v>22551</v>
      </c>
      <c r="D28" s="16">
        <v>514526</v>
      </c>
      <c r="E28" s="16">
        <v>91044</v>
      </c>
      <c r="F28" s="16">
        <v>94079</v>
      </c>
      <c r="G28" s="16">
        <v>139601</v>
      </c>
    </row>
    <row r="29" spans="1:7" ht="14.1" customHeight="1">
      <c r="A29" s="271" t="s">
        <v>125</v>
      </c>
      <c r="B29" s="272">
        <v>24182116</v>
      </c>
      <c r="C29" s="272">
        <v>26723</v>
      </c>
      <c r="D29" s="272">
        <v>0</v>
      </c>
      <c r="E29" s="272">
        <v>752946</v>
      </c>
      <c r="F29" s="272">
        <v>778044</v>
      </c>
      <c r="G29" s="272">
        <v>1154517</v>
      </c>
    </row>
    <row r="30" spans="1:7" ht="14.1" customHeight="1">
      <c r="A30" s="15" t="s">
        <v>126</v>
      </c>
      <c r="B30" s="16">
        <v>1932781</v>
      </c>
      <c r="C30" s="16">
        <v>47523</v>
      </c>
      <c r="D30" s="16">
        <v>317878</v>
      </c>
      <c r="E30" s="16">
        <v>60180</v>
      </c>
      <c r="F30" s="16">
        <v>62186</v>
      </c>
      <c r="G30" s="16">
        <v>92276</v>
      </c>
    </row>
    <row r="31" spans="1:7" ht="14.1" customHeight="1">
      <c r="A31" s="271" t="s">
        <v>127</v>
      </c>
      <c r="B31" s="272">
        <v>5992585</v>
      </c>
      <c r="C31" s="272">
        <v>0</v>
      </c>
      <c r="D31" s="272">
        <v>203353</v>
      </c>
      <c r="E31" s="272">
        <v>186588</v>
      </c>
      <c r="F31" s="272">
        <v>192808</v>
      </c>
      <c r="G31" s="272">
        <v>286102</v>
      </c>
    </row>
    <row r="32" spans="1:7" ht="14.1" customHeight="1">
      <c r="A32" s="15" t="s">
        <v>128</v>
      </c>
      <c r="B32" s="16">
        <v>4070209</v>
      </c>
      <c r="C32" s="16">
        <v>0</v>
      </c>
      <c r="D32" s="16">
        <v>616364</v>
      </c>
      <c r="E32" s="16">
        <v>126732</v>
      </c>
      <c r="F32" s="16">
        <v>130956</v>
      </c>
      <c r="G32" s="16">
        <v>194322</v>
      </c>
    </row>
    <row r="33" spans="1:7" ht="14.1" customHeight="1">
      <c r="A33" s="271" t="s">
        <v>129</v>
      </c>
      <c r="B33" s="272">
        <v>3855156</v>
      </c>
      <c r="C33" s="272">
        <v>36235</v>
      </c>
      <c r="D33" s="272">
        <v>802944</v>
      </c>
      <c r="E33" s="272">
        <v>120036</v>
      </c>
      <c r="F33" s="272">
        <v>124037</v>
      </c>
      <c r="G33" s="272">
        <v>184055</v>
      </c>
    </row>
    <row r="34" spans="1:7" ht="14.1" customHeight="1">
      <c r="A34" s="15" t="s">
        <v>130</v>
      </c>
      <c r="B34" s="16">
        <v>3821241</v>
      </c>
      <c r="C34" s="16">
        <v>84510</v>
      </c>
      <c r="D34" s="16">
        <v>590799</v>
      </c>
      <c r="E34" s="16">
        <v>118980</v>
      </c>
      <c r="F34" s="16">
        <v>122946</v>
      </c>
      <c r="G34" s="16">
        <v>182436</v>
      </c>
    </row>
    <row r="35" spans="1:7" ht="14.1" customHeight="1">
      <c r="A35" s="271" t="s">
        <v>131</v>
      </c>
      <c r="B35" s="272">
        <v>29509115</v>
      </c>
      <c r="C35" s="272">
        <v>0</v>
      </c>
      <c r="D35" s="272">
        <v>0</v>
      </c>
      <c r="E35" s="272">
        <v>918810</v>
      </c>
      <c r="F35" s="272">
        <v>949437</v>
      </c>
      <c r="G35" s="272">
        <v>1408842</v>
      </c>
    </row>
    <row r="36" spans="1:7" ht="14.1" customHeight="1">
      <c r="A36" s="15" t="s">
        <v>132</v>
      </c>
      <c r="B36" s="16">
        <v>2934821</v>
      </c>
      <c r="C36" s="16">
        <v>71401</v>
      </c>
      <c r="D36" s="16">
        <v>456566</v>
      </c>
      <c r="E36" s="16">
        <v>91380</v>
      </c>
      <c r="F36" s="16">
        <v>94426</v>
      </c>
      <c r="G36" s="16">
        <v>140116</v>
      </c>
    </row>
    <row r="37" spans="1:7" ht="14.1" customHeight="1">
      <c r="A37" s="271" t="s">
        <v>133</v>
      </c>
      <c r="B37" s="272">
        <v>7906674</v>
      </c>
      <c r="C37" s="272">
        <v>0</v>
      </c>
      <c r="D37" s="272">
        <v>451422</v>
      </c>
      <c r="E37" s="272">
        <v>246186</v>
      </c>
      <c r="F37" s="272">
        <v>254392</v>
      </c>
      <c r="G37" s="272">
        <v>377485</v>
      </c>
    </row>
    <row r="38" spans="1:7" ht="14.1" customHeight="1">
      <c r="A38" s="15" t="s">
        <v>134</v>
      </c>
      <c r="B38" s="16">
        <v>20609072</v>
      </c>
      <c r="C38" s="16">
        <v>0</v>
      </c>
      <c r="D38" s="16">
        <v>0</v>
      </c>
      <c r="E38" s="16">
        <v>641694</v>
      </c>
      <c r="F38" s="16">
        <v>663084</v>
      </c>
      <c r="G38" s="16">
        <v>983931</v>
      </c>
    </row>
    <row r="39" spans="1:7" ht="14.1" customHeight="1">
      <c r="A39" s="271" t="s">
        <v>135</v>
      </c>
      <c r="B39" s="272">
        <v>2972205</v>
      </c>
      <c r="C39" s="272">
        <v>0</v>
      </c>
      <c r="D39" s="272">
        <v>526288</v>
      </c>
      <c r="E39" s="272">
        <v>92544</v>
      </c>
      <c r="F39" s="272">
        <v>95629</v>
      </c>
      <c r="G39" s="272">
        <v>141901</v>
      </c>
    </row>
    <row r="40" spans="1:7" ht="14.1" customHeight="1">
      <c r="A40" s="15" t="s">
        <v>136</v>
      </c>
      <c r="B40" s="16">
        <v>15082436</v>
      </c>
      <c r="C40" s="16">
        <v>0</v>
      </c>
      <c r="D40" s="16">
        <v>0</v>
      </c>
      <c r="E40" s="16">
        <v>469614</v>
      </c>
      <c r="F40" s="16">
        <v>485268</v>
      </c>
      <c r="G40" s="16">
        <v>720075</v>
      </c>
    </row>
    <row r="41" spans="1:7" ht="14.1" customHeight="1">
      <c r="A41" s="271" t="s">
        <v>137</v>
      </c>
      <c r="B41" s="272">
        <v>8325907</v>
      </c>
      <c r="C41" s="272">
        <v>0</v>
      </c>
      <c r="D41" s="272">
        <v>495213</v>
      </c>
      <c r="E41" s="272">
        <v>259290</v>
      </c>
      <c r="F41" s="272">
        <v>267933</v>
      </c>
      <c r="G41" s="272">
        <v>397578</v>
      </c>
    </row>
    <row r="42" spans="1:7" ht="14.1" customHeight="1">
      <c r="A42" s="15" t="s">
        <v>138</v>
      </c>
      <c r="B42" s="16">
        <v>2600872</v>
      </c>
      <c r="C42" s="16">
        <v>18384</v>
      </c>
      <c r="D42" s="16">
        <v>267535</v>
      </c>
      <c r="E42" s="16">
        <v>80982</v>
      </c>
      <c r="F42" s="16">
        <v>83681</v>
      </c>
      <c r="G42" s="16">
        <v>124172</v>
      </c>
    </row>
    <row r="43" spans="1:7" ht="14.1" customHeight="1">
      <c r="A43" s="271" t="s">
        <v>139</v>
      </c>
      <c r="B43" s="272">
        <v>1828145</v>
      </c>
      <c r="C43" s="272">
        <v>43383</v>
      </c>
      <c r="D43" s="272">
        <v>254284</v>
      </c>
      <c r="E43" s="272">
        <v>56922</v>
      </c>
      <c r="F43" s="272">
        <v>58819</v>
      </c>
      <c r="G43" s="272">
        <v>87280</v>
      </c>
    </row>
    <row r="44" spans="1:7" ht="14.1" customHeight="1">
      <c r="A44" s="15" t="s">
        <v>140</v>
      </c>
      <c r="B44" s="16">
        <v>1310360</v>
      </c>
      <c r="C44" s="16">
        <v>42203</v>
      </c>
      <c r="D44" s="16">
        <v>292175</v>
      </c>
      <c r="E44" s="16">
        <v>40800</v>
      </c>
      <c r="F44" s="16">
        <v>42160</v>
      </c>
      <c r="G44" s="16">
        <v>62560</v>
      </c>
    </row>
    <row r="45" spans="1:7" ht="14.1" customHeight="1">
      <c r="A45" s="271" t="s">
        <v>141</v>
      </c>
      <c r="B45" s="272">
        <v>3157004</v>
      </c>
      <c r="C45" s="272">
        <v>0</v>
      </c>
      <c r="D45" s="272">
        <v>3221</v>
      </c>
      <c r="E45" s="272">
        <v>98298</v>
      </c>
      <c r="F45" s="272">
        <v>101575</v>
      </c>
      <c r="G45" s="272">
        <v>150724</v>
      </c>
    </row>
    <row r="46" spans="1:7" ht="14.1" customHeight="1">
      <c r="A46" s="15" t="s">
        <v>142</v>
      </c>
      <c r="B46" s="16">
        <v>57019690</v>
      </c>
      <c r="C46" s="16">
        <v>0</v>
      </c>
      <c r="D46" s="16">
        <v>0</v>
      </c>
      <c r="E46" s="16">
        <v>1775394</v>
      </c>
      <c r="F46" s="16">
        <v>1834574</v>
      </c>
      <c r="G46" s="16">
        <v>2722271</v>
      </c>
    </row>
    <row r="47" spans="1:7" ht="5.0999999999999996" customHeight="1">
      <c r="A47"/>
      <c r="B47"/>
      <c r="C47"/>
      <c r="D47"/>
      <c r="E47"/>
      <c r="F47"/>
      <c r="G47"/>
    </row>
    <row r="48" spans="1:7" ht="14.1" customHeight="1">
      <c r="A48" s="274" t="s">
        <v>143</v>
      </c>
      <c r="B48" s="275">
        <f t="shared" ref="B48:G48" si="0">SUM(B11:B46)</f>
        <v>322247671</v>
      </c>
      <c r="C48" s="275">
        <f t="shared" si="0"/>
        <v>684113</v>
      </c>
      <c r="D48" s="275">
        <f t="shared" si="0"/>
        <v>11002782</v>
      </c>
      <c r="E48" s="275">
        <f t="shared" si="0"/>
        <v>10033670</v>
      </c>
      <c r="F48" s="275">
        <f t="shared" si="0"/>
        <v>10368199</v>
      </c>
      <c r="G48" s="275">
        <f t="shared" si="0"/>
        <v>15385034</v>
      </c>
    </row>
    <row r="49" spans="1:7" ht="5.0999999999999996" customHeight="1">
      <c r="A49" s="17" t="s">
        <v>1</v>
      </c>
      <c r="B49" s="18"/>
      <c r="C49" s="18"/>
      <c r="D49" s="18"/>
      <c r="E49" s="18"/>
      <c r="F49" s="18"/>
      <c r="G49" s="18"/>
    </row>
    <row r="50" spans="1:7" ht="14.45" customHeight="1">
      <c r="A50" s="15" t="s">
        <v>144</v>
      </c>
      <c r="B50" s="16">
        <v>216043</v>
      </c>
      <c r="C50" s="16">
        <v>33957</v>
      </c>
      <c r="D50" s="16">
        <v>0</v>
      </c>
      <c r="E50" s="16">
        <v>10140</v>
      </c>
      <c r="F50" s="16">
        <v>10478</v>
      </c>
      <c r="G50" s="16">
        <v>15548</v>
      </c>
    </row>
    <row r="51" spans="1:7" ht="14.1" customHeight="1">
      <c r="A51" s="360" t="s">
        <v>523</v>
      </c>
      <c r="B51" s="272">
        <v>0</v>
      </c>
      <c r="C51" s="272">
        <v>0</v>
      </c>
      <c r="D51" s="272">
        <v>0</v>
      </c>
      <c r="E51" s="272">
        <v>0</v>
      </c>
      <c r="F51" s="272">
        <v>0</v>
      </c>
      <c r="G51" s="272">
        <v>0</v>
      </c>
    </row>
    <row r="52" spans="1:7" ht="50.1" customHeight="1">
      <c r="A52" s="19"/>
      <c r="B52" s="19"/>
      <c r="C52" s="19"/>
      <c r="D52" s="19"/>
      <c r="E52" s="19"/>
      <c r="F52" s="19"/>
      <c r="G52" s="19"/>
    </row>
    <row r="53" spans="1:7" ht="15" customHeight="1">
      <c r="A53" s="131" t="s">
        <v>582</v>
      </c>
      <c r="D53" s="31"/>
      <c r="E53" s="31"/>
      <c r="F53" s="31"/>
      <c r="G53" s="31"/>
    </row>
    <row r="54" spans="1:7" ht="12" customHeight="1">
      <c r="A54" s="31" t="s">
        <v>321</v>
      </c>
      <c r="D54" s="31"/>
      <c r="E54" s="31"/>
      <c r="F54" s="31"/>
      <c r="G54" s="31"/>
    </row>
    <row r="55" spans="1:7" ht="14.45" customHeight="1">
      <c r="A55" s="31"/>
      <c r="D55" s="31"/>
      <c r="E55" s="31"/>
      <c r="F55" s="31"/>
      <c r="G55" s="31"/>
    </row>
    <row r="56" spans="1:7" ht="14.45" customHeight="1">
      <c r="D56" s="90"/>
      <c r="E56" s="90"/>
      <c r="F56" s="90"/>
      <c r="G56" s="90"/>
    </row>
    <row r="57" spans="1:7" ht="14.45" customHeight="1"/>
    <row r="58" spans="1:7" ht="14.45" customHeight="1"/>
    <row r="59" spans="1:7" ht="14.45" customHeight="1"/>
    <row r="63" spans="1:7" ht="15" customHeight="1"/>
  </sheetData>
  <mergeCells count="9">
    <mergeCell ref="B4:G4"/>
    <mergeCell ref="B5:G5"/>
    <mergeCell ref="B6:G6"/>
    <mergeCell ref="B8:B9"/>
    <mergeCell ref="C7:C9"/>
    <mergeCell ref="D8:D9"/>
    <mergeCell ref="E8:E9"/>
    <mergeCell ref="F8:F9"/>
    <mergeCell ref="G8:G9"/>
  </mergeCells>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45.xml><?xml version="1.0" encoding="utf-8"?>
<worksheet xmlns="http://schemas.openxmlformats.org/spreadsheetml/2006/main" xmlns:r="http://schemas.openxmlformats.org/officeDocument/2006/relationships">
  <sheetPr codeName="Sheet451">
    <pageSetUpPr fitToPage="1"/>
  </sheetPr>
  <dimension ref="A1:K59"/>
  <sheetViews>
    <sheetView showGridLines="0" showZeros="0" workbookViewId="0"/>
  </sheetViews>
  <sheetFormatPr defaultColWidth="19.83203125" defaultRowHeight="12"/>
  <cols>
    <col min="1" max="1" width="29.83203125" style="1" customWidth="1"/>
    <col min="2" max="2" width="15.83203125" style="1" customWidth="1"/>
    <col min="3" max="3" width="17.83203125" style="1" customWidth="1"/>
    <col min="4" max="4" width="18.83203125" style="1" customWidth="1"/>
    <col min="5" max="5" width="14.83203125" style="1" customWidth="1"/>
    <col min="6" max="7" width="17.83203125" style="1" customWidth="1"/>
    <col min="8" max="16384" width="19.83203125" style="1"/>
  </cols>
  <sheetData>
    <row r="1" spans="1:7" ht="6.95" customHeight="1">
      <c r="A1" s="3"/>
      <c r="B1" s="3"/>
      <c r="C1" s="3"/>
      <c r="D1" s="3"/>
      <c r="E1" s="3"/>
      <c r="F1" s="3"/>
      <c r="G1" s="3"/>
    </row>
    <row r="2" spans="1:7" ht="15.95" customHeight="1">
      <c r="A2" s="229"/>
      <c r="B2" s="235" t="str">
        <f>REVYEAR</f>
        <v>ANALYSIS OF OPERATING FUND REVENUE: 2016/2017 BUDGET</v>
      </c>
      <c r="C2" s="236"/>
      <c r="D2" s="232"/>
      <c r="E2" s="232"/>
      <c r="F2" s="237"/>
      <c r="G2" s="185" t="s">
        <v>93</v>
      </c>
    </row>
    <row r="3" spans="1:7" ht="15.95" customHeight="1">
      <c r="A3" s="180"/>
      <c r="B3" s="180"/>
      <c r="C3" s="3"/>
      <c r="D3" s="3"/>
      <c r="E3" s="3"/>
      <c r="F3" s="3"/>
      <c r="G3" s="3"/>
    </row>
    <row r="4" spans="1:7" ht="15.95" customHeight="1">
      <c r="B4" s="767" t="s">
        <v>34</v>
      </c>
      <c r="C4" s="768"/>
      <c r="D4" s="768"/>
      <c r="E4" s="768"/>
      <c r="F4" s="768"/>
      <c r="G4" s="769"/>
    </row>
    <row r="5" spans="1:7" ht="15.95" customHeight="1">
      <c r="B5" s="770" t="s">
        <v>105</v>
      </c>
      <c r="C5" s="771"/>
      <c r="D5" s="771"/>
      <c r="E5" s="771"/>
      <c r="F5" s="771"/>
      <c r="G5" s="772"/>
    </row>
    <row r="6" spans="1:7" ht="15.95" customHeight="1">
      <c r="B6" s="777" t="s">
        <v>46</v>
      </c>
      <c r="C6" s="778"/>
      <c r="D6" s="778"/>
      <c r="E6" s="778"/>
      <c r="F6" s="778"/>
      <c r="G6" s="779"/>
    </row>
    <row r="7" spans="1:7" ht="15.95" customHeight="1">
      <c r="B7" s="186"/>
      <c r="C7" s="24"/>
      <c r="D7" s="24"/>
      <c r="E7" s="24"/>
      <c r="F7" s="24"/>
      <c r="G7" s="700" t="s">
        <v>492</v>
      </c>
    </row>
    <row r="8" spans="1:7" ht="15.95" customHeight="1">
      <c r="A8" s="82"/>
      <c r="B8" s="773" t="s">
        <v>604</v>
      </c>
      <c r="C8" s="775" t="s">
        <v>416</v>
      </c>
      <c r="D8" s="775" t="s">
        <v>490</v>
      </c>
      <c r="E8" s="775" t="s">
        <v>491</v>
      </c>
      <c r="F8" s="238"/>
      <c r="G8" s="775"/>
    </row>
    <row r="9" spans="1:7" ht="15.95" customHeight="1">
      <c r="A9" s="27" t="s">
        <v>37</v>
      </c>
      <c r="B9" s="774"/>
      <c r="C9" s="776"/>
      <c r="D9" s="776"/>
      <c r="E9" s="776"/>
      <c r="F9" s="94" t="s">
        <v>57</v>
      </c>
      <c r="G9" s="776"/>
    </row>
    <row r="10" spans="1:7" ht="5.0999999999999996" customHeight="1">
      <c r="A10" s="29"/>
      <c r="B10" s="3"/>
      <c r="F10" s="3"/>
      <c r="G10" s="3"/>
    </row>
    <row r="11" spans="1:7" ht="14.1" customHeight="1">
      <c r="A11" s="271" t="s">
        <v>108</v>
      </c>
      <c r="B11" s="272">
        <v>529474</v>
      </c>
      <c r="C11" s="272">
        <v>139930</v>
      </c>
      <c r="D11" s="272">
        <v>77551</v>
      </c>
      <c r="E11" s="272">
        <v>32625</v>
      </c>
      <c r="F11" s="272">
        <v>884070</v>
      </c>
      <c r="G11" s="272">
        <f>SUM('- 51 -'!$B11:G11,B11:F11)</f>
        <v>5568330</v>
      </c>
    </row>
    <row r="12" spans="1:7" ht="14.1" customHeight="1">
      <c r="A12" s="15" t="s">
        <v>109</v>
      </c>
      <c r="B12" s="16">
        <v>670782</v>
      </c>
      <c r="C12" s="16">
        <v>165851</v>
      </c>
      <c r="D12" s="16">
        <v>91917</v>
      </c>
      <c r="E12" s="16">
        <v>43625</v>
      </c>
      <c r="F12" s="16">
        <v>1227780</v>
      </c>
      <c r="G12" s="16">
        <f>SUM('- 51 -'!$B12:G12,B12:F12)</f>
        <v>6874237</v>
      </c>
    </row>
    <row r="13" spans="1:7" ht="14.1" customHeight="1">
      <c r="A13" s="271" t="s">
        <v>110</v>
      </c>
      <c r="B13" s="272">
        <v>2792600</v>
      </c>
      <c r="C13" s="272">
        <v>681800</v>
      </c>
      <c r="D13" s="272">
        <v>377800</v>
      </c>
      <c r="E13" s="272">
        <v>188000</v>
      </c>
      <c r="F13" s="272">
        <v>3008700</v>
      </c>
      <c r="G13" s="272">
        <f>SUM('- 51 -'!$B13:G13,B13:F13)</f>
        <v>24758200</v>
      </c>
    </row>
    <row r="14" spans="1:7" ht="14.1" customHeight="1">
      <c r="A14" s="15" t="s">
        <v>319</v>
      </c>
      <c r="B14" s="16">
        <v>1605258</v>
      </c>
      <c r="C14" s="16">
        <v>420686</v>
      </c>
      <c r="D14" s="16">
        <v>197672</v>
      </c>
      <c r="E14" s="16">
        <v>80250</v>
      </c>
      <c r="F14" s="16">
        <v>2685555</v>
      </c>
      <c r="G14" s="16">
        <f>SUM('- 51 -'!$B14:G14,B14:F14)</f>
        <v>16632980</v>
      </c>
    </row>
    <row r="15" spans="1:7" ht="14.1" customHeight="1">
      <c r="A15" s="271" t="s">
        <v>111</v>
      </c>
      <c r="B15" s="272">
        <v>468073</v>
      </c>
      <c r="C15" s="272">
        <v>115777</v>
      </c>
      <c r="D15" s="272">
        <v>54401</v>
      </c>
      <c r="E15" s="272">
        <v>30875</v>
      </c>
      <c r="F15" s="272">
        <v>855000</v>
      </c>
      <c r="G15" s="272">
        <f>SUM('- 51 -'!$B15:G15,B15:F15)</f>
        <v>4753233</v>
      </c>
    </row>
    <row r="16" spans="1:7" ht="14.1" customHeight="1">
      <c r="A16" s="15" t="s">
        <v>112</v>
      </c>
      <c r="B16" s="16">
        <v>327049</v>
      </c>
      <c r="C16" s="16">
        <v>75779</v>
      </c>
      <c r="D16" s="16">
        <v>46563</v>
      </c>
      <c r="E16" s="16">
        <v>25625</v>
      </c>
      <c r="F16" s="16">
        <v>597645</v>
      </c>
      <c r="G16" s="16">
        <f>SUM('- 51 -'!$B16:G16,B16:F16)</f>
        <v>3067413</v>
      </c>
    </row>
    <row r="17" spans="1:7" ht="14.1" customHeight="1">
      <c r="A17" s="271" t="s">
        <v>113</v>
      </c>
      <c r="B17" s="272">
        <v>407640</v>
      </c>
      <c r="C17" s="272">
        <v>106489</v>
      </c>
      <c r="D17" s="272">
        <v>59018</v>
      </c>
      <c r="E17" s="272">
        <v>26250</v>
      </c>
      <c r="F17" s="272">
        <v>852435</v>
      </c>
      <c r="G17" s="272">
        <f>SUM('- 51 -'!$B17:G17,B17:F17)</f>
        <v>4505579</v>
      </c>
    </row>
    <row r="18" spans="1:7" ht="14.1" customHeight="1">
      <c r="A18" s="15" t="s">
        <v>114</v>
      </c>
      <c r="B18" s="16">
        <v>1344088</v>
      </c>
      <c r="C18" s="16">
        <v>189580</v>
      </c>
      <c r="D18" s="16">
        <v>89080</v>
      </c>
      <c r="E18" s="16">
        <v>33125</v>
      </c>
      <c r="F18" s="16">
        <v>4180950</v>
      </c>
      <c r="G18" s="16">
        <f>SUM('- 51 -'!$B18:G18,B18:F18)</f>
        <v>11725243</v>
      </c>
    </row>
    <row r="19" spans="1:7" ht="14.1" customHeight="1">
      <c r="A19" s="271" t="s">
        <v>115</v>
      </c>
      <c r="B19" s="272">
        <v>1341081</v>
      </c>
      <c r="C19" s="272">
        <v>348683</v>
      </c>
      <c r="D19" s="272">
        <v>193246</v>
      </c>
      <c r="E19" s="272">
        <v>84513</v>
      </c>
      <c r="F19" s="272">
        <v>1698885</v>
      </c>
      <c r="G19" s="272">
        <f>SUM('- 51 -'!$B19:G19,B19:F19)</f>
        <v>12870592</v>
      </c>
    </row>
    <row r="20" spans="1:7" ht="14.1" customHeight="1">
      <c r="A20" s="15" t="s">
        <v>116</v>
      </c>
      <c r="B20" s="16">
        <v>2504327</v>
      </c>
      <c r="C20" s="16">
        <v>627555</v>
      </c>
      <c r="D20" s="16">
        <v>294875</v>
      </c>
      <c r="E20" s="16">
        <v>150375</v>
      </c>
      <c r="F20" s="16">
        <v>2808675</v>
      </c>
      <c r="G20" s="16">
        <f>SUM('- 51 -'!$B20:G20,B20:F20)</f>
        <v>22809289</v>
      </c>
    </row>
    <row r="21" spans="1:7" ht="14.1" customHeight="1">
      <c r="A21" s="271" t="s">
        <v>117</v>
      </c>
      <c r="B21" s="272">
        <v>870435</v>
      </c>
      <c r="C21" s="272">
        <v>222946</v>
      </c>
      <c r="D21" s="272">
        <v>104758</v>
      </c>
      <c r="E21" s="272">
        <v>56875</v>
      </c>
      <c r="F21" s="272">
        <v>1528740</v>
      </c>
      <c r="G21" s="272">
        <f>SUM('- 51 -'!$B21:G21,B21:F21)</f>
        <v>9061365</v>
      </c>
    </row>
    <row r="22" spans="1:7" ht="14.1" customHeight="1">
      <c r="A22" s="15" t="s">
        <v>118</v>
      </c>
      <c r="B22" s="16">
        <v>520334</v>
      </c>
      <c r="C22" s="16">
        <v>126351</v>
      </c>
      <c r="D22" s="16">
        <v>77637</v>
      </c>
      <c r="E22" s="16">
        <v>33625</v>
      </c>
      <c r="F22" s="16">
        <v>892620</v>
      </c>
      <c r="G22" s="16">
        <f>SUM('- 51 -'!$B22:G22,B22:F22)</f>
        <v>4936535</v>
      </c>
    </row>
    <row r="23" spans="1:7" ht="14.1" customHeight="1">
      <c r="A23" s="271" t="s">
        <v>119</v>
      </c>
      <c r="B23" s="272">
        <v>357609</v>
      </c>
      <c r="C23" s="272">
        <v>81838</v>
      </c>
      <c r="D23" s="272">
        <v>45356</v>
      </c>
      <c r="E23" s="272">
        <v>19000</v>
      </c>
      <c r="F23" s="272">
        <v>802845</v>
      </c>
      <c r="G23" s="272">
        <f>SUM('- 51 -'!$B23:G23,B23:F23)</f>
        <v>3788433</v>
      </c>
    </row>
    <row r="24" spans="1:7" ht="14.1" customHeight="1">
      <c r="A24" s="15" t="s">
        <v>120</v>
      </c>
      <c r="B24" s="16">
        <v>1325330</v>
      </c>
      <c r="C24" s="16">
        <v>325111</v>
      </c>
      <c r="D24" s="16">
        <v>152763</v>
      </c>
      <c r="E24" s="16">
        <v>92000</v>
      </c>
      <c r="F24" s="16">
        <v>2028915</v>
      </c>
      <c r="G24" s="16">
        <f>SUM('- 51 -'!$B24:G24,B24:F24)</f>
        <v>12660905</v>
      </c>
    </row>
    <row r="25" spans="1:7" ht="14.1" customHeight="1">
      <c r="A25" s="271" t="s">
        <v>121</v>
      </c>
      <c r="B25" s="272">
        <v>4833101</v>
      </c>
      <c r="C25" s="272">
        <v>1154762</v>
      </c>
      <c r="D25" s="272">
        <v>542599</v>
      </c>
      <c r="E25" s="272">
        <v>298250</v>
      </c>
      <c r="F25" s="272">
        <v>6382575</v>
      </c>
      <c r="G25" s="272">
        <f>SUM('- 51 -'!$B25:G25,B25:F25)</f>
        <v>43017223</v>
      </c>
    </row>
    <row r="26" spans="1:7" ht="14.1" customHeight="1">
      <c r="A26" s="15" t="s">
        <v>122</v>
      </c>
      <c r="B26" s="16">
        <v>1026267</v>
      </c>
      <c r="C26" s="16">
        <v>243655</v>
      </c>
      <c r="D26" s="16">
        <v>135038</v>
      </c>
      <c r="E26" s="16">
        <v>68663</v>
      </c>
      <c r="F26" s="16">
        <v>2285415</v>
      </c>
      <c r="G26" s="16">
        <f>SUM('- 51 -'!$B26:G26,B26:F26)</f>
        <v>10612905</v>
      </c>
    </row>
    <row r="27" spans="1:7" ht="14.1" customHeight="1">
      <c r="A27" s="271" t="s">
        <v>123</v>
      </c>
      <c r="B27" s="272">
        <v>1049203</v>
      </c>
      <c r="C27" s="272">
        <v>237231</v>
      </c>
      <c r="D27" s="272">
        <v>145768</v>
      </c>
      <c r="E27" s="272">
        <v>61250</v>
      </c>
      <c r="F27" s="272">
        <v>1297890</v>
      </c>
      <c r="G27" s="272">
        <f>SUM('- 51 -'!$B27:G27,B27:F27)</f>
        <v>8910747</v>
      </c>
    </row>
    <row r="28" spans="1:7" ht="14.1" customHeight="1">
      <c r="A28" s="15" t="s">
        <v>124</v>
      </c>
      <c r="B28" s="16">
        <v>492467</v>
      </c>
      <c r="C28" s="16">
        <v>125944</v>
      </c>
      <c r="D28" s="16">
        <v>69800</v>
      </c>
      <c r="E28" s="16">
        <v>37750</v>
      </c>
      <c r="F28" s="16">
        <v>1282500</v>
      </c>
      <c r="G28" s="16">
        <f>SUM('- 51 -'!$B28:G28,B28:F28)</f>
        <v>5794292</v>
      </c>
    </row>
    <row r="29" spans="1:7" ht="14.1" customHeight="1">
      <c r="A29" s="271" t="s">
        <v>125</v>
      </c>
      <c r="B29" s="272">
        <v>4049683</v>
      </c>
      <c r="C29" s="272">
        <v>1041575</v>
      </c>
      <c r="D29" s="272">
        <v>489415</v>
      </c>
      <c r="E29" s="272">
        <v>288000</v>
      </c>
      <c r="F29" s="272">
        <v>5025690</v>
      </c>
      <c r="G29" s="272">
        <f>SUM('- 51 -'!$B29:G29,B29:F29)</f>
        <v>37788709</v>
      </c>
    </row>
    <row r="30" spans="1:7" ht="14.1" customHeight="1">
      <c r="A30" s="15" t="s">
        <v>126</v>
      </c>
      <c r="B30" s="16">
        <v>333035</v>
      </c>
      <c r="C30" s="16">
        <v>83249</v>
      </c>
      <c r="D30" s="16">
        <v>46138</v>
      </c>
      <c r="E30" s="16">
        <v>23000</v>
      </c>
      <c r="F30" s="16">
        <v>791730</v>
      </c>
      <c r="G30" s="16">
        <f>SUM('- 51 -'!$B30:G30,B30:F30)</f>
        <v>3789976</v>
      </c>
    </row>
    <row r="31" spans="1:7" ht="14.1" customHeight="1">
      <c r="A31" s="271" t="s">
        <v>127</v>
      </c>
      <c r="B31" s="272">
        <v>1100758</v>
      </c>
      <c r="C31" s="272">
        <v>258113</v>
      </c>
      <c r="D31" s="272">
        <v>121282</v>
      </c>
      <c r="E31" s="272">
        <v>66500</v>
      </c>
      <c r="F31" s="272">
        <v>1806615</v>
      </c>
      <c r="G31" s="272">
        <f>SUM('- 51 -'!$B31:G31,B31:F31)</f>
        <v>10214704</v>
      </c>
    </row>
    <row r="32" spans="1:7" ht="14.1" customHeight="1">
      <c r="A32" s="15" t="s">
        <v>128</v>
      </c>
      <c r="B32" s="16">
        <v>682230</v>
      </c>
      <c r="C32" s="16">
        <v>175313</v>
      </c>
      <c r="D32" s="16">
        <v>82376</v>
      </c>
      <c r="E32" s="16">
        <v>36500</v>
      </c>
      <c r="F32" s="16">
        <v>1403055</v>
      </c>
      <c r="G32" s="16">
        <f>SUM('- 51 -'!$B32:G32,B32:F32)</f>
        <v>7518057</v>
      </c>
    </row>
    <row r="33" spans="1:7" ht="14.1" customHeight="1">
      <c r="A33" s="271" t="s">
        <v>129</v>
      </c>
      <c r="B33" s="272">
        <v>635323</v>
      </c>
      <c r="C33" s="272">
        <v>166050</v>
      </c>
      <c r="D33" s="272">
        <v>92028</v>
      </c>
      <c r="E33" s="272">
        <v>41000</v>
      </c>
      <c r="F33" s="272">
        <v>1746765</v>
      </c>
      <c r="G33" s="272">
        <f>SUM('- 51 -'!$B33:G33,B33:F33)</f>
        <v>7803629</v>
      </c>
    </row>
    <row r="34" spans="1:7" ht="14.1" customHeight="1">
      <c r="A34" s="15" t="s">
        <v>130</v>
      </c>
      <c r="B34" s="16">
        <v>637394</v>
      </c>
      <c r="C34" s="16">
        <v>164589</v>
      </c>
      <c r="D34" s="16">
        <v>77337</v>
      </c>
      <c r="E34" s="16">
        <v>39250</v>
      </c>
      <c r="F34" s="16">
        <v>1188450</v>
      </c>
      <c r="G34" s="16">
        <f>SUM('- 51 -'!$B34:G34,B34:F34)</f>
        <v>7027932</v>
      </c>
    </row>
    <row r="35" spans="1:7" ht="14.1" customHeight="1">
      <c r="A35" s="271" t="s">
        <v>131</v>
      </c>
      <c r="B35" s="272">
        <v>5135932</v>
      </c>
      <c r="C35" s="272">
        <v>1271021</v>
      </c>
      <c r="D35" s="272">
        <v>597227</v>
      </c>
      <c r="E35" s="272">
        <v>355263</v>
      </c>
      <c r="F35" s="272">
        <v>6968250</v>
      </c>
      <c r="G35" s="272">
        <f>SUM('- 51 -'!$B35:G35,B35:F35)</f>
        <v>47113897</v>
      </c>
    </row>
    <row r="36" spans="1:7" ht="14.1" customHeight="1">
      <c r="A36" s="15" t="s">
        <v>132</v>
      </c>
      <c r="B36" s="16">
        <v>505443</v>
      </c>
      <c r="C36" s="16">
        <v>126409</v>
      </c>
      <c r="D36" s="16">
        <v>70058</v>
      </c>
      <c r="E36" s="16">
        <v>26625</v>
      </c>
      <c r="F36" s="16">
        <v>1165365</v>
      </c>
      <c r="G36" s="16">
        <f>SUM('- 51 -'!$B36:G36,B36:F36)</f>
        <v>5682610</v>
      </c>
    </row>
    <row r="37" spans="1:7" ht="14.1" customHeight="1">
      <c r="A37" s="271" t="s">
        <v>133</v>
      </c>
      <c r="B37" s="272">
        <v>1352974</v>
      </c>
      <c r="C37" s="272">
        <v>340557</v>
      </c>
      <c r="D37" s="272">
        <v>160021</v>
      </c>
      <c r="E37" s="272">
        <v>76750</v>
      </c>
      <c r="F37" s="272">
        <v>1713420</v>
      </c>
      <c r="G37" s="272">
        <f>SUM('- 51 -'!$B37:G37,B37:F37)</f>
        <v>12879881</v>
      </c>
    </row>
    <row r="38" spans="1:7" ht="14.1" customHeight="1">
      <c r="A38" s="15" t="s">
        <v>134</v>
      </c>
      <c r="B38" s="16">
        <v>3691326</v>
      </c>
      <c r="C38" s="16">
        <v>887677</v>
      </c>
      <c r="D38" s="16">
        <v>417101</v>
      </c>
      <c r="E38" s="16">
        <v>265125</v>
      </c>
      <c r="F38" s="16">
        <v>3649995</v>
      </c>
      <c r="G38" s="16">
        <f>SUM('- 51 -'!$B38:G38,B38:F38)</f>
        <v>31809005</v>
      </c>
    </row>
    <row r="39" spans="1:7" ht="14.1" customHeight="1">
      <c r="A39" s="271" t="s">
        <v>135</v>
      </c>
      <c r="B39" s="272">
        <v>481683</v>
      </c>
      <c r="C39" s="272">
        <v>128019</v>
      </c>
      <c r="D39" s="272">
        <v>70950</v>
      </c>
      <c r="E39" s="272">
        <v>28875</v>
      </c>
      <c r="F39" s="272">
        <v>1032840</v>
      </c>
      <c r="G39" s="272">
        <f>SUM('- 51 -'!$B39:G39,B39:F39)</f>
        <v>5570934</v>
      </c>
    </row>
    <row r="40" spans="1:7" ht="14.1" customHeight="1">
      <c r="A40" s="15" t="s">
        <v>136</v>
      </c>
      <c r="B40" s="16">
        <v>2653445</v>
      </c>
      <c r="C40" s="16">
        <v>649633</v>
      </c>
      <c r="D40" s="16">
        <v>305249</v>
      </c>
      <c r="E40" s="16">
        <v>184375</v>
      </c>
      <c r="F40" s="16">
        <v>4162140</v>
      </c>
      <c r="G40" s="16">
        <f>SUM('- 51 -'!$B40:G40,B40:F40)</f>
        <v>24712235</v>
      </c>
    </row>
    <row r="41" spans="1:7" ht="14.1" customHeight="1">
      <c r="A41" s="271" t="s">
        <v>137</v>
      </c>
      <c r="B41" s="272">
        <v>1407240</v>
      </c>
      <c r="C41" s="272">
        <v>358685</v>
      </c>
      <c r="D41" s="272">
        <v>198789</v>
      </c>
      <c r="E41" s="272">
        <v>78875</v>
      </c>
      <c r="F41" s="272">
        <v>2088765</v>
      </c>
      <c r="G41" s="272">
        <f>SUM('- 51 -'!$B41:G41,B41:F41)</f>
        <v>13878275</v>
      </c>
    </row>
    <row r="42" spans="1:7" ht="14.1" customHeight="1">
      <c r="A42" s="15" t="s">
        <v>138</v>
      </c>
      <c r="B42" s="16">
        <v>465966</v>
      </c>
      <c r="C42" s="16">
        <v>112025</v>
      </c>
      <c r="D42" s="16">
        <v>68835</v>
      </c>
      <c r="E42" s="16">
        <v>29875</v>
      </c>
      <c r="F42" s="16">
        <v>1051650</v>
      </c>
      <c r="G42" s="16">
        <f>SUM('- 51 -'!$B42:G42,B42:F42)</f>
        <v>4903977</v>
      </c>
    </row>
    <row r="43" spans="1:7" ht="14.1" customHeight="1">
      <c r="A43" s="271" t="s">
        <v>139</v>
      </c>
      <c r="B43" s="272">
        <v>303101</v>
      </c>
      <c r="C43" s="272">
        <v>78742</v>
      </c>
      <c r="D43" s="272">
        <v>43640</v>
      </c>
      <c r="E43" s="272">
        <v>22125</v>
      </c>
      <c r="F43" s="272">
        <v>591660</v>
      </c>
      <c r="G43" s="272">
        <f>SUM('- 51 -'!$B43:G43,B43:F43)</f>
        <v>3368101</v>
      </c>
    </row>
    <row r="44" spans="1:7" ht="14.1" customHeight="1">
      <c r="A44" s="15" t="s">
        <v>140</v>
      </c>
      <c r="B44" s="16">
        <v>303837</v>
      </c>
      <c r="C44" s="16">
        <v>56440</v>
      </c>
      <c r="D44" s="16">
        <v>31280</v>
      </c>
      <c r="E44" s="16">
        <v>14375</v>
      </c>
      <c r="F44" s="16">
        <v>606195</v>
      </c>
      <c r="G44" s="16">
        <f>SUM('- 51 -'!$B44:G44,B44:F44)</f>
        <v>2802385</v>
      </c>
    </row>
    <row r="45" spans="1:7" ht="14.1" customHeight="1">
      <c r="A45" s="271" t="s">
        <v>141</v>
      </c>
      <c r="B45" s="272">
        <v>529153</v>
      </c>
      <c r="C45" s="272">
        <v>135979</v>
      </c>
      <c r="D45" s="272">
        <v>75362</v>
      </c>
      <c r="E45" s="272">
        <v>34250</v>
      </c>
      <c r="F45" s="272">
        <v>596790</v>
      </c>
      <c r="G45" s="272">
        <f>SUM('- 51 -'!$B45:G45,B45:F45)</f>
        <v>4882356</v>
      </c>
    </row>
    <row r="46" spans="1:7" ht="14.1" customHeight="1">
      <c r="A46" s="15" t="s">
        <v>142</v>
      </c>
      <c r="B46" s="16">
        <v>16515458</v>
      </c>
      <c r="C46" s="16">
        <v>2455962</v>
      </c>
      <c r="D46" s="16">
        <v>1154006</v>
      </c>
      <c r="E46" s="16">
        <v>717375</v>
      </c>
      <c r="F46" s="16">
        <v>14374260</v>
      </c>
      <c r="G46" s="16">
        <f>SUM('- 51 -'!$B46:G46,B46:F46)</f>
        <v>98568990</v>
      </c>
    </row>
    <row r="47" spans="1:7" ht="5.0999999999999996" customHeight="1">
      <c r="A47"/>
      <c r="B47"/>
      <c r="C47"/>
      <c r="D47"/>
      <c r="E47"/>
      <c r="F47"/>
      <c r="G47"/>
    </row>
    <row r="48" spans="1:7" ht="14.1" customHeight="1">
      <c r="A48" s="274" t="s">
        <v>143</v>
      </c>
      <c r="B48" s="275">
        <f t="shared" ref="B48:G48" si="0">SUM(B11:B46)</f>
        <v>63249099</v>
      </c>
      <c r="C48" s="275">
        <f t="shared" si="0"/>
        <v>13880006</v>
      </c>
      <c r="D48" s="275">
        <f t="shared" si="0"/>
        <v>6856936</v>
      </c>
      <c r="E48" s="275">
        <f t="shared" si="0"/>
        <v>3690814</v>
      </c>
      <c r="F48" s="275">
        <f t="shared" si="0"/>
        <v>85264830</v>
      </c>
      <c r="G48" s="275">
        <f t="shared" si="0"/>
        <v>542663154</v>
      </c>
    </row>
    <row r="49" spans="1:11" ht="5.0999999999999996" customHeight="1">
      <c r="A49" s="17" t="s">
        <v>1</v>
      </c>
      <c r="B49" s="18"/>
      <c r="C49" s="18"/>
      <c r="D49" s="18"/>
      <c r="E49" s="18"/>
      <c r="F49" s="18"/>
      <c r="G49" s="18"/>
    </row>
    <row r="50" spans="1:11" ht="14.45" customHeight="1">
      <c r="A50" s="15" t="s">
        <v>144</v>
      </c>
      <c r="B50" s="16">
        <v>53047</v>
      </c>
      <c r="C50" s="16">
        <v>14027</v>
      </c>
      <c r="D50" s="16">
        <v>7774</v>
      </c>
      <c r="E50" s="16">
        <v>4250</v>
      </c>
      <c r="F50" s="16">
        <v>234270</v>
      </c>
      <c r="G50" s="16">
        <f>SUM('- 51 -'!$B50:G50,B50:F50)</f>
        <v>599534</v>
      </c>
    </row>
    <row r="51" spans="1:11" ht="14.1" customHeight="1">
      <c r="A51" s="360" t="s">
        <v>523</v>
      </c>
      <c r="B51" s="272">
        <v>0</v>
      </c>
      <c r="C51" s="272">
        <v>0</v>
      </c>
      <c r="D51" s="272">
        <v>0</v>
      </c>
      <c r="E51" s="272">
        <v>0</v>
      </c>
      <c r="F51" s="272">
        <v>0</v>
      </c>
      <c r="G51" s="272">
        <f>SUM('- 51 -'!$B51:G51,B51:F51)</f>
        <v>0</v>
      </c>
      <c r="H51" s="1">
        <v>0</v>
      </c>
    </row>
    <row r="52" spans="1:11" ht="50.1" customHeight="1">
      <c r="A52" s="164"/>
      <c r="B52" s="164"/>
      <c r="C52" s="164"/>
      <c r="D52" s="164"/>
      <c r="E52" s="164"/>
      <c r="F52" s="164"/>
      <c r="G52" s="522"/>
      <c r="H52"/>
      <c r="I52"/>
      <c r="J52"/>
      <c r="K52"/>
    </row>
    <row r="53" spans="1:11" ht="15" customHeight="1">
      <c r="A53" s="141" t="s">
        <v>603</v>
      </c>
      <c r="B53" s="141"/>
      <c r="C53" s="524"/>
      <c r="D53" s="141"/>
      <c r="E53" s="141"/>
      <c r="F53" s="141"/>
      <c r="G53" s="525"/>
      <c r="H53" s="428"/>
      <c r="I53" s="428"/>
      <c r="J53" s="428"/>
      <c r="K53" s="428"/>
    </row>
    <row r="54" spans="1:11" ht="14.45" customHeight="1">
      <c r="A54" s="523"/>
      <c r="B54" s="523"/>
      <c r="C54" s="523"/>
      <c r="D54" s="523"/>
      <c r="E54" s="523"/>
      <c r="F54" s="523"/>
      <c r="G54" s="523"/>
      <c r="H54" s="428"/>
      <c r="I54" s="428"/>
      <c r="J54" s="428"/>
      <c r="K54" s="428"/>
    </row>
    <row r="55" spans="1:11" ht="14.45" customHeight="1">
      <c r="A55" s="31"/>
      <c r="B55" s="31"/>
      <c r="D55" s="31"/>
      <c r="E55" s="31"/>
      <c r="F55" s="31"/>
      <c r="G55" s="31"/>
    </row>
    <row r="56" spans="1:11" ht="14.45" customHeight="1">
      <c r="D56" s="90"/>
      <c r="E56" s="90"/>
      <c r="F56" s="90"/>
      <c r="G56" s="90"/>
    </row>
    <row r="57" spans="1:11" ht="14.45" customHeight="1"/>
    <row r="58" spans="1:11" ht="14.45" customHeight="1"/>
    <row r="59" spans="1:11" ht="14.45" customHeight="1"/>
  </sheetData>
  <mergeCells count="8">
    <mergeCell ref="B4:G4"/>
    <mergeCell ref="B5:G5"/>
    <mergeCell ref="B6:G6"/>
    <mergeCell ref="B8:B9"/>
    <mergeCell ref="C8:C9"/>
    <mergeCell ref="D8:D9"/>
    <mergeCell ref="E8:E9"/>
    <mergeCell ref="G7:G9"/>
  </mergeCells>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46.xml><?xml version="1.0" encoding="utf-8"?>
<worksheet xmlns="http://schemas.openxmlformats.org/spreadsheetml/2006/main" xmlns:r="http://schemas.openxmlformats.org/officeDocument/2006/relationships">
  <sheetPr codeName="Sheet47">
    <pageSetUpPr fitToPage="1"/>
  </sheetPr>
  <dimension ref="A1:F58"/>
  <sheetViews>
    <sheetView showGridLines="0" showZeros="0" workbookViewId="0"/>
  </sheetViews>
  <sheetFormatPr defaultColWidth="19.83203125" defaultRowHeight="12"/>
  <cols>
    <col min="1" max="1" width="29.83203125" style="1" customWidth="1"/>
    <col min="2" max="2" width="21.83203125" style="1" customWidth="1"/>
    <col min="3" max="3" width="19.83203125" style="1" customWidth="1"/>
    <col min="4" max="4" width="18.83203125" style="1" customWidth="1"/>
    <col min="5" max="5" width="20.83203125" style="1" customWidth="1"/>
    <col min="6" max="6" width="21.83203125" style="1" customWidth="1"/>
    <col min="7" max="7" width="14.83203125" style="1" customWidth="1"/>
    <col min="8" max="16384" width="19.83203125" style="1"/>
  </cols>
  <sheetData>
    <row r="1" spans="1:6" ht="6.95" customHeight="1">
      <c r="A1" s="3"/>
      <c r="B1" s="3"/>
      <c r="C1" s="3"/>
      <c r="D1" s="3"/>
      <c r="E1" s="3"/>
      <c r="F1" s="3"/>
    </row>
    <row r="2" spans="1:6" ht="15.95" customHeight="1">
      <c r="A2" s="229"/>
      <c r="B2" s="53" t="str">
        <f>REVYEAR</f>
        <v>ANALYSIS OF OPERATING FUND REVENUE: 2016/2017 BUDGET</v>
      </c>
      <c r="C2" s="230"/>
      <c r="D2" s="232"/>
      <c r="E2" s="232"/>
      <c r="F2" s="185" t="s">
        <v>94</v>
      </c>
    </row>
    <row r="3" spans="1:6" ht="15.95" customHeight="1">
      <c r="A3" s="180"/>
      <c r="B3" s="180"/>
      <c r="C3" s="3"/>
      <c r="D3" s="3"/>
      <c r="E3" s="3"/>
      <c r="F3" s="3"/>
    </row>
    <row r="4" spans="1:6" ht="15.95" customHeight="1">
      <c r="B4" s="767" t="s">
        <v>34</v>
      </c>
      <c r="C4" s="768"/>
      <c r="D4" s="768"/>
      <c r="E4" s="768"/>
      <c r="F4" s="769"/>
    </row>
    <row r="5" spans="1:6" ht="15.95" customHeight="1">
      <c r="B5" s="770" t="s">
        <v>105</v>
      </c>
      <c r="C5" s="771"/>
      <c r="D5" s="771"/>
      <c r="E5" s="771"/>
      <c r="F5" s="772"/>
    </row>
    <row r="6" spans="1:6" ht="15.95" customHeight="1">
      <c r="B6" s="777" t="s">
        <v>47</v>
      </c>
      <c r="C6" s="778"/>
      <c r="D6" s="778"/>
      <c r="E6" s="778"/>
      <c r="F6" s="779"/>
    </row>
    <row r="7" spans="1:6" ht="15.95" customHeight="1">
      <c r="B7" s="186"/>
      <c r="C7" s="186"/>
      <c r="D7" s="700" t="s">
        <v>495</v>
      </c>
      <c r="E7" s="700" t="s">
        <v>420</v>
      </c>
      <c r="F7" s="700" t="s">
        <v>496</v>
      </c>
    </row>
    <row r="8" spans="1:6" ht="15.95" customHeight="1">
      <c r="A8" s="82"/>
      <c r="B8" s="773" t="s">
        <v>493</v>
      </c>
      <c r="C8" s="775" t="s">
        <v>494</v>
      </c>
      <c r="D8" s="775"/>
      <c r="E8" s="775"/>
      <c r="F8" s="775"/>
    </row>
    <row r="9" spans="1:6" ht="15.95" customHeight="1">
      <c r="A9" s="27" t="s">
        <v>37</v>
      </c>
      <c r="B9" s="774"/>
      <c r="C9" s="776"/>
      <c r="D9" s="776"/>
      <c r="E9" s="776"/>
      <c r="F9" s="776"/>
    </row>
    <row r="10" spans="1:6" ht="5.0999999999999996" customHeight="1">
      <c r="A10" s="29"/>
      <c r="B10" s="3"/>
      <c r="C10" s="3"/>
      <c r="D10" s="3"/>
      <c r="E10" s="3"/>
    </row>
    <row r="11" spans="1:6" ht="14.1" customHeight="1">
      <c r="A11" s="271" t="s">
        <v>108</v>
      </c>
      <c r="B11" s="272">
        <v>683712</v>
      </c>
      <c r="C11" s="272">
        <v>634876</v>
      </c>
      <c r="D11" s="272">
        <v>49830</v>
      </c>
      <c r="E11" s="272">
        <v>229500</v>
      </c>
      <c r="F11" s="272">
        <v>36000</v>
      </c>
    </row>
    <row r="12" spans="1:6" ht="14.1" customHeight="1">
      <c r="A12" s="15" t="s">
        <v>109</v>
      </c>
      <c r="B12" s="16">
        <v>1228724</v>
      </c>
      <c r="C12" s="16">
        <v>996257</v>
      </c>
      <c r="D12" s="16">
        <v>189145</v>
      </c>
      <c r="E12" s="16">
        <v>99325</v>
      </c>
      <c r="F12" s="16">
        <v>54000</v>
      </c>
    </row>
    <row r="13" spans="1:6" ht="14.1" customHeight="1">
      <c r="A13" s="271" t="s">
        <v>110</v>
      </c>
      <c r="B13" s="272">
        <v>1013900</v>
      </c>
      <c r="C13" s="272">
        <v>3027700</v>
      </c>
      <c r="D13" s="272">
        <v>545700</v>
      </c>
      <c r="E13" s="272">
        <v>638100</v>
      </c>
      <c r="F13" s="272">
        <v>371000</v>
      </c>
    </row>
    <row r="14" spans="1:6" ht="14.1" customHeight="1">
      <c r="A14" s="15" t="s">
        <v>319</v>
      </c>
      <c r="B14" s="16">
        <v>3330912</v>
      </c>
      <c r="C14" s="16">
        <v>1318083</v>
      </c>
      <c r="D14" s="16">
        <v>63663</v>
      </c>
      <c r="E14" s="16">
        <v>182200</v>
      </c>
      <c r="F14" s="16">
        <v>530000</v>
      </c>
    </row>
    <row r="15" spans="1:6" ht="14.1" customHeight="1">
      <c r="A15" s="271" t="s">
        <v>111</v>
      </c>
      <c r="B15" s="272">
        <v>896477</v>
      </c>
      <c r="C15" s="272">
        <v>881830</v>
      </c>
      <c r="D15" s="272">
        <v>77908</v>
      </c>
      <c r="E15" s="272">
        <v>9150</v>
      </c>
      <c r="F15" s="272">
        <v>128000</v>
      </c>
    </row>
    <row r="16" spans="1:6" ht="14.1" customHeight="1">
      <c r="A16" s="15" t="s">
        <v>112</v>
      </c>
      <c r="B16" s="16">
        <v>118180</v>
      </c>
      <c r="C16" s="16">
        <v>446961</v>
      </c>
      <c r="D16" s="16">
        <v>47383</v>
      </c>
      <c r="E16" s="16">
        <v>1550</v>
      </c>
      <c r="F16" s="16">
        <v>81500</v>
      </c>
    </row>
    <row r="17" spans="1:6" ht="14.1" customHeight="1">
      <c r="A17" s="271" t="s">
        <v>113</v>
      </c>
      <c r="B17" s="272">
        <v>906053</v>
      </c>
      <c r="C17" s="272">
        <v>578844</v>
      </c>
      <c r="D17" s="272">
        <v>60445</v>
      </c>
      <c r="E17" s="272">
        <v>18200</v>
      </c>
      <c r="F17" s="272">
        <v>18000</v>
      </c>
    </row>
    <row r="18" spans="1:6" ht="14.1" customHeight="1">
      <c r="A18" s="15" t="s">
        <v>114</v>
      </c>
      <c r="B18" s="16">
        <v>1309069</v>
      </c>
      <c r="C18" s="16">
        <v>1759818</v>
      </c>
      <c r="D18" s="16">
        <v>102190</v>
      </c>
      <c r="E18" s="16">
        <v>800</v>
      </c>
      <c r="F18" s="16">
        <v>851750</v>
      </c>
    </row>
    <row r="19" spans="1:6" ht="14.1" customHeight="1">
      <c r="A19" s="271" t="s">
        <v>115</v>
      </c>
      <c r="B19" s="272">
        <v>1489888</v>
      </c>
      <c r="C19" s="272">
        <v>1850005</v>
      </c>
      <c r="D19" s="272">
        <v>328075</v>
      </c>
      <c r="E19" s="272">
        <v>583900</v>
      </c>
      <c r="F19" s="272">
        <v>27000</v>
      </c>
    </row>
    <row r="20" spans="1:6" ht="14.1" customHeight="1">
      <c r="A20" s="15" t="s">
        <v>116</v>
      </c>
      <c r="B20" s="16">
        <v>2644030</v>
      </c>
      <c r="C20" s="16">
        <v>3252498</v>
      </c>
      <c r="D20" s="16">
        <v>509878</v>
      </c>
      <c r="E20" s="16">
        <v>549050</v>
      </c>
      <c r="F20" s="16">
        <v>171000</v>
      </c>
    </row>
    <row r="21" spans="1:6" ht="14.1" customHeight="1">
      <c r="A21" s="271" t="s">
        <v>117</v>
      </c>
      <c r="B21" s="272">
        <v>1220428</v>
      </c>
      <c r="C21" s="272">
        <v>1257234</v>
      </c>
      <c r="D21" s="272">
        <v>79063</v>
      </c>
      <c r="E21" s="272">
        <v>45850</v>
      </c>
      <c r="F21" s="272">
        <v>135000</v>
      </c>
    </row>
    <row r="22" spans="1:6" ht="14.1" customHeight="1">
      <c r="A22" s="15" t="s">
        <v>118</v>
      </c>
      <c r="B22" s="16">
        <v>288017</v>
      </c>
      <c r="C22" s="16">
        <v>869153</v>
      </c>
      <c r="D22" s="16">
        <v>61270</v>
      </c>
      <c r="E22" s="16">
        <v>1500</v>
      </c>
      <c r="F22" s="16">
        <v>171000</v>
      </c>
    </row>
    <row r="23" spans="1:6" ht="14.1" customHeight="1">
      <c r="A23" s="271" t="s">
        <v>119</v>
      </c>
      <c r="B23" s="272">
        <v>984069</v>
      </c>
      <c r="C23" s="272">
        <v>665034</v>
      </c>
      <c r="D23" s="272">
        <v>62755</v>
      </c>
      <c r="E23" s="272">
        <v>13650</v>
      </c>
      <c r="F23" s="272">
        <v>99000</v>
      </c>
    </row>
    <row r="24" spans="1:6" ht="14.1" customHeight="1">
      <c r="A24" s="15" t="s">
        <v>120</v>
      </c>
      <c r="B24" s="16">
        <v>1709189</v>
      </c>
      <c r="C24" s="16">
        <v>2161869</v>
      </c>
      <c r="D24" s="16">
        <v>350708</v>
      </c>
      <c r="E24" s="16">
        <v>35950</v>
      </c>
      <c r="F24" s="16">
        <v>356500</v>
      </c>
    </row>
    <row r="25" spans="1:6" ht="14.1" customHeight="1">
      <c r="A25" s="271" t="s">
        <v>121</v>
      </c>
      <c r="B25" s="272">
        <v>1295726</v>
      </c>
      <c r="C25" s="272">
        <v>8420605</v>
      </c>
      <c r="D25" s="272">
        <v>673063</v>
      </c>
      <c r="E25" s="272">
        <v>1030675</v>
      </c>
      <c r="F25" s="272">
        <v>803000</v>
      </c>
    </row>
    <row r="26" spans="1:6" ht="14.1" customHeight="1">
      <c r="A26" s="15" t="s">
        <v>122</v>
      </c>
      <c r="B26" s="16">
        <v>1587640</v>
      </c>
      <c r="C26" s="16">
        <v>1390569</v>
      </c>
      <c r="D26" s="16">
        <v>218488</v>
      </c>
      <c r="E26" s="16">
        <v>13900</v>
      </c>
      <c r="F26" s="16">
        <v>245000</v>
      </c>
    </row>
    <row r="27" spans="1:6" ht="14.1" customHeight="1">
      <c r="A27" s="271" t="s">
        <v>123</v>
      </c>
      <c r="B27" s="272">
        <v>83661</v>
      </c>
      <c r="C27" s="272">
        <v>1717298</v>
      </c>
      <c r="D27" s="272">
        <v>250360</v>
      </c>
      <c r="E27" s="272">
        <v>87850</v>
      </c>
      <c r="F27" s="272">
        <v>280500</v>
      </c>
    </row>
    <row r="28" spans="1:6" ht="14.1" customHeight="1">
      <c r="A28" s="15" t="s">
        <v>124</v>
      </c>
      <c r="B28" s="16">
        <v>1284288</v>
      </c>
      <c r="C28" s="16">
        <v>598084</v>
      </c>
      <c r="D28" s="16">
        <v>74910</v>
      </c>
      <c r="E28" s="16">
        <v>28150</v>
      </c>
      <c r="F28" s="16">
        <v>90500</v>
      </c>
    </row>
    <row r="29" spans="1:6" ht="14.1" customHeight="1">
      <c r="A29" s="271" t="s">
        <v>125</v>
      </c>
      <c r="B29" s="272">
        <v>967425</v>
      </c>
      <c r="C29" s="272">
        <v>6561338</v>
      </c>
      <c r="D29" s="272">
        <v>237491</v>
      </c>
      <c r="E29" s="272">
        <v>1438575</v>
      </c>
      <c r="F29" s="272">
        <v>333000</v>
      </c>
    </row>
    <row r="30" spans="1:6" ht="14.1" customHeight="1">
      <c r="A30" s="15" t="s">
        <v>126</v>
      </c>
      <c r="B30" s="16">
        <v>668784</v>
      </c>
      <c r="C30" s="16">
        <v>539251</v>
      </c>
      <c r="D30" s="16">
        <v>55990</v>
      </c>
      <c r="E30" s="16">
        <v>53900</v>
      </c>
      <c r="F30" s="16">
        <v>47000</v>
      </c>
    </row>
    <row r="31" spans="1:6" ht="14.1" customHeight="1">
      <c r="A31" s="271" t="s">
        <v>127</v>
      </c>
      <c r="B31" s="272">
        <v>826177</v>
      </c>
      <c r="C31" s="272">
        <v>1704880</v>
      </c>
      <c r="D31" s="272">
        <v>190355</v>
      </c>
      <c r="E31" s="272">
        <v>116900</v>
      </c>
      <c r="F31" s="272">
        <v>245000</v>
      </c>
    </row>
    <row r="32" spans="1:6" ht="14.1" customHeight="1">
      <c r="A32" s="15" t="s">
        <v>128</v>
      </c>
      <c r="B32" s="16">
        <v>1301187</v>
      </c>
      <c r="C32" s="16">
        <v>807333</v>
      </c>
      <c r="D32" s="16">
        <v>87616</v>
      </c>
      <c r="E32" s="16">
        <v>98250</v>
      </c>
      <c r="F32" s="16">
        <v>99000</v>
      </c>
    </row>
    <row r="33" spans="1:6" ht="14.1" customHeight="1">
      <c r="A33" s="271" t="s">
        <v>129</v>
      </c>
      <c r="B33" s="272">
        <v>1414957</v>
      </c>
      <c r="C33" s="272">
        <v>928905</v>
      </c>
      <c r="D33" s="272">
        <v>79063</v>
      </c>
      <c r="E33" s="272">
        <v>126150</v>
      </c>
      <c r="F33" s="272">
        <v>36000</v>
      </c>
    </row>
    <row r="34" spans="1:6" ht="14.1" customHeight="1">
      <c r="A34" s="15" t="s">
        <v>130</v>
      </c>
      <c r="B34" s="16">
        <v>1437367</v>
      </c>
      <c r="C34" s="16">
        <v>1117592</v>
      </c>
      <c r="D34" s="16">
        <v>75433</v>
      </c>
      <c r="E34" s="16">
        <v>74900</v>
      </c>
      <c r="F34" s="16">
        <v>108000</v>
      </c>
    </row>
    <row r="35" spans="1:6" ht="14.1" customHeight="1">
      <c r="A35" s="271" t="s">
        <v>131</v>
      </c>
      <c r="B35" s="272">
        <v>1735532</v>
      </c>
      <c r="C35" s="272">
        <v>8774103</v>
      </c>
      <c r="D35" s="272">
        <v>1009718</v>
      </c>
      <c r="E35" s="272">
        <v>653600</v>
      </c>
      <c r="F35" s="272">
        <v>864000</v>
      </c>
    </row>
    <row r="36" spans="1:6" ht="14.1" customHeight="1">
      <c r="A36" s="15" t="s">
        <v>132</v>
      </c>
      <c r="B36" s="16">
        <v>871625</v>
      </c>
      <c r="C36" s="16">
        <v>603241</v>
      </c>
      <c r="D36" s="16">
        <v>28821</v>
      </c>
      <c r="E36" s="16">
        <v>37300</v>
      </c>
      <c r="F36" s="16">
        <v>74000</v>
      </c>
    </row>
    <row r="37" spans="1:6" ht="14.1" customHeight="1">
      <c r="A37" s="271" t="s">
        <v>133</v>
      </c>
      <c r="B37" s="272">
        <v>1823074</v>
      </c>
      <c r="C37" s="272">
        <v>2501546</v>
      </c>
      <c r="D37" s="272">
        <v>142615</v>
      </c>
      <c r="E37" s="272">
        <v>172400</v>
      </c>
      <c r="F37" s="272">
        <v>396000</v>
      </c>
    </row>
    <row r="38" spans="1:6" ht="14.1" customHeight="1">
      <c r="A38" s="15" t="s">
        <v>134</v>
      </c>
      <c r="B38" s="16">
        <v>1079447</v>
      </c>
      <c r="C38" s="16">
        <v>6062589</v>
      </c>
      <c r="D38" s="16">
        <v>494038</v>
      </c>
      <c r="E38" s="16">
        <v>819475</v>
      </c>
      <c r="F38" s="16">
        <v>359500</v>
      </c>
    </row>
    <row r="39" spans="1:6" ht="14.1" customHeight="1">
      <c r="A39" s="271" t="s">
        <v>135</v>
      </c>
      <c r="B39" s="272">
        <v>1104155</v>
      </c>
      <c r="C39" s="272">
        <v>547239</v>
      </c>
      <c r="D39" s="272">
        <v>33605</v>
      </c>
      <c r="E39" s="272">
        <v>47700</v>
      </c>
      <c r="F39" s="272">
        <v>36000</v>
      </c>
    </row>
    <row r="40" spans="1:6" ht="14.1" customHeight="1">
      <c r="A40" s="15" t="s">
        <v>136</v>
      </c>
      <c r="B40" s="16">
        <v>677362</v>
      </c>
      <c r="C40" s="16">
        <v>4535764</v>
      </c>
      <c r="D40" s="16">
        <v>589710</v>
      </c>
      <c r="E40" s="16">
        <v>336000</v>
      </c>
      <c r="F40" s="16">
        <v>371200</v>
      </c>
    </row>
    <row r="41" spans="1:6" ht="14.1" customHeight="1">
      <c r="A41" s="271" t="s">
        <v>137</v>
      </c>
      <c r="B41" s="272">
        <v>2794709</v>
      </c>
      <c r="C41" s="272">
        <v>2471460</v>
      </c>
      <c r="D41" s="272">
        <v>165440</v>
      </c>
      <c r="E41" s="272">
        <v>83650</v>
      </c>
      <c r="F41" s="272">
        <v>255000</v>
      </c>
    </row>
    <row r="42" spans="1:6" ht="14.1" customHeight="1">
      <c r="A42" s="15" t="s">
        <v>138</v>
      </c>
      <c r="B42" s="16">
        <v>1033873</v>
      </c>
      <c r="C42" s="16">
        <v>785348</v>
      </c>
      <c r="D42" s="16">
        <v>211035</v>
      </c>
      <c r="E42" s="16">
        <v>750</v>
      </c>
      <c r="F42" s="16">
        <v>146000</v>
      </c>
    </row>
    <row r="43" spans="1:6" ht="14.1" customHeight="1">
      <c r="A43" s="271" t="s">
        <v>139</v>
      </c>
      <c r="B43" s="272">
        <v>578551</v>
      </c>
      <c r="C43" s="272">
        <v>323665</v>
      </c>
      <c r="D43" s="272">
        <v>33110</v>
      </c>
      <c r="E43" s="272">
        <v>45150</v>
      </c>
      <c r="F43" s="272">
        <v>27000</v>
      </c>
    </row>
    <row r="44" spans="1:6" ht="14.1" customHeight="1">
      <c r="A44" s="15" t="s">
        <v>140</v>
      </c>
      <c r="B44" s="16">
        <v>749475</v>
      </c>
      <c r="C44" s="16">
        <v>423575</v>
      </c>
      <c r="D44" s="16">
        <v>33578</v>
      </c>
      <c r="E44" s="16">
        <v>16900</v>
      </c>
      <c r="F44" s="16">
        <v>99000</v>
      </c>
    </row>
    <row r="45" spans="1:6" ht="14.1" customHeight="1">
      <c r="A45" s="271" t="s">
        <v>141</v>
      </c>
      <c r="B45" s="272">
        <v>503065</v>
      </c>
      <c r="C45" s="272">
        <v>629414</v>
      </c>
      <c r="D45" s="272">
        <v>103070</v>
      </c>
      <c r="E45" s="272">
        <v>117950</v>
      </c>
      <c r="F45" s="272">
        <v>27000</v>
      </c>
    </row>
    <row r="46" spans="1:6" ht="14.1" customHeight="1">
      <c r="A46" s="15" t="s">
        <v>142</v>
      </c>
      <c r="B46" s="16">
        <v>1395252</v>
      </c>
      <c r="C46" s="16">
        <v>15707516</v>
      </c>
      <c r="D46" s="16">
        <v>1747626</v>
      </c>
      <c r="E46" s="16">
        <v>2945390</v>
      </c>
      <c r="F46" s="16">
        <v>2374400</v>
      </c>
    </row>
    <row r="47" spans="1:6" ht="5.0999999999999996" customHeight="1">
      <c r="A47"/>
      <c r="B47"/>
      <c r="C47"/>
      <c r="D47"/>
      <c r="E47"/>
      <c r="F47"/>
    </row>
    <row r="48" spans="1:6" ht="14.1" customHeight="1">
      <c r="A48" s="274" t="s">
        <v>143</v>
      </c>
      <c r="B48" s="275">
        <f>SUM(B11:B46)</f>
        <v>43035980</v>
      </c>
      <c r="C48" s="275">
        <f>SUM(C11:C46)</f>
        <v>86851477</v>
      </c>
      <c r="D48" s="275">
        <f>SUM(D11:D46)</f>
        <v>9063148</v>
      </c>
      <c r="E48" s="275">
        <f>SUM(E11:E46)</f>
        <v>10754240</v>
      </c>
      <c r="F48" s="275">
        <f>SUM(F11:F46)</f>
        <v>10345850</v>
      </c>
    </row>
    <row r="49" spans="1:6" ht="5.0999999999999996" customHeight="1">
      <c r="A49" s="17" t="s">
        <v>1</v>
      </c>
      <c r="B49" s="18"/>
      <c r="C49" s="18"/>
      <c r="D49" s="18"/>
      <c r="E49" s="18"/>
      <c r="F49" s="18"/>
    </row>
    <row r="50" spans="1:6" ht="14.45" customHeight="1">
      <c r="A50" s="15" t="s">
        <v>144</v>
      </c>
      <c r="B50" s="16">
        <v>1200</v>
      </c>
      <c r="C50" s="16">
        <v>100355</v>
      </c>
      <c r="D50" s="16">
        <v>8085</v>
      </c>
      <c r="E50" s="16">
        <v>750</v>
      </c>
      <c r="F50" s="16">
        <v>0</v>
      </c>
    </row>
    <row r="51" spans="1:6" ht="14.1" customHeight="1">
      <c r="A51" s="360" t="s">
        <v>523</v>
      </c>
      <c r="B51" s="272">
        <v>0</v>
      </c>
      <c r="C51" s="272">
        <v>0</v>
      </c>
      <c r="D51" s="272">
        <v>0</v>
      </c>
      <c r="E51" s="272">
        <v>0</v>
      </c>
      <c r="F51" s="272">
        <v>0</v>
      </c>
    </row>
    <row r="52" spans="1:6" ht="50.1" customHeight="1">
      <c r="A52" s="19"/>
      <c r="B52" s="19"/>
      <c r="C52" s="19"/>
      <c r="D52" s="19"/>
      <c r="E52" s="19"/>
      <c r="F52" s="19"/>
    </row>
    <row r="53" spans="1:6" ht="15" customHeight="1">
      <c r="A53" s="31" t="s">
        <v>322</v>
      </c>
      <c r="B53" s="211"/>
      <c r="C53" s="31"/>
      <c r="D53" s="31"/>
      <c r="E53" s="31"/>
      <c r="F53" s="31"/>
    </row>
    <row r="54" spans="1:6" ht="12" customHeight="1">
      <c r="A54" s="780" t="str">
        <f>"(2)  Includes support for coordinators, clinicians and Level 2 and 3 pupils. Note: total special needs support is"&amp;" $"&amp;TEXT(C48+'- 52 -'!B48,"000,000")&amp; " (Student Services, 
       page 52 and Special Needs)."</f>
        <v>(2)  Includes support for coordinators, clinicians and Level 2 and 3 pupils. Note: total special needs support is $150,100,576 (Student Services, 
       page 52 and Special Needs).</v>
      </c>
      <c r="B54" s="780"/>
      <c r="C54" s="780"/>
      <c r="D54" s="780"/>
      <c r="E54" s="780"/>
      <c r="F54" s="780"/>
    </row>
    <row r="55" spans="1:6" ht="12" customHeight="1">
      <c r="A55" s="780"/>
      <c r="B55" s="780"/>
      <c r="C55" s="780"/>
      <c r="D55" s="780"/>
      <c r="E55" s="780"/>
      <c r="F55" s="780"/>
    </row>
    <row r="56" spans="1:6" ht="14.45" customHeight="1">
      <c r="A56" s="233"/>
      <c r="B56" s="31"/>
      <c r="C56" s="234"/>
      <c r="D56" s="31"/>
      <c r="E56" s="31"/>
      <c r="F56" s="31"/>
    </row>
    <row r="57" spans="1:6" ht="14.45" customHeight="1">
      <c r="A57" s="31"/>
    </row>
    <row r="58" spans="1:6" ht="14.45" customHeight="1"/>
  </sheetData>
  <mergeCells count="9">
    <mergeCell ref="A54:F55"/>
    <mergeCell ref="B4:F4"/>
    <mergeCell ref="B5:F5"/>
    <mergeCell ref="B6:F6"/>
    <mergeCell ref="B8:B9"/>
    <mergeCell ref="C8:C9"/>
    <mergeCell ref="D7:D9"/>
    <mergeCell ref="E7:E9"/>
    <mergeCell ref="F7:F9"/>
  </mergeCells>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47.xml><?xml version="1.0" encoding="utf-8"?>
<worksheet xmlns="http://schemas.openxmlformats.org/spreadsheetml/2006/main" xmlns:r="http://schemas.openxmlformats.org/officeDocument/2006/relationships">
  <sheetPr codeName="Sheet46">
    <pageSetUpPr fitToPage="1"/>
  </sheetPr>
  <dimension ref="A1:F59"/>
  <sheetViews>
    <sheetView showGridLines="0" showZeros="0" workbookViewId="0"/>
  </sheetViews>
  <sheetFormatPr defaultColWidth="19.83203125" defaultRowHeight="12"/>
  <cols>
    <col min="1" max="1" width="33.83203125" style="1" customWidth="1"/>
    <col min="2" max="2" width="18.83203125" style="1" customWidth="1"/>
    <col min="3" max="4" width="19.83203125" style="1" customWidth="1"/>
    <col min="5" max="5" width="20.83203125" style="1" customWidth="1"/>
    <col min="6" max="6" width="19.83203125" style="1" customWidth="1"/>
    <col min="7" max="16384" width="19.83203125" style="1"/>
  </cols>
  <sheetData>
    <row r="1" spans="1:6" ht="6.95" customHeight="1">
      <c r="A1" s="3"/>
      <c r="B1" s="3"/>
      <c r="C1" s="3"/>
      <c r="D1" s="3"/>
      <c r="E1" s="3"/>
      <c r="F1" s="3"/>
    </row>
    <row r="2" spans="1:6" ht="15.95" customHeight="1">
      <c r="A2" s="229"/>
      <c r="B2" s="53" t="str">
        <f>REVYEAR</f>
        <v>ANALYSIS OF OPERATING FUND REVENUE: 2016/2017 BUDGET</v>
      </c>
      <c r="C2" s="230"/>
      <c r="D2" s="230"/>
      <c r="E2" s="230"/>
      <c r="F2" s="185" t="s">
        <v>95</v>
      </c>
    </row>
    <row r="3" spans="1:6" ht="15.95" customHeight="1">
      <c r="A3" s="180"/>
      <c r="B3" s="3"/>
      <c r="C3" s="3"/>
      <c r="D3" s="3"/>
      <c r="E3" s="3"/>
      <c r="F3" s="3"/>
    </row>
    <row r="4" spans="1:6" ht="15.95" customHeight="1">
      <c r="B4" s="767" t="s">
        <v>34</v>
      </c>
      <c r="C4" s="768"/>
      <c r="D4" s="768"/>
      <c r="E4" s="768"/>
      <c r="F4" s="769"/>
    </row>
    <row r="5" spans="1:6" ht="15.95" customHeight="1">
      <c r="B5" s="770" t="s">
        <v>105</v>
      </c>
      <c r="C5" s="771"/>
      <c r="D5" s="771"/>
      <c r="E5" s="771"/>
      <c r="F5" s="772"/>
    </row>
    <row r="6" spans="1:6" ht="15.95" customHeight="1">
      <c r="B6" s="781" t="s">
        <v>47</v>
      </c>
      <c r="C6" s="778"/>
      <c r="D6" s="778"/>
      <c r="E6" s="778"/>
      <c r="F6" s="779"/>
    </row>
    <row r="7" spans="1:6" ht="15.95" customHeight="1">
      <c r="B7" s="734" t="s">
        <v>497</v>
      </c>
      <c r="C7" s="784" t="s">
        <v>526</v>
      </c>
      <c r="D7" s="700" t="s">
        <v>527</v>
      </c>
      <c r="E7" s="24"/>
      <c r="F7" s="700" t="s">
        <v>499</v>
      </c>
    </row>
    <row r="8" spans="1:6" ht="15.95" customHeight="1">
      <c r="A8" s="249"/>
      <c r="B8" s="782"/>
      <c r="C8" s="785"/>
      <c r="D8" s="775"/>
      <c r="E8" s="775" t="s">
        <v>498</v>
      </c>
      <c r="F8" s="775"/>
    </row>
    <row r="9" spans="1:6" ht="15.95" customHeight="1">
      <c r="A9" s="250" t="s">
        <v>37</v>
      </c>
      <c r="B9" s="783"/>
      <c r="C9" s="786"/>
      <c r="D9" s="776"/>
      <c r="E9" s="776"/>
      <c r="F9" s="776"/>
    </row>
    <row r="10" spans="1:6" ht="5.0999999999999996" customHeight="1">
      <c r="A10" s="29"/>
      <c r="B10" s="3"/>
      <c r="C10" s="3"/>
      <c r="D10" s="3"/>
      <c r="E10" s="3"/>
      <c r="F10" s="3"/>
    </row>
    <row r="11" spans="1:6" ht="14.1" customHeight="1">
      <c r="A11" s="271" t="s">
        <v>108</v>
      </c>
      <c r="B11" s="272">
        <v>3500</v>
      </c>
      <c r="C11" s="272">
        <v>22100</v>
      </c>
      <c r="D11" s="272">
        <v>134872</v>
      </c>
      <c r="E11" s="272">
        <f>Data!R11-SUM('- 53 -'!$B11:F11,B11:D11)</f>
        <v>281826</v>
      </c>
      <c r="F11" s="272">
        <f>SUM('- 53 -'!$B11:F11,B11:E11)</f>
        <v>2076216</v>
      </c>
    </row>
    <row r="12" spans="1:6" ht="14.1" customHeight="1">
      <c r="A12" s="15" t="s">
        <v>109</v>
      </c>
      <c r="B12" s="16">
        <v>30400</v>
      </c>
      <c r="C12" s="16">
        <v>27373</v>
      </c>
      <c r="D12" s="16">
        <v>159856</v>
      </c>
      <c r="E12" s="16">
        <f>Data!R12-SUM('- 53 -'!$B12:F12,B12:D12)</f>
        <v>154013</v>
      </c>
      <c r="F12" s="16">
        <f>SUM('- 53 -'!$B12:F12,B12:E12)</f>
        <v>2939093</v>
      </c>
    </row>
    <row r="13" spans="1:6" ht="14.1" customHeight="1">
      <c r="A13" s="271" t="s">
        <v>110</v>
      </c>
      <c r="B13" s="272">
        <v>198100</v>
      </c>
      <c r="C13" s="272">
        <v>132200</v>
      </c>
      <c r="D13" s="272">
        <v>714600</v>
      </c>
      <c r="E13" s="272">
        <f>Data!R13-SUM('- 53 -'!$B13:F13,B13:D13)</f>
        <v>380900</v>
      </c>
      <c r="F13" s="272">
        <f>SUM('- 53 -'!$B13:F13,B13:E13)</f>
        <v>7022200</v>
      </c>
    </row>
    <row r="14" spans="1:6" ht="14.1" customHeight="1">
      <c r="A14" s="15" t="s">
        <v>319</v>
      </c>
      <c r="B14" s="16">
        <v>1472000</v>
      </c>
      <c r="C14" s="16">
        <v>94461</v>
      </c>
      <c r="D14" s="16">
        <v>405480</v>
      </c>
      <c r="E14" s="16">
        <f>Data!R14-SUM('- 53 -'!$B14:F14,B14:D14)</f>
        <v>487484</v>
      </c>
      <c r="F14" s="16">
        <f>SUM('- 53 -'!$B14:F14,B14:E14)</f>
        <v>7884283</v>
      </c>
    </row>
    <row r="15" spans="1:6" ht="14.1" customHeight="1">
      <c r="A15" s="271" t="s">
        <v>111</v>
      </c>
      <c r="B15" s="272">
        <v>5200</v>
      </c>
      <c r="C15" s="272">
        <v>14694</v>
      </c>
      <c r="D15" s="272">
        <v>111592</v>
      </c>
      <c r="E15" s="272">
        <f>Data!R15-SUM('- 53 -'!$B15:F15,B15:D15)</f>
        <v>167249</v>
      </c>
      <c r="F15" s="272">
        <f>SUM('- 53 -'!$B15:F15,B15:E15)</f>
        <v>2292100</v>
      </c>
    </row>
    <row r="16" spans="1:6" ht="14.1" customHeight="1">
      <c r="A16" s="15" t="s">
        <v>112</v>
      </c>
      <c r="B16" s="16">
        <v>26000</v>
      </c>
      <c r="C16" s="16">
        <v>10370</v>
      </c>
      <c r="D16" s="16">
        <v>73040</v>
      </c>
      <c r="E16" s="16">
        <f>Data!R16-SUM('- 53 -'!$B16:F16,B16:D16)</f>
        <v>641895</v>
      </c>
      <c r="F16" s="16">
        <f>SUM('- 53 -'!$B16:F16,B16:E16)</f>
        <v>1446879</v>
      </c>
    </row>
    <row r="17" spans="1:6" ht="14.1" customHeight="1">
      <c r="A17" s="271" t="s">
        <v>113</v>
      </c>
      <c r="B17" s="272">
        <v>1900</v>
      </c>
      <c r="C17" s="272">
        <v>20230</v>
      </c>
      <c r="D17" s="272">
        <v>102640</v>
      </c>
      <c r="E17" s="272">
        <f>Data!R17-SUM('- 53 -'!$B17:F17,B17:D17)</f>
        <v>166233</v>
      </c>
      <c r="F17" s="272">
        <f>SUM('- 53 -'!$B17:F17,B17:E17)</f>
        <v>1872545</v>
      </c>
    </row>
    <row r="18" spans="1:6" ht="14.1" customHeight="1">
      <c r="A18" s="15" t="s">
        <v>114</v>
      </c>
      <c r="B18" s="16">
        <v>200</v>
      </c>
      <c r="C18" s="16">
        <v>42462</v>
      </c>
      <c r="D18" s="16">
        <v>189728</v>
      </c>
      <c r="E18" s="16">
        <f>Data!R18-SUM('- 53 -'!$B18:F18,B18:D18)</f>
        <v>2770568</v>
      </c>
      <c r="F18" s="16">
        <f>SUM('- 53 -'!$B18:F18,B18:E18)</f>
        <v>7026585</v>
      </c>
    </row>
    <row r="19" spans="1:6" ht="14.1" customHeight="1">
      <c r="A19" s="271" t="s">
        <v>115</v>
      </c>
      <c r="B19" s="272">
        <v>4200</v>
      </c>
      <c r="C19" s="272">
        <v>58389</v>
      </c>
      <c r="D19" s="272">
        <v>336080</v>
      </c>
      <c r="E19" s="272">
        <f>Data!R19-SUM('- 53 -'!$B19:F19,B19:D19)</f>
        <v>46709</v>
      </c>
      <c r="F19" s="272">
        <f>SUM('- 53 -'!$B19:F19,B19:E19)</f>
        <v>4724246</v>
      </c>
    </row>
    <row r="20" spans="1:6" ht="14.1" customHeight="1">
      <c r="A20" s="15" t="s">
        <v>116</v>
      </c>
      <c r="B20" s="16">
        <v>17500</v>
      </c>
      <c r="C20" s="16">
        <v>115669</v>
      </c>
      <c r="D20" s="16">
        <v>604872</v>
      </c>
      <c r="E20" s="16">
        <f>Data!R20-SUM('- 53 -'!$B20:F20,B20:D20)</f>
        <v>98803</v>
      </c>
      <c r="F20" s="16">
        <f>SUM('- 53 -'!$B20:F20,B20:E20)</f>
        <v>7963300</v>
      </c>
    </row>
    <row r="21" spans="1:6" ht="14.1" customHeight="1">
      <c r="A21" s="271" t="s">
        <v>117</v>
      </c>
      <c r="B21" s="272">
        <v>66500</v>
      </c>
      <c r="C21" s="272">
        <v>39043</v>
      </c>
      <c r="D21" s="272">
        <v>214888</v>
      </c>
      <c r="E21" s="272">
        <f>Data!R21-SUM('- 53 -'!$B21:F21,B21:D21)</f>
        <v>189390</v>
      </c>
      <c r="F21" s="272">
        <f>SUM('- 53 -'!$B21:F21,B21:E21)</f>
        <v>3247396</v>
      </c>
    </row>
    <row r="22" spans="1:6" ht="14.1" customHeight="1">
      <c r="A22" s="15" t="s">
        <v>118</v>
      </c>
      <c r="B22" s="16">
        <v>43100</v>
      </c>
      <c r="C22" s="16">
        <v>23205</v>
      </c>
      <c r="D22" s="16">
        <v>121784</v>
      </c>
      <c r="E22" s="16">
        <f>Data!R22-SUM('- 53 -'!$B22:F22,B22:D22)</f>
        <v>1063261</v>
      </c>
      <c r="F22" s="16">
        <f>SUM('- 53 -'!$B22:F22,B22:E22)</f>
        <v>2642290</v>
      </c>
    </row>
    <row r="23" spans="1:6" ht="14.1" customHeight="1">
      <c r="A23" s="271" t="s">
        <v>119</v>
      </c>
      <c r="B23" s="272">
        <v>2000</v>
      </c>
      <c r="C23" s="272">
        <v>16179</v>
      </c>
      <c r="D23" s="272">
        <v>78880</v>
      </c>
      <c r="E23" s="272">
        <f>Data!R23-SUM('- 53 -'!$B23:F23,B23:D23)</f>
        <v>198427</v>
      </c>
      <c r="F23" s="272">
        <f>SUM('- 53 -'!$B23:F23,B23:E23)</f>
        <v>2119994</v>
      </c>
    </row>
    <row r="24" spans="1:6" ht="14.1" customHeight="1">
      <c r="A24" s="15" t="s">
        <v>120</v>
      </c>
      <c r="B24" s="16">
        <v>110500</v>
      </c>
      <c r="C24" s="16">
        <v>49332</v>
      </c>
      <c r="D24" s="16">
        <v>375360</v>
      </c>
      <c r="E24" s="16">
        <f>Data!R24-SUM('- 53 -'!$B24:F24,B24:D24)</f>
        <v>223686</v>
      </c>
      <c r="F24" s="16">
        <f>SUM('- 53 -'!$B24:F24,B24:E24)</f>
        <v>5373094</v>
      </c>
    </row>
    <row r="25" spans="1:6" ht="14.1" customHeight="1">
      <c r="A25" s="271" t="s">
        <v>121</v>
      </c>
      <c r="B25" s="272">
        <v>1232800</v>
      </c>
      <c r="C25" s="272">
        <v>193592</v>
      </c>
      <c r="D25" s="272">
        <v>1113024</v>
      </c>
      <c r="E25" s="272">
        <f>Data!R25-SUM('- 53 -'!$B25:F25,B25:D25)</f>
        <v>651417</v>
      </c>
      <c r="F25" s="272">
        <f>SUM('- 53 -'!$B25:F25,B25:E25)</f>
        <v>15413902</v>
      </c>
    </row>
    <row r="26" spans="1:6" ht="14.1" customHeight="1">
      <c r="A26" s="15" t="s">
        <v>122</v>
      </c>
      <c r="B26" s="16">
        <v>72500</v>
      </c>
      <c r="C26" s="16">
        <v>36610</v>
      </c>
      <c r="D26" s="16">
        <v>295848</v>
      </c>
      <c r="E26" s="16">
        <f>Data!R26-SUM('- 53 -'!$B26:F26,B26:D26)</f>
        <v>143729</v>
      </c>
      <c r="F26" s="16">
        <f>SUM('- 53 -'!$B26:F26,B26:E26)</f>
        <v>4004284</v>
      </c>
    </row>
    <row r="27" spans="1:6" ht="14.1" customHeight="1">
      <c r="A27" s="271" t="s">
        <v>123</v>
      </c>
      <c r="B27" s="272">
        <v>74500</v>
      </c>
      <c r="C27" s="272">
        <v>53722</v>
      </c>
      <c r="D27" s="272">
        <v>228656</v>
      </c>
      <c r="E27" s="272">
        <f>Data!R27-SUM('- 53 -'!$B27:F27,B27:D27)</f>
        <v>2049600</v>
      </c>
      <c r="F27" s="272">
        <f>SUM('- 53 -'!$B27:F27,B27:E27)</f>
        <v>4826147</v>
      </c>
    </row>
    <row r="28" spans="1:6" ht="14.1" customHeight="1">
      <c r="A28" s="15" t="s">
        <v>124</v>
      </c>
      <c r="B28" s="16">
        <v>5700</v>
      </c>
      <c r="C28" s="16">
        <v>24542</v>
      </c>
      <c r="D28" s="16">
        <v>121392</v>
      </c>
      <c r="E28" s="16">
        <f>Data!R28-SUM('- 53 -'!$B28:F28,B28:D28)</f>
        <v>173517</v>
      </c>
      <c r="F28" s="16">
        <f>SUM('- 53 -'!$B28:F28,B28:E28)</f>
        <v>2401083</v>
      </c>
    </row>
    <row r="29" spans="1:6" ht="14.1" customHeight="1">
      <c r="A29" s="271" t="s">
        <v>125</v>
      </c>
      <c r="B29" s="272">
        <v>672500</v>
      </c>
      <c r="C29" s="272">
        <v>152634</v>
      </c>
      <c r="D29" s="272">
        <v>1003928</v>
      </c>
      <c r="E29" s="272">
        <f>Data!R29-SUM('- 53 -'!$B29:F29,B29:D29)</f>
        <v>817743</v>
      </c>
      <c r="F29" s="272">
        <f>SUM('- 53 -'!$B29:F29,B29:E29)</f>
        <v>12184634</v>
      </c>
    </row>
    <row r="30" spans="1:6" ht="14.1" customHeight="1">
      <c r="A30" s="15" t="s">
        <v>126</v>
      </c>
      <c r="B30" s="16">
        <v>2800</v>
      </c>
      <c r="C30" s="16">
        <v>10880</v>
      </c>
      <c r="D30" s="16">
        <v>80240</v>
      </c>
      <c r="E30" s="16">
        <f>Data!R30-SUM('- 53 -'!$B30:F30,B30:D30)</f>
        <v>242685</v>
      </c>
      <c r="F30" s="16">
        <f>SUM('- 53 -'!$B30:F30,B30:E30)</f>
        <v>1701530</v>
      </c>
    </row>
    <row r="31" spans="1:6" ht="14.1" customHeight="1">
      <c r="A31" s="271" t="s">
        <v>127</v>
      </c>
      <c r="B31" s="272">
        <v>78900</v>
      </c>
      <c r="C31" s="272">
        <v>51955</v>
      </c>
      <c r="D31" s="272">
        <v>248784</v>
      </c>
      <c r="E31" s="272">
        <f>Data!R31-SUM('- 53 -'!$B31:F31,B31:D31)</f>
        <v>194316</v>
      </c>
      <c r="F31" s="272">
        <f>SUM('- 53 -'!$B31:F31,B31:E31)</f>
        <v>3657267</v>
      </c>
    </row>
    <row r="32" spans="1:6" ht="14.1" customHeight="1">
      <c r="A32" s="15" t="s">
        <v>128</v>
      </c>
      <c r="B32" s="16">
        <v>48300</v>
      </c>
      <c r="C32" s="16">
        <v>34170</v>
      </c>
      <c r="D32" s="16">
        <v>168976</v>
      </c>
      <c r="E32" s="16">
        <f>Data!R32-SUM('- 53 -'!$B32:F32,B32:D32)</f>
        <v>335404</v>
      </c>
      <c r="F32" s="16">
        <f>SUM('- 53 -'!$B32:F32,B32:E32)</f>
        <v>2980236</v>
      </c>
    </row>
    <row r="33" spans="1:6" ht="14.1" customHeight="1">
      <c r="A33" s="271" t="s">
        <v>129</v>
      </c>
      <c r="B33" s="272">
        <v>28800</v>
      </c>
      <c r="C33" s="272">
        <v>31634</v>
      </c>
      <c r="D33" s="272">
        <v>160048</v>
      </c>
      <c r="E33" s="272">
        <f>Data!R33-SUM('- 53 -'!$B33:F33,B33:D33)</f>
        <v>396848</v>
      </c>
      <c r="F33" s="272">
        <f>SUM('- 53 -'!$B33:F33,B33:E33)</f>
        <v>3202405</v>
      </c>
    </row>
    <row r="34" spans="1:6" ht="14.1" customHeight="1">
      <c r="A34" s="15" t="s">
        <v>130</v>
      </c>
      <c r="B34" s="16">
        <v>89200</v>
      </c>
      <c r="C34" s="16">
        <v>34324</v>
      </c>
      <c r="D34" s="16">
        <v>158640</v>
      </c>
      <c r="E34" s="16">
        <f>Data!R34-SUM('- 53 -'!$B34:F34,B34:D34)</f>
        <v>174592</v>
      </c>
      <c r="F34" s="16">
        <f>SUM('- 53 -'!$B34:F34,B34:E34)</f>
        <v>3270048</v>
      </c>
    </row>
    <row r="35" spans="1:6" ht="14.1" customHeight="1">
      <c r="A35" s="271" t="s">
        <v>131</v>
      </c>
      <c r="B35" s="272">
        <v>747500</v>
      </c>
      <c r="C35" s="272">
        <v>199210</v>
      </c>
      <c r="D35" s="272">
        <v>1354580</v>
      </c>
      <c r="E35" s="272">
        <f>Data!R35-SUM('- 53 -'!$B35:F35,B35:D35)</f>
        <v>182149</v>
      </c>
      <c r="F35" s="272">
        <f>SUM('- 53 -'!$B35:F35,B35:E35)</f>
        <v>15520392</v>
      </c>
    </row>
    <row r="36" spans="1:6" ht="14.1" customHeight="1">
      <c r="A36" s="15" t="s">
        <v>132</v>
      </c>
      <c r="B36" s="16">
        <v>4400</v>
      </c>
      <c r="C36" s="16">
        <v>22042</v>
      </c>
      <c r="D36" s="16">
        <v>121840</v>
      </c>
      <c r="E36" s="16">
        <f>Data!R36-SUM('- 53 -'!$B36:F36,B36:D36)</f>
        <v>152449</v>
      </c>
      <c r="F36" s="16">
        <f>SUM('- 53 -'!$B36:F36,B36:E36)</f>
        <v>1915718</v>
      </c>
    </row>
    <row r="37" spans="1:6" ht="14.1" customHeight="1">
      <c r="A37" s="271" t="s">
        <v>133</v>
      </c>
      <c r="B37" s="272">
        <v>339000</v>
      </c>
      <c r="C37" s="272">
        <v>65005</v>
      </c>
      <c r="D37" s="272">
        <v>328248</v>
      </c>
      <c r="E37" s="272">
        <f>Data!R37-SUM('- 53 -'!$B37:F37,B37:D37)</f>
        <v>203124</v>
      </c>
      <c r="F37" s="272">
        <f>SUM('- 53 -'!$B37:F37,B37:E37)</f>
        <v>5971012</v>
      </c>
    </row>
    <row r="38" spans="1:6" ht="14.1" customHeight="1">
      <c r="A38" s="15" t="s">
        <v>134</v>
      </c>
      <c r="B38" s="16">
        <v>427500</v>
      </c>
      <c r="C38" s="16">
        <v>146652</v>
      </c>
      <c r="D38" s="16">
        <v>855592</v>
      </c>
      <c r="E38" s="16">
        <f>Data!R38-SUM('- 53 -'!$B38:F38,B38:D38)</f>
        <v>469841</v>
      </c>
      <c r="F38" s="16">
        <f>SUM('- 53 -'!$B38:F38,B38:E38)</f>
        <v>10714634</v>
      </c>
    </row>
    <row r="39" spans="1:6" ht="14.1" customHeight="1">
      <c r="A39" s="271" t="s">
        <v>135</v>
      </c>
      <c r="B39" s="272">
        <v>2000</v>
      </c>
      <c r="C39" s="272">
        <v>21420</v>
      </c>
      <c r="D39" s="272">
        <v>123392</v>
      </c>
      <c r="E39" s="272">
        <f>Data!R39-SUM('- 53 -'!$B39:F39,B39:D39)</f>
        <v>161611</v>
      </c>
      <c r="F39" s="272">
        <f>SUM('- 53 -'!$B39:F39,B39:E39)</f>
        <v>2077122</v>
      </c>
    </row>
    <row r="40" spans="1:6" ht="14.1" customHeight="1">
      <c r="A40" s="15" t="s">
        <v>136</v>
      </c>
      <c r="B40" s="16">
        <v>365500</v>
      </c>
      <c r="C40" s="16">
        <v>108004</v>
      </c>
      <c r="D40" s="16">
        <v>745152</v>
      </c>
      <c r="E40" s="16">
        <f>Data!R40-SUM('- 53 -'!$B40:F40,B40:D40)</f>
        <v>141622</v>
      </c>
      <c r="F40" s="16">
        <f>SUM('- 53 -'!$B40:F40,B40:E40)</f>
        <v>7870314</v>
      </c>
    </row>
    <row r="41" spans="1:6" ht="14.1" customHeight="1">
      <c r="A41" s="271" t="s">
        <v>137</v>
      </c>
      <c r="B41" s="272">
        <v>167900</v>
      </c>
      <c r="C41" s="272">
        <v>62986</v>
      </c>
      <c r="D41" s="272">
        <v>345720</v>
      </c>
      <c r="E41" s="272">
        <f>Data!R41-SUM('- 53 -'!$B41:F41,B41:D41)</f>
        <v>215281</v>
      </c>
      <c r="F41" s="272">
        <f>SUM('- 53 -'!$B41:F41,B41:E41)</f>
        <v>6562146</v>
      </c>
    </row>
    <row r="42" spans="1:6" ht="14.1" customHeight="1">
      <c r="A42" s="15" t="s">
        <v>138</v>
      </c>
      <c r="B42" s="16">
        <v>26200</v>
      </c>
      <c r="C42" s="16">
        <v>16859</v>
      </c>
      <c r="D42" s="16">
        <v>107976</v>
      </c>
      <c r="E42" s="16">
        <f>Data!R42-SUM('- 53 -'!$B42:F42,B42:D42)</f>
        <v>105897</v>
      </c>
      <c r="F42" s="16">
        <f>SUM('- 53 -'!$B42:F42,B42:E42)</f>
        <v>2433938</v>
      </c>
    </row>
    <row r="43" spans="1:6" ht="14.1" customHeight="1">
      <c r="A43" s="271" t="s">
        <v>139</v>
      </c>
      <c r="B43" s="272">
        <v>400</v>
      </c>
      <c r="C43" s="272">
        <v>12240</v>
      </c>
      <c r="D43" s="272">
        <v>75896</v>
      </c>
      <c r="E43" s="272">
        <f>Data!R43-SUM('- 53 -'!$B43:F43,B43:D43)</f>
        <v>113135</v>
      </c>
      <c r="F43" s="272">
        <f>SUM('- 53 -'!$B43:F43,B43:E43)</f>
        <v>1209147</v>
      </c>
    </row>
    <row r="44" spans="1:6" ht="14.1" customHeight="1">
      <c r="A44" s="15" t="s">
        <v>140</v>
      </c>
      <c r="B44" s="16">
        <v>10200</v>
      </c>
      <c r="C44" s="16">
        <v>9414</v>
      </c>
      <c r="D44" s="16">
        <v>54400</v>
      </c>
      <c r="E44" s="16">
        <f>Data!R44-SUM('- 53 -'!$B44:F44,B44:D44)</f>
        <v>154847</v>
      </c>
      <c r="F44" s="16">
        <f>SUM('- 53 -'!$B44:F44,B44:E44)</f>
        <v>1551389</v>
      </c>
    </row>
    <row r="45" spans="1:6" ht="14.1" customHeight="1">
      <c r="A45" s="271" t="s">
        <v>141</v>
      </c>
      <c r="B45" s="272">
        <v>63000</v>
      </c>
      <c r="C45" s="272">
        <v>28030</v>
      </c>
      <c r="D45" s="272">
        <v>131064</v>
      </c>
      <c r="E45" s="272">
        <f>Data!R45-SUM('- 53 -'!$B45:F45,B45:D45)</f>
        <v>143279</v>
      </c>
      <c r="F45" s="272">
        <f>SUM('- 53 -'!$B45:F45,B45:E45)</f>
        <v>1745872</v>
      </c>
    </row>
    <row r="46" spans="1:6" ht="14.1" customHeight="1">
      <c r="A46" s="15" t="s">
        <v>142</v>
      </c>
      <c r="B46" s="16">
        <v>907000</v>
      </c>
      <c r="C46" s="16">
        <v>498391</v>
      </c>
      <c r="D46" s="16">
        <v>2481192</v>
      </c>
      <c r="E46" s="16">
        <f>Data!R46-SUM('- 53 -'!$B46:F46,B46:D46)</f>
        <v>110508</v>
      </c>
      <c r="F46" s="16">
        <f>SUM('- 53 -'!$B46:F46,B46:E46)</f>
        <v>28167275</v>
      </c>
    </row>
    <row r="47" spans="1:6" ht="5.0999999999999996" customHeight="1">
      <c r="A47"/>
      <c r="B47"/>
      <c r="C47"/>
      <c r="D47"/>
      <c r="E47"/>
      <c r="F47"/>
    </row>
    <row r="48" spans="1:6" ht="14.1" customHeight="1">
      <c r="A48" s="274" t="s">
        <v>143</v>
      </c>
      <c r="B48" s="275">
        <f>SUM(B11:B46)</f>
        <v>7347700</v>
      </c>
      <c r="C48" s="275">
        <f>SUM(C11:C46)</f>
        <v>2480023</v>
      </c>
      <c r="D48" s="275">
        <f>SUM(D11:D46)</f>
        <v>13928260</v>
      </c>
      <c r="E48" s="275">
        <f>SUM(E11:E46)</f>
        <v>14204038</v>
      </c>
      <c r="F48" s="275">
        <f>SUM(F11:F46)</f>
        <v>198010716</v>
      </c>
    </row>
    <row r="49" spans="1:6" ht="5.0999999999999996" customHeight="1">
      <c r="A49" s="17" t="s">
        <v>1</v>
      </c>
      <c r="B49" s="18"/>
      <c r="C49" s="18"/>
      <c r="D49" s="18"/>
      <c r="E49" s="18"/>
      <c r="F49" s="18"/>
    </row>
    <row r="50" spans="1:6" ht="14.45" customHeight="1">
      <c r="A50" s="15" t="s">
        <v>144</v>
      </c>
      <c r="B50" s="16">
        <v>600</v>
      </c>
      <c r="C50" s="16">
        <v>5530</v>
      </c>
      <c r="D50" s="16">
        <v>13520</v>
      </c>
      <c r="E50" s="16">
        <f>Data!R50-SUM('- 53 -'!$B50:F50,B50:D50)</f>
        <v>26718</v>
      </c>
      <c r="F50" s="16">
        <f>SUM('- 53 -'!$B50:F50,B50:E50)</f>
        <v>156758</v>
      </c>
    </row>
    <row r="51" spans="1:6" ht="14.1" customHeight="1">
      <c r="A51" s="360" t="s">
        <v>523</v>
      </c>
      <c r="B51" s="272">
        <v>0</v>
      </c>
      <c r="C51" s="272">
        <v>0</v>
      </c>
      <c r="D51" s="272">
        <v>0</v>
      </c>
      <c r="E51" s="272">
        <f>Data!R51-SUM('- 53 -'!$B51:F51,B51:D51)</f>
        <v>0</v>
      </c>
      <c r="F51" s="272">
        <f>SUM('- 53 -'!$B51:F51,B51:E51)</f>
        <v>0</v>
      </c>
    </row>
    <row r="52" spans="1:6" ht="50.1" customHeight="1">
      <c r="A52" s="19"/>
      <c r="B52" s="19"/>
      <c r="C52" s="19"/>
      <c r="D52" s="19"/>
      <c r="E52" s="19"/>
      <c r="F52" s="19"/>
    </row>
    <row r="53" spans="1:6" ht="15" customHeight="1">
      <c r="A53" s="31" t="s">
        <v>357</v>
      </c>
      <c r="E53" s="31"/>
      <c r="F53" s="31"/>
    </row>
    <row r="54" spans="1:6" ht="14.45" customHeight="1">
      <c r="A54" s="31"/>
      <c r="E54" s="31"/>
      <c r="F54" s="31"/>
    </row>
    <row r="55" spans="1:6" ht="14.45" customHeight="1">
      <c r="B55" s="31"/>
      <c r="C55" s="31"/>
      <c r="D55" s="31"/>
      <c r="E55" s="31"/>
      <c r="F55" s="31"/>
    </row>
    <row r="56" spans="1:6" ht="14.45" customHeight="1">
      <c r="E56" s="90"/>
      <c r="F56" s="90"/>
    </row>
    <row r="57" spans="1:6" ht="14.45" customHeight="1">
      <c r="B57" s="90"/>
      <c r="C57" s="90"/>
      <c r="D57" s="90"/>
      <c r="E57" s="90"/>
      <c r="F57" s="90"/>
    </row>
    <row r="58" spans="1:6" ht="14.45" customHeight="1"/>
    <row r="59" spans="1:6" ht="14.45" customHeight="1"/>
  </sheetData>
  <mergeCells count="8">
    <mergeCell ref="B4:F4"/>
    <mergeCell ref="B5:F5"/>
    <mergeCell ref="B6:F6"/>
    <mergeCell ref="B7:B9"/>
    <mergeCell ref="C7:C9"/>
    <mergeCell ref="D7:D9"/>
    <mergeCell ref="E8:E9"/>
    <mergeCell ref="F7:F9"/>
  </mergeCells>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48.xml><?xml version="1.0" encoding="utf-8"?>
<worksheet xmlns="http://schemas.openxmlformats.org/spreadsheetml/2006/main" xmlns:r="http://schemas.openxmlformats.org/officeDocument/2006/relationships">
  <sheetPr codeName="Sheet48">
    <pageSetUpPr fitToPage="1"/>
  </sheetPr>
  <dimension ref="A1:F59"/>
  <sheetViews>
    <sheetView showGridLines="0" showZeros="0" workbookViewId="0"/>
  </sheetViews>
  <sheetFormatPr defaultColWidth="23.83203125" defaultRowHeight="12"/>
  <cols>
    <col min="1" max="1" width="32.5" style="1" customWidth="1"/>
    <col min="2" max="2" width="20.1640625" style="1" customWidth="1"/>
    <col min="3" max="3" width="19.5" style="1" customWidth="1"/>
    <col min="4" max="4" width="20" style="1" customWidth="1"/>
    <col min="5" max="5" width="19.33203125" style="1" customWidth="1"/>
    <col min="6" max="6" width="21.6640625" style="1" customWidth="1"/>
    <col min="7" max="16384" width="23.83203125" style="1"/>
  </cols>
  <sheetData>
    <row r="1" spans="1:6" ht="6.95" customHeight="1">
      <c r="A1" s="3"/>
      <c r="B1" s="3"/>
      <c r="C1" s="3"/>
      <c r="D1" s="3"/>
      <c r="E1" s="3"/>
      <c r="F1" s="3"/>
    </row>
    <row r="2" spans="1:6" ht="15.95" customHeight="1">
      <c r="A2" s="229"/>
      <c r="B2" s="53" t="str">
        <f>REVYEAR</f>
        <v>ANALYSIS OF OPERATING FUND REVENUE: 2016/2017 BUDGET</v>
      </c>
      <c r="C2" s="53"/>
      <c r="D2" s="230"/>
      <c r="E2" s="230"/>
      <c r="F2" s="185" t="s">
        <v>96</v>
      </c>
    </row>
    <row r="3" spans="1:6" ht="15.95" customHeight="1">
      <c r="A3" s="180"/>
      <c r="B3" s="231"/>
      <c r="C3" s="231"/>
      <c r="D3" s="231"/>
      <c r="E3" s="231"/>
      <c r="F3" s="231"/>
    </row>
    <row r="4" spans="1:6" ht="15.95" customHeight="1"/>
    <row r="5" spans="1:6" ht="15.95" customHeight="1">
      <c r="B5" s="767" t="s">
        <v>34</v>
      </c>
      <c r="C5" s="768"/>
      <c r="D5" s="768"/>
      <c r="E5" s="768"/>
      <c r="F5" s="769"/>
    </row>
    <row r="6" spans="1:6" ht="15.95" customHeight="1">
      <c r="B6" s="770" t="s">
        <v>105</v>
      </c>
      <c r="C6" s="771"/>
      <c r="D6" s="771"/>
      <c r="E6" s="771"/>
      <c r="F6" s="772"/>
    </row>
    <row r="7" spans="1:6" ht="15.95" customHeight="1">
      <c r="B7" s="186"/>
      <c r="C7" s="700" t="s">
        <v>501</v>
      </c>
      <c r="D7" s="186"/>
      <c r="E7" s="700" t="s">
        <v>503</v>
      </c>
      <c r="F7" s="700" t="s">
        <v>504</v>
      </c>
    </row>
    <row r="8" spans="1:6" ht="15.95" customHeight="1">
      <c r="A8" s="24"/>
      <c r="B8" s="775" t="s">
        <v>500</v>
      </c>
      <c r="C8" s="775"/>
      <c r="D8" s="775" t="s">
        <v>502</v>
      </c>
      <c r="E8" s="775"/>
      <c r="F8" s="790"/>
    </row>
    <row r="9" spans="1:6" ht="15.95" customHeight="1">
      <c r="A9" s="93" t="s">
        <v>37</v>
      </c>
      <c r="B9" s="776"/>
      <c r="C9" s="776"/>
      <c r="D9" s="776"/>
      <c r="E9" s="776"/>
      <c r="F9" s="699"/>
    </row>
    <row r="10" spans="1:6" ht="5.0999999999999996" customHeight="1">
      <c r="A10" s="29"/>
      <c r="B10" s="3"/>
      <c r="C10" s="3"/>
      <c r="D10" s="3"/>
      <c r="E10" s="3"/>
      <c r="F10" s="3"/>
    </row>
    <row r="11" spans="1:6" ht="14.1" customHeight="1">
      <c r="A11" s="271" t="s">
        <v>108</v>
      </c>
      <c r="B11" s="272">
        <v>2320227</v>
      </c>
      <c r="C11" s="272">
        <v>0</v>
      </c>
      <c r="D11" s="272">
        <v>0</v>
      </c>
      <c r="E11" s="272">
        <v>94700</v>
      </c>
      <c r="F11" s="272">
        <f>SUM('- 52 -'!$G11,'- 54 -'!$F11,B11:E11)</f>
        <v>10059473</v>
      </c>
    </row>
    <row r="12" spans="1:6" ht="14.1" customHeight="1">
      <c r="A12" s="15" t="s">
        <v>109</v>
      </c>
      <c r="B12" s="16">
        <v>3972138</v>
      </c>
      <c r="C12" s="16">
        <v>1575</v>
      </c>
      <c r="D12" s="16">
        <v>1378589</v>
      </c>
      <c r="E12" s="16">
        <v>144620</v>
      </c>
      <c r="F12" s="16">
        <f>SUM('- 52 -'!$G12,'- 54 -'!$F12,B12:E12)</f>
        <v>15310252</v>
      </c>
    </row>
    <row r="13" spans="1:6" ht="14.1" customHeight="1">
      <c r="A13" s="271" t="s">
        <v>110</v>
      </c>
      <c r="B13" s="272">
        <v>16127400</v>
      </c>
      <c r="C13" s="272">
        <v>0</v>
      </c>
      <c r="D13" s="272">
        <v>0</v>
      </c>
      <c r="E13" s="272">
        <v>296300</v>
      </c>
      <c r="F13" s="272">
        <f>SUM('- 52 -'!$G13,'- 54 -'!$F13,B13:E13)</f>
        <v>48204100</v>
      </c>
    </row>
    <row r="14" spans="1:6" ht="14.1" customHeight="1">
      <c r="A14" s="15" t="s">
        <v>319</v>
      </c>
      <c r="B14" s="16">
        <v>9839080</v>
      </c>
      <c r="C14" s="16">
        <v>0</v>
      </c>
      <c r="D14" s="16">
        <v>0</v>
      </c>
      <c r="E14" s="16">
        <v>239640</v>
      </c>
      <c r="F14" s="16">
        <f>SUM('- 52 -'!$G14,'- 54 -'!$F14,B14:E14)</f>
        <v>34595983</v>
      </c>
    </row>
    <row r="15" spans="1:6" ht="14.1" customHeight="1">
      <c r="A15" s="271" t="s">
        <v>111</v>
      </c>
      <c r="B15" s="272">
        <v>0</v>
      </c>
      <c r="C15" s="272">
        <v>0</v>
      </c>
      <c r="D15" s="272">
        <v>1158670</v>
      </c>
      <c r="E15" s="272">
        <v>84080</v>
      </c>
      <c r="F15" s="272">
        <f>SUM('- 52 -'!$G15,'- 54 -'!$F15,B15:E15)</f>
        <v>8288083</v>
      </c>
    </row>
    <row r="16" spans="1:6" ht="14.1" customHeight="1">
      <c r="A16" s="15" t="s">
        <v>112</v>
      </c>
      <c r="B16" s="16">
        <v>3850167</v>
      </c>
      <c r="C16" s="16">
        <v>208582</v>
      </c>
      <c r="D16" s="16">
        <v>0</v>
      </c>
      <c r="E16" s="16">
        <v>61040</v>
      </c>
      <c r="F16" s="16">
        <f>SUM('- 52 -'!$G16,'- 54 -'!$F16,B16:E16)</f>
        <v>8634081</v>
      </c>
    </row>
    <row r="17" spans="1:6" ht="14.1" customHeight="1">
      <c r="A17" s="271" t="s">
        <v>113</v>
      </c>
      <c r="B17" s="272">
        <v>0</v>
      </c>
      <c r="C17" s="272">
        <v>0</v>
      </c>
      <c r="D17" s="272">
        <v>966568</v>
      </c>
      <c r="E17" s="272">
        <v>102860</v>
      </c>
      <c r="F17" s="272">
        <f>SUM('- 52 -'!$G17,'- 54 -'!$F17,B17:E17)</f>
        <v>7447552</v>
      </c>
    </row>
    <row r="18" spans="1:6" ht="14.1" customHeight="1">
      <c r="A18" s="15" t="s">
        <v>114</v>
      </c>
      <c r="B18" s="16">
        <v>14226239</v>
      </c>
      <c r="C18" s="16">
        <v>4758592</v>
      </c>
      <c r="D18" s="16">
        <v>0</v>
      </c>
      <c r="E18" s="16">
        <v>381020</v>
      </c>
      <c r="F18" s="16">
        <f>SUM('- 52 -'!$G18,'- 54 -'!$F18,B18:E18)</f>
        <v>38117679</v>
      </c>
    </row>
    <row r="19" spans="1:6" ht="14.1" customHeight="1">
      <c r="A19" s="271" t="s">
        <v>115</v>
      </c>
      <c r="B19" s="272">
        <v>9988694</v>
      </c>
      <c r="C19" s="272">
        <v>0</v>
      </c>
      <c r="D19" s="272">
        <v>0</v>
      </c>
      <c r="E19" s="272">
        <v>124660</v>
      </c>
      <c r="F19" s="272">
        <f>SUM('- 52 -'!$G19,'- 54 -'!$F19,B19:E19)</f>
        <v>27708192</v>
      </c>
    </row>
    <row r="20" spans="1:6" ht="14.1" customHeight="1">
      <c r="A20" s="15" t="s">
        <v>116</v>
      </c>
      <c r="B20" s="16">
        <v>18043382</v>
      </c>
      <c r="C20" s="16">
        <v>0</v>
      </c>
      <c r="D20" s="16">
        <v>0</v>
      </c>
      <c r="E20" s="16">
        <v>270120</v>
      </c>
      <c r="F20" s="16">
        <f>SUM('- 52 -'!$G20,'- 54 -'!$F20,B20:E20)</f>
        <v>49086091</v>
      </c>
    </row>
    <row r="21" spans="1:6" ht="14.1" customHeight="1">
      <c r="A21" s="271" t="s">
        <v>117</v>
      </c>
      <c r="B21" s="272">
        <v>3708320</v>
      </c>
      <c r="C21" s="272">
        <v>0</v>
      </c>
      <c r="D21" s="272">
        <v>1037827</v>
      </c>
      <c r="E21" s="272">
        <v>155880</v>
      </c>
      <c r="F21" s="272">
        <f>SUM('- 52 -'!$G21,'- 54 -'!$F21,B21:E21)</f>
        <v>17210788</v>
      </c>
    </row>
    <row r="22" spans="1:6" ht="14.1" customHeight="1">
      <c r="A22" s="15" t="s">
        <v>118</v>
      </c>
      <c r="B22" s="16">
        <v>5413360</v>
      </c>
      <c r="C22" s="16">
        <v>970692</v>
      </c>
      <c r="D22" s="16">
        <v>0</v>
      </c>
      <c r="E22" s="16">
        <v>78580</v>
      </c>
      <c r="F22" s="16">
        <f>SUM('- 52 -'!$G22,'- 54 -'!$F22,B22:E22)</f>
        <v>14041457</v>
      </c>
    </row>
    <row r="23" spans="1:6" ht="14.1" customHeight="1">
      <c r="A23" s="271" t="s">
        <v>119</v>
      </c>
      <c r="B23" s="272">
        <v>3111000</v>
      </c>
      <c r="C23" s="272">
        <v>419953</v>
      </c>
      <c r="D23" s="272">
        <v>186477</v>
      </c>
      <c r="E23" s="272">
        <v>101040</v>
      </c>
      <c r="F23" s="272">
        <f>SUM('- 52 -'!$G23,'- 54 -'!$F23,B23:E23)</f>
        <v>9726897</v>
      </c>
    </row>
    <row r="24" spans="1:6" ht="14.1" customHeight="1">
      <c r="A24" s="15" t="s">
        <v>120</v>
      </c>
      <c r="B24" s="16">
        <v>4414603</v>
      </c>
      <c r="C24" s="16">
        <v>0</v>
      </c>
      <c r="D24" s="16">
        <v>1364123</v>
      </c>
      <c r="E24" s="16">
        <v>259380</v>
      </c>
      <c r="F24" s="16">
        <f>SUM('- 52 -'!$G24,'- 54 -'!$F24,B24:E24)</f>
        <v>24072105</v>
      </c>
    </row>
    <row r="25" spans="1:6" ht="14.1" customHeight="1">
      <c r="A25" s="271" t="s">
        <v>121</v>
      </c>
      <c r="B25" s="272">
        <v>15105889</v>
      </c>
      <c r="C25" s="272">
        <v>0</v>
      </c>
      <c r="D25" s="272">
        <v>0</v>
      </c>
      <c r="E25" s="272">
        <v>569760</v>
      </c>
      <c r="F25" s="272">
        <f>SUM('- 52 -'!$G25,'- 54 -'!$F25,B25:E25)</f>
        <v>74106774</v>
      </c>
    </row>
    <row r="26" spans="1:6" ht="14.1" customHeight="1">
      <c r="A26" s="15" t="s">
        <v>122</v>
      </c>
      <c r="B26" s="16">
        <v>6423509</v>
      </c>
      <c r="C26" s="16">
        <v>719357</v>
      </c>
      <c r="D26" s="16">
        <v>152530</v>
      </c>
      <c r="E26" s="16">
        <v>295100</v>
      </c>
      <c r="F26" s="16">
        <f>SUM('- 52 -'!$G26,'- 54 -'!$F26,B26:E26)</f>
        <v>22207685</v>
      </c>
    </row>
    <row r="27" spans="1:6" ht="14.1" customHeight="1">
      <c r="A27" s="271" t="s">
        <v>123</v>
      </c>
      <c r="B27" s="272">
        <v>13370924</v>
      </c>
      <c r="C27" s="272">
        <v>3841201</v>
      </c>
      <c r="D27" s="272">
        <v>0</v>
      </c>
      <c r="E27" s="272">
        <v>120940</v>
      </c>
      <c r="F27" s="272">
        <f>SUM('- 52 -'!$G27,'- 54 -'!$F27,B27:E27)</f>
        <v>31069959</v>
      </c>
    </row>
    <row r="28" spans="1:6" ht="14.1" customHeight="1">
      <c r="A28" s="15" t="s">
        <v>124</v>
      </c>
      <c r="B28" s="16">
        <v>1135824</v>
      </c>
      <c r="C28" s="16">
        <v>0</v>
      </c>
      <c r="D28" s="16">
        <v>1280484</v>
      </c>
      <c r="E28" s="16">
        <v>137920</v>
      </c>
      <c r="F28" s="16">
        <f>SUM('- 52 -'!$G28,'- 54 -'!$F28,B28:E28)</f>
        <v>10749603</v>
      </c>
    </row>
    <row r="29" spans="1:6" ht="14.1" customHeight="1">
      <c r="A29" s="271" t="s">
        <v>125</v>
      </c>
      <c r="B29" s="272">
        <v>1905881</v>
      </c>
      <c r="C29" s="272">
        <v>0</v>
      </c>
      <c r="D29" s="272">
        <v>1791425</v>
      </c>
      <c r="E29" s="272">
        <v>424040</v>
      </c>
      <c r="F29" s="272">
        <f>SUM('- 52 -'!$G29,'- 54 -'!$F29,B29:E29)</f>
        <v>54094689</v>
      </c>
    </row>
    <row r="30" spans="1:6" ht="14.1" customHeight="1">
      <c r="A30" s="15" t="s">
        <v>126</v>
      </c>
      <c r="B30" s="16">
        <v>1540302</v>
      </c>
      <c r="C30" s="16">
        <v>0</v>
      </c>
      <c r="D30" s="16">
        <v>428900</v>
      </c>
      <c r="E30" s="16">
        <v>93520</v>
      </c>
      <c r="F30" s="16">
        <f>SUM('- 52 -'!$G30,'- 54 -'!$F30,B30:E30)</f>
        <v>7554228</v>
      </c>
    </row>
    <row r="31" spans="1:6" ht="14.1" customHeight="1">
      <c r="A31" s="271" t="s">
        <v>127</v>
      </c>
      <c r="B31" s="272">
        <v>5059867</v>
      </c>
      <c r="C31" s="272">
        <v>0</v>
      </c>
      <c r="D31" s="272">
        <v>0</v>
      </c>
      <c r="E31" s="272">
        <v>174340</v>
      </c>
      <c r="F31" s="272">
        <f>SUM('- 52 -'!$G31,'- 54 -'!$F31,B31:E31)</f>
        <v>19106178</v>
      </c>
    </row>
    <row r="32" spans="1:6" ht="14.1" customHeight="1">
      <c r="A32" s="15" t="s">
        <v>128</v>
      </c>
      <c r="B32" s="16">
        <v>982235</v>
      </c>
      <c r="C32" s="16">
        <v>0</v>
      </c>
      <c r="D32" s="16">
        <v>1232927</v>
      </c>
      <c r="E32" s="16">
        <v>157960</v>
      </c>
      <c r="F32" s="16">
        <f>SUM('- 52 -'!$G32,'- 54 -'!$F32,B32:E32)</f>
        <v>12871415</v>
      </c>
    </row>
    <row r="33" spans="1:6" ht="14.1" customHeight="1">
      <c r="A33" s="271" t="s">
        <v>129</v>
      </c>
      <c r="B33" s="272">
        <v>742357</v>
      </c>
      <c r="C33" s="272">
        <v>0</v>
      </c>
      <c r="D33" s="272">
        <v>2206119</v>
      </c>
      <c r="E33" s="272">
        <v>193980</v>
      </c>
      <c r="F33" s="272">
        <f>SUM('- 52 -'!$G33,'- 54 -'!$F33,B33:E33)</f>
        <v>14148490</v>
      </c>
    </row>
    <row r="34" spans="1:6" ht="14.1" customHeight="1">
      <c r="A34" s="15" t="s">
        <v>130</v>
      </c>
      <c r="B34" s="16">
        <v>300045</v>
      </c>
      <c r="C34" s="16">
        <v>0</v>
      </c>
      <c r="D34" s="16">
        <v>1848876</v>
      </c>
      <c r="E34" s="16">
        <v>126140</v>
      </c>
      <c r="F34" s="16">
        <f>SUM('- 52 -'!$G34,'- 54 -'!$F34,B34:E34)</f>
        <v>12573041</v>
      </c>
    </row>
    <row r="35" spans="1:6" ht="14.1" customHeight="1">
      <c r="A35" s="271" t="s">
        <v>131</v>
      </c>
      <c r="B35" s="272">
        <v>22832083</v>
      </c>
      <c r="C35" s="272">
        <v>3036165</v>
      </c>
      <c r="D35" s="272">
        <v>379743</v>
      </c>
      <c r="E35" s="272">
        <v>702540</v>
      </c>
      <c r="F35" s="272">
        <f>SUM('- 52 -'!$G35,'- 54 -'!$F35,B35:E35)</f>
        <v>89584820</v>
      </c>
    </row>
    <row r="36" spans="1:6" ht="14.1" customHeight="1">
      <c r="A36" s="15" t="s">
        <v>132</v>
      </c>
      <c r="B36" s="16">
        <v>381067</v>
      </c>
      <c r="C36" s="16">
        <v>0</v>
      </c>
      <c r="D36" s="16">
        <v>2087645</v>
      </c>
      <c r="E36" s="16">
        <v>132660</v>
      </c>
      <c r="F36" s="16">
        <f>SUM('- 52 -'!$G36,'- 54 -'!$F36,B36:E36)</f>
        <v>10199700</v>
      </c>
    </row>
    <row r="37" spans="1:6" ht="14.1" customHeight="1">
      <c r="A37" s="271" t="s">
        <v>133</v>
      </c>
      <c r="B37" s="272">
        <v>9360274</v>
      </c>
      <c r="C37" s="272">
        <v>0</v>
      </c>
      <c r="D37" s="272">
        <v>0</v>
      </c>
      <c r="E37" s="272">
        <v>149020</v>
      </c>
      <c r="F37" s="272">
        <f>SUM('- 52 -'!$G37,'- 54 -'!$F37,B37:E37)</f>
        <v>28360187</v>
      </c>
    </row>
    <row r="38" spans="1:6" ht="14.1" customHeight="1">
      <c r="A38" s="15" t="s">
        <v>134</v>
      </c>
      <c r="B38" s="16">
        <v>25520772</v>
      </c>
      <c r="C38" s="16">
        <v>4111702</v>
      </c>
      <c r="D38" s="16">
        <v>0</v>
      </c>
      <c r="E38" s="16">
        <v>335440</v>
      </c>
      <c r="F38" s="16">
        <f>SUM('- 52 -'!$G38,'- 54 -'!$F38,B38:E38)</f>
        <v>72491553</v>
      </c>
    </row>
    <row r="39" spans="1:6" ht="14.1" customHeight="1">
      <c r="A39" s="271" t="s">
        <v>135</v>
      </c>
      <c r="B39" s="272">
        <v>0</v>
      </c>
      <c r="C39" s="272">
        <v>0</v>
      </c>
      <c r="D39" s="272">
        <v>1402419</v>
      </c>
      <c r="E39" s="272">
        <v>111940</v>
      </c>
      <c r="F39" s="272">
        <f>SUM('- 52 -'!$G39,'- 54 -'!$F39,B39:E39)</f>
        <v>9162415</v>
      </c>
    </row>
    <row r="40" spans="1:6" ht="14.1" customHeight="1">
      <c r="A40" s="15" t="s">
        <v>136</v>
      </c>
      <c r="B40" s="16">
        <v>2366644</v>
      </c>
      <c r="C40" s="16">
        <v>0</v>
      </c>
      <c r="D40" s="16">
        <v>3547797</v>
      </c>
      <c r="E40" s="16">
        <v>489120</v>
      </c>
      <c r="F40" s="16">
        <f>SUM('- 52 -'!$G40,'- 54 -'!$F40,B40:E40)</f>
        <v>38986110</v>
      </c>
    </row>
    <row r="41" spans="1:6" ht="14.1" customHeight="1">
      <c r="A41" s="271" t="s">
        <v>137</v>
      </c>
      <c r="B41" s="272">
        <v>3476568</v>
      </c>
      <c r="C41" s="272">
        <v>0</v>
      </c>
      <c r="D41" s="272">
        <v>1540024</v>
      </c>
      <c r="E41" s="272">
        <v>213240</v>
      </c>
      <c r="F41" s="272">
        <f>SUM('- 52 -'!$G41,'- 54 -'!$F41,B41:E41)</f>
        <v>25670253</v>
      </c>
    </row>
    <row r="42" spans="1:6" ht="14.1" customHeight="1">
      <c r="A42" s="15" t="s">
        <v>138</v>
      </c>
      <c r="B42" s="16">
        <v>3037874</v>
      </c>
      <c r="C42" s="16">
        <v>557431</v>
      </c>
      <c r="D42" s="16">
        <v>689976</v>
      </c>
      <c r="E42" s="16">
        <v>145560</v>
      </c>
      <c r="F42" s="16">
        <f>SUM('- 52 -'!$G42,'- 54 -'!$F42,B42:E42)</f>
        <v>11768756</v>
      </c>
    </row>
    <row r="43" spans="1:6" ht="14.1" customHeight="1">
      <c r="A43" s="271" t="s">
        <v>139</v>
      </c>
      <c r="B43" s="272">
        <v>187822</v>
      </c>
      <c r="C43" s="272">
        <v>0</v>
      </c>
      <c r="D43" s="272">
        <v>1212544</v>
      </c>
      <c r="E43" s="272">
        <v>61260</v>
      </c>
      <c r="F43" s="272">
        <f>SUM('- 52 -'!$G43,'- 54 -'!$F43,B43:E43)</f>
        <v>6038874</v>
      </c>
    </row>
    <row r="44" spans="1:6" ht="14.1" customHeight="1">
      <c r="A44" s="15" t="s">
        <v>140</v>
      </c>
      <c r="B44" s="16">
        <v>2489855</v>
      </c>
      <c r="C44" s="16">
        <v>434059</v>
      </c>
      <c r="D44" s="16">
        <v>11833</v>
      </c>
      <c r="E44" s="16">
        <v>67780</v>
      </c>
      <c r="F44" s="16">
        <f>SUM('- 52 -'!$G44,'- 54 -'!$F44,B44:E44)</f>
        <v>7357301</v>
      </c>
    </row>
    <row r="45" spans="1:6" ht="14.1" customHeight="1">
      <c r="A45" s="271" t="s">
        <v>141</v>
      </c>
      <c r="B45" s="272">
        <v>3528667</v>
      </c>
      <c r="C45" s="272">
        <v>0</v>
      </c>
      <c r="D45" s="272">
        <v>0</v>
      </c>
      <c r="E45" s="272">
        <v>122040</v>
      </c>
      <c r="F45" s="272">
        <f>SUM('- 52 -'!$G45,'- 54 -'!$F45,B45:E45)</f>
        <v>10278935</v>
      </c>
    </row>
    <row r="46" spans="1:6" ht="14.1" customHeight="1">
      <c r="A46" s="15" t="s">
        <v>142</v>
      </c>
      <c r="B46" s="16">
        <v>49933910</v>
      </c>
      <c r="C46" s="16">
        <v>4863665</v>
      </c>
      <c r="D46" s="16">
        <v>0</v>
      </c>
      <c r="E46" s="16">
        <v>1359960</v>
      </c>
      <c r="F46" s="16">
        <f>SUM('- 52 -'!$G46,'- 54 -'!$F46,B46:E46)</f>
        <v>182893800</v>
      </c>
    </row>
    <row r="47" spans="1:6" ht="5.0999999999999996" customHeight="1">
      <c r="A47"/>
      <c r="B47"/>
      <c r="C47"/>
      <c r="D47"/>
      <c r="E47" s="508"/>
      <c r="F47"/>
    </row>
    <row r="48" spans="1:6" ht="14.1" customHeight="1">
      <c r="A48" s="274" t="s">
        <v>143</v>
      </c>
      <c r="B48" s="275">
        <f>SUM(B11:B46)</f>
        <v>264696979</v>
      </c>
      <c r="C48" s="275">
        <f>SUM(C11:C46)</f>
        <v>23922974</v>
      </c>
      <c r="D48" s="275">
        <f>SUM(D11:D46)</f>
        <v>25905496</v>
      </c>
      <c r="E48" s="275">
        <f>SUM(E11:E46)</f>
        <v>8578180</v>
      </c>
      <c r="F48" s="275">
        <f>SUM(F11:F46)</f>
        <v>1063777499</v>
      </c>
    </row>
    <row r="49" spans="1:6" ht="5.0999999999999996" customHeight="1">
      <c r="A49" s="17" t="s">
        <v>1</v>
      </c>
      <c r="B49" s="18"/>
      <c r="C49" s="18"/>
      <c r="D49" s="18"/>
      <c r="E49" s="18"/>
      <c r="F49" s="18"/>
    </row>
    <row r="50" spans="1:6" ht="14.45" customHeight="1">
      <c r="A50" s="15" t="s">
        <v>144</v>
      </c>
      <c r="B50" s="16">
        <v>0</v>
      </c>
      <c r="C50" s="16">
        <v>0</v>
      </c>
      <c r="D50" s="16">
        <v>189210</v>
      </c>
      <c r="E50" s="16">
        <v>0</v>
      </c>
      <c r="F50" s="16">
        <f>SUM('- 52 -'!$G50,'- 54 -'!$F50,B50:E50)</f>
        <v>945502</v>
      </c>
    </row>
    <row r="51" spans="1:6" ht="14.1" customHeight="1">
      <c r="A51" s="360" t="s">
        <v>523</v>
      </c>
      <c r="B51" s="272">
        <v>0</v>
      </c>
      <c r="C51" s="272">
        <v>0</v>
      </c>
      <c r="D51" s="272">
        <v>0</v>
      </c>
      <c r="E51" s="272">
        <v>75096</v>
      </c>
      <c r="F51" s="272">
        <f>SUM('- 52 -'!$G51,'- 54 -'!$F51,B51:E51)</f>
        <v>75096</v>
      </c>
    </row>
    <row r="52" spans="1:6" ht="50.1" customHeight="1">
      <c r="A52" s="19"/>
      <c r="B52" s="19"/>
      <c r="C52" s="19"/>
      <c r="D52" s="19"/>
      <c r="E52" s="19"/>
      <c r="F52" s="19"/>
    </row>
    <row r="53" spans="1:6" ht="15" customHeight="1">
      <c r="A53" s="787" t="s">
        <v>505</v>
      </c>
      <c r="B53" s="787"/>
      <c r="C53" s="787"/>
      <c r="D53" s="787"/>
      <c r="E53" s="787"/>
      <c r="F53" s="787"/>
    </row>
    <row r="54" spans="1:6" ht="12" customHeight="1">
      <c r="A54" s="788"/>
      <c r="B54" s="788"/>
      <c r="C54" s="788"/>
      <c r="D54" s="788"/>
      <c r="E54" s="788"/>
      <c r="F54" s="788"/>
    </row>
    <row r="55" spans="1:6" ht="12" customHeight="1">
      <c r="A55" s="789" t="s">
        <v>583</v>
      </c>
      <c r="B55" s="789"/>
      <c r="C55" s="789"/>
      <c r="D55" s="789"/>
      <c r="E55" s="789"/>
      <c r="F55" s="789"/>
    </row>
    <row r="56" spans="1:6" ht="12" customHeight="1">
      <c r="A56" s="789"/>
      <c r="B56" s="789"/>
      <c r="C56" s="789"/>
      <c r="D56" s="789"/>
      <c r="E56" s="789"/>
      <c r="F56" s="789"/>
    </row>
    <row r="57" spans="1:6" ht="12" customHeight="1">
      <c r="A57" s="356" t="s">
        <v>584</v>
      </c>
    </row>
    <row r="58" spans="1:6" ht="12" customHeight="1">
      <c r="A58" s="2" t="s">
        <v>354</v>
      </c>
    </row>
    <row r="59" spans="1:6" ht="14.45" customHeight="1"/>
  </sheetData>
  <mergeCells count="9">
    <mergeCell ref="A53:F54"/>
    <mergeCell ref="A55:F56"/>
    <mergeCell ref="B5:F5"/>
    <mergeCell ref="B6:F6"/>
    <mergeCell ref="B8:B9"/>
    <mergeCell ref="C7:C9"/>
    <mergeCell ref="D8:D9"/>
    <mergeCell ref="E7:E9"/>
    <mergeCell ref="F7:F9"/>
  </mergeCells>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49.xml><?xml version="1.0" encoding="utf-8"?>
<worksheet xmlns="http://schemas.openxmlformats.org/spreadsheetml/2006/main" xmlns:r="http://schemas.openxmlformats.org/officeDocument/2006/relationships">
  <sheetPr codeName="Sheet611">
    <pageSetUpPr fitToPage="1"/>
  </sheetPr>
  <dimension ref="A1:AY62"/>
  <sheetViews>
    <sheetView showGridLines="0" showZeros="0" workbookViewId="0"/>
  </sheetViews>
  <sheetFormatPr defaultColWidth="14.83203125" defaultRowHeight="12"/>
  <cols>
    <col min="1" max="1" width="32.83203125" style="1" customWidth="1"/>
    <col min="2" max="4" width="22.6640625" style="1" customWidth="1"/>
    <col min="5" max="5" width="14.83203125" style="1" hidden="1" customWidth="1"/>
    <col min="6" max="6" width="32.83203125" style="1" customWidth="1"/>
    <col min="7" max="16384" width="14.83203125" style="1"/>
  </cols>
  <sheetData>
    <row r="1" spans="1:51" ht="6.95" customHeight="1">
      <c r="A1" s="3"/>
      <c r="B1" s="4"/>
    </row>
    <row r="2" spans="1:51" ht="18" customHeight="1">
      <c r="A2" s="219"/>
      <c r="B2" s="792" t="s">
        <v>585</v>
      </c>
      <c r="C2" s="793"/>
      <c r="D2" s="793"/>
      <c r="E2" s="364"/>
      <c r="F2" s="364" t="s">
        <v>226</v>
      </c>
      <c r="AX2" s="482" t="str">
        <f>"ADMINISTRATION EXPENSES (1) "&amp;YEAR&amp;"/"&amp;YEAR+1&amp;" BUDGET"</f>
        <v>ADMINISTRATION EXPENSES (1) 2016/2017 BUDGET</v>
      </c>
      <c r="AY2" s="456" t="str">
        <f>"DÉPENSES ADMINISTRATIVES (1) – BUDGET "&amp;YEAR&amp;" - "&amp;YEAR+1</f>
        <v>DÉPENSES ADMINISTRATIVES (1) – BUDGET 2016 - 2017</v>
      </c>
    </row>
    <row r="3" spans="1:51" ht="3.95" customHeight="1">
      <c r="A3" s="220"/>
      <c r="B3" s="221"/>
      <c r="C3" s="221"/>
      <c r="D3" s="228"/>
    </row>
    <row r="4" spans="1:51" ht="15" customHeight="1">
      <c r="A4" s="220"/>
      <c r="B4" s="164"/>
    </row>
    <row r="5" spans="1:51" ht="14.1" customHeight="1">
      <c r="A5" s="224"/>
      <c r="B5" s="794" t="s">
        <v>558</v>
      </c>
      <c r="C5" s="795"/>
      <c r="D5" s="796"/>
    </row>
    <row r="6" spans="1:51" ht="14.1" customHeight="1">
      <c r="A6" s="224"/>
      <c r="B6" s="226"/>
      <c r="C6" s="734" t="s">
        <v>557</v>
      </c>
      <c r="D6" s="226"/>
    </row>
    <row r="7" spans="1:51" ht="18.75" customHeight="1">
      <c r="A7" s="224"/>
      <c r="B7" s="226"/>
      <c r="C7" s="782"/>
      <c r="D7" s="226"/>
    </row>
    <row r="8" spans="1:51" ht="14.1" customHeight="1">
      <c r="A8" s="224"/>
      <c r="B8" s="782" t="s">
        <v>556</v>
      </c>
      <c r="C8" s="782"/>
      <c r="D8" s="782" t="s">
        <v>559</v>
      </c>
    </row>
    <row r="9" spans="1:51" ht="14.1" customHeight="1">
      <c r="A9" s="12"/>
      <c r="B9" s="782"/>
      <c r="C9" s="782"/>
      <c r="D9" s="782"/>
    </row>
    <row r="10" spans="1:51" ht="14.1" customHeight="1">
      <c r="A10" s="13" t="s">
        <v>37</v>
      </c>
      <c r="B10" s="783"/>
      <c r="C10" s="783"/>
      <c r="D10" s="783"/>
      <c r="F10" s="128"/>
    </row>
    <row r="11" spans="1:51" ht="5.0999999999999996" customHeight="1">
      <c r="A11" s="14"/>
    </row>
    <row r="12" spans="1:51" ht="13.5" customHeight="1">
      <c r="A12" s="271" t="s">
        <v>108</v>
      </c>
      <c r="B12" s="272">
        <v>622860</v>
      </c>
      <c r="C12" s="272">
        <f>-Data!M11-Data!N11-Data!O11-Data!P11</f>
        <v>-24000</v>
      </c>
      <c r="D12" s="272">
        <f>SUM(B12:C12)</f>
        <v>598860</v>
      </c>
      <c r="E12" s="329">
        <v>598860</v>
      </c>
      <c r="F12" s="1">
        <f>D12-E12</f>
        <v>0</v>
      </c>
    </row>
    <row r="13" spans="1:51" ht="13.5" customHeight="1">
      <c r="A13" s="15" t="s">
        <v>109</v>
      </c>
      <c r="B13" s="16">
        <v>1346125</v>
      </c>
      <c r="C13" s="16">
        <f>-Data!M12-Data!N12-Data!O12-Data!P12</f>
        <v>-36200</v>
      </c>
      <c r="D13" s="16">
        <f t="shared" ref="D13:D47" si="0">SUM(B13:C13)</f>
        <v>1309925</v>
      </c>
      <c r="E13" s="330">
        <v>1309925</v>
      </c>
      <c r="F13" s="1">
        <f t="shared" ref="F13:F49" si="1">D13-E13</f>
        <v>0</v>
      </c>
    </row>
    <row r="14" spans="1:51" ht="13.5" customHeight="1">
      <c r="A14" s="271" t="s">
        <v>110</v>
      </c>
      <c r="B14" s="272">
        <v>3202400</v>
      </c>
      <c r="C14" s="272">
        <f>-Data!M13-Data!N13-Data!O13-Data!P13</f>
        <v>-82700</v>
      </c>
      <c r="D14" s="272">
        <f t="shared" si="0"/>
        <v>3119700</v>
      </c>
      <c r="E14" s="329">
        <v>3119700</v>
      </c>
      <c r="F14" s="1">
        <f t="shared" si="1"/>
        <v>0</v>
      </c>
    </row>
    <row r="15" spans="1:51" ht="13.5" customHeight="1">
      <c r="A15" s="15" t="s">
        <v>319</v>
      </c>
      <c r="B15" s="16"/>
      <c r="C15" s="16">
        <f>-Data!M14-Data!N14-Data!O14</f>
        <v>0</v>
      </c>
      <c r="D15" s="16"/>
      <c r="E15" s="330"/>
      <c r="F15" s="1">
        <f t="shared" si="1"/>
        <v>0</v>
      </c>
    </row>
    <row r="16" spans="1:51" ht="13.5" customHeight="1">
      <c r="A16" s="271" t="s">
        <v>111</v>
      </c>
      <c r="B16" s="272">
        <v>857500</v>
      </c>
      <c r="C16" s="272">
        <f>-Data!M15-Data!N15-Data!O15-Data!P15</f>
        <v>-26000</v>
      </c>
      <c r="D16" s="272">
        <f t="shared" si="0"/>
        <v>831500</v>
      </c>
      <c r="E16" s="329">
        <v>831500</v>
      </c>
      <c r="F16" s="1">
        <f t="shared" si="1"/>
        <v>0</v>
      </c>
    </row>
    <row r="17" spans="1:6" ht="13.5" customHeight="1">
      <c r="A17" s="15" t="s">
        <v>112</v>
      </c>
      <c r="B17" s="16">
        <v>689453</v>
      </c>
      <c r="C17" s="16">
        <f>-Data!M16-Data!N16-Data!O16-Data!P16</f>
        <v>-20000</v>
      </c>
      <c r="D17" s="16">
        <f t="shared" si="0"/>
        <v>669453</v>
      </c>
      <c r="E17" s="330">
        <v>669453</v>
      </c>
      <c r="F17" s="1">
        <f t="shared" si="1"/>
        <v>0</v>
      </c>
    </row>
    <row r="18" spans="1:6" ht="13.5" customHeight="1">
      <c r="A18" s="271" t="s">
        <v>113</v>
      </c>
      <c r="B18" s="272">
        <v>800402</v>
      </c>
      <c r="C18" s="272">
        <f>-Data!M17-Data!N17-Data!O17-Data!P17</f>
        <v>-30600</v>
      </c>
      <c r="D18" s="272">
        <f t="shared" si="0"/>
        <v>769802</v>
      </c>
      <c r="E18" s="329">
        <v>769802</v>
      </c>
      <c r="F18" s="1">
        <f t="shared" si="1"/>
        <v>0</v>
      </c>
    </row>
    <row r="19" spans="1:6" ht="13.5" customHeight="1">
      <c r="A19" s="15" t="s">
        <v>114</v>
      </c>
      <c r="B19" s="16"/>
      <c r="C19" s="16">
        <f>-Data!M18-Data!N18-Data!O18</f>
        <v>0</v>
      </c>
      <c r="D19" s="16"/>
      <c r="E19" s="330"/>
      <c r="F19" s="1">
        <f t="shared" si="1"/>
        <v>0</v>
      </c>
    </row>
    <row r="20" spans="1:6" ht="13.5" customHeight="1">
      <c r="A20" s="271" t="s">
        <v>115</v>
      </c>
      <c r="B20" s="272">
        <v>1539770</v>
      </c>
      <c r="C20" s="272">
        <f>-Data!M19-Data!N19-Data!O19-Data!P19</f>
        <v>-37000</v>
      </c>
      <c r="D20" s="272">
        <f t="shared" si="0"/>
        <v>1502770</v>
      </c>
      <c r="E20" s="329">
        <v>1502770</v>
      </c>
      <c r="F20" s="1">
        <f t="shared" si="1"/>
        <v>0</v>
      </c>
    </row>
    <row r="21" spans="1:6" ht="13.5" customHeight="1">
      <c r="A21" s="15" t="s">
        <v>116</v>
      </c>
      <c r="B21" s="16">
        <v>2312200</v>
      </c>
      <c r="C21" s="16">
        <f>-Data!M20-Data!N20-Data!O20-Data!P20</f>
        <v>-73200</v>
      </c>
      <c r="D21" s="16">
        <f t="shared" si="0"/>
        <v>2239000</v>
      </c>
      <c r="E21" s="330">
        <v>2239000</v>
      </c>
      <c r="F21" s="1">
        <f t="shared" si="1"/>
        <v>0</v>
      </c>
    </row>
    <row r="22" spans="1:6" ht="13.5" customHeight="1">
      <c r="A22" s="271" t="s">
        <v>117</v>
      </c>
      <c r="B22" s="272">
        <v>1390000</v>
      </c>
      <c r="C22" s="272">
        <f>-Data!M21-Data!N21-Data!O21-Data!P21</f>
        <v>-34000</v>
      </c>
      <c r="D22" s="272">
        <f t="shared" si="0"/>
        <v>1356000</v>
      </c>
      <c r="E22" s="329">
        <v>1356000</v>
      </c>
      <c r="F22" s="1">
        <f t="shared" si="1"/>
        <v>0</v>
      </c>
    </row>
    <row r="23" spans="1:6" ht="13.5" customHeight="1">
      <c r="A23" s="15" t="s">
        <v>118</v>
      </c>
      <c r="B23" s="16">
        <v>916310</v>
      </c>
      <c r="C23" s="16">
        <f>-Data!M22-Data!N22-Data!O22-Data!P22</f>
        <v>-27000</v>
      </c>
      <c r="D23" s="16">
        <f t="shared" si="0"/>
        <v>889310</v>
      </c>
      <c r="E23" s="330">
        <v>889310</v>
      </c>
      <c r="F23" s="1">
        <f t="shared" si="1"/>
        <v>0</v>
      </c>
    </row>
    <row r="24" spans="1:6" ht="13.5" customHeight="1">
      <c r="A24" s="271" t="s">
        <v>119</v>
      </c>
      <c r="B24" s="272">
        <v>651150</v>
      </c>
      <c r="C24" s="272">
        <f>-Data!M23-Data!N23-Data!O23-Data!P23</f>
        <v>-27000</v>
      </c>
      <c r="D24" s="272">
        <f t="shared" si="0"/>
        <v>624150</v>
      </c>
      <c r="E24" s="329">
        <v>624150</v>
      </c>
      <c r="F24" s="1">
        <f t="shared" si="1"/>
        <v>0</v>
      </c>
    </row>
    <row r="25" spans="1:6" ht="13.5" customHeight="1">
      <c r="A25" s="15" t="s">
        <v>120</v>
      </c>
      <c r="B25" s="16">
        <v>2047290</v>
      </c>
      <c r="C25" s="16">
        <f>-Data!M24-Data!N24-Data!O24-Data!P24</f>
        <v>-50000</v>
      </c>
      <c r="D25" s="16">
        <f t="shared" si="0"/>
        <v>1997290</v>
      </c>
      <c r="E25" s="330">
        <v>1997290</v>
      </c>
      <c r="F25" s="1">
        <f t="shared" si="1"/>
        <v>0</v>
      </c>
    </row>
    <row r="26" spans="1:6" ht="13.5" customHeight="1">
      <c r="A26" s="271" t="s">
        <v>121</v>
      </c>
      <c r="B26" s="272">
        <v>5995101</v>
      </c>
      <c r="C26" s="272">
        <f>-Data!M25-Data!N25-Data!O25-Data!P25</f>
        <v>-902098</v>
      </c>
      <c r="D26" s="272">
        <f t="shared" si="0"/>
        <v>5093003</v>
      </c>
      <c r="E26" s="329">
        <v>5093003</v>
      </c>
      <c r="F26" s="1">
        <f t="shared" si="1"/>
        <v>0</v>
      </c>
    </row>
    <row r="27" spans="1:6" ht="13.5" customHeight="1">
      <c r="A27" s="15" t="s">
        <v>122</v>
      </c>
      <c r="B27" s="16">
        <v>1442516</v>
      </c>
      <c r="C27" s="16">
        <f>-Data!M26-Data!N26-Data!O26-Data!P26</f>
        <v>-40563</v>
      </c>
      <c r="D27" s="16">
        <f t="shared" si="0"/>
        <v>1401953</v>
      </c>
      <c r="E27" s="330">
        <v>1401953</v>
      </c>
      <c r="F27" s="1">
        <f t="shared" si="1"/>
        <v>0</v>
      </c>
    </row>
    <row r="28" spans="1:6" ht="13.5" customHeight="1">
      <c r="A28" s="271" t="s">
        <v>123</v>
      </c>
      <c r="B28" s="272">
        <v>1962314</v>
      </c>
      <c r="C28" s="272">
        <f>-Data!M27-Data!N27-Data!O27-Data!P27</f>
        <v>-70000</v>
      </c>
      <c r="D28" s="272">
        <f t="shared" si="0"/>
        <v>1892314</v>
      </c>
      <c r="E28" s="329">
        <v>1892314</v>
      </c>
      <c r="F28" s="1">
        <f t="shared" si="1"/>
        <v>0</v>
      </c>
    </row>
    <row r="29" spans="1:6" ht="13.5" customHeight="1">
      <c r="A29" s="15" t="s">
        <v>124</v>
      </c>
      <c r="B29" s="16">
        <v>1197829</v>
      </c>
      <c r="C29" s="16">
        <f>-Data!M28-Data!N28-Data!O28-Data!P28</f>
        <v>-225480</v>
      </c>
      <c r="D29" s="16">
        <f t="shared" si="0"/>
        <v>972349</v>
      </c>
      <c r="E29" s="330">
        <v>972349</v>
      </c>
      <c r="F29" s="1">
        <f t="shared" si="1"/>
        <v>0</v>
      </c>
    </row>
    <row r="30" spans="1:6" ht="13.5" customHeight="1">
      <c r="A30" s="271" t="s">
        <v>125</v>
      </c>
      <c r="B30" s="272">
        <v>5622833</v>
      </c>
      <c r="C30" s="272">
        <f>-Data!M29-Data!N29-Data!O29-Data!P29</f>
        <v>-993328</v>
      </c>
      <c r="D30" s="272">
        <f t="shared" si="0"/>
        <v>4629505</v>
      </c>
      <c r="E30" s="329">
        <v>4629505</v>
      </c>
      <c r="F30" s="1">
        <f t="shared" si="1"/>
        <v>0</v>
      </c>
    </row>
    <row r="31" spans="1:6" ht="13.5" customHeight="1">
      <c r="A31" s="15" t="s">
        <v>126</v>
      </c>
      <c r="B31" s="16">
        <v>532537</v>
      </c>
      <c r="C31" s="16">
        <f>-Data!M30-Data!N30-Data!O30-Data!P30</f>
        <v>-23000</v>
      </c>
      <c r="D31" s="16">
        <f t="shared" si="0"/>
        <v>509537</v>
      </c>
      <c r="E31" s="330">
        <v>509537</v>
      </c>
      <c r="F31" s="1">
        <f t="shared" si="1"/>
        <v>0</v>
      </c>
    </row>
    <row r="32" spans="1:6" ht="13.5" customHeight="1">
      <c r="A32" s="271" t="s">
        <v>127</v>
      </c>
      <c r="B32" s="272">
        <v>1239795</v>
      </c>
      <c r="C32" s="272">
        <f>-Data!M31-Data!N31-Data!O31-Data!P31</f>
        <v>-47000</v>
      </c>
      <c r="D32" s="272">
        <f t="shared" si="0"/>
        <v>1192795</v>
      </c>
      <c r="E32" s="329">
        <v>1192795</v>
      </c>
      <c r="F32" s="1">
        <f t="shared" si="1"/>
        <v>0</v>
      </c>
    </row>
    <row r="33" spans="1:6" ht="13.5" customHeight="1">
      <c r="A33" s="15" t="s">
        <v>128</v>
      </c>
      <c r="B33" s="16">
        <v>1127592</v>
      </c>
      <c r="C33" s="16">
        <f>-Data!M32-Data!N32-Data!O32-Data!P32</f>
        <v>-25930</v>
      </c>
      <c r="D33" s="16">
        <f t="shared" si="0"/>
        <v>1101662</v>
      </c>
      <c r="E33" s="330">
        <v>1101662</v>
      </c>
      <c r="F33" s="1">
        <f t="shared" si="1"/>
        <v>0</v>
      </c>
    </row>
    <row r="34" spans="1:6" ht="13.5" customHeight="1">
      <c r="A34" s="271" t="s">
        <v>129</v>
      </c>
      <c r="B34" s="272">
        <v>941600</v>
      </c>
      <c r="C34" s="272">
        <f>-Data!M33-Data!N33-Data!O33-Data!P33</f>
        <v>-40000</v>
      </c>
      <c r="D34" s="272">
        <f t="shared" si="0"/>
        <v>901600</v>
      </c>
      <c r="E34" s="329">
        <v>901600</v>
      </c>
      <c r="F34" s="1">
        <f t="shared" si="1"/>
        <v>0</v>
      </c>
    </row>
    <row r="35" spans="1:6" ht="13.5" customHeight="1">
      <c r="A35" s="15" t="s">
        <v>130</v>
      </c>
      <c r="B35" s="16">
        <v>1216417</v>
      </c>
      <c r="C35" s="16">
        <f>-Data!M34-Data!N34-Data!O34-Data!P34</f>
        <v>-38500</v>
      </c>
      <c r="D35" s="16">
        <f t="shared" si="0"/>
        <v>1177917</v>
      </c>
      <c r="E35" s="330">
        <v>1177917</v>
      </c>
      <c r="F35" s="1">
        <f t="shared" si="1"/>
        <v>0</v>
      </c>
    </row>
    <row r="36" spans="1:6" ht="13.5" customHeight="1">
      <c r="A36" s="271" t="s">
        <v>131</v>
      </c>
      <c r="B36" s="272">
        <v>4724425</v>
      </c>
      <c r="C36" s="272">
        <f>-Data!M35-Data!N35-Data!O35-Data!P35</f>
        <v>-60000</v>
      </c>
      <c r="D36" s="272">
        <f t="shared" si="0"/>
        <v>4664425</v>
      </c>
      <c r="E36" s="329">
        <v>4664425</v>
      </c>
      <c r="F36" s="1">
        <f t="shared" si="1"/>
        <v>0</v>
      </c>
    </row>
    <row r="37" spans="1:6" ht="13.5" customHeight="1">
      <c r="A37" s="15" t="s">
        <v>132</v>
      </c>
      <c r="B37" s="16">
        <v>958025</v>
      </c>
      <c r="C37" s="16">
        <f>-Data!M36-Data!N36-Data!O36-Data!P36</f>
        <v>-34000</v>
      </c>
      <c r="D37" s="16">
        <f t="shared" si="0"/>
        <v>924025</v>
      </c>
      <c r="E37" s="330">
        <v>924025</v>
      </c>
      <c r="F37" s="1">
        <f t="shared" si="1"/>
        <v>0</v>
      </c>
    </row>
    <row r="38" spans="1:6" ht="13.5" customHeight="1">
      <c r="A38" s="271" t="s">
        <v>133</v>
      </c>
      <c r="B38" s="272">
        <v>1689400</v>
      </c>
      <c r="C38" s="272">
        <f>-Data!M37-Data!N37-Data!O37-Data!P37</f>
        <v>-45000</v>
      </c>
      <c r="D38" s="272">
        <f t="shared" si="0"/>
        <v>1644400</v>
      </c>
      <c r="E38" s="329">
        <v>1644400</v>
      </c>
      <c r="F38" s="1">
        <f t="shared" si="1"/>
        <v>0</v>
      </c>
    </row>
    <row r="39" spans="1:6" ht="13.5" customHeight="1">
      <c r="A39" s="15" t="s">
        <v>134</v>
      </c>
      <c r="B39" s="16">
        <v>3887176</v>
      </c>
      <c r="C39" s="16">
        <f>-Data!M38-Data!N38-Data!O38-Data!P38</f>
        <v>-78000</v>
      </c>
      <c r="D39" s="16">
        <f t="shared" si="0"/>
        <v>3809176</v>
      </c>
      <c r="E39" s="330">
        <v>3809176</v>
      </c>
      <c r="F39" s="1">
        <f t="shared" si="1"/>
        <v>0</v>
      </c>
    </row>
    <row r="40" spans="1:6" ht="13.5" customHeight="1">
      <c r="A40" s="271" t="s">
        <v>135</v>
      </c>
      <c r="B40" s="272">
        <v>931669</v>
      </c>
      <c r="C40" s="272">
        <f>-Data!M39-Data!N39-Data!O39-Data!P39</f>
        <v>-37469</v>
      </c>
      <c r="D40" s="272">
        <f t="shared" si="0"/>
        <v>894200</v>
      </c>
      <c r="E40" s="329">
        <v>894200</v>
      </c>
      <c r="F40" s="1">
        <f t="shared" si="1"/>
        <v>0</v>
      </c>
    </row>
    <row r="41" spans="1:6" ht="13.5" customHeight="1">
      <c r="A41" s="15" t="s">
        <v>136</v>
      </c>
      <c r="B41" s="16">
        <v>3713804</v>
      </c>
      <c r="C41" s="16">
        <f>-Data!M40-Data!N40-Data!O40-Data!P40</f>
        <v>-451544</v>
      </c>
      <c r="D41" s="16">
        <f t="shared" si="0"/>
        <v>3262260</v>
      </c>
      <c r="E41" s="330">
        <v>3262260</v>
      </c>
      <c r="F41" s="1">
        <f t="shared" si="1"/>
        <v>0</v>
      </c>
    </row>
    <row r="42" spans="1:6" ht="13.5" customHeight="1">
      <c r="A42" s="271" t="s">
        <v>137</v>
      </c>
      <c r="B42" s="272">
        <v>2360647</v>
      </c>
      <c r="C42" s="272">
        <f>-Data!M41-Data!N41-Data!O41-Data!P41</f>
        <v>-54089</v>
      </c>
      <c r="D42" s="272">
        <f t="shared" si="0"/>
        <v>2306558</v>
      </c>
      <c r="E42" s="329">
        <v>2306558</v>
      </c>
      <c r="F42" s="1">
        <f t="shared" si="1"/>
        <v>0</v>
      </c>
    </row>
    <row r="43" spans="1:6" ht="13.5" customHeight="1">
      <c r="A43" s="15" t="s">
        <v>138</v>
      </c>
      <c r="B43" s="16">
        <v>853069</v>
      </c>
      <c r="C43" s="16">
        <f>-Data!M42-Data!N42-Data!O42-Data!P42</f>
        <v>-32000</v>
      </c>
      <c r="D43" s="16">
        <f t="shared" si="0"/>
        <v>821069</v>
      </c>
      <c r="E43" s="330">
        <v>821069</v>
      </c>
      <c r="F43" s="1">
        <f t="shared" si="1"/>
        <v>0</v>
      </c>
    </row>
    <row r="44" spans="1:6" ht="13.5" customHeight="1">
      <c r="A44" s="271" t="s">
        <v>139</v>
      </c>
      <c r="B44" s="272">
        <v>570469</v>
      </c>
      <c r="C44" s="272">
        <f>-Data!M43-Data!N43-Data!O43-Data!P43</f>
        <v>-18000</v>
      </c>
      <c r="D44" s="272">
        <f t="shared" si="0"/>
        <v>552469</v>
      </c>
      <c r="E44" s="329">
        <v>552469</v>
      </c>
      <c r="F44" s="1">
        <f t="shared" si="1"/>
        <v>0</v>
      </c>
    </row>
    <row r="45" spans="1:6" ht="13.5" customHeight="1">
      <c r="A45" s="15" t="s">
        <v>140</v>
      </c>
      <c r="B45" s="16">
        <v>420939</v>
      </c>
      <c r="C45" s="16">
        <f>-Data!M44-Data!N44-Data!O44-Data!P44</f>
        <v>-14000</v>
      </c>
      <c r="D45" s="16">
        <f t="shared" si="0"/>
        <v>406939</v>
      </c>
      <c r="E45" s="330">
        <v>406939</v>
      </c>
      <c r="F45" s="1">
        <f t="shared" si="1"/>
        <v>0</v>
      </c>
    </row>
    <row r="46" spans="1:6" ht="13.5" customHeight="1">
      <c r="A46" s="271" t="s">
        <v>141</v>
      </c>
      <c r="B46" s="272">
        <v>780314</v>
      </c>
      <c r="C46" s="272">
        <f>-Data!M45-Data!N45-Data!O45-Data!P45</f>
        <v>-16500</v>
      </c>
      <c r="D46" s="272">
        <f t="shared" si="0"/>
        <v>763814</v>
      </c>
      <c r="E46" s="329">
        <v>763814</v>
      </c>
      <c r="F46" s="1">
        <f t="shared" si="1"/>
        <v>0</v>
      </c>
    </row>
    <row r="47" spans="1:6" ht="13.5" customHeight="1">
      <c r="A47" s="15" t="s">
        <v>142</v>
      </c>
      <c r="B47" s="16">
        <v>11256500</v>
      </c>
      <c r="C47" s="16">
        <f>-Data!M46-Data!N46-Data!O46-Data!P46</f>
        <v>-182900</v>
      </c>
      <c r="D47" s="16">
        <f t="shared" si="0"/>
        <v>11073600</v>
      </c>
      <c r="E47" s="330">
        <v>11073600</v>
      </c>
      <c r="F47" s="1">
        <f t="shared" si="1"/>
        <v>0</v>
      </c>
    </row>
    <row r="48" spans="1:6" ht="5.0999999999999996" customHeight="1">
      <c r="A48"/>
      <c r="B48"/>
      <c r="C48"/>
      <c r="D48"/>
      <c r="E48" s="331"/>
    </row>
    <row r="49" spans="1:6" ht="13.5" customHeight="1">
      <c r="A49" s="274" t="s">
        <v>143</v>
      </c>
      <c r="B49" s="275">
        <f>SUM(B12:B47)</f>
        <v>69800431</v>
      </c>
      <c r="C49" s="275">
        <f>SUM(C12:C47)</f>
        <v>-3897101</v>
      </c>
      <c r="D49" s="275">
        <f>SUM(D12:D47)</f>
        <v>65903330</v>
      </c>
      <c r="E49" s="332">
        <f>SUM(E12:E47)</f>
        <v>65903330</v>
      </c>
      <c r="F49" s="1">
        <f t="shared" si="1"/>
        <v>0</v>
      </c>
    </row>
    <row r="50" spans="1:6" ht="5.0999999999999996" customHeight="1">
      <c r="A50" s="17" t="s">
        <v>1</v>
      </c>
      <c r="B50" s="18"/>
      <c r="C50" s="18"/>
      <c r="D50" s="18"/>
      <c r="E50" s="333"/>
    </row>
    <row r="51" spans="1:6" ht="13.5" customHeight="1">
      <c r="A51" s="15" t="s">
        <v>144</v>
      </c>
      <c r="B51" s="16"/>
      <c r="C51" s="16">
        <f>-Data!M50-Data!N50-Data!O50-Data!P50</f>
        <v>0</v>
      </c>
      <c r="D51" s="16"/>
      <c r="E51" s="330">
        <v>166926</v>
      </c>
    </row>
    <row r="52" spans="1:6" ht="13.5" customHeight="1">
      <c r="A52" s="360" t="s">
        <v>523</v>
      </c>
      <c r="B52" s="272"/>
      <c r="C52" s="272">
        <f>-Data!M51-Data!N51-Data!O51-Data!P51</f>
        <v>0</v>
      </c>
      <c r="D52" s="272"/>
      <c r="E52" s="329"/>
      <c r="F52" s="1">
        <f>D52-E52</f>
        <v>0</v>
      </c>
    </row>
    <row r="53" spans="1:6" ht="45.75" customHeight="1">
      <c r="A53" s="19"/>
      <c r="B53" s="19"/>
      <c r="C53" s="19"/>
      <c r="D53" s="19"/>
      <c r="E53" s="19"/>
      <c r="F53" s="19"/>
    </row>
    <row r="54" spans="1:6">
      <c r="A54" s="758" t="s">
        <v>601</v>
      </c>
      <c r="B54" s="758"/>
      <c r="C54" s="758"/>
      <c r="D54" s="758"/>
      <c r="E54" s="758"/>
      <c r="F54" s="758"/>
    </row>
    <row r="55" spans="1:6" ht="12" customHeight="1">
      <c r="A55" s="791"/>
      <c r="B55" s="791"/>
      <c r="C55" s="791"/>
      <c r="D55" s="791"/>
      <c r="E55" s="791"/>
      <c r="F55" s="791"/>
    </row>
    <row r="56" spans="1:6" ht="12" customHeight="1">
      <c r="A56" s="791"/>
      <c r="B56" s="791"/>
      <c r="C56" s="791"/>
      <c r="D56" s="791"/>
      <c r="E56" s="791"/>
      <c r="F56" s="791"/>
    </row>
    <row r="57" spans="1:6" ht="12" customHeight="1">
      <c r="A57" s="791"/>
      <c r="B57" s="791"/>
      <c r="C57" s="791"/>
      <c r="D57" s="791"/>
      <c r="E57" s="791"/>
      <c r="F57" s="791"/>
    </row>
    <row r="58" spans="1:6">
      <c r="A58" s="791"/>
      <c r="B58" s="791"/>
      <c r="C58" s="791"/>
      <c r="D58" s="791"/>
      <c r="E58" s="791"/>
      <c r="F58" s="791"/>
    </row>
    <row r="59" spans="1:6">
      <c r="A59" s="791"/>
      <c r="B59" s="791"/>
      <c r="C59" s="791"/>
      <c r="D59" s="791"/>
      <c r="E59" s="791"/>
      <c r="F59" s="791"/>
    </row>
    <row r="60" spans="1:6" ht="12" customHeight="1">
      <c r="A60" s="791"/>
      <c r="B60" s="791"/>
      <c r="C60" s="791"/>
      <c r="D60" s="791"/>
      <c r="E60" s="791"/>
      <c r="F60" s="791"/>
    </row>
    <row r="61" spans="1:6" ht="12" customHeight="1">
      <c r="A61" s="227" t="s">
        <v>323</v>
      </c>
      <c r="B61" s="31"/>
    </row>
    <row r="62" spans="1:6" ht="12" customHeight="1">
      <c r="A62" s="227"/>
    </row>
  </sheetData>
  <mergeCells count="6">
    <mergeCell ref="A54:F60"/>
    <mergeCell ref="B2:D2"/>
    <mergeCell ref="B5:D5"/>
    <mergeCell ref="D8:D10"/>
    <mergeCell ref="B8:B10"/>
    <mergeCell ref="C6:C10"/>
  </mergeCells>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5.xml><?xml version="1.0" encoding="utf-8"?>
<worksheet xmlns="http://schemas.openxmlformats.org/spreadsheetml/2006/main" xmlns:r="http://schemas.openxmlformats.org/officeDocument/2006/relationships">
  <sheetPr codeName="Sheet4">
    <pageSetUpPr fitToPage="1"/>
  </sheetPr>
  <dimension ref="A1:F59"/>
  <sheetViews>
    <sheetView showGridLines="0" showZeros="0" workbookViewId="0"/>
  </sheetViews>
  <sheetFormatPr defaultColWidth="15.83203125" defaultRowHeight="12"/>
  <cols>
    <col min="1" max="1" width="32.83203125" style="1" customWidth="1"/>
    <col min="2" max="3" width="19.83203125" style="1" customWidth="1"/>
    <col min="4" max="4" width="1.83203125" style="1" customWidth="1"/>
    <col min="5" max="6" width="18.83203125" style="1" customWidth="1"/>
    <col min="7" max="16384" width="15.83203125" style="1"/>
  </cols>
  <sheetData>
    <row r="1" spans="1:6" ht="6.95" customHeight="1">
      <c r="A1" s="3"/>
      <c r="B1" s="3"/>
      <c r="C1" s="3"/>
      <c r="D1" s="4"/>
      <c r="E1" s="4"/>
    </row>
    <row r="2" spans="1:6" ht="15.95" customHeight="1">
      <c r="A2" s="33"/>
      <c r="B2" s="5" t="str">
        <f>+'- 6 -'!B2</f>
        <v>FRAME STUDENT STATISTICS</v>
      </c>
      <c r="C2" s="6"/>
      <c r="D2" s="6"/>
      <c r="E2" s="85"/>
      <c r="F2" s="92" t="s">
        <v>5</v>
      </c>
    </row>
    <row r="3" spans="1:6" ht="15.95" customHeight="1">
      <c r="A3" s="37"/>
      <c r="B3" s="7" t="str">
        <f>+STATDATE</f>
        <v>ESTIMATE SEPTEMBER 30, 2016</v>
      </c>
      <c r="C3" s="8"/>
      <c r="D3" s="8"/>
      <c r="E3" s="87"/>
      <c r="F3" s="87"/>
    </row>
    <row r="4" spans="1:6" ht="15.95" customHeight="1">
      <c r="D4" s="4"/>
      <c r="E4" s="4"/>
    </row>
    <row r="5" spans="1:6" ht="15.95" customHeight="1"/>
    <row r="6" spans="1:6" ht="15.95" customHeight="1">
      <c r="B6" s="568" t="s">
        <v>345</v>
      </c>
      <c r="C6" s="569"/>
      <c r="E6" s="566" t="s">
        <v>25</v>
      </c>
    </row>
    <row r="7" spans="1:6" ht="15.95" customHeight="1">
      <c r="B7" s="570"/>
      <c r="C7" s="571"/>
      <c r="E7" s="567"/>
    </row>
    <row r="8" spans="1:6" ht="15.95" customHeight="1">
      <c r="A8" s="24"/>
      <c r="B8" s="572" t="s">
        <v>380</v>
      </c>
      <c r="C8" s="573" t="s">
        <v>25</v>
      </c>
      <c r="D8" s="11"/>
      <c r="E8" s="575" t="s">
        <v>381</v>
      </c>
    </row>
    <row r="9" spans="1:6" ht="15.95" customHeight="1">
      <c r="A9" s="93" t="s">
        <v>37</v>
      </c>
      <c r="B9" s="538"/>
      <c r="C9" s="574"/>
      <c r="D9" s="95"/>
      <c r="E9" s="576"/>
    </row>
    <row r="10" spans="1:6" ht="5.0999999999999996" customHeight="1">
      <c r="A10" s="29"/>
      <c r="B10" s="46"/>
      <c r="C10" s="29"/>
      <c r="D10" s="96"/>
    </row>
    <row r="11" spans="1:6" ht="14.1" customHeight="1">
      <c r="A11" s="271" t="s">
        <v>108</v>
      </c>
      <c r="B11" s="292">
        <v>0</v>
      </c>
      <c r="C11" s="292">
        <f>SUM('- 6 -'!$B11:H11,B11)</f>
        <v>1753</v>
      </c>
      <c r="D11" s="97"/>
      <c r="E11" s="292">
        <f>C11</f>
        <v>1753</v>
      </c>
    </row>
    <row r="12" spans="1:6" ht="14.1" customHeight="1">
      <c r="A12" s="15" t="s">
        <v>109</v>
      </c>
      <c r="B12" s="47">
        <v>150</v>
      </c>
      <c r="C12" s="47">
        <f>SUM('- 6 -'!$B12:H12,B12)</f>
        <v>2150</v>
      </c>
      <c r="D12" s="97"/>
      <c r="E12" s="47">
        <f t="shared" ref="E12:E46" si="0">C12</f>
        <v>2150</v>
      </c>
    </row>
    <row r="13" spans="1:6" ht="14.1" customHeight="1">
      <c r="A13" s="271" t="s">
        <v>110</v>
      </c>
      <c r="B13" s="292">
        <v>390</v>
      </c>
      <c r="C13" s="292">
        <f>SUM('- 6 -'!$B13:H13,B13)</f>
        <v>8347</v>
      </c>
      <c r="D13" s="97"/>
      <c r="E13" s="292">
        <f t="shared" si="0"/>
        <v>8347</v>
      </c>
    </row>
    <row r="14" spans="1:6" ht="14.1" customHeight="1">
      <c r="A14" s="15" t="s">
        <v>319</v>
      </c>
      <c r="B14" s="47">
        <v>18</v>
      </c>
      <c r="C14" s="47">
        <f>SUM('- 6 -'!$B14:H14,B14)</f>
        <v>5488</v>
      </c>
      <c r="D14" s="97"/>
      <c r="E14" s="47">
        <f t="shared" si="0"/>
        <v>5488</v>
      </c>
    </row>
    <row r="15" spans="1:6" ht="14.1" customHeight="1">
      <c r="A15" s="271" t="s">
        <v>111</v>
      </c>
      <c r="B15" s="292">
        <v>20</v>
      </c>
      <c r="C15" s="292">
        <f>SUM('- 6 -'!$B15:H15,B15)</f>
        <v>1369.5</v>
      </c>
      <c r="D15" s="97"/>
      <c r="E15" s="292">
        <f t="shared" si="0"/>
        <v>1369.5</v>
      </c>
    </row>
    <row r="16" spans="1:6" ht="14.1" customHeight="1">
      <c r="A16" s="15" t="s">
        <v>112</v>
      </c>
      <c r="B16" s="47">
        <v>20.100000000000001</v>
      </c>
      <c r="C16" s="47">
        <f>SUM('- 6 -'!$B16:H16,B16)</f>
        <v>957.5</v>
      </c>
      <c r="D16" s="97"/>
      <c r="E16" s="47">
        <f t="shared" si="0"/>
        <v>957.5</v>
      </c>
    </row>
    <row r="17" spans="1:5" ht="14.1" customHeight="1">
      <c r="A17" s="271" t="s">
        <v>113</v>
      </c>
      <c r="B17" s="292">
        <v>31</v>
      </c>
      <c r="C17" s="292">
        <f>SUM('- 6 -'!$B17:H17,B17)</f>
        <v>1359.5</v>
      </c>
      <c r="D17" s="97"/>
      <c r="E17" s="292">
        <f t="shared" si="0"/>
        <v>1359.5</v>
      </c>
    </row>
    <row r="18" spans="1:5" ht="14.1" customHeight="1">
      <c r="A18" s="15" t="s">
        <v>114</v>
      </c>
      <c r="B18" s="47">
        <v>0</v>
      </c>
      <c r="C18" s="47">
        <f>SUM('- 6 -'!$B18:H18,B18)</f>
        <v>6224.6</v>
      </c>
      <c r="D18" s="97"/>
      <c r="E18" s="47">
        <f t="shared" si="0"/>
        <v>6224.6</v>
      </c>
    </row>
    <row r="19" spans="1:5" ht="14.1" customHeight="1">
      <c r="A19" s="271" t="s">
        <v>115</v>
      </c>
      <c r="B19" s="292">
        <v>125</v>
      </c>
      <c r="C19" s="292">
        <f>SUM('- 6 -'!$B19:H19,B19)</f>
        <v>4218</v>
      </c>
      <c r="D19" s="97"/>
      <c r="E19" s="292">
        <f t="shared" si="0"/>
        <v>4218</v>
      </c>
    </row>
    <row r="20" spans="1:5" ht="14.1" customHeight="1">
      <c r="A20" s="15" t="s">
        <v>116</v>
      </c>
      <c r="B20" s="47">
        <v>451.6</v>
      </c>
      <c r="C20" s="47">
        <f>SUM('- 6 -'!$B20:H20,B20)</f>
        <v>7580.5</v>
      </c>
      <c r="D20" s="97"/>
      <c r="E20" s="47">
        <f t="shared" si="0"/>
        <v>7580.5</v>
      </c>
    </row>
    <row r="21" spans="1:5" ht="14.1" customHeight="1">
      <c r="A21" s="271" t="s">
        <v>117</v>
      </c>
      <c r="B21" s="292">
        <v>0</v>
      </c>
      <c r="C21" s="292">
        <f>SUM('- 6 -'!$B21:H21,B21)</f>
        <v>2706</v>
      </c>
      <c r="D21" s="97"/>
      <c r="E21" s="292">
        <f t="shared" si="0"/>
        <v>2706</v>
      </c>
    </row>
    <row r="22" spans="1:5" ht="14.1" customHeight="1">
      <c r="A22" s="15" t="s">
        <v>118</v>
      </c>
      <c r="B22" s="47">
        <v>0</v>
      </c>
      <c r="C22" s="47">
        <f>SUM('- 6 -'!$B22:H22,B22)</f>
        <v>1558.2</v>
      </c>
      <c r="D22" s="97"/>
      <c r="E22" s="47">
        <f t="shared" si="0"/>
        <v>1558.2</v>
      </c>
    </row>
    <row r="23" spans="1:5" ht="14.1" customHeight="1">
      <c r="A23" s="271" t="s">
        <v>119</v>
      </c>
      <c r="B23" s="292">
        <v>14</v>
      </c>
      <c r="C23" s="292">
        <f>SUM('- 6 -'!$B23:H23,B23)</f>
        <v>1114</v>
      </c>
      <c r="D23" s="97"/>
      <c r="E23" s="292">
        <f t="shared" si="0"/>
        <v>1114</v>
      </c>
    </row>
    <row r="24" spans="1:5" ht="14.1" customHeight="1">
      <c r="A24" s="15" t="s">
        <v>120</v>
      </c>
      <c r="B24" s="47">
        <v>264</v>
      </c>
      <c r="C24" s="47">
        <f>SUM('- 6 -'!$B24:H24,B24)</f>
        <v>3950.5</v>
      </c>
      <c r="D24" s="97"/>
      <c r="E24" s="47">
        <f t="shared" si="0"/>
        <v>3950.5</v>
      </c>
    </row>
    <row r="25" spans="1:5" ht="14.1" customHeight="1">
      <c r="A25" s="271" t="s">
        <v>121</v>
      </c>
      <c r="B25" s="292">
        <v>158.19999999999999</v>
      </c>
      <c r="C25" s="292">
        <f>SUM('- 6 -'!$B25:H25,B25)</f>
        <v>14280.5</v>
      </c>
      <c r="D25" s="97"/>
      <c r="E25" s="292">
        <f t="shared" si="0"/>
        <v>14280.5</v>
      </c>
    </row>
    <row r="26" spans="1:5" ht="14.1" customHeight="1">
      <c r="A26" s="15" t="s">
        <v>122</v>
      </c>
      <c r="B26" s="47">
        <v>87.1</v>
      </c>
      <c r="C26" s="47">
        <f>SUM('- 6 -'!$B26:H26,B26)</f>
        <v>3160.1</v>
      </c>
      <c r="D26" s="97"/>
      <c r="E26" s="47">
        <f t="shared" si="0"/>
        <v>3160.1</v>
      </c>
    </row>
    <row r="27" spans="1:5" ht="14.1" customHeight="1">
      <c r="A27" s="271" t="s">
        <v>123</v>
      </c>
      <c r="B27" s="292">
        <v>231.71428571428572</v>
      </c>
      <c r="C27" s="292">
        <f>SUM('- 6 -'!$B27:H27,B27)</f>
        <v>2910.014285714286</v>
      </c>
      <c r="D27" s="97"/>
      <c r="E27" s="292">
        <f t="shared" si="0"/>
        <v>2910.014285714286</v>
      </c>
    </row>
    <row r="28" spans="1:5" ht="14.1" customHeight="1">
      <c r="A28" s="15" t="s">
        <v>124</v>
      </c>
      <c r="B28" s="47">
        <v>0</v>
      </c>
      <c r="C28" s="47">
        <f>SUM('- 6 -'!$B28:H28,B28)</f>
        <v>1945.5</v>
      </c>
      <c r="D28" s="97"/>
      <c r="E28" s="47">
        <f t="shared" si="0"/>
        <v>1945.5</v>
      </c>
    </row>
    <row r="29" spans="1:5" ht="14.1" customHeight="1">
      <c r="A29" s="271" t="s">
        <v>125</v>
      </c>
      <c r="B29" s="292">
        <v>0</v>
      </c>
      <c r="C29" s="292">
        <f>SUM('- 6 -'!$B29:H29,B29)</f>
        <v>12679</v>
      </c>
      <c r="D29" s="97"/>
      <c r="E29" s="292">
        <f t="shared" si="0"/>
        <v>12679</v>
      </c>
    </row>
    <row r="30" spans="1:5" ht="14.1" customHeight="1">
      <c r="A30" s="15" t="s">
        <v>126</v>
      </c>
      <c r="B30" s="47">
        <v>28.4</v>
      </c>
      <c r="C30" s="47">
        <f>SUM('- 6 -'!$B30:H30,B30)</f>
        <v>1004</v>
      </c>
      <c r="D30" s="97"/>
      <c r="E30" s="47">
        <f t="shared" si="0"/>
        <v>1004</v>
      </c>
    </row>
    <row r="31" spans="1:5" ht="14.1" customHeight="1">
      <c r="A31" s="271" t="s">
        <v>127</v>
      </c>
      <c r="B31" s="292">
        <v>79</v>
      </c>
      <c r="C31" s="292">
        <f>SUM('- 6 -'!$B31:H31,B31)</f>
        <v>3220</v>
      </c>
      <c r="D31" s="97"/>
      <c r="E31" s="292">
        <f t="shared" si="0"/>
        <v>3220</v>
      </c>
    </row>
    <row r="32" spans="1:5" ht="14.1" customHeight="1">
      <c r="A32" s="15" t="s">
        <v>128</v>
      </c>
      <c r="B32" s="47">
        <v>47</v>
      </c>
      <c r="C32" s="47">
        <f>SUM('- 6 -'!$B32:H32,B32)</f>
        <v>2181</v>
      </c>
      <c r="D32" s="97"/>
      <c r="E32" s="491">
        <f t="shared" si="0"/>
        <v>2181</v>
      </c>
    </row>
    <row r="33" spans="1:6" ht="14.1" customHeight="1">
      <c r="A33" s="271" t="s">
        <v>129</v>
      </c>
      <c r="B33" s="292">
        <v>50</v>
      </c>
      <c r="C33" s="292">
        <f>SUM('- 6 -'!$B33:H33,B33)</f>
        <v>2014</v>
      </c>
      <c r="D33" s="97"/>
      <c r="E33" s="292">
        <f t="shared" si="0"/>
        <v>2014</v>
      </c>
    </row>
    <row r="34" spans="1:6" ht="14.1" customHeight="1">
      <c r="A34" s="15" t="s">
        <v>130</v>
      </c>
      <c r="B34" s="47">
        <v>22</v>
      </c>
      <c r="C34" s="47">
        <f>SUM('- 6 -'!$B34:H34,B34)</f>
        <v>1993</v>
      </c>
      <c r="D34" s="97"/>
      <c r="E34" s="47">
        <f t="shared" si="0"/>
        <v>1993</v>
      </c>
    </row>
    <row r="35" spans="1:6" ht="14.1" customHeight="1">
      <c r="A35" s="271" t="s">
        <v>131</v>
      </c>
      <c r="B35" s="292">
        <v>716</v>
      </c>
      <c r="C35" s="292">
        <f>SUM('- 6 -'!$B35:H35,B35)</f>
        <v>15456</v>
      </c>
      <c r="D35" s="97"/>
      <c r="E35" s="292">
        <f t="shared" si="0"/>
        <v>15456</v>
      </c>
    </row>
    <row r="36" spans="1:6" ht="14.1" customHeight="1">
      <c r="A36" s="15" t="s">
        <v>132</v>
      </c>
      <c r="B36" s="47">
        <v>9.1</v>
      </c>
      <c r="C36" s="47">
        <f>SUM('- 6 -'!$B36:H36,B36)</f>
        <v>1657.5</v>
      </c>
      <c r="D36" s="97"/>
      <c r="E36" s="47">
        <f t="shared" si="0"/>
        <v>1657.5</v>
      </c>
    </row>
    <row r="37" spans="1:6" ht="14.1" customHeight="1">
      <c r="A37" s="271" t="s">
        <v>133</v>
      </c>
      <c r="B37" s="292">
        <v>0</v>
      </c>
      <c r="C37" s="292">
        <f>SUM('- 6 -'!$B37:H37,B37)</f>
        <v>4103.5</v>
      </c>
      <c r="D37" s="97"/>
      <c r="E37" s="292">
        <f t="shared" si="0"/>
        <v>4103.5</v>
      </c>
    </row>
    <row r="38" spans="1:6" ht="14.1" customHeight="1">
      <c r="A38" s="15" t="s">
        <v>134</v>
      </c>
      <c r="B38" s="47">
        <v>210</v>
      </c>
      <c r="C38" s="47">
        <f>SUM('- 6 -'!$B38:H38,B38)</f>
        <v>11007</v>
      </c>
      <c r="D38" s="97"/>
      <c r="E38" s="47">
        <f t="shared" si="0"/>
        <v>11007</v>
      </c>
    </row>
    <row r="39" spans="1:6" ht="14.1" customHeight="1">
      <c r="A39" s="271" t="s">
        <v>135</v>
      </c>
      <c r="B39" s="292">
        <v>19</v>
      </c>
      <c r="C39" s="292">
        <f>SUM('- 6 -'!$B39:H39,B39)</f>
        <v>1527</v>
      </c>
      <c r="D39" s="97"/>
      <c r="E39" s="292">
        <f t="shared" si="0"/>
        <v>1527</v>
      </c>
    </row>
    <row r="40" spans="1:6" ht="14.1" customHeight="1">
      <c r="A40" s="15" t="s">
        <v>136</v>
      </c>
      <c r="B40" s="47">
        <v>270.39999999999998</v>
      </c>
      <c r="C40" s="47">
        <f>SUM('- 6 -'!$B40:H40,B40)</f>
        <v>7948.5999999999995</v>
      </c>
      <c r="D40" s="97"/>
      <c r="E40" s="47">
        <f t="shared" si="0"/>
        <v>7948.5999999999995</v>
      </c>
    </row>
    <row r="41" spans="1:6" ht="14.1" customHeight="1">
      <c r="A41" s="271" t="s">
        <v>137</v>
      </c>
      <c r="B41" s="292">
        <v>0</v>
      </c>
      <c r="C41" s="292">
        <f>SUM('- 6 -'!$B41:H41,B41)</f>
        <v>4409.5</v>
      </c>
      <c r="D41" s="97"/>
      <c r="E41" s="292">
        <f t="shared" si="0"/>
        <v>4409.5</v>
      </c>
    </row>
    <row r="42" spans="1:6" ht="14.1" customHeight="1">
      <c r="A42" s="15" t="s">
        <v>138</v>
      </c>
      <c r="B42" s="47">
        <v>140</v>
      </c>
      <c r="C42" s="47">
        <f>SUM('- 6 -'!$B42:H42,B42)</f>
        <v>1361</v>
      </c>
      <c r="D42" s="97"/>
      <c r="E42" s="47">
        <f t="shared" si="0"/>
        <v>1361</v>
      </c>
    </row>
    <row r="43" spans="1:6" ht="14.1" customHeight="1">
      <c r="A43" s="271" t="s">
        <v>139</v>
      </c>
      <c r="B43" s="292">
        <v>29</v>
      </c>
      <c r="C43" s="292">
        <f>SUM('- 6 -'!$B43:H43,B43)</f>
        <v>940.5</v>
      </c>
      <c r="D43" s="97"/>
      <c r="E43" s="292">
        <f t="shared" si="0"/>
        <v>940.5</v>
      </c>
    </row>
    <row r="44" spans="1:6" ht="14.1" customHeight="1">
      <c r="A44" s="15" t="s">
        <v>140</v>
      </c>
      <c r="B44" s="47">
        <v>0</v>
      </c>
      <c r="C44" s="47">
        <f>SUM('- 6 -'!$B44:H44,B44)</f>
        <v>701</v>
      </c>
      <c r="D44" s="97"/>
      <c r="E44" s="47">
        <f t="shared" si="0"/>
        <v>701</v>
      </c>
    </row>
    <row r="45" spans="1:6" ht="14.1" customHeight="1">
      <c r="A45" s="271" t="s">
        <v>141</v>
      </c>
      <c r="B45" s="292">
        <v>40</v>
      </c>
      <c r="C45" s="292">
        <f>SUM('- 6 -'!$B45:H45,B45)</f>
        <v>1702</v>
      </c>
      <c r="D45" s="97"/>
      <c r="E45" s="292">
        <f t="shared" si="0"/>
        <v>1702</v>
      </c>
    </row>
    <row r="46" spans="1:6" ht="14.1" customHeight="1">
      <c r="A46" s="15" t="s">
        <v>142</v>
      </c>
      <c r="B46" s="47">
        <v>893.8</v>
      </c>
      <c r="C46" s="47">
        <f>SUM('- 6 -'!$B46:H46,B46)</f>
        <v>30157</v>
      </c>
      <c r="D46" s="97"/>
      <c r="E46" s="47">
        <f t="shared" si="0"/>
        <v>30157</v>
      </c>
    </row>
    <row r="47" spans="1:6" ht="5.0999999999999996" customHeight="1">
      <c r="A47"/>
      <c r="B47"/>
      <c r="C47"/>
      <c r="D47"/>
      <c r="E47"/>
      <c r="F47"/>
    </row>
    <row r="48" spans="1:6" ht="14.1" customHeight="1">
      <c r="A48" s="274" t="s">
        <v>143</v>
      </c>
      <c r="B48" s="293">
        <f>SUM(B11:B46)</f>
        <v>4514.4142857142861</v>
      </c>
      <c r="C48" s="293">
        <f>SUM(C11:C46)</f>
        <v>175134.01428571428</v>
      </c>
      <c r="D48" s="98"/>
      <c r="E48" s="293">
        <f>SUM(E11:E46)</f>
        <v>175134.01428571428</v>
      </c>
    </row>
    <row r="49" spans="1:6" ht="5.0999999999999996" customHeight="1">
      <c r="A49" s="17" t="s">
        <v>1</v>
      </c>
      <c r="B49" s="50"/>
      <c r="C49" s="50"/>
      <c r="D49" s="96"/>
      <c r="E49" s="50"/>
    </row>
    <row r="50" spans="1:6" ht="14.1" customHeight="1">
      <c r="A50" s="15" t="s">
        <v>144</v>
      </c>
      <c r="B50" s="47">
        <v>0</v>
      </c>
      <c r="C50" s="47">
        <f>SUM('- 6 -'!$B50:H50,B50)</f>
        <v>161</v>
      </c>
      <c r="D50" s="97"/>
      <c r="E50" s="47">
        <f t="shared" ref="E50:E51" si="1">C50</f>
        <v>161</v>
      </c>
    </row>
    <row r="51" spans="1:6" ht="14.1" customHeight="1">
      <c r="A51" s="360" t="s">
        <v>523</v>
      </c>
      <c r="B51" s="292">
        <v>585</v>
      </c>
      <c r="C51" s="292">
        <f>SUM('- 6 -'!$B51:H51,B51)</f>
        <v>724.5</v>
      </c>
      <c r="D51" s="97"/>
      <c r="E51" s="292">
        <f t="shared" si="1"/>
        <v>724.5</v>
      </c>
    </row>
    <row r="52" spans="1:6" ht="50.1" customHeight="1">
      <c r="A52" s="370"/>
      <c r="B52" s="370"/>
      <c r="C52" s="370"/>
      <c r="D52" s="370"/>
      <c r="E52" s="370"/>
      <c r="F52" s="370"/>
    </row>
    <row r="53" spans="1:6" ht="15" customHeight="1">
      <c r="A53" s="564" t="s">
        <v>532</v>
      </c>
      <c r="B53" s="564"/>
      <c r="C53" s="564"/>
      <c r="D53" s="564"/>
      <c r="E53" s="564"/>
      <c r="F53" s="564"/>
    </row>
    <row r="54" spans="1:6" ht="12" customHeight="1">
      <c r="A54" s="565"/>
      <c r="B54" s="565"/>
      <c r="C54" s="565"/>
      <c r="D54" s="565"/>
      <c r="E54" s="565"/>
      <c r="F54" s="565"/>
    </row>
    <row r="55" spans="1:6">
      <c r="A55" s="20" t="s">
        <v>356</v>
      </c>
    </row>
    <row r="56" spans="1:6" ht="14.45" customHeight="1"/>
    <row r="57" spans="1:6" ht="14.45" customHeight="1"/>
    <row r="58" spans="1:6" ht="14.45" customHeight="1"/>
    <row r="59" spans="1:6" ht="14.45" customHeight="1"/>
  </sheetData>
  <mergeCells count="6">
    <mergeCell ref="A53:F54"/>
    <mergeCell ref="E6:E7"/>
    <mergeCell ref="B6:C7"/>
    <mergeCell ref="B8:B9"/>
    <mergeCell ref="C8:C9"/>
    <mergeCell ref="E8:E9"/>
  </mergeCells>
  <phoneticPr fontId="0" type="noConversion"/>
  <printOptions horizontalCentered="1"/>
  <pageMargins left="0.5" right="0.5" top="0.6" bottom="0" header="0.3" footer="0"/>
  <pageSetup scale="91" orientation="portrait" r:id="rId1"/>
  <headerFooter alignWithMargins="0">
    <oddHeader>&amp;C&amp;"Arial,Bold"&amp;10&amp;A</oddHeader>
  </headerFooter>
</worksheet>
</file>

<file path=xl/worksheets/sheet50.xml><?xml version="1.0" encoding="utf-8"?>
<worksheet xmlns="http://schemas.openxmlformats.org/spreadsheetml/2006/main" xmlns:r="http://schemas.openxmlformats.org/officeDocument/2006/relationships">
  <sheetPr codeName="Sheet6111">
    <pageSetUpPr fitToPage="1"/>
  </sheetPr>
  <dimension ref="A1:K60"/>
  <sheetViews>
    <sheetView showGridLines="0" showZeros="0" workbookViewId="0"/>
  </sheetViews>
  <sheetFormatPr defaultColWidth="14.83203125" defaultRowHeight="12"/>
  <cols>
    <col min="1" max="1" width="26.83203125" style="1" customWidth="1"/>
    <col min="2" max="2" width="16.83203125" style="1" customWidth="1"/>
    <col min="3" max="3" width="16.33203125" style="1" customWidth="1"/>
    <col min="4" max="4" width="14.1640625" style="1" customWidth="1"/>
    <col min="5" max="5" width="15.5" style="1" customWidth="1"/>
    <col min="6" max="6" width="16.33203125" style="1" customWidth="1"/>
    <col min="7" max="7" width="15.6640625" style="1" customWidth="1"/>
    <col min="8" max="8" width="11.83203125" style="1" customWidth="1"/>
    <col min="9" max="10" width="14.83203125" style="1" hidden="1" customWidth="1"/>
    <col min="11" max="16384" width="14.83203125" style="1"/>
  </cols>
  <sheetData>
    <row r="1" spans="1:11" ht="6.95" customHeight="1">
      <c r="A1" s="3"/>
      <c r="B1" s="4"/>
      <c r="C1" s="4"/>
      <c r="D1" s="4"/>
    </row>
    <row r="2" spans="1:11" ht="20.100000000000001" customHeight="1">
      <c r="A2" s="219"/>
      <c r="B2" s="219" t="s">
        <v>586</v>
      </c>
      <c r="C2" s="363"/>
      <c r="D2" s="363"/>
      <c r="E2" s="363"/>
      <c r="F2" s="363"/>
      <c r="G2" s="363"/>
      <c r="H2" s="365" t="s">
        <v>227</v>
      </c>
    </row>
    <row r="3" spans="1:11" ht="20.100000000000001" customHeight="1">
      <c r="A3" s="5"/>
      <c r="B3" s="220"/>
      <c r="C3" s="221"/>
      <c r="D3" s="221"/>
      <c r="E3" s="221"/>
      <c r="F3" s="221"/>
      <c r="G3" s="221"/>
      <c r="H3" s="222"/>
    </row>
    <row r="4" spans="1:11" ht="15.95" customHeight="1">
      <c r="A4" s="223"/>
      <c r="B4" s="797" t="s">
        <v>228</v>
      </c>
      <c r="C4" s="798"/>
      <c r="D4" s="798"/>
      <c r="E4" s="798"/>
      <c r="F4" s="798"/>
      <c r="G4" s="798"/>
      <c r="H4" s="799"/>
    </row>
    <row r="5" spans="1:11" ht="13.5" customHeight="1">
      <c r="A5" s="224"/>
      <c r="B5" s="225"/>
      <c r="C5" s="225"/>
      <c r="D5" s="225"/>
      <c r="E5" s="225"/>
      <c r="F5" s="225"/>
      <c r="G5" s="225"/>
      <c r="H5" s="225"/>
    </row>
    <row r="6" spans="1:11" ht="14.1" customHeight="1">
      <c r="A6" s="224"/>
      <c r="B6" s="210"/>
      <c r="C6" s="210"/>
      <c r="D6" s="210"/>
      <c r="E6" s="210"/>
      <c r="F6" s="210"/>
      <c r="G6" s="782" t="s">
        <v>560</v>
      </c>
      <c r="H6" s="735" t="s">
        <v>561</v>
      </c>
    </row>
    <row r="7" spans="1:11" ht="14.1" customHeight="1">
      <c r="A7" s="224"/>
      <c r="B7" s="226"/>
      <c r="C7" s="114"/>
      <c r="D7" s="782" t="s">
        <v>509</v>
      </c>
      <c r="E7" s="226"/>
      <c r="F7" s="226"/>
      <c r="G7" s="782"/>
      <c r="H7" s="782"/>
    </row>
    <row r="8" spans="1:11" ht="14.1" customHeight="1">
      <c r="A8" s="224"/>
      <c r="B8" s="782" t="s">
        <v>507</v>
      </c>
      <c r="C8" s="782" t="s">
        <v>508</v>
      </c>
      <c r="D8" s="782"/>
      <c r="E8" s="226"/>
      <c r="F8" s="782" t="s">
        <v>563</v>
      </c>
      <c r="G8" s="782"/>
      <c r="H8" s="782"/>
    </row>
    <row r="9" spans="1:11" ht="14.1" customHeight="1">
      <c r="A9" s="224"/>
      <c r="B9" s="782"/>
      <c r="C9" s="782"/>
      <c r="D9" s="782"/>
      <c r="E9" s="782" t="s">
        <v>510</v>
      </c>
      <c r="F9" s="782"/>
      <c r="G9" s="782"/>
      <c r="H9" s="782"/>
    </row>
    <row r="10" spans="1:11" ht="14.1" customHeight="1">
      <c r="A10" s="12"/>
      <c r="B10" s="782"/>
      <c r="C10" s="782"/>
      <c r="D10" s="782"/>
      <c r="E10" s="782"/>
      <c r="F10" s="782"/>
      <c r="G10" s="782"/>
      <c r="H10" s="782"/>
    </row>
    <row r="11" spans="1:11" ht="14.1" customHeight="1">
      <c r="A11" s="13" t="s">
        <v>37</v>
      </c>
      <c r="B11" s="783"/>
      <c r="C11" s="783"/>
      <c r="D11" s="783"/>
      <c r="E11" s="783"/>
      <c r="F11" s="783"/>
      <c r="G11" s="783"/>
      <c r="H11" s="783"/>
    </row>
    <row r="12" spans="1:11" ht="5.0999999999999996" customHeight="1">
      <c r="A12" s="14"/>
      <c r="C12" s="204"/>
      <c r="D12" s="182"/>
      <c r="E12" s="3"/>
    </row>
    <row r="13" spans="1:11" ht="14.1" customHeight="1">
      <c r="A13" s="271" t="s">
        <v>108</v>
      </c>
      <c r="B13" s="272">
        <f>'- 3 -'!B11</f>
        <v>19623608</v>
      </c>
      <c r="C13" s="272">
        <v>275000</v>
      </c>
      <c r="D13" s="272">
        <v>0</v>
      </c>
      <c r="E13" s="272">
        <f>SUM(B13:D13)</f>
        <v>19898608</v>
      </c>
      <c r="F13" s="272">
        <f>'- 56 -'!D12</f>
        <v>598860</v>
      </c>
      <c r="G13" s="273">
        <f>F13/E13*100</f>
        <v>3.00955725144191</v>
      </c>
      <c r="H13" s="273">
        <v>4.1099999999999994</v>
      </c>
      <c r="I13" s="338">
        <v>3.0095572514419099E-2</v>
      </c>
      <c r="J13" s="329">
        <v>19898608</v>
      </c>
      <c r="K13" s="1">
        <f t="shared" ref="K13:K48" si="0">J13-E13</f>
        <v>0</v>
      </c>
    </row>
    <row r="14" spans="1:11" ht="14.1" customHeight="1">
      <c r="A14" s="15" t="s">
        <v>109</v>
      </c>
      <c r="B14" s="16">
        <f>'- 3 -'!B12</f>
        <v>35200567</v>
      </c>
      <c r="C14" s="16">
        <v>2037319</v>
      </c>
      <c r="D14" s="16">
        <v>-640068</v>
      </c>
      <c r="E14" s="16">
        <f t="shared" ref="E14:E48" si="1">SUM(B14:D14)</f>
        <v>36597818</v>
      </c>
      <c r="F14" s="16">
        <f>'- 56 -'!D13</f>
        <v>1309925</v>
      </c>
      <c r="G14" s="267">
        <f>F14/E14*100</f>
        <v>3.5792434401417044</v>
      </c>
      <c r="H14" s="267">
        <v>4.03</v>
      </c>
      <c r="I14" s="339">
        <v>3.5792434401417043E-2</v>
      </c>
      <c r="J14" s="330">
        <v>36597818</v>
      </c>
      <c r="K14" s="1">
        <f t="shared" si="0"/>
        <v>0</v>
      </c>
    </row>
    <row r="15" spans="1:11" ht="14.1" customHeight="1">
      <c r="A15" s="271" t="s">
        <v>110</v>
      </c>
      <c r="B15" s="272">
        <f>'- 3 -'!B13</f>
        <v>98107700</v>
      </c>
      <c r="C15" s="272">
        <v>588900</v>
      </c>
      <c r="D15" s="272">
        <v>0</v>
      </c>
      <c r="E15" s="272">
        <f t="shared" si="1"/>
        <v>98696600</v>
      </c>
      <c r="F15" s="272">
        <f>'- 56 -'!D14</f>
        <v>3119700</v>
      </c>
      <c r="G15" s="273">
        <f>F15/E15*100</f>
        <v>3.1608991596468372</v>
      </c>
      <c r="H15" s="273">
        <v>3.5000000000000004</v>
      </c>
      <c r="I15" s="338">
        <v>3.1608991596468371E-2</v>
      </c>
      <c r="J15" s="329">
        <v>98696600</v>
      </c>
      <c r="K15" s="1">
        <f t="shared" si="0"/>
        <v>0</v>
      </c>
    </row>
    <row r="16" spans="1:11" ht="14.1" customHeight="1">
      <c r="A16" s="15" t="s">
        <v>319</v>
      </c>
      <c r="B16" s="16"/>
      <c r="C16" s="16"/>
      <c r="D16" s="16"/>
      <c r="E16" s="16"/>
      <c r="F16" s="16"/>
      <c r="G16" s="334" t="s">
        <v>88</v>
      </c>
      <c r="H16" s="334" t="s">
        <v>88</v>
      </c>
      <c r="I16" s="340"/>
      <c r="J16" s="330"/>
      <c r="K16" s="1">
        <f t="shared" si="0"/>
        <v>0</v>
      </c>
    </row>
    <row r="17" spans="1:11" ht="14.1" customHeight="1">
      <c r="A17" s="271" t="s">
        <v>111</v>
      </c>
      <c r="B17" s="272">
        <f>'- 3 -'!B15</f>
        <v>20473054</v>
      </c>
      <c r="C17" s="272">
        <v>385934</v>
      </c>
      <c r="D17" s="272">
        <v>0</v>
      </c>
      <c r="E17" s="272">
        <f t="shared" si="1"/>
        <v>20858988</v>
      </c>
      <c r="F17" s="272">
        <f>'- 56 -'!D16</f>
        <v>831500</v>
      </c>
      <c r="G17" s="273">
        <f>F17/E17*100</f>
        <v>3.9862911853633554</v>
      </c>
      <c r="H17" s="273">
        <v>4.18</v>
      </c>
      <c r="I17" s="338">
        <v>3.9862911853633554E-2</v>
      </c>
      <c r="J17" s="329">
        <v>20858988</v>
      </c>
      <c r="K17" s="1">
        <f t="shared" si="0"/>
        <v>0</v>
      </c>
    </row>
    <row r="18" spans="1:11" ht="14.1" customHeight="1">
      <c r="A18" s="15" t="s">
        <v>112</v>
      </c>
      <c r="B18" s="16">
        <f>'- 3 -'!B16</f>
        <v>14618901</v>
      </c>
      <c r="C18" s="16">
        <v>20000</v>
      </c>
      <c r="D18" s="16">
        <v>-92300</v>
      </c>
      <c r="E18" s="16">
        <f t="shared" si="1"/>
        <v>14546601</v>
      </c>
      <c r="F18" s="16">
        <f>'- 56 -'!D17</f>
        <v>669453</v>
      </c>
      <c r="G18" s="267">
        <f>F18/E18*100</f>
        <v>4.6021266411308037</v>
      </c>
      <c r="H18" s="267">
        <v>5</v>
      </c>
      <c r="I18" s="339">
        <v>4.6021266411308041E-2</v>
      </c>
      <c r="J18" s="330">
        <v>14546601</v>
      </c>
      <c r="K18" s="1">
        <f t="shared" si="0"/>
        <v>0</v>
      </c>
    </row>
    <row r="19" spans="1:11" ht="14.1" customHeight="1">
      <c r="A19" s="271" t="s">
        <v>113</v>
      </c>
      <c r="B19" s="272">
        <f>'- 3 -'!B17</f>
        <v>18295233</v>
      </c>
      <c r="C19" s="272">
        <v>320000</v>
      </c>
      <c r="D19" s="272">
        <v>0</v>
      </c>
      <c r="E19" s="272">
        <f t="shared" si="1"/>
        <v>18615233</v>
      </c>
      <c r="F19" s="272">
        <f>'- 56 -'!D18</f>
        <v>769802</v>
      </c>
      <c r="G19" s="273">
        <f>F19/E19*100</f>
        <v>4.1353336807548953</v>
      </c>
      <c r="H19" s="273">
        <v>4.18</v>
      </c>
      <c r="I19" s="338">
        <v>4.1353336807548956E-2</v>
      </c>
      <c r="J19" s="329">
        <v>18615233</v>
      </c>
      <c r="K19" s="1">
        <f t="shared" si="0"/>
        <v>0</v>
      </c>
    </row>
    <row r="20" spans="1:11" ht="14.1" customHeight="1">
      <c r="A20" s="15" t="s">
        <v>114</v>
      </c>
      <c r="B20" s="16"/>
      <c r="C20" s="16"/>
      <c r="D20" s="16"/>
      <c r="E20" s="16"/>
      <c r="F20" s="16"/>
      <c r="G20" s="334" t="s">
        <v>88</v>
      </c>
      <c r="H20" s="334" t="s">
        <v>88</v>
      </c>
      <c r="I20" s="340"/>
      <c r="J20" s="330"/>
      <c r="K20" s="1">
        <f t="shared" si="0"/>
        <v>0</v>
      </c>
    </row>
    <row r="21" spans="1:11" ht="14.1" customHeight="1">
      <c r="A21" s="271" t="s">
        <v>115</v>
      </c>
      <c r="B21" s="272">
        <f>'- 3 -'!B19</f>
        <v>46895420</v>
      </c>
      <c r="C21" s="272">
        <v>881900</v>
      </c>
      <c r="D21" s="272">
        <v>0</v>
      </c>
      <c r="E21" s="272">
        <f t="shared" si="1"/>
        <v>47777320</v>
      </c>
      <c r="F21" s="272">
        <f>'- 56 -'!D20</f>
        <v>1502770</v>
      </c>
      <c r="G21" s="273">
        <f t="shared" ref="G21:G48" si="2">F21/E21*100</f>
        <v>3.1453626951030325</v>
      </c>
      <c r="H21" s="273">
        <v>3.65</v>
      </c>
      <c r="I21" s="338">
        <v>3.1453626951030322E-2</v>
      </c>
      <c r="J21" s="329">
        <v>47777320</v>
      </c>
      <c r="K21" s="1">
        <f t="shared" si="0"/>
        <v>0</v>
      </c>
    </row>
    <row r="22" spans="1:11" ht="14.1" customHeight="1">
      <c r="A22" s="15" t="s">
        <v>116</v>
      </c>
      <c r="B22" s="16">
        <f>'- 3 -'!B20</f>
        <v>83779300</v>
      </c>
      <c r="C22" s="16">
        <v>1858300</v>
      </c>
      <c r="D22" s="16">
        <v>0</v>
      </c>
      <c r="E22" s="16">
        <f t="shared" si="1"/>
        <v>85637600</v>
      </c>
      <c r="F22" s="16">
        <f>'- 56 -'!D21</f>
        <v>2239000</v>
      </c>
      <c r="G22" s="267">
        <f t="shared" si="2"/>
        <v>2.614505777835904</v>
      </c>
      <c r="H22" s="267">
        <v>3.5000000000000004</v>
      </c>
      <c r="I22" s="339">
        <v>2.614505777835904E-2</v>
      </c>
      <c r="J22" s="330">
        <v>85637600</v>
      </c>
      <c r="K22" s="1">
        <f t="shared" si="0"/>
        <v>0</v>
      </c>
    </row>
    <row r="23" spans="1:11" ht="14.1" customHeight="1">
      <c r="A23" s="271" t="s">
        <v>117</v>
      </c>
      <c r="B23" s="272">
        <f>'- 3 -'!B21</f>
        <v>36707000</v>
      </c>
      <c r="C23" s="272">
        <v>624000</v>
      </c>
      <c r="D23" s="272">
        <v>0</v>
      </c>
      <c r="E23" s="272">
        <f t="shared" si="1"/>
        <v>37331000</v>
      </c>
      <c r="F23" s="272">
        <f>'- 56 -'!D22</f>
        <v>1356000</v>
      </c>
      <c r="G23" s="273">
        <f t="shared" si="2"/>
        <v>3.6323698802603737</v>
      </c>
      <c r="H23" s="273">
        <v>3.93</v>
      </c>
      <c r="I23" s="338">
        <v>3.6323698802603735E-2</v>
      </c>
      <c r="J23" s="329">
        <v>37331000</v>
      </c>
      <c r="K23" s="1">
        <f t="shared" si="0"/>
        <v>0</v>
      </c>
    </row>
    <row r="24" spans="1:11" ht="14.1" customHeight="1">
      <c r="A24" s="15" t="s">
        <v>118</v>
      </c>
      <c r="B24" s="16">
        <f>'- 3 -'!B22</f>
        <v>20689762</v>
      </c>
      <c r="C24" s="16">
        <v>115000</v>
      </c>
      <c r="D24" s="16">
        <v>-608075</v>
      </c>
      <c r="E24" s="16">
        <f t="shared" si="1"/>
        <v>20196687</v>
      </c>
      <c r="F24" s="16">
        <f>'- 56 -'!D23</f>
        <v>889310</v>
      </c>
      <c r="G24" s="267">
        <f t="shared" si="2"/>
        <v>4.4032469285680369</v>
      </c>
      <c r="H24" s="267">
        <v>5</v>
      </c>
      <c r="I24" s="339">
        <v>4.4032469285680366E-2</v>
      </c>
      <c r="J24" s="330">
        <v>20196687</v>
      </c>
      <c r="K24" s="1">
        <f t="shared" si="0"/>
        <v>0</v>
      </c>
    </row>
    <row r="25" spans="1:11" ht="14.1" customHeight="1">
      <c r="A25" s="271" t="s">
        <v>119</v>
      </c>
      <c r="B25" s="272">
        <f>'- 3 -'!B23</f>
        <v>16828451</v>
      </c>
      <c r="C25" s="272">
        <v>200000</v>
      </c>
      <c r="D25" s="272">
        <v>-239300</v>
      </c>
      <c r="E25" s="272">
        <f t="shared" si="1"/>
        <v>16789151</v>
      </c>
      <c r="F25" s="272">
        <f>'- 56 -'!D24</f>
        <v>624150</v>
      </c>
      <c r="G25" s="273">
        <f t="shared" si="2"/>
        <v>3.7175792867667936</v>
      </c>
      <c r="H25" s="273">
        <v>4.2299999999999995</v>
      </c>
      <c r="I25" s="338">
        <v>3.7175792867667937E-2</v>
      </c>
      <c r="J25" s="329">
        <v>16789151</v>
      </c>
      <c r="K25" s="1">
        <f t="shared" si="0"/>
        <v>0</v>
      </c>
    </row>
    <row r="26" spans="1:11" ht="14.1" customHeight="1">
      <c r="A26" s="15" t="s">
        <v>120</v>
      </c>
      <c r="B26" s="16">
        <f>'- 3 -'!B24</f>
        <v>58285042</v>
      </c>
      <c r="C26" s="16">
        <v>483193</v>
      </c>
      <c r="D26" s="16">
        <v>-337880</v>
      </c>
      <c r="E26" s="16">
        <f t="shared" si="1"/>
        <v>58430355</v>
      </c>
      <c r="F26" s="16">
        <f>'- 56 -'!D25</f>
        <v>1997290</v>
      </c>
      <c r="G26" s="267">
        <f t="shared" si="2"/>
        <v>3.4182403991897701</v>
      </c>
      <c r="H26" s="267">
        <v>3.6999999999999997</v>
      </c>
      <c r="I26" s="339">
        <v>3.4182403991897703E-2</v>
      </c>
      <c r="J26" s="330">
        <v>58430355</v>
      </c>
      <c r="K26" s="1">
        <f t="shared" si="0"/>
        <v>0</v>
      </c>
    </row>
    <row r="27" spans="1:11" ht="14.1" customHeight="1">
      <c r="A27" s="271" t="s">
        <v>121</v>
      </c>
      <c r="B27" s="272">
        <f>'- 3 -'!B25</f>
        <v>175834757</v>
      </c>
      <c r="C27" s="272">
        <v>1376167</v>
      </c>
      <c r="D27" s="272">
        <v>-573667</v>
      </c>
      <c r="E27" s="272">
        <f t="shared" si="1"/>
        <v>176637257</v>
      </c>
      <c r="F27" s="272">
        <f>'- 56 -'!D26</f>
        <v>5093003</v>
      </c>
      <c r="G27" s="273">
        <f t="shared" si="2"/>
        <v>2.8833118711756263</v>
      </c>
      <c r="H27" s="273">
        <v>3.5000000000000004</v>
      </c>
      <c r="I27" s="338">
        <v>2.8833118711756263E-2</v>
      </c>
      <c r="J27" s="329">
        <v>176637257</v>
      </c>
      <c r="K27" s="1">
        <f t="shared" si="0"/>
        <v>0</v>
      </c>
    </row>
    <row r="28" spans="1:11" ht="14.1" customHeight="1">
      <c r="A28" s="15" t="s">
        <v>122</v>
      </c>
      <c r="B28" s="16">
        <f>'- 3 -'!B26</f>
        <v>40826697</v>
      </c>
      <c r="C28" s="16">
        <v>1010322</v>
      </c>
      <c r="D28" s="16">
        <v>0</v>
      </c>
      <c r="E28" s="16">
        <f t="shared" si="1"/>
        <v>41837019</v>
      </c>
      <c r="F28" s="16">
        <f>'- 56 -'!D27</f>
        <v>1401953</v>
      </c>
      <c r="G28" s="267">
        <f t="shared" si="2"/>
        <v>3.3509868377572505</v>
      </c>
      <c r="H28" s="267">
        <v>3.84</v>
      </c>
      <c r="I28" s="339">
        <v>3.3509868377572506E-2</v>
      </c>
      <c r="J28" s="330">
        <v>41837019</v>
      </c>
      <c r="K28" s="1">
        <f t="shared" si="0"/>
        <v>0</v>
      </c>
    </row>
    <row r="29" spans="1:11" ht="14.1" customHeight="1">
      <c r="A29" s="271" t="s">
        <v>123</v>
      </c>
      <c r="B29" s="272">
        <f>'- 3 -'!B27</f>
        <v>43776300</v>
      </c>
      <c r="C29" s="272">
        <v>60000</v>
      </c>
      <c r="D29" s="272">
        <v>0</v>
      </c>
      <c r="E29" s="272">
        <f t="shared" si="1"/>
        <v>43836300</v>
      </c>
      <c r="F29" s="272">
        <f>'- 56 -'!D28</f>
        <v>1892314</v>
      </c>
      <c r="G29" s="273">
        <f t="shared" si="2"/>
        <v>4.3167739978054716</v>
      </c>
      <c r="H29" s="273">
        <v>5</v>
      </c>
      <c r="I29" s="338">
        <v>4.3167739978054717E-2</v>
      </c>
      <c r="J29" s="329">
        <v>43836300</v>
      </c>
      <c r="K29" s="1">
        <f t="shared" si="0"/>
        <v>0</v>
      </c>
    </row>
    <row r="30" spans="1:11" ht="14.1" customHeight="1">
      <c r="A30" s="15" t="s">
        <v>124</v>
      </c>
      <c r="B30" s="16">
        <f>'- 3 -'!B28</f>
        <v>28821009</v>
      </c>
      <c r="C30" s="16">
        <v>220000</v>
      </c>
      <c r="D30" s="16">
        <v>-177634</v>
      </c>
      <c r="E30" s="16">
        <f t="shared" si="1"/>
        <v>28863375</v>
      </c>
      <c r="F30" s="16">
        <f>'- 56 -'!D29</f>
        <v>972349</v>
      </c>
      <c r="G30" s="267">
        <f t="shared" si="2"/>
        <v>3.3687986938464407</v>
      </c>
      <c r="H30" s="267">
        <v>4.07</v>
      </c>
      <c r="I30" s="339">
        <v>3.3687986938464407E-2</v>
      </c>
      <c r="J30" s="330">
        <v>28863375</v>
      </c>
      <c r="K30" s="1">
        <f t="shared" si="0"/>
        <v>0</v>
      </c>
    </row>
    <row r="31" spans="1:11" ht="14.1" customHeight="1">
      <c r="A31" s="271" t="s">
        <v>125</v>
      </c>
      <c r="B31" s="272">
        <f>'- 3 -'!B29</f>
        <v>160367597</v>
      </c>
      <c r="C31" s="272">
        <v>1699000</v>
      </c>
      <c r="D31" s="272">
        <v>0</v>
      </c>
      <c r="E31" s="272">
        <f t="shared" si="1"/>
        <v>162066597</v>
      </c>
      <c r="F31" s="272">
        <f>'- 56 -'!D30</f>
        <v>4629505</v>
      </c>
      <c r="G31" s="273">
        <f t="shared" si="2"/>
        <v>2.8565448313818793</v>
      </c>
      <c r="H31" s="273">
        <v>3.5000000000000004</v>
      </c>
      <c r="I31" s="338">
        <v>2.8565448313818794E-2</v>
      </c>
      <c r="J31" s="329">
        <v>162066597</v>
      </c>
      <c r="K31" s="1">
        <f t="shared" si="0"/>
        <v>0</v>
      </c>
    </row>
    <row r="32" spans="1:11" ht="14.1" customHeight="1">
      <c r="A32" s="15" t="s">
        <v>126</v>
      </c>
      <c r="B32" s="16">
        <f>'- 3 -'!B30</f>
        <v>14754395</v>
      </c>
      <c r="C32" s="16">
        <v>354313</v>
      </c>
      <c r="D32" s="16">
        <v>0</v>
      </c>
      <c r="E32" s="16">
        <f t="shared" si="1"/>
        <v>15108708</v>
      </c>
      <c r="F32" s="16">
        <f>'- 56 -'!D31</f>
        <v>509537</v>
      </c>
      <c r="G32" s="267">
        <f t="shared" si="2"/>
        <v>3.3724723517060489</v>
      </c>
      <c r="H32" s="267">
        <v>4.25</v>
      </c>
      <c r="I32" s="339">
        <v>3.372472351706049E-2</v>
      </c>
      <c r="J32" s="330">
        <v>15108708</v>
      </c>
      <c r="K32" s="1">
        <f t="shared" si="0"/>
        <v>0</v>
      </c>
    </row>
    <row r="33" spans="1:11" ht="14.1" customHeight="1">
      <c r="A33" s="271" t="s">
        <v>127</v>
      </c>
      <c r="B33" s="272">
        <f>'- 3 -'!B31</f>
        <v>37716076</v>
      </c>
      <c r="C33" s="272">
        <v>576000</v>
      </c>
      <c r="D33" s="272">
        <v>0</v>
      </c>
      <c r="E33" s="272">
        <f t="shared" si="1"/>
        <v>38292076</v>
      </c>
      <c r="F33" s="272">
        <f>'- 56 -'!D32</f>
        <v>1192795</v>
      </c>
      <c r="G33" s="273">
        <f t="shared" si="2"/>
        <v>3.1149917283147563</v>
      </c>
      <c r="H33" s="273">
        <v>3.83</v>
      </c>
      <c r="I33" s="338">
        <v>3.1149917283147564E-2</v>
      </c>
      <c r="J33" s="329">
        <v>38292076</v>
      </c>
      <c r="K33" s="1">
        <f t="shared" si="0"/>
        <v>0</v>
      </c>
    </row>
    <row r="34" spans="1:11" ht="14.1" customHeight="1">
      <c r="A34" s="15" t="s">
        <v>128</v>
      </c>
      <c r="B34" s="16">
        <f>'- 3 -'!B32</f>
        <v>30448882</v>
      </c>
      <c r="C34" s="16">
        <v>451100</v>
      </c>
      <c r="D34" s="16">
        <v>-286898</v>
      </c>
      <c r="E34" s="16">
        <f t="shared" si="1"/>
        <v>30613084</v>
      </c>
      <c r="F34" s="16">
        <f>'- 56 -'!D33</f>
        <v>1101662</v>
      </c>
      <c r="G34" s="267">
        <f t="shared" si="2"/>
        <v>3.5986638915569564</v>
      </c>
      <c r="H34" s="267">
        <v>4.03</v>
      </c>
      <c r="I34" s="339">
        <v>3.5986638915569566E-2</v>
      </c>
      <c r="J34" s="330">
        <v>30613084</v>
      </c>
      <c r="K34" s="1">
        <f t="shared" si="0"/>
        <v>0</v>
      </c>
    </row>
    <row r="35" spans="1:11" ht="14.1" customHeight="1">
      <c r="A35" s="271" t="s">
        <v>129</v>
      </c>
      <c r="B35" s="272">
        <f>'- 3 -'!B33</f>
        <v>28023650</v>
      </c>
      <c r="C35" s="272">
        <v>833893</v>
      </c>
      <c r="D35" s="272">
        <v>0</v>
      </c>
      <c r="E35" s="272">
        <f t="shared" si="1"/>
        <v>28857543</v>
      </c>
      <c r="F35" s="272">
        <f>'- 56 -'!D34</f>
        <v>901600</v>
      </c>
      <c r="G35" s="273">
        <f t="shared" si="2"/>
        <v>3.1243131128661927</v>
      </c>
      <c r="H35" s="273">
        <v>4.0599999999999996</v>
      </c>
      <c r="I35" s="338">
        <v>3.1243131128661925E-2</v>
      </c>
      <c r="J35" s="329">
        <v>28857543</v>
      </c>
      <c r="K35" s="1">
        <f t="shared" si="0"/>
        <v>0</v>
      </c>
    </row>
    <row r="36" spans="1:11" ht="14.1" customHeight="1">
      <c r="A36" s="15" t="s">
        <v>130</v>
      </c>
      <c r="B36" s="16">
        <f>'- 3 -'!B34</f>
        <v>29990775</v>
      </c>
      <c r="C36" s="16">
        <v>338103</v>
      </c>
      <c r="D36" s="16">
        <v>0</v>
      </c>
      <c r="E36" s="16">
        <f t="shared" si="1"/>
        <v>30328878</v>
      </c>
      <c r="F36" s="16">
        <f>'- 56 -'!D35</f>
        <v>1177917</v>
      </c>
      <c r="G36" s="267">
        <f t="shared" si="2"/>
        <v>3.8838133082272281</v>
      </c>
      <c r="H36" s="267">
        <v>4.0599999999999996</v>
      </c>
      <c r="I36" s="339">
        <v>3.8838133082272283E-2</v>
      </c>
      <c r="J36" s="330">
        <v>30328878</v>
      </c>
      <c r="K36" s="1">
        <f t="shared" si="0"/>
        <v>0</v>
      </c>
    </row>
    <row r="37" spans="1:11" ht="14.1" customHeight="1">
      <c r="A37" s="271" t="s">
        <v>131</v>
      </c>
      <c r="B37" s="272">
        <f>'- 3 -'!B35</f>
        <v>181091869</v>
      </c>
      <c r="C37" s="272">
        <v>1563000</v>
      </c>
      <c r="D37" s="272">
        <v>0</v>
      </c>
      <c r="E37" s="272">
        <f t="shared" si="1"/>
        <v>182654869</v>
      </c>
      <c r="F37" s="272">
        <f>'- 56 -'!D36</f>
        <v>4664425</v>
      </c>
      <c r="G37" s="273">
        <f t="shared" si="2"/>
        <v>2.5536822672928583</v>
      </c>
      <c r="H37" s="273">
        <v>3.5000000000000004</v>
      </c>
      <c r="I37" s="338">
        <v>2.5536822672928582E-2</v>
      </c>
      <c r="J37" s="329">
        <v>182654869</v>
      </c>
      <c r="K37" s="1">
        <f t="shared" si="0"/>
        <v>0</v>
      </c>
    </row>
    <row r="38" spans="1:11" ht="14.1" customHeight="1">
      <c r="A38" s="15" t="s">
        <v>132</v>
      </c>
      <c r="B38" s="16">
        <f>'- 3 -'!B36</f>
        <v>24015155</v>
      </c>
      <c r="C38" s="16">
        <v>50000</v>
      </c>
      <c r="D38" s="16">
        <v>0</v>
      </c>
      <c r="E38" s="16">
        <f t="shared" si="1"/>
        <v>24065155</v>
      </c>
      <c r="F38" s="16">
        <f>'- 56 -'!D37</f>
        <v>924025</v>
      </c>
      <c r="G38" s="267">
        <f t="shared" si="2"/>
        <v>3.8396802347626684</v>
      </c>
      <c r="H38" s="267">
        <v>4.1300000000000008</v>
      </c>
      <c r="I38" s="339">
        <v>3.8396802347626685E-2</v>
      </c>
      <c r="J38" s="330">
        <v>24065155</v>
      </c>
      <c r="K38" s="1">
        <f t="shared" si="0"/>
        <v>0</v>
      </c>
    </row>
    <row r="39" spans="1:11" ht="14.1" customHeight="1">
      <c r="A39" s="271" t="s">
        <v>133</v>
      </c>
      <c r="B39" s="272">
        <f>'- 3 -'!B37</f>
        <v>50504000</v>
      </c>
      <c r="C39" s="272">
        <v>833000</v>
      </c>
      <c r="D39" s="272">
        <v>0</v>
      </c>
      <c r="E39" s="272">
        <f t="shared" si="1"/>
        <v>51337000</v>
      </c>
      <c r="F39" s="272">
        <f>'- 56 -'!D38</f>
        <v>1644400</v>
      </c>
      <c r="G39" s="273">
        <f t="shared" si="2"/>
        <v>3.2031478271032587</v>
      </c>
      <c r="H39" s="273">
        <v>3.6700000000000004</v>
      </c>
      <c r="I39" s="338">
        <v>3.2031478271032587E-2</v>
      </c>
      <c r="J39" s="329">
        <v>51337000</v>
      </c>
      <c r="K39" s="1">
        <f t="shared" si="0"/>
        <v>0</v>
      </c>
    </row>
    <row r="40" spans="1:11" ht="14.1" customHeight="1">
      <c r="A40" s="15" t="s">
        <v>134</v>
      </c>
      <c r="B40" s="16">
        <f>'- 3 -'!B38</f>
        <v>137507425</v>
      </c>
      <c r="C40" s="16">
        <v>2172525</v>
      </c>
      <c r="D40" s="16">
        <v>-912240</v>
      </c>
      <c r="E40" s="16">
        <f t="shared" si="1"/>
        <v>138767710</v>
      </c>
      <c r="F40" s="16">
        <f>'- 56 -'!D39</f>
        <v>3809176</v>
      </c>
      <c r="G40" s="267">
        <f t="shared" si="2"/>
        <v>2.7450017010441403</v>
      </c>
      <c r="H40" s="267">
        <v>3.5000000000000004</v>
      </c>
      <c r="I40" s="339">
        <v>2.7450017010441405E-2</v>
      </c>
      <c r="J40" s="330">
        <v>138767710</v>
      </c>
      <c r="K40" s="1">
        <f t="shared" si="0"/>
        <v>0</v>
      </c>
    </row>
    <row r="41" spans="1:11" ht="14.1" customHeight="1">
      <c r="A41" s="271" t="s">
        <v>135</v>
      </c>
      <c r="B41" s="272">
        <f>'- 3 -'!B39</f>
        <v>23073679</v>
      </c>
      <c r="C41" s="272">
        <v>333500</v>
      </c>
      <c r="D41" s="272">
        <v>0</v>
      </c>
      <c r="E41" s="272">
        <f t="shared" si="1"/>
        <v>23407179</v>
      </c>
      <c r="F41" s="272">
        <f>'- 56 -'!D40</f>
        <v>894200</v>
      </c>
      <c r="G41" s="273">
        <f t="shared" si="2"/>
        <v>3.8201955049773404</v>
      </c>
      <c r="H41" s="273">
        <v>4.1500000000000004</v>
      </c>
      <c r="I41" s="338">
        <v>3.8201955049773403E-2</v>
      </c>
      <c r="J41" s="329">
        <v>23407179</v>
      </c>
      <c r="K41" s="1">
        <f t="shared" si="0"/>
        <v>0</v>
      </c>
    </row>
    <row r="42" spans="1:11" ht="14.1" customHeight="1">
      <c r="A42" s="15" t="s">
        <v>136</v>
      </c>
      <c r="B42" s="16">
        <f>'- 3 -'!B40</f>
        <v>105912508</v>
      </c>
      <c r="C42" s="16">
        <v>1189943</v>
      </c>
      <c r="D42" s="16">
        <v>0</v>
      </c>
      <c r="E42" s="16">
        <f t="shared" si="1"/>
        <v>107102451</v>
      </c>
      <c r="F42" s="16">
        <f>'- 56 -'!D41</f>
        <v>3262260</v>
      </c>
      <c r="G42" s="267">
        <f t="shared" si="2"/>
        <v>3.0459246913032834</v>
      </c>
      <c r="H42" s="267">
        <v>3.5000000000000004</v>
      </c>
      <c r="I42" s="339">
        <v>3.0459246913032832E-2</v>
      </c>
      <c r="J42" s="330">
        <v>107102451</v>
      </c>
      <c r="K42" s="1">
        <f t="shared" si="0"/>
        <v>0</v>
      </c>
    </row>
    <row r="43" spans="1:11" ht="14.1" customHeight="1">
      <c r="A43" s="271" t="s">
        <v>137</v>
      </c>
      <c r="B43" s="272">
        <f>'- 3 -'!B41</f>
        <v>64660580</v>
      </c>
      <c r="C43" s="272">
        <v>1429036</v>
      </c>
      <c r="D43" s="272">
        <v>-1001959</v>
      </c>
      <c r="E43" s="272">
        <f t="shared" si="1"/>
        <v>65087657</v>
      </c>
      <c r="F43" s="272">
        <f>'- 56 -'!D42</f>
        <v>2306558</v>
      </c>
      <c r="G43" s="273">
        <f t="shared" si="2"/>
        <v>3.5437717476909638</v>
      </c>
      <c r="H43" s="273">
        <v>3.61</v>
      </c>
      <c r="I43" s="338">
        <v>3.5437717476909637E-2</v>
      </c>
      <c r="J43" s="329">
        <v>65087657</v>
      </c>
      <c r="K43" s="1">
        <f t="shared" si="0"/>
        <v>0</v>
      </c>
    </row>
    <row r="44" spans="1:11" ht="14.1" customHeight="1">
      <c r="A44" s="15" t="s">
        <v>138</v>
      </c>
      <c r="B44" s="16">
        <f>'- 3 -'!B42</f>
        <v>21115770</v>
      </c>
      <c r="C44" s="16">
        <v>149331</v>
      </c>
      <c r="D44" s="16">
        <v>0</v>
      </c>
      <c r="E44" s="16">
        <f t="shared" si="1"/>
        <v>21265101</v>
      </c>
      <c r="F44" s="16">
        <f>'- 56 -'!D43</f>
        <v>821069</v>
      </c>
      <c r="G44" s="267">
        <f t="shared" si="2"/>
        <v>3.8611102764101615</v>
      </c>
      <c r="H44" s="267">
        <v>4.18</v>
      </c>
      <c r="I44" s="339">
        <v>3.8611102764101617E-2</v>
      </c>
      <c r="J44" s="330">
        <v>21265101</v>
      </c>
      <c r="K44" s="1">
        <f t="shared" si="0"/>
        <v>0</v>
      </c>
    </row>
    <row r="45" spans="1:11" ht="14.1" customHeight="1">
      <c r="A45" s="271" t="s">
        <v>139</v>
      </c>
      <c r="B45" s="272">
        <f>'- 3 -'!B43</f>
        <v>13374823</v>
      </c>
      <c r="C45" s="272">
        <v>206000</v>
      </c>
      <c r="D45" s="272">
        <v>-229524</v>
      </c>
      <c r="E45" s="272">
        <f t="shared" si="1"/>
        <v>13351299</v>
      </c>
      <c r="F45" s="272">
        <f>'- 56 -'!D44</f>
        <v>552469</v>
      </c>
      <c r="G45" s="273">
        <f t="shared" si="2"/>
        <v>4.137941933590132</v>
      </c>
      <c r="H45" s="273">
        <v>4.25</v>
      </c>
      <c r="I45" s="338">
        <v>4.1379419335901321E-2</v>
      </c>
      <c r="J45" s="329">
        <v>13351299</v>
      </c>
      <c r="K45" s="1">
        <f t="shared" si="0"/>
        <v>0</v>
      </c>
    </row>
    <row r="46" spans="1:11" ht="14.1" customHeight="1">
      <c r="A46" s="15" t="s">
        <v>140</v>
      </c>
      <c r="B46" s="16">
        <f>'- 3 -'!B44</f>
        <v>11412245</v>
      </c>
      <c r="C46" s="16">
        <v>0</v>
      </c>
      <c r="D46" s="16">
        <v>0</v>
      </c>
      <c r="E46" s="16">
        <f t="shared" si="1"/>
        <v>11412245</v>
      </c>
      <c r="F46" s="16">
        <f>'- 56 -'!D45</f>
        <v>406939</v>
      </c>
      <c r="G46" s="267">
        <f t="shared" si="2"/>
        <v>3.5658102327806667</v>
      </c>
      <c r="H46" s="267">
        <v>4.25</v>
      </c>
      <c r="I46" s="339">
        <v>3.5658102327806668E-2</v>
      </c>
      <c r="J46" s="330">
        <v>11412245</v>
      </c>
      <c r="K46" s="1">
        <f t="shared" si="0"/>
        <v>0</v>
      </c>
    </row>
    <row r="47" spans="1:11" ht="14.1" customHeight="1">
      <c r="A47" s="271" t="s">
        <v>141</v>
      </c>
      <c r="B47" s="272">
        <f>'- 3 -'!B45</f>
        <v>19861353</v>
      </c>
      <c r="C47" s="272">
        <v>305200</v>
      </c>
      <c r="D47" s="272">
        <v>-406633</v>
      </c>
      <c r="E47" s="272">
        <f>SUM(B47:D47)</f>
        <v>19759920</v>
      </c>
      <c r="F47" s="272">
        <f>'- 56 -'!D46</f>
        <v>763814</v>
      </c>
      <c r="G47" s="273">
        <f t="shared" si="2"/>
        <v>3.8654711152676735</v>
      </c>
      <c r="H47" s="273">
        <v>4.12</v>
      </c>
      <c r="I47" s="338">
        <v>3.8654711152676734E-2</v>
      </c>
      <c r="J47" s="329">
        <v>19759920</v>
      </c>
      <c r="K47" s="1">
        <f t="shared" si="0"/>
        <v>0</v>
      </c>
    </row>
    <row r="48" spans="1:11" ht="14.1" customHeight="1">
      <c r="A48" s="15" t="s">
        <v>142</v>
      </c>
      <c r="B48" s="16">
        <f>'- 3 -'!B46</f>
        <v>394256700</v>
      </c>
      <c r="C48" s="16">
        <v>1779700</v>
      </c>
      <c r="D48" s="16">
        <v>-756700</v>
      </c>
      <c r="E48" s="16">
        <f t="shared" si="1"/>
        <v>395279700</v>
      </c>
      <c r="F48" s="16">
        <f>'- 56 -'!D47</f>
        <v>11073600</v>
      </c>
      <c r="G48" s="267">
        <f t="shared" si="2"/>
        <v>2.8014593210832732</v>
      </c>
      <c r="H48" s="267">
        <v>3.5000000000000004</v>
      </c>
      <c r="I48" s="339">
        <v>2.8014593210832734E-2</v>
      </c>
      <c r="J48" s="330">
        <v>395279700</v>
      </c>
      <c r="K48" s="1">
        <f t="shared" si="0"/>
        <v>0</v>
      </c>
    </row>
    <row r="49" spans="1:11" ht="5.0999999999999996" customHeight="1">
      <c r="A49"/>
      <c r="B49"/>
      <c r="C49"/>
      <c r="D49"/>
      <c r="E49"/>
      <c r="F49"/>
      <c r="G49" s="506"/>
      <c r="H49"/>
      <c r="I49" s="341"/>
      <c r="J49" s="331"/>
    </row>
    <row r="50" spans="1:11" ht="14.45" customHeight="1">
      <c r="A50" s="274" t="s">
        <v>143</v>
      </c>
      <c r="B50" s="275">
        <f>SUM(B13:B48)</f>
        <v>2106850283</v>
      </c>
      <c r="C50" s="275">
        <f>SUM(C13:C48)</f>
        <v>24719679</v>
      </c>
      <c r="D50" s="275">
        <f>SUM(D13:D48)</f>
        <v>-6262878</v>
      </c>
      <c r="E50" s="275">
        <f>SUM(E13:E48)</f>
        <v>2125307084</v>
      </c>
      <c r="F50" s="275">
        <f>SUM(F13:F48)</f>
        <v>65903330</v>
      </c>
      <c r="G50" s="276">
        <f>F50/E50*100</f>
        <v>3.1008850672047163</v>
      </c>
      <c r="H50" s="507" t="s">
        <v>88</v>
      </c>
      <c r="I50" s="342"/>
      <c r="J50" s="343">
        <f>SUM(J13:J48)</f>
        <v>2125307084</v>
      </c>
      <c r="K50" s="1">
        <f>J50-E50</f>
        <v>0</v>
      </c>
    </row>
    <row r="51" spans="1:11" ht="5.0999999999999996" customHeight="1">
      <c r="A51" s="17" t="s">
        <v>1</v>
      </c>
      <c r="B51" s="18"/>
      <c r="C51" s="18"/>
      <c r="D51" s="18"/>
      <c r="E51" s="18"/>
      <c r="F51" s="18"/>
      <c r="G51" s="266"/>
      <c r="H51" s="266"/>
      <c r="I51" s="341"/>
      <c r="J51" s="333"/>
    </row>
    <row r="52" spans="1:11" ht="14.45" customHeight="1">
      <c r="A52" s="15" t="s">
        <v>144</v>
      </c>
      <c r="B52" s="16"/>
      <c r="C52" s="16"/>
      <c r="D52" s="16"/>
      <c r="E52" s="16"/>
      <c r="F52" s="16"/>
      <c r="G52" s="334" t="s">
        <v>88</v>
      </c>
      <c r="H52" s="334" t="s">
        <v>88</v>
      </c>
      <c r="I52" s="339">
        <v>4.8122033921758671E-2</v>
      </c>
      <c r="J52" s="330">
        <v>3468806</v>
      </c>
    </row>
    <row r="53" spans="1:11" ht="14.45" customHeight="1">
      <c r="A53" s="360" t="s">
        <v>523</v>
      </c>
      <c r="B53" s="272"/>
      <c r="C53" s="272"/>
      <c r="D53" s="272"/>
      <c r="E53" s="272"/>
      <c r="F53" s="272"/>
      <c r="G53" s="335" t="s">
        <v>88</v>
      </c>
      <c r="H53" s="335" t="s">
        <v>88</v>
      </c>
      <c r="I53" s="246"/>
      <c r="J53" s="240"/>
    </row>
    <row r="54" spans="1:11" ht="49.5" customHeight="1">
      <c r="A54" s="19"/>
      <c r="B54" s="19"/>
      <c r="C54" s="19"/>
      <c r="D54" s="19"/>
      <c r="E54" s="19"/>
      <c r="F54" s="19"/>
      <c r="G54" s="19"/>
      <c r="H54" s="19"/>
    </row>
    <row r="55" spans="1:11" ht="14.45" customHeight="1">
      <c r="A55" s="758" t="s">
        <v>506</v>
      </c>
      <c r="B55" s="758"/>
      <c r="C55" s="758"/>
      <c r="D55" s="758"/>
      <c r="E55" s="758"/>
      <c r="F55" s="758"/>
      <c r="G55" s="758"/>
      <c r="H55" s="758"/>
    </row>
    <row r="56" spans="1:11" ht="12" customHeight="1">
      <c r="A56" s="791"/>
      <c r="B56" s="791"/>
      <c r="C56" s="791"/>
      <c r="D56" s="791"/>
      <c r="E56" s="791"/>
      <c r="F56" s="791"/>
      <c r="G56" s="791"/>
      <c r="H56" s="791"/>
    </row>
    <row r="57" spans="1:11" ht="14.45" customHeight="1">
      <c r="A57" s="31"/>
      <c r="B57" s="31"/>
      <c r="C57" s="31"/>
      <c r="D57" s="31"/>
    </row>
    <row r="58" spans="1:11" ht="14.45" customHeight="1">
      <c r="A58" s="31"/>
      <c r="B58" s="31"/>
      <c r="C58" s="31"/>
      <c r="D58" s="31"/>
    </row>
    <row r="59" spans="1:11" ht="14.45" customHeight="1">
      <c r="A59" s="31"/>
      <c r="B59" s="31"/>
      <c r="C59" s="31"/>
      <c r="D59" s="31"/>
    </row>
    <row r="60" spans="1:11">
      <c r="A60" s="31"/>
    </row>
  </sheetData>
  <mergeCells count="9">
    <mergeCell ref="B4:H4"/>
    <mergeCell ref="A55:H56"/>
    <mergeCell ref="B8:B11"/>
    <mergeCell ref="C8:C11"/>
    <mergeCell ref="E9:E11"/>
    <mergeCell ref="F8:F11"/>
    <mergeCell ref="H6:H11"/>
    <mergeCell ref="G6:G11"/>
    <mergeCell ref="D7:D11"/>
  </mergeCells>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51.xml><?xml version="1.0" encoding="utf-8"?>
<worksheet xmlns="http://schemas.openxmlformats.org/spreadsheetml/2006/main" xmlns:r="http://schemas.openxmlformats.org/officeDocument/2006/relationships">
  <sheetPr transitionEvaluation="1" transitionEntry="1" codeName="Sheet39">
    <pageSetUpPr autoPageBreaks="0" fitToPage="1"/>
  </sheetPr>
  <dimension ref="A1:BB56"/>
  <sheetViews>
    <sheetView showGridLines="0" showZeros="0" defaultGridColor="0" colorId="22" workbookViewId="0"/>
  </sheetViews>
  <sheetFormatPr defaultColWidth="15.83203125" defaultRowHeight="12"/>
  <cols>
    <col min="1" max="1" width="26.1640625" style="378" bestFit="1" customWidth="1"/>
    <col min="2" max="2" width="15.83203125" style="395" customWidth="1"/>
    <col min="3" max="3" width="13.33203125" style="378" customWidth="1"/>
    <col min="4" max="4" width="13.1640625" style="378" customWidth="1"/>
    <col min="5" max="5" width="16" style="378" customWidth="1"/>
    <col min="6" max="6" width="15.33203125" style="378" customWidth="1"/>
    <col min="7" max="7" width="14.83203125" style="378" customWidth="1"/>
    <col min="8" max="8" width="10.5" style="378" customWidth="1"/>
    <col min="9" max="9" width="13" style="378" customWidth="1"/>
    <col min="10" max="16384" width="15.83203125" style="378"/>
  </cols>
  <sheetData>
    <row r="1" spans="1:54" ht="20.25">
      <c r="A1" s="376"/>
      <c r="B1" s="377"/>
    </row>
    <row r="2" spans="1:54" s="380" customFormat="1" ht="15.95" customHeight="1">
      <c r="A2" s="807" t="s">
        <v>552</v>
      </c>
      <c r="B2" s="808"/>
      <c r="C2" s="808"/>
      <c r="D2" s="808"/>
      <c r="E2" s="808"/>
      <c r="F2" s="808"/>
      <c r="G2" s="808"/>
      <c r="H2" s="808"/>
      <c r="I2" s="379"/>
      <c r="BA2" s="483" t="s">
        <v>512</v>
      </c>
      <c r="BB2" s="483" t="s">
        <v>513</v>
      </c>
    </row>
    <row r="3" spans="1:54" s="380" customFormat="1" ht="15.95" customHeight="1">
      <c r="A3" s="809" t="str">
        <f>IF(Lang=1,BA3,BB3)</f>
        <v>2016/2017 BUDGET</v>
      </c>
      <c r="B3" s="810"/>
      <c r="C3" s="810"/>
      <c r="D3" s="810"/>
      <c r="E3" s="810"/>
      <c r="F3" s="810"/>
      <c r="G3" s="810"/>
      <c r="H3" s="810"/>
      <c r="I3" s="381"/>
      <c r="BA3" s="483" t="str">
        <f>RIGHT(TEXT('- 57 -'!B2,"0"),16)</f>
        <v>2016/2017 BUDGET</v>
      </c>
      <c r="BB3" s="484" t="str">
        <f>"BUDGET "&amp;TEXT(YEAR,"0")&amp;" - "&amp;TEXT(YEAR+1,"0")</f>
        <v>BUDGET 2016 - 2017</v>
      </c>
    </row>
    <row r="4" spans="1:54">
      <c r="B4" s="382"/>
    </row>
    <row r="5" spans="1:54">
      <c r="B5" s="382"/>
    </row>
    <row r="6" spans="1:54">
      <c r="B6" s="378"/>
    </row>
    <row r="7" spans="1:54">
      <c r="B7" s="806"/>
      <c r="C7" s="806"/>
      <c r="D7" s="806"/>
      <c r="E7" s="806"/>
      <c r="F7" s="806"/>
      <c r="G7" s="806"/>
      <c r="H7" s="806"/>
    </row>
    <row r="8" spans="1:54" ht="36" customHeight="1">
      <c r="A8" s="383"/>
      <c r="B8" s="811" t="s">
        <v>301</v>
      </c>
      <c r="C8" s="802" t="s">
        <v>104</v>
      </c>
      <c r="D8" s="803"/>
      <c r="E8" s="812" t="s">
        <v>302</v>
      </c>
      <c r="F8" s="804" t="s">
        <v>303</v>
      </c>
      <c r="G8" s="804" t="s">
        <v>343</v>
      </c>
      <c r="H8" s="804" t="s">
        <v>304</v>
      </c>
      <c r="I8" s="804" t="s">
        <v>13</v>
      </c>
    </row>
    <row r="9" spans="1:54" ht="18.75" customHeight="1">
      <c r="A9" s="384" t="s">
        <v>265</v>
      </c>
      <c r="B9" s="805"/>
      <c r="C9" s="426" t="s">
        <v>344</v>
      </c>
      <c r="D9" s="426" t="s">
        <v>19</v>
      </c>
      <c r="E9" s="805"/>
      <c r="F9" s="805"/>
      <c r="G9" s="805"/>
      <c r="H9" s="805"/>
      <c r="I9" s="805"/>
    </row>
    <row r="10" spans="1:54" ht="3.95" customHeight="1">
      <c r="A10" s="385"/>
      <c r="B10" s="382"/>
    </row>
    <row r="11" spans="1:54">
      <c r="A11" s="386" t="s">
        <v>108</v>
      </c>
      <c r="B11" s="387">
        <v>11.55</v>
      </c>
      <c r="C11" s="387">
        <v>120.15</v>
      </c>
      <c r="D11" s="387">
        <v>52.8</v>
      </c>
      <c r="E11" s="387">
        <v>41.099999999999994</v>
      </c>
      <c r="F11" s="387">
        <v>9</v>
      </c>
      <c r="G11" s="387">
        <v>2</v>
      </c>
      <c r="H11" s="387">
        <v>2.25</v>
      </c>
      <c r="I11" s="387">
        <f t="shared" ref="I11:I46" si="0">SUM(B11:H11)</f>
        <v>238.85</v>
      </c>
    </row>
    <row r="12" spans="1:54">
      <c r="A12" s="388" t="s">
        <v>109</v>
      </c>
      <c r="B12" s="389">
        <v>20.25</v>
      </c>
      <c r="C12" s="389">
        <v>178.12</v>
      </c>
      <c r="D12" s="389">
        <v>103.18</v>
      </c>
      <c r="E12" s="389">
        <v>72.03</v>
      </c>
      <c r="F12" s="389">
        <v>24.75</v>
      </c>
      <c r="G12" s="389">
        <v>6.5</v>
      </c>
      <c r="H12" s="389">
        <v>5.61</v>
      </c>
      <c r="I12" s="389">
        <f t="shared" si="0"/>
        <v>410.44000000000005</v>
      </c>
    </row>
    <row r="13" spans="1:54">
      <c r="A13" s="386" t="s">
        <v>110</v>
      </c>
      <c r="B13" s="387">
        <v>47.75</v>
      </c>
      <c r="C13" s="387">
        <v>618.19000000000005</v>
      </c>
      <c r="D13" s="387">
        <v>290.06</v>
      </c>
      <c r="E13" s="387">
        <v>129.71</v>
      </c>
      <c r="F13" s="387">
        <v>50.35</v>
      </c>
      <c r="G13" s="387">
        <v>26</v>
      </c>
      <c r="H13" s="387">
        <v>8</v>
      </c>
      <c r="I13" s="387">
        <f t="shared" si="0"/>
        <v>1170.06</v>
      </c>
    </row>
    <row r="14" spans="1:54">
      <c r="A14" s="388" t="s">
        <v>319</v>
      </c>
      <c r="B14" s="389">
        <v>58.4</v>
      </c>
      <c r="C14" s="389">
        <v>412.15</v>
      </c>
      <c r="D14" s="389">
        <v>238.14999999999998</v>
      </c>
      <c r="E14" s="389">
        <v>66</v>
      </c>
      <c r="F14" s="389">
        <v>54.9</v>
      </c>
      <c r="G14" s="389">
        <v>13.6</v>
      </c>
      <c r="H14" s="389">
        <v>8</v>
      </c>
      <c r="I14" s="389">
        <f t="shared" si="0"/>
        <v>851.19999999999993</v>
      </c>
    </row>
    <row r="15" spans="1:54">
      <c r="A15" s="386" t="s">
        <v>111</v>
      </c>
      <c r="B15" s="387">
        <v>13.75</v>
      </c>
      <c r="C15" s="387">
        <v>98.190000000000012</v>
      </c>
      <c r="D15" s="387">
        <v>61.1</v>
      </c>
      <c r="E15" s="387">
        <v>36.450000000000003</v>
      </c>
      <c r="F15" s="387">
        <v>14.05</v>
      </c>
      <c r="G15" s="387">
        <v>2</v>
      </c>
      <c r="H15" s="387">
        <v>2</v>
      </c>
      <c r="I15" s="387">
        <f t="shared" si="0"/>
        <v>227.54000000000002</v>
      </c>
    </row>
    <row r="16" spans="1:54">
      <c r="A16" s="388" t="s">
        <v>112</v>
      </c>
      <c r="B16" s="389">
        <v>10.17</v>
      </c>
      <c r="C16" s="389">
        <v>71.55</v>
      </c>
      <c r="D16" s="389">
        <v>32.5</v>
      </c>
      <c r="E16" s="389">
        <v>25.33</v>
      </c>
      <c r="F16" s="389">
        <v>9.5</v>
      </c>
      <c r="G16" s="389">
        <v>2.7</v>
      </c>
      <c r="H16" s="389">
        <v>2</v>
      </c>
      <c r="I16" s="389">
        <f t="shared" si="0"/>
        <v>153.75</v>
      </c>
    </row>
    <row r="17" spans="1:9">
      <c r="A17" s="386" t="s">
        <v>266</v>
      </c>
      <c r="B17" s="387">
        <v>11</v>
      </c>
      <c r="C17" s="387">
        <v>98.11</v>
      </c>
      <c r="D17" s="387">
        <v>48.81</v>
      </c>
      <c r="E17" s="387">
        <v>49.8</v>
      </c>
      <c r="F17" s="387">
        <v>13.53</v>
      </c>
      <c r="G17" s="387">
        <v>3</v>
      </c>
      <c r="H17" s="387">
        <v>3</v>
      </c>
      <c r="I17" s="387">
        <f t="shared" si="0"/>
        <v>227.25000000000003</v>
      </c>
    </row>
    <row r="18" spans="1:9">
      <c r="A18" s="388" t="s">
        <v>267</v>
      </c>
      <c r="B18" s="389">
        <v>69.45</v>
      </c>
      <c r="C18" s="389">
        <v>476.96999999999997</v>
      </c>
      <c r="D18" s="389">
        <v>455.8</v>
      </c>
      <c r="E18" s="389">
        <v>287.64999999999998</v>
      </c>
      <c r="F18" s="389">
        <v>70.8</v>
      </c>
      <c r="G18" s="389">
        <v>14.08</v>
      </c>
      <c r="H18" s="389">
        <v>10</v>
      </c>
      <c r="I18" s="389">
        <f t="shared" si="0"/>
        <v>1384.7499999999998</v>
      </c>
    </row>
    <row r="19" spans="1:9">
      <c r="A19" s="386" t="s">
        <v>268</v>
      </c>
      <c r="B19" s="387">
        <v>21.5</v>
      </c>
      <c r="C19" s="387">
        <v>269.5</v>
      </c>
      <c r="D19" s="387">
        <v>158.14000000000001</v>
      </c>
      <c r="E19" s="387">
        <v>115.67</v>
      </c>
      <c r="F19" s="387">
        <v>19</v>
      </c>
      <c r="G19" s="387">
        <v>11</v>
      </c>
      <c r="H19" s="387">
        <v>9</v>
      </c>
      <c r="I19" s="387">
        <f t="shared" si="0"/>
        <v>603.80999999999995</v>
      </c>
    </row>
    <row r="20" spans="1:9">
      <c r="A20" s="388" t="s">
        <v>269</v>
      </c>
      <c r="B20" s="389">
        <v>43.165000000000006</v>
      </c>
      <c r="C20" s="389">
        <v>496.63499999999999</v>
      </c>
      <c r="D20" s="389">
        <v>174.89999999999998</v>
      </c>
      <c r="E20" s="389">
        <v>210.05</v>
      </c>
      <c r="F20" s="389">
        <v>69.994</v>
      </c>
      <c r="G20" s="389">
        <v>17.850000000000001</v>
      </c>
      <c r="H20" s="389">
        <v>11.33</v>
      </c>
      <c r="I20" s="389">
        <f t="shared" si="0"/>
        <v>1023.9240000000001</v>
      </c>
    </row>
    <row r="21" spans="1:9">
      <c r="A21" s="386" t="s">
        <v>270</v>
      </c>
      <c r="B21" s="387">
        <v>21.75</v>
      </c>
      <c r="C21" s="387">
        <v>216.33</v>
      </c>
      <c r="D21" s="387">
        <v>99.86</v>
      </c>
      <c r="E21" s="387">
        <v>72.03</v>
      </c>
      <c r="F21" s="387">
        <v>24.25</v>
      </c>
      <c r="G21" s="387">
        <v>7.5</v>
      </c>
      <c r="H21" s="387">
        <v>7</v>
      </c>
      <c r="I21" s="387">
        <f t="shared" si="0"/>
        <v>448.72</v>
      </c>
    </row>
    <row r="22" spans="1:9">
      <c r="A22" s="388" t="s">
        <v>271</v>
      </c>
      <c r="B22" s="389">
        <v>11.45</v>
      </c>
      <c r="C22" s="389">
        <v>121</v>
      </c>
      <c r="D22" s="389">
        <v>57</v>
      </c>
      <c r="E22" s="389">
        <v>29.6</v>
      </c>
      <c r="F22" s="389">
        <v>16.5</v>
      </c>
      <c r="G22" s="389">
        <v>3</v>
      </c>
      <c r="H22" s="389">
        <v>2.5</v>
      </c>
      <c r="I22" s="389">
        <f t="shared" si="0"/>
        <v>241.04999999999998</v>
      </c>
    </row>
    <row r="23" spans="1:9">
      <c r="A23" s="386" t="s">
        <v>272</v>
      </c>
      <c r="B23" s="387">
        <v>10.75</v>
      </c>
      <c r="C23" s="387">
        <v>91.75</v>
      </c>
      <c r="D23" s="387">
        <v>66</v>
      </c>
      <c r="E23" s="387">
        <v>36.700000000000003</v>
      </c>
      <c r="F23" s="387">
        <v>9.9500000000000011</v>
      </c>
      <c r="G23" s="387">
        <v>4</v>
      </c>
      <c r="H23" s="387">
        <v>2</v>
      </c>
      <c r="I23" s="387">
        <f t="shared" si="0"/>
        <v>221.14999999999998</v>
      </c>
    </row>
    <row r="24" spans="1:9">
      <c r="A24" s="388" t="s">
        <v>273</v>
      </c>
      <c r="B24" s="389">
        <v>31</v>
      </c>
      <c r="C24" s="389">
        <v>312.60000000000002</v>
      </c>
      <c r="D24" s="389">
        <v>181.63</v>
      </c>
      <c r="E24" s="389">
        <v>122.17</v>
      </c>
      <c r="F24" s="389">
        <v>32.5</v>
      </c>
      <c r="G24" s="389">
        <v>15.5</v>
      </c>
      <c r="H24" s="389">
        <v>9</v>
      </c>
      <c r="I24" s="389">
        <f t="shared" si="0"/>
        <v>704.4</v>
      </c>
    </row>
    <row r="25" spans="1:9">
      <c r="A25" s="386" t="s">
        <v>274</v>
      </c>
      <c r="B25" s="387">
        <v>83.5</v>
      </c>
      <c r="C25" s="387">
        <v>976.24</v>
      </c>
      <c r="D25" s="387">
        <v>514.71000000000015</v>
      </c>
      <c r="E25" s="387">
        <v>178.06</v>
      </c>
      <c r="F25" s="387">
        <v>115.5</v>
      </c>
      <c r="G25" s="387">
        <v>33.68</v>
      </c>
      <c r="H25" s="387">
        <v>17</v>
      </c>
      <c r="I25" s="387">
        <f t="shared" si="0"/>
        <v>1918.6900000000003</v>
      </c>
    </row>
    <row r="26" spans="1:9">
      <c r="A26" s="388" t="s">
        <v>275</v>
      </c>
      <c r="B26" s="389">
        <v>26</v>
      </c>
      <c r="C26" s="389">
        <v>216.9</v>
      </c>
      <c r="D26" s="389">
        <v>140.38999999999999</v>
      </c>
      <c r="E26" s="389">
        <v>112.50999999999999</v>
      </c>
      <c r="F26" s="389">
        <v>26.11</v>
      </c>
      <c r="G26" s="389">
        <v>7.1</v>
      </c>
      <c r="H26" s="389">
        <v>6</v>
      </c>
      <c r="I26" s="389">
        <f t="shared" si="0"/>
        <v>535.01</v>
      </c>
    </row>
    <row r="27" spans="1:9">
      <c r="A27" s="386" t="s">
        <v>276</v>
      </c>
      <c r="B27" s="387">
        <v>19.619999999999997</v>
      </c>
      <c r="C27" s="387">
        <v>235.56</v>
      </c>
      <c r="D27" s="387">
        <v>91</v>
      </c>
      <c r="E27" s="387">
        <v>38.6</v>
      </c>
      <c r="F27" s="387">
        <v>25</v>
      </c>
      <c r="G27" s="387">
        <v>8.879999999999999</v>
      </c>
      <c r="H27" s="387">
        <v>6</v>
      </c>
      <c r="I27" s="387">
        <f t="shared" si="0"/>
        <v>424.66</v>
      </c>
    </row>
    <row r="28" spans="1:9">
      <c r="A28" s="388" t="s">
        <v>277</v>
      </c>
      <c r="B28" s="389">
        <v>16.600000000000001</v>
      </c>
      <c r="C28" s="389">
        <v>160.44999999999999</v>
      </c>
      <c r="D28" s="389">
        <v>94.67</v>
      </c>
      <c r="E28" s="389">
        <v>57.65</v>
      </c>
      <c r="F28" s="389">
        <v>18.880000000000003</v>
      </c>
      <c r="G28" s="389">
        <v>4.2</v>
      </c>
      <c r="H28" s="389">
        <v>4.25</v>
      </c>
      <c r="I28" s="389">
        <f t="shared" si="0"/>
        <v>356.69999999999993</v>
      </c>
    </row>
    <row r="29" spans="1:9">
      <c r="A29" s="386" t="s">
        <v>278</v>
      </c>
      <c r="B29" s="387">
        <v>76.55</v>
      </c>
      <c r="C29" s="387">
        <v>867.17000000000007</v>
      </c>
      <c r="D29" s="387">
        <v>490.41999999999996</v>
      </c>
      <c r="E29" s="387">
        <v>182.99</v>
      </c>
      <c r="F29" s="387">
        <v>114.22999999999999</v>
      </c>
      <c r="G29" s="387">
        <v>28.35</v>
      </c>
      <c r="H29" s="387">
        <v>22.66</v>
      </c>
      <c r="I29" s="387">
        <f t="shared" si="0"/>
        <v>1782.37</v>
      </c>
    </row>
    <row r="30" spans="1:9">
      <c r="A30" s="388" t="s">
        <v>279</v>
      </c>
      <c r="B30" s="389">
        <v>11.349999999999998</v>
      </c>
      <c r="C30" s="389">
        <v>75.23</v>
      </c>
      <c r="D30" s="389">
        <v>41.16</v>
      </c>
      <c r="E30" s="389">
        <v>38.68</v>
      </c>
      <c r="F30" s="389">
        <v>10.66</v>
      </c>
      <c r="G30" s="389">
        <v>3.5</v>
      </c>
      <c r="H30" s="389">
        <v>2</v>
      </c>
      <c r="I30" s="389">
        <f t="shared" si="0"/>
        <v>182.57999999999998</v>
      </c>
    </row>
    <row r="31" spans="1:9">
      <c r="A31" s="386" t="s">
        <v>280</v>
      </c>
      <c r="B31" s="387">
        <v>20.71</v>
      </c>
      <c r="C31" s="387">
        <v>234.85</v>
      </c>
      <c r="D31" s="387">
        <v>130.15</v>
      </c>
      <c r="E31" s="387">
        <v>75.930000000000007</v>
      </c>
      <c r="F31" s="387">
        <v>20.12</v>
      </c>
      <c r="G31" s="387">
        <v>5</v>
      </c>
      <c r="H31" s="387">
        <v>6.14</v>
      </c>
      <c r="I31" s="387">
        <f t="shared" si="0"/>
        <v>492.90000000000003</v>
      </c>
    </row>
    <row r="32" spans="1:9">
      <c r="A32" s="388" t="s">
        <v>281</v>
      </c>
      <c r="B32" s="389">
        <v>16.100000000000001</v>
      </c>
      <c r="C32" s="389">
        <v>162.32599999999999</v>
      </c>
      <c r="D32" s="389">
        <v>100.67999999999999</v>
      </c>
      <c r="E32" s="389">
        <v>63.6</v>
      </c>
      <c r="F32" s="389">
        <v>19.11</v>
      </c>
      <c r="G32" s="389">
        <v>8.5</v>
      </c>
      <c r="H32" s="389">
        <v>5</v>
      </c>
      <c r="I32" s="389">
        <f t="shared" si="0"/>
        <v>375.31600000000003</v>
      </c>
    </row>
    <row r="33" spans="1:9">
      <c r="A33" s="386" t="s">
        <v>282</v>
      </c>
      <c r="B33" s="387">
        <v>18.97</v>
      </c>
      <c r="C33" s="387">
        <v>145.54000000000002</v>
      </c>
      <c r="D33" s="387">
        <v>96.78</v>
      </c>
      <c r="E33" s="387">
        <v>80.539999999999992</v>
      </c>
      <c r="F33" s="387">
        <v>19.519999999999996</v>
      </c>
      <c r="G33" s="387">
        <v>4.28</v>
      </c>
      <c r="H33" s="387">
        <v>5.5</v>
      </c>
      <c r="I33" s="387">
        <f t="shared" si="0"/>
        <v>371.13</v>
      </c>
    </row>
    <row r="34" spans="1:9">
      <c r="A34" s="388" t="s">
        <v>283</v>
      </c>
      <c r="B34" s="389">
        <v>16.25</v>
      </c>
      <c r="C34" s="389">
        <v>153.08000000000001</v>
      </c>
      <c r="D34" s="389">
        <v>79.819999999999993</v>
      </c>
      <c r="E34" s="389">
        <v>81.83</v>
      </c>
      <c r="F34" s="389">
        <v>17.330000000000002</v>
      </c>
      <c r="G34" s="389">
        <v>4.45</v>
      </c>
      <c r="H34" s="389">
        <v>5.15</v>
      </c>
      <c r="I34" s="389">
        <f t="shared" si="0"/>
        <v>357.90999999999997</v>
      </c>
    </row>
    <row r="35" spans="1:9">
      <c r="A35" s="386" t="s">
        <v>284</v>
      </c>
      <c r="B35" s="387">
        <v>89.79</v>
      </c>
      <c r="C35" s="387">
        <v>1062.47</v>
      </c>
      <c r="D35" s="387">
        <v>470.08</v>
      </c>
      <c r="E35" s="387">
        <v>275.52</v>
      </c>
      <c r="F35" s="387">
        <v>120.57</v>
      </c>
      <c r="G35" s="387">
        <v>28.37</v>
      </c>
      <c r="H35" s="387">
        <v>17</v>
      </c>
      <c r="I35" s="387">
        <f t="shared" si="0"/>
        <v>2063.7999999999997</v>
      </c>
    </row>
    <row r="36" spans="1:9">
      <c r="A36" s="388" t="s">
        <v>285</v>
      </c>
      <c r="B36" s="389">
        <v>14.38</v>
      </c>
      <c r="C36" s="389">
        <v>126.63</v>
      </c>
      <c r="D36" s="389">
        <v>78.125</v>
      </c>
      <c r="E36" s="389">
        <v>59.069999999999993</v>
      </c>
      <c r="F36" s="389">
        <v>15.705</v>
      </c>
      <c r="G36" s="389">
        <v>2.5</v>
      </c>
      <c r="H36" s="389">
        <v>3.4</v>
      </c>
      <c r="I36" s="389">
        <f t="shared" si="0"/>
        <v>299.80999999999995</v>
      </c>
    </row>
    <row r="37" spans="1:9">
      <c r="A37" s="386" t="s">
        <v>286</v>
      </c>
      <c r="B37" s="387">
        <v>28.38</v>
      </c>
      <c r="C37" s="387">
        <v>284.71000000000004</v>
      </c>
      <c r="D37" s="387">
        <v>141.94999999999999</v>
      </c>
      <c r="E37" s="387">
        <v>122.5</v>
      </c>
      <c r="F37" s="387">
        <v>30</v>
      </c>
      <c r="G37" s="387">
        <v>11.6</v>
      </c>
      <c r="H37" s="387">
        <v>5</v>
      </c>
      <c r="I37" s="387">
        <f t="shared" si="0"/>
        <v>624.14</v>
      </c>
    </row>
    <row r="38" spans="1:9">
      <c r="A38" s="388" t="s">
        <v>287</v>
      </c>
      <c r="B38" s="389">
        <v>70.5</v>
      </c>
      <c r="C38" s="389">
        <v>745.80000000000007</v>
      </c>
      <c r="D38" s="389">
        <v>323.90000000000003</v>
      </c>
      <c r="E38" s="389">
        <v>151.55000000000001</v>
      </c>
      <c r="F38" s="389">
        <v>76.75</v>
      </c>
      <c r="G38" s="389">
        <v>18.5</v>
      </c>
      <c r="H38" s="389">
        <v>9</v>
      </c>
      <c r="I38" s="389">
        <f t="shared" si="0"/>
        <v>1396</v>
      </c>
    </row>
    <row r="39" spans="1:9">
      <c r="A39" s="386" t="s">
        <v>288</v>
      </c>
      <c r="B39" s="387">
        <v>11.574999999999999</v>
      </c>
      <c r="C39" s="387">
        <v>119.724</v>
      </c>
      <c r="D39" s="387">
        <v>63.67</v>
      </c>
      <c r="E39" s="387">
        <v>59.28</v>
      </c>
      <c r="F39" s="387">
        <v>14.329999999999998</v>
      </c>
      <c r="G39" s="387">
        <v>2.99</v>
      </c>
      <c r="H39" s="387">
        <v>3.5</v>
      </c>
      <c r="I39" s="387">
        <f t="shared" si="0"/>
        <v>275.06900000000002</v>
      </c>
    </row>
    <row r="40" spans="1:9">
      <c r="A40" s="388" t="s">
        <v>289</v>
      </c>
      <c r="B40" s="389">
        <v>58.550000000000004</v>
      </c>
      <c r="C40" s="389">
        <v>569.16</v>
      </c>
      <c r="D40" s="389">
        <v>316.58000000000004</v>
      </c>
      <c r="E40" s="389">
        <v>102.70000000000002</v>
      </c>
      <c r="F40" s="389">
        <v>72.759999999999991</v>
      </c>
      <c r="G40" s="389">
        <v>26.68</v>
      </c>
      <c r="H40" s="389">
        <v>13</v>
      </c>
      <c r="I40" s="389">
        <f t="shared" si="0"/>
        <v>1159.43</v>
      </c>
    </row>
    <row r="41" spans="1:9">
      <c r="A41" s="386" t="s">
        <v>290</v>
      </c>
      <c r="B41" s="387">
        <v>30.260000000000005</v>
      </c>
      <c r="C41" s="387">
        <v>328.8</v>
      </c>
      <c r="D41" s="387">
        <v>145.25</v>
      </c>
      <c r="E41" s="387">
        <v>160.38</v>
      </c>
      <c r="F41" s="387">
        <v>41.15</v>
      </c>
      <c r="G41" s="387">
        <v>17.270000000000003</v>
      </c>
      <c r="H41" s="387">
        <v>6</v>
      </c>
      <c r="I41" s="387">
        <f t="shared" si="0"/>
        <v>729.11</v>
      </c>
    </row>
    <row r="42" spans="1:9">
      <c r="A42" s="388" t="s">
        <v>291</v>
      </c>
      <c r="B42" s="389">
        <v>11.81</v>
      </c>
      <c r="C42" s="389">
        <v>105.18</v>
      </c>
      <c r="D42" s="389">
        <v>66.259999999999991</v>
      </c>
      <c r="E42" s="389">
        <v>62.96</v>
      </c>
      <c r="F42" s="389">
        <v>18.68</v>
      </c>
      <c r="G42" s="389">
        <v>2</v>
      </c>
      <c r="H42" s="389">
        <v>5</v>
      </c>
      <c r="I42" s="389">
        <f t="shared" si="0"/>
        <v>271.89</v>
      </c>
    </row>
    <row r="43" spans="1:9">
      <c r="A43" s="386" t="s">
        <v>292</v>
      </c>
      <c r="B43" s="387">
        <v>6.71</v>
      </c>
      <c r="C43" s="387">
        <v>75.069999999999993</v>
      </c>
      <c r="D43" s="387">
        <v>38.369999999999997</v>
      </c>
      <c r="E43" s="387">
        <v>33.44</v>
      </c>
      <c r="F43" s="387">
        <v>6.7400000000000011</v>
      </c>
      <c r="G43" s="387">
        <v>3</v>
      </c>
      <c r="H43" s="387">
        <v>1.53</v>
      </c>
      <c r="I43" s="387">
        <f t="shared" si="0"/>
        <v>164.85999999999999</v>
      </c>
    </row>
    <row r="44" spans="1:9">
      <c r="A44" s="388" t="s">
        <v>293</v>
      </c>
      <c r="B44" s="389">
        <v>5.3</v>
      </c>
      <c r="C44" s="389">
        <v>58.81</v>
      </c>
      <c r="D44" s="389">
        <v>42</v>
      </c>
      <c r="E44" s="389">
        <v>37.480000000000004</v>
      </c>
      <c r="F44" s="389">
        <v>7.339999999999999</v>
      </c>
      <c r="G44" s="389">
        <v>1.6</v>
      </c>
      <c r="H44" s="389">
        <v>2</v>
      </c>
      <c r="I44" s="389">
        <f t="shared" si="0"/>
        <v>154.53</v>
      </c>
    </row>
    <row r="45" spans="1:9">
      <c r="A45" s="386" t="s">
        <v>294</v>
      </c>
      <c r="B45" s="387">
        <v>10</v>
      </c>
      <c r="C45" s="387">
        <v>115.53</v>
      </c>
      <c r="D45" s="387">
        <v>67.83</v>
      </c>
      <c r="E45" s="387">
        <v>34.230000000000004</v>
      </c>
      <c r="F45" s="387">
        <v>11.23</v>
      </c>
      <c r="G45" s="387">
        <v>2.8</v>
      </c>
      <c r="H45" s="387">
        <v>3</v>
      </c>
      <c r="I45" s="387">
        <f t="shared" si="0"/>
        <v>244.62000000000003</v>
      </c>
    </row>
    <row r="46" spans="1:9">
      <c r="A46" s="388" t="s">
        <v>295</v>
      </c>
      <c r="B46" s="389">
        <v>138.67000000000002</v>
      </c>
      <c r="C46" s="389">
        <v>2140.41</v>
      </c>
      <c r="D46" s="389">
        <v>1104.92</v>
      </c>
      <c r="E46" s="389">
        <v>689.03</v>
      </c>
      <c r="F46" s="389">
        <v>275.82</v>
      </c>
      <c r="G46" s="389">
        <v>87.58</v>
      </c>
      <c r="H46" s="389">
        <v>18</v>
      </c>
      <c r="I46" s="389">
        <f t="shared" si="0"/>
        <v>4454.4299999999994</v>
      </c>
    </row>
    <row r="47" spans="1:9" ht="6" customHeight="1">
      <c r="A47" s="388"/>
      <c r="B47" s="389"/>
      <c r="C47" s="389"/>
      <c r="D47" s="389"/>
      <c r="E47" s="389"/>
      <c r="F47" s="389"/>
      <c r="G47" s="389"/>
      <c r="H47" s="389"/>
      <c r="I47" s="389"/>
    </row>
    <row r="48" spans="1:9">
      <c r="A48" s="390" t="s">
        <v>224</v>
      </c>
      <c r="B48" s="391">
        <f t="shared" ref="B48:I48" si="1">SUM(B11:B46)</f>
        <v>1163.51</v>
      </c>
      <c r="C48" s="391">
        <f t="shared" si="1"/>
        <v>12540.884999999998</v>
      </c>
      <c r="D48" s="391">
        <f t="shared" si="1"/>
        <v>6658.6449999999995</v>
      </c>
      <c r="E48" s="391">
        <f t="shared" si="1"/>
        <v>3992.8200000000006</v>
      </c>
      <c r="F48" s="391">
        <f t="shared" si="1"/>
        <v>1496.6090000000002</v>
      </c>
      <c r="G48" s="391">
        <f t="shared" si="1"/>
        <v>441.56</v>
      </c>
      <c r="H48" s="391">
        <f t="shared" si="1"/>
        <v>247.82</v>
      </c>
      <c r="I48" s="391">
        <f t="shared" si="1"/>
        <v>26541.848999999998</v>
      </c>
    </row>
    <row r="49" spans="1:9" ht="6" customHeight="1">
      <c r="B49" s="392"/>
      <c r="C49" s="392"/>
      <c r="D49" s="392"/>
      <c r="E49" s="392"/>
      <c r="F49" s="392"/>
      <c r="G49" s="392"/>
      <c r="H49" s="392"/>
      <c r="I49" s="392"/>
    </row>
    <row r="50" spans="1:9">
      <c r="A50" s="388" t="s">
        <v>296</v>
      </c>
      <c r="B50" s="389">
        <v>2.75</v>
      </c>
      <c r="C50" s="389">
        <v>17.36</v>
      </c>
      <c r="D50" s="389">
        <v>5.62</v>
      </c>
      <c r="E50" s="389">
        <v>3.12</v>
      </c>
      <c r="F50" s="389">
        <v>3</v>
      </c>
      <c r="G50" s="389">
        <v>0.15</v>
      </c>
      <c r="H50" s="389">
        <v>0</v>
      </c>
      <c r="I50" s="389">
        <f>SUM(B50:H50)</f>
        <v>32</v>
      </c>
    </row>
    <row r="51" spans="1:9">
      <c r="A51" s="360" t="s">
        <v>523</v>
      </c>
      <c r="B51" s="387">
        <v>19.5</v>
      </c>
      <c r="C51" s="387">
        <v>39.6</v>
      </c>
      <c r="D51" s="387">
        <v>0</v>
      </c>
      <c r="E51" s="387">
        <v>35.5</v>
      </c>
      <c r="F51" s="387">
        <v>8.5</v>
      </c>
      <c r="G51" s="387">
        <v>0</v>
      </c>
      <c r="H51" s="387">
        <v>3</v>
      </c>
      <c r="I51" s="387">
        <f>SUM(B51:H51)</f>
        <v>106.1</v>
      </c>
    </row>
    <row r="52" spans="1:9" ht="49.5" customHeight="1">
      <c r="A52" s="393"/>
      <c r="B52" s="393"/>
      <c r="C52" s="394">
        <v>0</v>
      </c>
      <c r="D52" s="393"/>
      <c r="E52" s="393"/>
      <c r="F52" s="393"/>
      <c r="G52" s="393"/>
      <c r="H52" s="393"/>
      <c r="I52" s="393"/>
    </row>
    <row r="53" spans="1:9">
      <c r="A53" s="800" t="s">
        <v>511</v>
      </c>
      <c r="B53" s="800"/>
      <c r="C53" s="800"/>
      <c r="D53" s="800"/>
      <c r="E53" s="800"/>
      <c r="F53" s="800"/>
      <c r="G53" s="800"/>
      <c r="H53" s="800"/>
      <c r="I53" s="800"/>
    </row>
    <row r="54" spans="1:9">
      <c r="A54" s="801"/>
      <c r="B54" s="801"/>
      <c r="C54" s="801"/>
      <c r="D54" s="801"/>
      <c r="E54" s="801"/>
      <c r="F54" s="801"/>
      <c r="G54" s="801"/>
      <c r="H54" s="801"/>
      <c r="I54" s="801"/>
    </row>
    <row r="55" spans="1:9">
      <c r="A55" s="234" t="s">
        <v>355</v>
      </c>
      <c r="B55" s="378"/>
      <c r="C55" s="395"/>
    </row>
    <row r="56" spans="1:9">
      <c r="A56" s="234" t="s">
        <v>324</v>
      </c>
      <c r="B56" s="378"/>
      <c r="C56" s="395"/>
    </row>
  </sheetData>
  <mergeCells count="11">
    <mergeCell ref="A53:I54"/>
    <mergeCell ref="C8:D8"/>
    <mergeCell ref="I8:I9"/>
    <mergeCell ref="B7:H7"/>
    <mergeCell ref="A2:H2"/>
    <mergeCell ref="A3:H3"/>
    <mergeCell ref="B8:B9"/>
    <mergeCell ref="E8:E9"/>
    <mergeCell ref="F8:F9"/>
    <mergeCell ref="G8:G9"/>
    <mergeCell ref="H8:H9"/>
  </mergeCells>
  <phoneticPr fontId="21" type="noConversion"/>
  <printOptions horizontalCentered="1"/>
  <pageMargins left="0.51180000000000003" right="0.51180000000000003" top="0.59055118110236204" bottom="0" header="0.31496062992126" footer="0"/>
  <pageSetup orientation="portrait" r:id="rId1"/>
  <headerFooter alignWithMargins="0">
    <oddHeader>&amp;C&amp;"Arial,Bold"&amp;10&amp;A</oddHeader>
  </headerFooter>
</worksheet>
</file>

<file path=xl/worksheets/sheet52.xml><?xml version="1.0" encoding="utf-8"?>
<worksheet xmlns="http://schemas.openxmlformats.org/spreadsheetml/2006/main" xmlns:r="http://schemas.openxmlformats.org/officeDocument/2006/relationships">
  <sheetPr codeName="Sheet26"/>
  <dimension ref="A1:BB57"/>
  <sheetViews>
    <sheetView showGridLines="0" workbookViewId="0"/>
  </sheetViews>
  <sheetFormatPr defaultColWidth="19.83203125" defaultRowHeight="12"/>
  <cols>
    <col min="1" max="1" width="30.83203125" style="399" customWidth="1"/>
    <col min="2" max="2" width="17" style="399" customWidth="1"/>
    <col min="3" max="3" width="12" style="399" customWidth="1"/>
    <col min="4" max="4" width="16.83203125" style="399" customWidth="1"/>
    <col min="5" max="5" width="11.5" style="399" customWidth="1"/>
    <col min="6" max="6" width="13.33203125" style="399" customWidth="1"/>
    <col min="7" max="7" width="12.5" style="399" customWidth="1"/>
    <col min="8" max="8" width="19.83203125" style="399"/>
    <col min="9" max="9" width="19.83203125" style="420"/>
    <col min="10" max="16384" width="19.83203125" style="399"/>
  </cols>
  <sheetData>
    <row r="1" spans="1:54" ht="6.95" customHeight="1">
      <c r="A1" s="397"/>
      <c r="B1" s="398"/>
      <c r="C1" s="398"/>
    </row>
    <row r="2" spans="1:54" ht="15.95" customHeight="1">
      <c r="A2" s="400" t="str">
        <f>IF(Lang=1,BA2,BB2)</f>
        <v>DIRECT SUPPORT TO PUPILS</v>
      </c>
      <c r="B2" s="401"/>
      <c r="C2" s="401"/>
      <c r="D2" s="401"/>
      <c r="E2" s="401"/>
      <c r="F2" s="401"/>
      <c r="G2" s="401"/>
      <c r="BA2" s="487" t="s">
        <v>307</v>
      </c>
      <c r="BB2" s="487" t="s">
        <v>515</v>
      </c>
    </row>
    <row r="3" spans="1:54" ht="15.95" customHeight="1">
      <c r="A3" s="417" t="str">
        <f>+'- 60 -'!A3</f>
        <v>2015/16 AND 2016/17 BUDGET</v>
      </c>
      <c r="B3" s="402"/>
      <c r="C3" s="402"/>
      <c r="D3" s="402"/>
      <c r="E3" s="402"/>
      <c r="F3" s="402"/>
      <c r="G3" s="402"/>
    </row>
    <row r="4" spans="1:54" ht="15.95" customHeight="1">
      <c r="B4" s="398"/>
      <c r="C4" s="398"/>
    </row>
    <row r="5" spans="1:54" ht="12" customHeight="1">
      <c r="B5" s="398"/>
      <c r="C5" s="398"/>
    </row>
    <row r="6" spans="1:54" ht="15.75" customHeight="1">
      <c r="B6"/>
      <c r="C6"/>
      <c r="D6"/>
      <c r="E6"/>
      <c r="F6"/>
      <c r="G6"/>
    </row>
    <row r="7" spans="1:54">
      <c r="A7" s="520"/>
      <c r="B7" s="819" t="s">
        <v>600</v>
      </c>
      <c r="C7" s="820"/>
      <c r="D7" s="820"/>
      <c r="E7" s="821"/>
      <c r="F7" s="815" t="s">
        <v>599</v>
      </c>
      <c r="G7" s="816"/>
    </row>
    <row r="8" spans="1:54" ht="17.25" customHeight="1">
      <c r="A8" s="521"/>
      <c r="B8" s="822"/>
      <c r="C8" s="822"/>
      <c r="D8" s="822"/>
      <c r="E8" s="823"/>
      <c r="F8" s="817"/>
      <c r="G8" s="818"/>
    </row>
    <row r="9" spans="1:54" ht="25.5" customHeight="1">
      <c r="A9" s="403" t="s">
        <v>37</v>
      </c>
      <c r="B9" s="519" t="str">
        <f>+'- 60 -'!B9</f>
        <v>2015/16</v>
      </c>
      <c r="C9" s="486" t="s">
        <v>309</v>
      </c>
      <c r="D9" s="485" t="str">
        <f>+'- 60 -'!C9</f>
        <v>2016/17</v>
      </c>
      <c r="E9" s="486" t="s">
        <v>309</v>
      </c>
      <c r="F9" s="485" t="str">
        <f>+B9</f>
        <v>2015/16</v>
      </c>
      <c r="G9" s="485" t="str">
        <f>+D9</f>
        <v>2016/17</v>
      </c>
    </row>
    <row r="10" spans="1:54" ht="5.0999999999999996" customHeight="1">
      <c r="A10" s="404"/>
      <c r="B10" s="405"/>
      <c r="C10" s="405"/>
      <c r="D10" s="397"/>
      <c r="E10" s="397"/>
      <c r="F10" s="397"/>
    </row>
    <row r="11" spans="1:54" ht="14.1" customHeight="1">
      <c r="A11" s="406" t="s">
        <v>108</v>
      </c>
      <c r="B11" s="407">
        <v>14221880</v>
      </c>
      <c r="C11" s="408">
        <v>77.348399230316573</v>
      </c>
      <c r="D11" s="407">
        <v>15327978</v>
      </c>
      <c r="E11" s="408">
        <f>+D11/'- 3 -'!F11*100</f>
        <v>78.443670833344427</v>
      </c>
      <c r="F11" s="407">
        <v>8635.0212507589549</v>
      </c>
      <c r="G11" s="407">
        <f>+D11/'- 7 -'!E11</f>
        <v>8743.8551055333719</v>
      </c>
      <c r="I11" s="421" t="str">
        <f>IF(+D11-'- 15 -'!B11-'- 15 -'!E11-'- 16 -'!G11=0,"","Ckeck")</f>
        <v/>
      </c>
    </row>
    <row r="12" spans="1:54" ht="14.1" customHeight="1">
      <c r="A12" s="409" t="s">
        <v>109</v>
      </c>
      <c r="B12" s="410">
        <v>23809220</v>
      </c>
      <c r="C12" s="411">
        <v>75.832516060712834</v>
      </c>
      <c r="D12" s="410">
        <v>26328896</v>
      </c>
      <c r="E12" s="411">
        <f>+D12/'- 3 -'!F12*100</f>
        <v>76.931765908763978</v>
      </c>
      <c r="F12" s="410">
        <v>10977.049331489165</v>
      </c>
      <c r="G12" s="410">
        <f>+D12/'- 7 -'!E12</f>
        <v>12245.998139534884</v>
      </c>
      <c r="I12" s="421" t="str">
        <f>IF(+D12-'- 15 -'!B12-'- 15 -'!E12-'- 16 -'!G12=0,"","Ckeck")</f>
        <v/>
      </c>
    </row>
    <row r="13" spans="1:54" ht="14.1" customHeight="1">
      <c r="A13" s="406" t="s">
        <v>110</v>
      </c>
      <c r="B13" s="407">
        <v>77562200</v>
      </c>
      <c r="C13" s="408">
        <v>83.838881718756426</v>
      </c>
      <c r="D13" s="407">
        <v>81981200</v>
      </c>
      <c r="E13" s="408">
        <f>+D13/'- 3 -'!F13*100</f>
        <v>84.004533186325844</v>
      </c>
      <c r="F13" s="407">
        <v>9496.4432200795836</v>
      </c>
      <c r="G13" s="407">
        <f>+D13/'- 7 -'!E13</f>
        <v>9821.6365161135745</v>
      </c>
      <c r="I13" s="421" t="str">
        <f>IF(+D13-'- 15 -'!B13-'- 15 -'!E13-'- 16 -'!G13=0,"","Ckeck")</f>
        <v/>
      </c>
    </row>
    <row r="14" spans="1:54" ht="14.1" customHeight="1">
      <c r="A14" s="409" t="s">
        <v>319</v>
      </c>
      <c r="B14" s="410">
        <v>59779131</v>
      </c>
      <c r="C14" s="411">
        <v>73.614533527917587</v>
      </c>
      <c r="D14" s="410">
        <v>61962750</v>
      </c>
      <c r="E14" s="411">
        <f>+D14/'- 3 -'!F14*100</f>
        <v>73.285725036806525</v>
      </c>
      <c r="F14" s="410">
        <v>11230.345857599099</v>
      </c>
      <c r="G14" s="410">
        <f>+D14/'- 7 -'!E14</f>
        <v>11290.588556851311</v>
      </c>
      <c r="I14" s="421" t="str">
        <f>IF(+D14-'- 15 -'!B14-'- 15 -'!E14-'- 16 -'!G14=0,"","Ckeck")</f>
        <v/>
      </c>
    </row>
    <row r="15" spans="1:54" ht="14.1" customHeight="1">
      <c r="A15" s="406" t="s">
        <v>111</v>
      </c>
      <c r="B15" s="407">
        <v>14884077</v>
      </c>
      <c r="C15" s="408">
        <v>74.25321502435493</v>
      </c>
      <c r="D15" s="407">
        <v>14922354</v>
      </c>
      <c r="E15" s="408">
        <f>+D15/'- 3 -'!F15*100</f>
        <v>73.384220770221958</v>
      </c>
      <c r="F15" s="407">
        <v>10433.983175604626</v>
      </c>
      <c r="G15" s="407">
        <f>+D15/'- 7 -'!E15</f>
        <v>10896.205914567361</v>
      </c>
      <c r="I15" s="421" t="str">
        <f>IF(+D15-'- 15 -'!B15-'- 15 -'!E15-'- 16 -'!G15=0,"","Ckeck")</f>
        <v/>
      </c>
    </row>
    <row r="16" spans="1:54" ht="14.1" customHeight="1">
      <c r="A16" s="409" t="s">
        <v>112</v>
      </c>
      <c r="B16" s="410">
        <v>10449565</v>
      </c>
      <c r="C16" s="411">
        <v>74.838644388697873</v>
      </c>
      <c r="D16" s="410">
        <v>10857182</v>
      </c>
      <c r="E16" s="411">
        <f>+D16/'- 3 -'!F16*100</f>
        <v>74.793395062396016</v>
      </c>
      <c r="F16" s="410">
        <v>11128.397231096911</v>
      </c>
      <c r="G16" s="410">
        <f>+D16/'- 7 -'!E16</f>
        <v>11339.093472584856</v>
      </c>
      <c r="I16" s="421" t="str">
        <f>IF(+D16-'- 15 -'!B16-'- 15 -'!E16-'- 16 -'!G16=0,"","Ckeck")</f>
        <v/>
      </c>
    </row>
    <row r="17" spans="1:9" ht="14.1" customHeight="1">
      <c r="A17" s="406" t="s">
        <v>113</v>
      </c>
      <c r="B17" s="407">
        <v>12798750</v>
      </c>
      <c r="C17" s="408">
        <v>73.866549930728922</v>
      </c>
      <c r="D17" s="407">
        <v>13258014</v>
      </c>
      <c r="E17" s="408">
        <f>+D17/'- 3 -'!F17*100</f>
        <v>74.334201349709858</v>
      </c>
      <c r="F17" s="407">
        <v>9421.2366580787639</v>
      </c>
      <c r="G17" s="407">
        <f>+D17/'- 7 -'!E17</f>
        <v>9752.1250459727835</v>
      </c>
      <c r="I17" s="421" t="str">
        <f>IF(+D17-'- 15 -'!B17-'- 15 -'!E17-'- 16 -'!G17=0,"","Ckeck")</f>
        <v/>
      </c>
    </row>
    <row r="18" spans="1:9" ht="14.1" customHeight="1">
      <c r="A18" s="409" t="s">
        <v>114</v>
      </c>
      <c r="B18" s="410">
        <v>80698332</v>
      </c>
      <c r="C18" s="411">
        <v>65.366729634677725</v>
      </c>
      <c r="D18" s="410">
        <v>83612408</v>
      </c>
      <c r="E18" s="411">
        <f>+D18/'- 3 -'!F18*100</f>
        <v>65.64233243092707</v>
      </c>
      <c r="F18" s="410">
        <v>12887.813338443848</v>
      </c>
      <c r="G18" s="410">
        <f>+D18/'- 7 -'!E18</f>
        <v>13432.575265880538</v>
      </c>
      <c r="I18" s="421" t="str">
        <f>IF(+D18-'- 15 -'!B18-'- 15 -'!E18-'- 16 -'!G18=0,"","Ckeck")</f>
        <v/>
      </c>
    </row>
    <row r="19" spans="1:9" ht="14.1" customHeight="1">
      <c r="A19" s="406" t="s">
        <v>115</v>
      </c>
      <c r="B19" s="407">
        <v>35572100</v>
      </c>
      <c r="C19" s="408">
        <v>79.290294567118821</v>
      </c>
      <c r="D19" s="407">
        <v>36515100</v>
      </c>
      <c r="E19" s="408">
        <f>+D19/'- 3 -'!F19*100</f>
        <v>78.736349205048597</v>
      </c>
      <c r="F19" s="407">
        <v>8473.5826584087663</v>
      </c>
      <c r="G19" s="407">
        <f>+D19/'- 7 -'!E19</f>
        <v>8656.97012802276</v>
      </c>
      <c r="I19" s="421" t="str">
        <f>IF(+D19-'- 15 -'!B19-'- 15 -'!E19-'- 16 -'!G19=0,"","Ckeck")</f>
        <v/>
      </c>
    </row>
    <row r="20" spans="1:9" ht="14.1" customHeight="1">
      <c r="A20" s="409" t="s">
        <v>116</v>
      </c>
      <c r="B20" s="410">
        <v>61782000</v>
      </c>
      <c r="C20" s="411">
        <v>78.566968606021916</v>
      </c>
      <c r="D20" s="410">
        <v>64649100</v>
      </c>
      <c r="E20" s="411">
        <f>+D20/'- 3 -'!F20*100</f>
        <v>78.709056111268026</v>
      </c>
      <c r="F20" s="410">
        <v>8269.5756926783561</v>
      </c>
      <c r="G20" s="410">
        <f>+D20/'- 7 -'!E20</f>
        <v>8528.3424576215293</v>
      </c>
      <c r="I20" s="421" t="str">
        <f>IF(+D20-'- 15 -'!B20-'- 15 -'!E20-'- 16 -'!G20=0,"","Ckeck")</f>
        <v/>
      </c>
    </row>
    <row r="21" spans="1:9" ht="14.1" customHeight="1">
      <c r="A21" s="406" t="s">
        <v>117</v>
      </c>
      <c r="B21" s="407">
        <v>27460883</v>
      </c>
      <c r="C21" s="408">
        <v>77.943052481604568</v>
      </c>
      <c r="D21" s="407">
        <v>28310585</v>
      </c>
      <c r="E21" s="408">
        <f>+D21/'- 3 -'!F21*100</f>
        <v>78.390784801251897</v>
      </c>
      <c r="F21" s="407">
        <v>10182.010752688173</v>
      </c>
      <c r="G21" s="407">
        <f>+D21/'- 7 -'!E21</f>
        <v>10462.152623798966</v>
      </c>
      <c r="I21" s="421" t="str">
        <f>IF(+D21-'- 15 -'!B21-'- 15 -'!E21-'- 16 -'!G21=0,"","Ckeck")</f>
        <v/>
      </c>
    </row>
    <row r="22" spans="1:9" ht="14.1" customHeight="1">
      <c r="A22" s="409" t="s">
        <v>118</v>
      </c>
      <c r="B22" s="410">
        <v>15508131</v>
      </c>
      <c r="C22" s="411">
        <v>77.766804756572355</v>
      </c>
      <c r="D22" s="410">
        <v>15454240</v>
      </c>
      <c r="E22" s="411">
        <f>+D22/'- 3 -'!F22*100</f>
        <v>77.360485604460379</v>
      </c>
      <c r="F22" s="410">
        <v>9889.1282999617397</v>
      </c>
      <c r="G22" s="410">
        <f>+D22/'- 7 -'!E22</f>
        <v>9918.0079579001413</v>
      </c>
      <c r="I22" s="421" t="str">
        <f>IF(+D22-'- 15 -'!B22-'- 15 -'!E22-'- 16 -'!G22=0,"","Ckeck")</f>
        <v/>
      </c>
    </row>
    <row r="23" spans="1:9" ht="14.1" customHeight="1">
      <c r="A23" s="406" t="s">
        <v>119</v>
      </c>
      <c r="B23" s="407">
        <v>11986299</v>
      </c>
      <c r="C23" s="408">
        <v>74.97542217346863</v>
      </c>
      <c r="D23" s="407">
        <v>12213499</v>
      </c>
      <c r="E23" s="408">
        <f>+D23/'- 3 -'!F23*100</f>
        <v>75.090120755941498</v>
      </c>
      <c r="F23" s="407">
        <v>10759.693895870736</v>
      </c>
      <c r="G23" s="407">
        <f>+D23/'- 7 -'!E23</f>
        <v>10963.643626570916</v>
      </c>
      <c r="I23" s="421" t="str">
        <f>IF(+D23-'- 15 -'!B23-'- 15 -'!E23-'- 16 -'!G23=0,"","Ckeck")</f>
        <v/>
      </c>
    </row>
    <row r="24" spans="1:9" ht="14.1" customHeight="1">
      <c r="A24" s="409" t="s">
        <v>120</v>
      </c>
      <c r="B24" s="410">
        <v>43339930</v>
      </c>
      <c r="C24" s="411">
        <v>78.614820586414183</v>
      </c>
      <c r="D24" s="410">
        <v>44959097</v>
      </c>
      <c r="E24" s="411">
        <f>+D24/'- 3 -'!F24*100</f>
        <v>78.444881688836361</v>
      </c>
      <c r="F24" s="410">
        <v>10901.755753993208</v>
      </c>
      <c r="G24" s="410">
        <f>+D24/'- 7 -'!E24</f>
        <v>11380.609289963295</v>
      </c>
      <c r="I24" s="421" t="str">
        <f>IF(+D24-'- 15 -'!B24-'- 15 -'!E24-'- 16 -'!G24=0,"","Ckeck")</f>
        <v/>
      </c>
    </row>
    <row r="25" spans="1:9" ht="14.1" customHeight="1">
      <c r="A25" s="406" t="s">
        <v>121</v>
      </c>
      <c r="B25" s="407">
        <v>135974647</v>
      </c>
      <c r="C25" s="408">
        <v>81.971460860254481</v>
      </c>
      <c r="D25" s="407">
        <v>141206909</v>
      </c>
      <c r="E25" s="408">
        <f>+D25/'- 3 -'!F25*100</f>
        <v>81.98257718595498</v>
      </c>
      <c r="F25" s="407">
        <v>9722.5445640127273</v>
      </c>
      <c r="G25" s="407">
        <f>+D25/'- 7 -'!E25</f>
        <v>9888.0927838661119</v>
      </c>
      <c r="I25" s="421" t="str">
        <f>IF(+D25-'- 15 -'!B25-'- 15 -'!E25-'- 16 -'!G25=0,"","Ckeck")</f>
        <v/>
      </c>
    </row>
    <row r="26" spans="1:9" ht="14.1" customHeight="1">
      <c r="A26" s="409" t="s">
        <v>122</v>
      </c>
      <c r="B26" s="410">
        <v>29553304</v>
      </c>
      <c r="C26" s="411">
        <v>74.303741156014837</v>
      </c>
      <c r="D26" s="410">
        <v>30212168</v>
      </c>
      <c r="E26" s="411">
        <f>+D26/'- 3 -'!F26*100</f>
        <v>74.210043369108391</v>
      </c>
      <c r="F26" s="410">
        <v>9510.3150442477872</v>
      </c>
      <c r="G26" s="410">
        <f>+D26/'- 7 -'!E26</f>
        <v>9560.5101104395435</v>
      </c>
      <c r="I26" s="421" t="str">
        <f>IF(+D26-'- 15 -'!B26-'- 15 -'!E26-'- 16 -'!G26=0,"","Ckeck")</f>
        <v/>
      </c>
    </row>
    <row r="27" spans="1:9" ht="14.1" customHeight="1">
      <c r="A27" s="406" t="s">
        <v>123</v>
      </c>
      <c r="B27" s="407">
        <v>34918154</v>
      </c>
      <c r="C27" s="408">
        <v>81.464502159553348</v>
      </c>
      <c r="D27" s="407">
        <v>35365446</v>
      </c>
      <c r="E27" s="408">
        <f>+D27/'- 3 -'!F27*100</f>
        <v>80.905062875011907</v>
      </c>
      <c r="F27" s="407">
        <v>12207.620327131977</v>
      </c>
      <c r="G27" s="407">
        <f>+D27/'- 7 -'!E27</f>
        <v>12153.01456546605</v>
      </c>
      <c r="I27" s="421" t="str">
        <f>IF(+D27-'- 15 -'!B27-'- 15 -'!E27-'- 16 -'!G27=0,"","Ckeck")</f>
        <v/>
      </c>
    </row>
    <row r="28" spans="1:9" ht="14.1" customHeight="1">
      <c r="A28" s="409" t="s">
        <v>124</v>
      </c>
      <c r="B28" s="410">
        <v>20837209</v>
      </c>
      <c r="C28" s="411">
        <v>75.065474939903552</v>
      </c>
      <c r="D28" s="410">
        <v>21381905</v>
      </c>
      <c r="E28" s="411">
        <f>+D28/'- 3 -'!F28*100</f>
        <v>75.189642645763044</v>
      </c>
      <c r="F28" s="410">
        <v>10574.579548337986</v>
      </c>
      <c r="G28" s="410">
        <f>+D28/'- 7 -'!E28</f>
        <v>10990.442045746595</v>
      </c>
      <c r="I28" s="421" t="str">
        <f>IF(+D28-'- 15 -'!B28-'- 15 -'!E28-'- 16 -'!G28=0,"","Ckeck")</f>
        <v/>
      </c>
    </row>
    <row r="29" spans="1:9" ht="14.1" customHeight="1">
      <c r="A29" s="406" t="s">
        <v>125</v>
      </c>
      <c r="B29" s="407">
        <v>122316985</v>
      </c>
      <c r="C29" s="408">
        <v>79.333491571834585</v>
      </c>
      <c r="D29" s="407">
        <v>126534990</v>
      </c>
      <c r="E29" s="408">
        <f>+D29/'- 3 -'!F29*100</f>
        <v>80.193290085844126</v>
      </c>
      <c r="F29" s="407">
        <v>9909.0234121840567</v>
      </c>
      <c r="G29" s="407">
        <f>+D29/'- 7 -'!E29</f>
        <v>9979.8872150800544</v>
      </c>
      <c r="I29" s="421" t="str">
        <f>IF(+D29-'- 15 -'!B29-'- 15 -'!E29-'- 16 -'!G29=0,"","Ckeck")</f>
        <v/>
      </c>
    </row>
    <row r="30" spans="1:9" ht="14.1" customHeight="1">
      <c r="A30" s="409" t="s">
        <v>126</v>
      </c>
      <c r="B30" s="410">
        <v>10572402</v>
      </c>
      <c r="C30" s="411">
        <v>75.626534719643089</v>
      </c>
      <c r="D30" s="410">
        <v>11038107</v>
      </c>
      <c r="E30" s="411">
        <f>+D30/'- 3 -'!F30*100</f>
        <v>75.094639554666841</v>
      </c>
      <c r="F30" s="410">
        <v>10304.485380116959</v>
      </c>
      <c r="G30" s="410">
        <f>+D30/'- 7 -'!E30</f>
        <v>10994.130478087649</v>
      </c>
      <c r="I30" s="421" t="str">
        <f>IF(+D30-'- 15 -'!B30-'- 15 -'!E30-'- 16 -'!G30=0,"","Ckeck")</f>
        <v/>
      </c>
    </row>
    <row r="31" spans="1:9" ht="14.1" customHeight="1">
      <c r="A31" s="406" t="s">
        <v>127</v>
      </c>
      <c r="B31" s="407">
        <v>29180983</v>
      </c>
      <c r="C31" s="408">
        <v>80.708517813938229</v>
      </c>
      <c r="D31" s="407">
        <v>30102369</v>
      </c>
      <c r="E31" s="408">
        <f>+D31/'- 3 -'!F31*100</f>
        <v>80.014545552749482</v>
      </c>
      <c r="F31" s="407">
        <v>9141.9119674185458</v>
      </c>
      <c r="G31" s="407">
        <f>+D31/'- 7 -'!E31</f>
        <v>9348.5618012422365</v>
      </c>
      <c r="I31" s="421" t="str">
        <f>IF(+D31-'- 15 -'!B31-'- 15 -'!E31-'- 16 -'!G31=0,"","Ckeck")</f>
        <v/>
      </c>
    </row>
    <row r="32" spans="1:9" ht="14.1" customHeight="1">
      <c r="A32" s="409" t="s">
        <v>128</v>
      </c>
      <c r="B32" s="410">
        <v>21267019</v>
      </c>
      <c r="C32" s="411">
        <v>74.732622993949889</v>
      </c>
      <c r="D32" s="410">
        <v>22901988</v>
      </c>
      <c r="E32" s="411">
        <f>+D32/'- 3 -'!F32*100</f>
        <v>76.460477003853484</v>
      </c>
      <c r="F32" s="410">
        <v>10041.322505252721</v>
      </c>
      <c r="G32" s="410">
        <f>+D32/'- 7 -'!E32</f>
        <v>10500.682255845943</v>
      </c>
      <c r="I32" s="421" t="str">
        <f>IF(+D32-'- 15 -'!B32-'- 15 -'!E32-'- 16 -'!G32=0,"","Ckeck")</f>
        <v/>
      </c>
    </row>
    <row r="33" spans="1:9" ht="14.1" customHeight="1">
      <c r="A33" s="406" t="s">
        <v>129</v>
      </c>
      <c r="B33" s="407">
        <v>20242000</v>
      </c>
      <c r="C33" s="408">
        <v>74.299473641709298</v>
      </c>
      <c r="D33" s="407">
        <v>20771750</v>
      </c>
      <c r="E33" s="408">
        <f>+D33/'- 3 -'!F33*100</f>
        <v>74.452985126787013</v>
      </c>
      <c r="F33" s="407">
        <v>10236.156763590392</v>
      </c>
      <c r="G33" s="407">
        <f>+D33/'- 7 -'!E33</f>
        <v>10313.67924528302</v>
      </c>
      <c r="I33" s="421" t="str">
        <f>IF(+D33-'- 15 -'!B33-'- 15 -'!E33-'- 16 -'!G33=0,"","Ckeck")</f>
        <v/>
      </c>
    </row>
    <row r="34" spans="1:9" ht="14.1" customHeight="1">
      <c r="A34" s="409" t="s">
        <v>130</v>
      </c>
      <c r="B34" s="410">
        <v>20490135</v>
      </c>
      <c r="C34" s="411">
        <v>74.213800691513043</v>
      </c>
      <c r="D34" s="410">
        <v>21829150</v>
      </c>
      <c r="E34" s="411">
        <f>+D34/'- 3 -'!F34*100</f>
        <v>74.023553835242524</v>
      </c>
      <c r="F34" s="410">
        <v>10375.802612922827</v>
      </c>
      <c r="G34" s="410">
        <f>+D34/'- 7 -'!E34</f>
        <v>10952.910185649775</v>
      </c>
      <c r="I34" s="421" t="str">
        <f>IF(+D34-'- 15 -'!B34-'- 15 -'!E34-'- 16 -'!G34=0,"","Ckeck")</f>
        <v/>
      </c>
    </row>
    <row r="35" spans="1:9" ht="14.1" customHeight="1">
      <c r="A35" s="406" t="s">
        <v>131</v>
      </c>
      <c r="B35" s="407">
        <v>142366176</v>
      </c>
      <c r="C35" s="408">
        <v>81.08859692032992</v>
      </c>
      <c r="D35" s="407">
        <v>146481359</v>
      </c>
      <c r="E35" s="408">
        <f>+D35/'- 3 -'!F35*100</f>
        <v>81.164898198313892</v>
      </c>
      <c r="F35" s="407">
        <v>9113.7683887075091</v>
      </c>
      <c r="G35" s="407">
        <f>+D35/'- 7 -'!E35</f>
        <v>9477.3135998964808</v>
      </c>
      <c r="I35" s="421" t="str">
        <f>IF(+D35-'- 15 -'!B35-'- 15 -'!E35-'- 16 -'!G35=0,"","Ckeck")</f>
        <v/>
      </c>
    </row>
    <row r="36" spans="1:9" ht="14.1" customHeight="1">
      <c r="A36" s="409" t="s">
        <v>132</v>
      </c>
      <c r="B36" s="410">
        <v>17228340</v>
      </c>
      <c r="C36" s="411">
        <v>75.091285237300212</v>
      </c>
      <c r="D36" s="410">
        <v>17660180</v>
      </c>
      <c r="E36" s="411">
        <f>+D36/'- 3 -'!F36*100</f>
        <v>74.812060970784628</v>
      </c>
      <c r="F36" s="410">
        <v>10270.247391952311</v>
      </c>
      <c r="G36" s="410">
        <f>+D36/'- 7 -'!E36</f>
        <v>10654.708898944193</v>
      </c>
      <c r="I36" s="421" t="str">
        <f>IF(+D36-'- 15 -'!B36-'- 15 -'!E36-'- 16 -'!G36=0,"","Ckeck")</f>
        <v/>
      </c>
    </row>
    <row r="37" spans="1:9" ht="14.1" customHeight="1">
      <c r="A37" s="406" t="s">
        <v>133</v>
      </c>
      <c r="B37" s="407">
        <v>36206529</v>
      </c>
      <c r="C37" s="408">
        <v>77.91021416904988</v>
      </c>
      <c r="D37" s="407">
        <v>38953868</v>
      </c>
      <c r="E37" s="408">
        <f>+D37/'- 3 -'!F37*100</f>
        <v>78.494727421127948</v>
      </c>
      <c r="F37" s="407">
        <v>9169.6920349499815</v>
      </c>
      <c r="G37" s="407">
        <f>+D37/'- 7 -'!E37</f>
        <v>9492.8397709272576</v>
      </c>
      <c r="I37" s="421" t="str">
        <f>IF(+D37-'- 15 -'!B37-'- 15 -'!E37-'- 16 -'!G37=0,"","Ckeck")</f>
        <v/>
      </c>
    </row>
    <row r="38" spans="1:9" ht="14.1" customHeight="1">
      <c r="A38" s="409" t="s">
        <v>134</v>
      </c>
      <c r="B38" s="410">
        <v>103609740</v>
      </c>
      <c r="C38" s="411">
        <v>81.960382082366593</v>
      </c>
      <c r="D38" s="410">
        <v>109528359</v>
      </c>
      <c r="E38" s="411">
        <f>+D38/'- 3 -'!F38*100</f>
        <v>82.209651863966471</v>
      </c>
      <c r="F38" s="410">
        <v>9633.6345885634582</v>
      </c>
      <c r="G38" s="410">
        <f>+D38/'- 7 -'!E38</f>
        <v>9950.7912237666933</v>
      </c>
      <c r="I38" s="421" t="str">
        <f>IF(+D38-'- 15 -'!B38-'- 15 -'!E38-'- 16 -'!G38=0,"","Ckeck")</f>
        <v/>
      </c>
    </row>
    <row r="39" spans="1:9" ht="14.1" customHeight="1">
      <c r="A39" s="406" t="s">
        <v>135</v>
      </c>
      <c r="B39" s="407">
        <v>15894140</v>
      </c>
      <c r="C39" s="408">
        <v>72.963856262377448</v>
      </c>
      <c r="D39" s="407">
        <v>16725910</v>
      </c>
      <c r="E39" s="408">
        <f>+D39/'- 3 -'!F39*100</f>
        <v>73.531217458161692</v>
      </c>
      <c r="F39" s="407">
        <v>10227.889317889318</v>
      </c>
      <c r="G39" s="407">
        <f>+D39/'- 7 -'!E39</f>
        <v>10953.444662737393</v>
      </c>
      <c r="I39" s="421" t="str">
        <f>IF(+D39-'- 15 -'!B39-'- 15 -'!E39-'- 16 -'!G39=0,"","Ckeck")</f>
        <v/>
      </c>
    </row>
    <row r="40" spans="1:9" ht="14.1" customHeight="1">
      <c r="A40" s="409" t="s">
        <v>136</v>
      </c>
      <c r="B40" s="410">
        <v>82554997</v>
      </c>
      <c r="C40" s="411">
        <v>81.788370070815233</v>
      </c>
      <c r="D40" s="410">
        <v>85890785</v>
      </c>
      <c r="E40" s="411">
        <f>+D40/'- 3 -'!F40*100</f>
        <v>82.243022395885006</v>
      </c>
      <c r="F40" s="410">
        <v>10524.121406972654</v>
      </c>
      <c r="G40" s="410">
        <f>+D40/'- 7 -'!E40</f>
        <v>10805.775230858266</v>
      </c>
      <c r="I40" s="421" t="str">
        <f>IF(+D40-'- 15 -'!B40-'- 15 -'!E40-'- 16 -'!G40=0,"","Ckeck")</f>
        <v/>
      </c>
    </row>
    <row r="41" spans="1:9" ht="14.1" customHeight="1">
      <c r="A41" s="406" t="s">
        <v>137</v>
      </c>
      <c r="B41" s="407">
        <v>46727255</v>
      </c>
      <c r="C41" s="408">
        <v>76.620638509925854</v>
      </c>
      <c r="D41" s="407">
        <v>47647999</v>
      </c>
      <c r="E41" s="408">
        <f>+D41/'- 3 -'!F41*100</f>
        <v>76.055568324240625</v>
      </c>
      <c r="F41" s="407">
        <v>10728.333142004361</v>
      </c>
      <c r="G41" s="407">
        <f>+D41/'- 7 -'!E41</f>
        <v>10805.760063499263</v>
      </c>
      <c r="I41" s="421" t="str">
        <f>IF(+D41-'- 15 -'!B41-'- 15 -'!E41-'- 16 -'!G41=0,"","Ckeck")</f>
        <v/>
      </c>
    </row>
    <row r="42" spans="1:9" ht="14.1" customHeight="1">
      <c r="A42" s="409" t="s">
        <v>138</v>
      </c>
      <c r="B42" s="410">
        <v>15002010</v>
      </c>
      <c r="C42" s="411">
        <v>73.582036067828057</v>
      </c>
      <c r="D42" s="410">
        <v>15407972</v>
      </c>
      <c r="E42" s="411">
        <f>+D42/'- 3 -'!F42*100</f>
        <v>73.672591580127431</v>
      </c>
      <c r="F42" s="410">
        <v>10926.445739257102</v>
      </c>
      <c r="G42" s="410">
        <f>+D42/'- 7 -'!E42</f>
        <v>11321.066862601028</v>
      </c>
      <c r="I42" s="421" t="str">
        <f>IF(+D42-'- 15 -'!B42-'- 15 -'!E42-'- 16 -'!G42=0,"","Ckeck")</f>
        <v/>
      </c>
    </row>
    <row r="43" spans="1:9" ht="14.1" customHeight="1">
      <c r="A43" s="406" t="s">
        <v>139</v>
      </c>
      <c r="B43" s="407">
        <v>9548584</v>
      </c>
      <c r="C43" s="408">
        <v>75.67901474295239</v>
      </c>
      <c r="D43" s="407">
        <v>10154265</v>
      </c>
      <c r="E43" s="408">
        <f>+D43/'- 3 -'!F43*100</f>
        <v>77.471727257808169</v>
      </c>
      <c r="F43" s="407">
        <v>10190.591248665954</v>
      </c>
      <c r="G43" s="407">
        <f>+D43/'- 7 -'!E43</f>
        <v>10796.666666666666</v>
      </c>
      <c r="I43" s="421" t="str">
        <f>IF(+D43-'- 15 -'!B43-'- 15 -'!E43-'- 16 -'!G43=0,"","Ckeck")</f>
        <v/>
      </c>
    </row>
    <row r="44" spans="1:9" ht="14.1" customHeight="1">
      <c r="A44" s="409" t="s">
        <v>140</v>
      </c>
      <c r="B44" s="410">
        <v>8024140</v>
      </c>
      <c r="C44" s="411">
        <v>73.17881054405818</v>
      </c>
      <c r="D44" s="410">
        <v>8109444</v>
      </c>
      <c r="E44" s="411">
        <f>+D44/'- 3 -'!F44*100</f>
        <v>72.539209191482115</v>
      </c>
      <c r="F44" s="410">
        <v>11301.605633802817</v>
      </c>
      <c r="G44" s="410">
        <f>+D44/'- 7 -'!E44</f>
        <v>11568.393723252497</v>
      </c>
      <c r="I44" s="421" t="str">
        <f>IF(+D44-'- 15 -'!B44-'- 15 -'!E44-'- 16 -'!G44=0,"","Ckeck")</f>
        <v/>
      </c>
    </row>
    <row r="45" spans="1:9" ht="14.1" customHeight="1">
      <c r="A45" s="406" t="s">
        <v>141</v>
      </c>
      <c r="B45" s="407">
        <v>14230394</v>
      </c>
      <c r="C45" s="408">
        <v>79.622760825723915</v>
      </c>
      <c r="D45" s="407">
        <v>15326428</v>
      </c>
      <c r="E45" s="408">
        <f>+D45/'- 3 -'!F45*100</f>
        <v>80.025020826757668</v>
      </c>
      <c r="F45" s="407">
        <v>8445.337685459941</v>
      </c>
      <c r="G45" s="407">
        <f>+D45/'- 7 -'!E45</f>
        <v>9004.9518213866031</v>
      </c>
      <c r="I45" s="421" t="str">
        <f>IF(+D45-'- 15 -'!B45-'- 15 -'!E45-'- 16 -'!G45=0,"","Ckeck")</f>
        <v/>
      </c>
    </row>
    <row r="46" spans="1:9" ht="14.1" customHeight="1">
      <c r="A46" s="409" t="s">
        <v>142</v>
      </c>
      <c r="B46" s="410">
        <v>301627800</v>
      </c>
      <c r="C46" s="411">
        <v>80.896440911481534</v>
      </c>
      <c r="D46" s="410">
        <v>307485800</v>
      </c>
      <c r="E46" s="411">
        <f>+D46/'- 3 -'!F46*100</f>
        <v>80.535999027761179</v>
      </c>
      <c r="F46" s="410">
        <v>9982.3868149324862</v>
      </c>
      <c r="G46" s="410">
        <f>+D46/'- 7 -'!E46</f>
        <v>10196.166727459628</v>
      </c>
      <c r="I46" s="421" t="str">
        <f>IF(+D46-'- 15 -'!B46-'- 15 -'!E46-'- 16 -'!G46=0,"","Ckeck")</f>
        <v/>
      </c>
    </row>
    <row r="47" spans="1:9" ht="5.0999999999999996" customHeight="1">
      <c r="B47" s="412"/>
      <c r="C47" s="412"/>
      <c r="D47" s="412"/>
      <c r="E47" s="412"/>
      <c r="F47" s="412"/>
      <c r="G47" s="412"/>
      <c r="I47" s="421"/>
    </row>
    <row r="48" spans="1:9" ht="14.1" customHeight="1">
      <c r="A48" s="413" t="s">
        <v>143</v>
      </c>
      <c r="B48" s="414">
        <v>1728225441</v>
      </c>
      <c r="C48" s="415">
        <v>78.491872308753003</v>
      </c>
      <c r="D48" s="414">
        <f>SUM(D11:D46)</f>
        <v>1791069554</v>
      </c>
      <c r="E48" s="415">
        <f>+D48/'- 3 -'!F48*100</f>
        <v>78.56879673801798</v>
      </c>
      <c r="F48" s="414">
        <v>9958.1545259690993</v>
      </c>
      <c r="G48" s="414">
        <f>+D48/'- 7 -'!E48</f>
        <v>10226.851484589639</v>
      </c>
      <c r="I48" s="421"/>
    </row>
    <row r="49" spans="1:7" ht="5.0999999999999996" customHeight="1">
      <c r="B49" s="412"/>
      <c r="C49" s="412"/>
      <c r="D49" s="412"/>
      <c r="E49" s="412"/>
      <c r="F49" s="412"/>
      <c r="G49" s="412"/>
    </row>
    <row r="50" spans="1:7" ht="49.5" customHeight="1">
      <c r="A50" s="418"/>
      <c r="B50" s="419"/>
      <c r="C50" s="419"/>
      <c r="D50" s="419"/>
      <c r="E50" s="419"/>
      <c r="F50" s="419"/>
      <c r="G50" s="419"/>
    </row>
    <row r="51" spans="1:7" ht="13.5" customHeight="1">
      <c r="A51" s="813" t="s">
        <v>514</v>
      </c>
      <c r="B51" s="813"/>
      <c r="C51" s="813"/>
      <c r="D51" s="813"/>
      <c r="E51" s="813"/>
      <c r="F51" s="813"/>
      <c r="G51" s="813"/>
    </row>
    <row r="52" spans="1:7" ht="13.5" customHeight="1">
      <c r="A52" s="814"/>
      <c r="B52" s="814"/>
      <c r="C52" s="814"/>
      <c r="D52" s="814"/>
      <c r="E52" s="814"/>
      <c r="F52" s="814"/>
      <c r="G52" s="814"/>
    </row>
    <row r="53" spans="1:7" ht="15" customHeight="1">
      <c r="B53" s="416"/>
      <c r="C53" s="416"/>
    </row>
    <row r="54" spans="1:7" ht="12" customHeight="1">
      <c r="B54" s="416"/>
      <c r="C54" s="416"/>
    </row>
    <row r="55" spans="1:7" ht="12" customHeight="1">
      <c r="A55" s="416"/>
      <c r="B55" s="416"/>
      <c r="C55" s="416"/>
    </row>
    <row r="56" spans="1:7" ht="12" customHeight="1">
      <c r="A56" s="416"/>
      <c r="B56" s="416"/>
      <c r="C56" s="416"/>
    </row>
    <row r="57" spans="1:7" ht="14.45" customHeight="1">
      <c r="A57" s="416"/>
    </row>
  </sheetData>
  <mergeCells count="3">
    <mergeCell ref="A51:G52"/>
    <mergeCell ref="F7:G8"/>
    <mergeCell ref="B7:E8"/>
  </mergeCells>
  <phoneticPr fontId="16" type="noConversion"/>
  <printOptions horizontalCentered="1"/>
  <pageMargins left="0.51180000000000003" right="0.51180000000000003" top="0.59050000000000002" bottom="0" header="0.31490000000000001" footer="0"/>
  <pageSetup scale="88" orientation="portrait" r:id="rId1"/>
  <headerFooter alignWithMargins="0">
    <oddHeader>&amp;C&amp;"Arial,Bold"&amp;10&amp;A</oddHeader>
  </headerFooter>
</worksheet>
</file>

<file path=xl/worksheets/sheet53.xml><?xml version="1.0" encoding="utf-8"?>
<worksheet xmlns="http://schemas.openxmlformats.org/spreadsheetml/2006/main" xmlns:r="http://schemas.openxmlformats.org/officeDocument/2006/relationships">
  <sheetPr codeName="Sheet61">
    <pageSetUpPr fitToPage="1"/>
  </sheetPr>
  <dimension ref="A1:BB55"/>
  <sheetViews>
    <sheetView showGridLines="0" showZeros="0" workbookViewId="0"/>
  </sheetViews>
  <sheetFormatPr defaultColWidth="19.83203125" defaultRowHeight="12"/>
  <cols>
    <col min="1" max="1" width="30.83203125" style="1" customWidth="1"/>
    <col min="2" max="9" width="12.83203125" style="1" customWidth="1"/>
    <col min="10" max="16384" width="19.83203125" style="1"/>
  </cols>
  <sheetData>
    <row r="1" spans="1:54" ht="6.95" customHeight="1">
      <c r="A1" s="3"/>
      <c r="B1" s="4"/>
      <c r="C1" s="4"/>
      <c r="D1" s="4"/>
      <c r="E1" s="4"/>
      <c r="F1" s="4"/>
    </row>
    <row r="2" spans="1:54" ht="15.95" customHeight="1">
      <c r="A2" s="5" t="str">
        <f>IF(Lang=1,BA2,BB2)</f>
        <v>STATISTICAL SUMMARY</v>
      </c>
      <c r="B2" s="6"/>
      <c r="C2" s="6"/>
      <c r="D2" s="6"/>
      <c r="E2" s="6"/>
      <c r="F2" s="6"/>
      <c r="G2" s="6"/>
      <c r="H2" s="6"/>
      <c r="I2" s="6"/>
      <c r="BA2" s="456" t="s">
        <v>91</v>
      </c>
      <c r="BB2" s="456" t="s">
        <v>516</v>
      </c>
    </row>
    <row r="3" spans="1:54" ht="15.95" customHeight="1">
      <c r="A3" s="86" t="s">
        <v>587</v>
      </c>
      <c r="B3" s="40"/>
      <c r="C3" s="40"/>
      <c r="D3" s="8"/>
      <c r="E3" s="8"/>
      <c r="F3" s="8"/>
      <c r="G3" s="8"/>
      <c r="H3" s="8"/>
      <c r="I3" s="8"/>
      <c r="BA3" s="456" t="str">
        <f>B9&amp;" AND "&amp;C9&amp;" BUDGET"</f>
        <v>2015/16 AND 2016/17 BUDGET</v>
      </c>
      <c r="BB3" s="456" t="str">
        <f>" BUDGET DE "&amp;B9&amp;" ET DE "&amp;C9</f>
        <v xml:space="preserve"> BUDGET DE 2015/16 ET DE 2016/17</v>
      </c>
    </row>
    <row r="4" spans="1:54" ht="15.95" customHeight="1">
      <c r="B4" s="22"/>
      <c r="C4" s="22"/>
      <c r="D4" s="4"/>
      <c r="E4" s="4"/>
      <c r="F4" s="4"/>
    </row>
    <row r="5" spans="1:54" ht="15.95" customHeight="1">
      <c r="B5" s="217"/>
      <c r="C5" s="217"/>
      <c r="D5" s="4"/>
      <c r="E5" s="4"/>
      <c r="F5" s="4"/>
    </row>
    <row r="6" spans="1:54" ht="15.95" customHeight="1">
      <c r="B6" s="831" t="s">
        <v>520</v>
      </c>
      <c r="C6" s="832"/>
      <c r="D6" s="488"/>
      <c r="E6" s="328"/>
      <c r="F6" s="811" t="s">
        <v>518</v>
      </c>
      <c r="G6" s="812"/>
      <c r="H6" s="327"/>
      <c r="I6" s="328"/>
    </row>
    <row r="7" spans="1:54" ht="15.95" customHeight="1">
      <c r="B7" s="833"/>
      <c r="C7" s="834"/>
      <c r="D7" s="829" t="s">
        <v>519</v>
      </c>
      <c r="E7" s="825"/>
      <c r="F7" s="828"/>
      <c r="G7" s="825"/>
      <c r="H7" s="824" t="s">
        <v>517</v>
      </c>
      <c r="I7" s="825"/>
    </row>
    <row r="8" spans="1:54" ht="15.95" customHeight="1">
      <c r="A8" s="249"/>
      <c r="B8" s="835"/>
      <c r="C8" s="836"/>
      <c r="D8" s="830"/>
      <c r="E8" s="827"/>
      <c r="F8" s="826"/>
      <c r="G8" s="827"/>
      <c r="H8" s="826"/>
      <c r="I8" s="827"/>
    </row>
    <row r="9" spans="1:54" ht="18" customHeight="1">
      <c r="A9" s="27" t="s">
        <v>37</v>
      </c>
      <c r="B9" s="489" t="s">
        <v>522</v>
      </c>
      <c r="C9" s="490" t="s">
        <v>588</v>
      </c>
      <c r="D9" s="218" t="str">
        <f>+B9</f>
        <v>2015/16</v>
      </c>
      <c r="E9" s="448" t="s">
        <v>589</v>
      </c>
      <c r="F9" s="447" t="s">
        <v>590</v>
      </c>
      <c r="G9" s="447" t="s">
        <v>591</v>
      </c>
      <c r="H9" s="447" t="s">
        <v>590</v>
      </c>
      <c r="I9" s="447" t="s">
        <v>592</v>
      </c>
    </row>
    <row r="10" spans="1:54" ht="5.0999999999999996" customHeight="1">
      <c r="A10" s="29"/>
      <c r="D10" s="204"/>
      <c r="E10" s="204"/>
      <c r="F10" s="182"/>
      <c r="G10" s="3"/>
      <c r="H10" s="3"/>
    </row>
    <row r="11" spans="1:54" ht="14.1" customHeight="1">
      <c r="A11" s="271" t="s">
        <v>108</v>
      </c>
      <c r="B11" s="272">
        <v>11164</v>
      </c>
      <c r="C11" s="272">
        <f>'- 4 -'!E11</f>
        <v>11147</v>
      </c>
      <c r="D11" s="292">
        <v>13.759398496240602</v>
      </c>
      <c r="E11" s="292">
        <f>'- 9 -'!C11</f>
        <v>13.642023346303501</v>
      </c>
      <c r="F11" s="272">
        <v>369198</v>
      </c>
      <c r="G11" s="272">
        <f>'- 50 -'!F11</f>
        <v>426198</v>
      </c>
      <c r="H11" s="292">
        <v>13.49714609222295</v>
      </c>
      <c r="I11" s="292">
        <f>'- 47 -'!G11</f>
        <v>11.451137547056465</v>
      </c>
    </row>
    <row r="12" spans="1:54" ht="14.1" customHeight="1">
      <c r="A12" s="15" t="s">
        <v>109</v>
      </c>
      <c r="B12" s="16">
        <v>14475</v>
      </c>
      <c r="C12" s="16">
        <f>'- 4 -'!E12</f>
        <v>15918</v>
      </c>
      <c r="D12" s="47">
        <v>11.193683232698559</v>
      </c>
      <c r="E12" s="47">
        <f>'- 9 -'!C12</f>
        <v>11.118580958783678</v>
      </c>
      <c r="F12" s="16">
        <v>325373</v>
      </c>
      <c r="G12" s="16">
        <f>'- 50 -'!F12</f>
        <v>431721</v>
      </c>
      <c r="H12" s="47">
        <v>16.571894923662775</v>
      </c>
      <c r="I12" s="47">
        <f>'- 47 -'!G12</f>
        <v>14.963803228821055</v>
      </c>
    </row>
    <row r="13" spans="1:54" ht="14.1" customHeight="1">
      <c r="A13" s="271" t="s">
        <v>110</v>
      </c>
      <c r="B13" s="272">
        <v>11327</v>
      </c>
      <c r="C13" s="272">
        <f>'- 4 -'!E13</f>
        <v>11692</v>
      </c>
      <c r="D13" s="292">
        <v>12.79490553623461</v>
      </c>
      <c r="E13" s="292">
        <f>'- 9 -'!C13</f>
        <v>12.744678901884141</v>
      </c>
      <c r="F13" s="272">
        <v>332327</v>
      </c>
      <c r="G13" s="272">
        <f>'- 50 -'!F13</f>
        <v>366719</v>
      </c>
      <c r="H13" s="292">
        <v>15.505250156498025</v>
      </c>
      <c r="I13" s="292">
        <f>'- 47 -'!G13</f>
        <v>14.496671226684288</v>
      </c>
    </row>
    <row r="14" spans="1:54" ht="14.1" customHeight="1">
      <c r="A14" s="15" t="s">
        <v>319</v>
      </c>
      <c r="B14" s="16">
        <v>15256</v>
      </c>
      <c r="C14" s="16">
        <f>'- 4 -'!E14</f>
        <v>15406</v>
      </c>
      <c r="D14" s="47">
        <v>11.830992176386914</v>
      </c>
      <c r="E14" s="47">
        <f>'- 9 -'!C14</f>
        <v>11.929138137159006</v>
      </c>
      <c r="F14" s="16">
        <v>389123</v>
      </c>
      <c r="G14" s="16">
        <f>'- 50 -'!F14</f>
        <v>447093</v>
      </c>
      <c r="H14" s="47">
        <v>0</v>
      </c>
      <c r="I14" s="47">
        <f>'- 47 -'!G14</f>
        <v>0</v>
      </c>
    </row>
    <row r="15" spans="1:54" ht="14.1" customHeight="1">
      <c r="A15" s="271" t="s">
        <v>111</v>
      </c>
      <c r="B15" s="272">
        <v>14052</v>
      </c>
      <c r="C15" s="272">
        <f>'- 4 -'!E15</f>
        <v>14848</v>
      </c>
      <c r="D15" s="292">
        <v>12.882687618531563</v>
      </c>
      <c r="E15" s="292">
        <f>'- 9 -'!C15</f>
        <v>12.594261541291152</v>
      </c>
      <c r="F15" s="272">
        <v>572165</v>
      </c>
      <c r="G15" s="272">
        <f>'- 50 -'!F15</f>
        <v>655020</v>
      </c>
      <c r="H15" s="292">
        <v>11.703041840878955</v>
      </c>
      <c r="I15" s="292">
        <f>'- 47 -'!G15</f>
        <v>10.697684987662338</v>
      </c>
    </row>
    <row r="16" spans="1:54" ht="14.1" customHeight="1">
      <c r="A16" s="15" t="s">
        <v>112</v>
      </c>
      <c r="B16" s="16">
        <v>14870</v>
      </c>
      <c r="C16" s="16">
        <f>'- 4 -'!E16</f>
        <v>15161</v>
      </c>
      <c r="D16" s="47">
        <v>11.730168644597127</v>
      </c>
      <c r="E16" s="47">
        <f>'- 9 -'!C16</f>
        <v>12.11258697027198</v>
      </c>
      <c r="F16" s="16">
        <v>178472</v>
      </c>
      <c r="G16" s="16">
        <f>'- 50 -'!F16</f>
        <v>199296</v>
      </c>
      <c r="H16" s="47">
        <v>20.735635678710477</v>
      </c>
      <c r="I16" s="47">
        <f>'- 47 -'!G16</f>
        <v>19.707525662850252</v>
      </c>
    </row>
    <row r="17" spans="1:9" ht="14.1" customHeight="1">
      <c r="A17" s="271" t="s">
        <v>113</v>
      </c>
      <c r="B17" s="272">
        <v>12754</v>
      </c>
      <c r="C17" s="272">
        <f>'- 4 -'!E17</f>
        <v>13119</v>
      </c>
      <c r="D17" s="292">
        <v>13.28996282527881</v>
      </c>
      <c r="E17" s="292">
        <f>'- 9 -'!C17</f>
        <v>12.812176043728206</v>
      </c>
      <c r="F17" s="272">
        <v>670922</v>
      </c>
      <c r="G17" s="272">
        <f>'- 50 -'!F17</f>
        <v>865984</v>
      </c>
      <c r="H17" s="292">
        <v>9.6706185300122893</v>
      </c>
      <c r="I17" s="292">
        <f>'- 47 -'!G17</f>
        <v>7.7675100411131464</v>
      </c>
    </row>
    <row r="18" spans="1:9" ht="14.1" customHeight="1">
      <c r="A18" s="15" t="s">
        <v>114</v>
      </c>
      <c r="B18" s="16">
        <v>19716</v>
      </c>
      <c r="C18" s="16">
        <f>'- 4 -'!E18</f>
        <v>20463</v>
      </c>
      <c r="D18" s="47">
        <v>11.994253424001535</v>
      </c>
      <c r="E18" s="47">
        <f>'- 9 -'!C18</f>
        <v>12.00686701901933</v>
      </c>
      <c r="F18" s="16">
        <v>86964</v>
      </c>
      <c r="G18" s="16">
        <f>'- 50 -'!F18</f>
        <v>100073</v>
      </c>
      <c r="H18" s="47">
        <v>15.398998929353137</v>
      </c>
      <c r="I18" s="47">
        <f>'- 47 -'!G18</f>
        <v>13.501126808906184</v>
      </c>
    </row>
    <row r="19" spans="1:9" ht="14.1" customHeight="1">
      <c r="A19" s="271" t="s">
        <v>115</v>
      </c>
      <c r="B19" s="272">
        <v>10687</v>
      </c>
      <c r="C19" s="272">
        <f>'- 4 -'!E19</f>
        <v>10995</v>
      </c>
      <c r="D19" s="292">
        <v>14.731892195395844</v>
      </c>
      <c r="E19" s="292">
        <f>'- 9 -'!C19</f>
        <v>14.8</v>
      </c>
      <c r="F19" s="272">
        <v>229523</v>
      </c>
      <c r="G19" s="272">
        <f>'- 50 -'!F19</f>
        <v>269173</v>
      </c>
      <c r="H19" s="292">
        <v>18.048139981536597</v>
      </c>
      <c r="I19" s="292">
        <f>'- 47 -'!G19</f>
        <v>15.986978437482181</v>
      </c>
    </row>
    <row r="20" spans="1:9" ht="14.1" customHeight="1">
      <c r="A20" s="15" t="s">
        <v>116</v>
      </c>
      <c r="B20" s="16">
        <v>10526</v>
      </c>
      <c r="C20" s="16">
        <f>'- 4 -'!E20</f>
        <v>10835</v>
      </c>
      <c r="D20" s="47">
        <v>14.384901533413943</v>
      </c>
      <c r="E20" s="47">
        <f>'- 9 -'!C20</f>
        <v>14.370616113744076</v>
      </c>
      <c r="F20" s="16">
        <v>237528</v>
      </c>
      <c r="G20" s="16">
        <f>'- 50 -'!F20</f>
        <v>263965</v>
      </c>
      <c r="H20" s="47">
        <v>16.01964862641659</v>
      </c>
      <c r="I20" s="47">
        <f>'- 47 -'!G20</f>
        <v>14.943420292054606</v>
      </c>
    </row>
    <row r="21" spans="1:9" ht="14.1" customHeight="1">
      <c r="A21" s="271" t="s">
        <v>117</v>
      </c>
      <c r="B21" s="272">
        <v>13063</v>
      </c>
      <c r="C21" s="272">
        <f>'- 4 -'!E21</f>
        <v>13346</v>
      </c>
      <c r="D21" s="292">
        <v>11.847133757961783</v>
      </c>
      <c r="E21" s="292">
        <f>'- 9 -'!C21</f>
        <v>11.609747726102626</v>
      </c>
      <c r="F21" s="272">
        <v>397881</v>
      </c>
      <c r="G21" s="272">
        <f>'- 50 -'!F21</f>
        <v>468889</v>
      </c>
      <c r="H21" s="292">
        <v>14.380395883652278</v>
      </c>
      <c r="I21" s="292">
        <f>'- 47 -'!G21</f>
        <v>13.156761198914246</v>
      </c>
    </row>
    <row r="22" spans="1:9" ht="14.1" customHeight="1">
      <c r="A22" s="15" t="s">
        <v>118</v>
      </c>
      <c r="B22" s="16">
        <v>12716</v>
      </c>
      <c r="C22" s="16">
        <f>'- 4 -'!E22</f>
        <v>12821</v>
      </c>
      <c r="D22" s="47">
        <v>12.026073619631902</v>
      </c>
      <c r="E22" s="47">
        <f>'- 9 -'!C22</f>
        <v>12.023148148148149</v>
      </c>
      <c r="F22" s="16">
        <v>138583</v>
      </c>
      <c r="G22" s="16">
        <f>'- 50 -'!F22</f>
        <v>171225</v>
      </c>
      <c r="H22" s="47">
        <v>20.702062140486383</v>
      </c>
      <c r="I22" s="47">
        <f>'- 47 -'!G22</f>
        <v>17.338417914110664</v>
      </c>
    </row>
    <row r="23" spans="1:9" ht="14.1" customHeight="1">
      <c r="A23" s="271" t="s">
        <v>119</v>
      </c>
      <c r="B23" s="272">
        <v>14351</v>
      </c>
      <c r="C23" s="272">
        <f>'- 4 -'!E23</f>
        <v>14601</v>
      </c>
      <c r="D23" s="292">
        <v>11.195979899497488</v>
      </c>
      <c r="E23" s="292">
        <f>'- 9 -'!C23</f>
        <v>11.195979899497488</v>
      </c>
      <c r="F23" s="272">
        <v>229221</v>
      </c>
      <c r="G23" s="272">
        <f>'- 50 -'!F23</f>
        <v>279987</v>
      </c>
      <c r="H23" s="292">
        <v>18.712788216767052</v>
      </c>
      <c r="I23" s="292">
        <f>'- 47 -'!G23</f>
        <v>16.116129461525475</v>
      </c>
    </row>
    <row r="24" spans="1:9" ht="14.1" customHeight="1">
      <c r="A24" s="15" t="s">
        <v>120</v>
      </c>
      <c r="B24" s="16">
        <v>13867</v>
      </c>
      <c r="C24" s="16">
        <f>'- 4 -'!E24</f>
        <v>14508</v>
      </c>
      <c r="D24" s="47">
        <v>11.872480215021652</v>
      </c>
      <c r="E24" s="47">
        <f>'- 9 -'!C24</f>
        <v>11.701718009478672</v>
      </c>
      <c r="F24" s="16">
        <v>435908</v>
      </c>
      <c r="G24" s="16">
        <f>'- 50 -'!F24</f>
        <v>506733</v>
      </c>
      <c r="H24" s="47">
        <v>14.804598145193991</v>
      </c>
      <c r="I24" s="47">
        <f>'- 47 -'!G24</f>
        <v>13.819839248448121</v>
      </c>
    </row>
    <row r="25" spans="1:9" ht="14.1" customHeight="1">
      <c r="A25" s="271" t="s">
        <v>121</v>
      </c>
      <c r="B25" s="272">
        <v>11861</v>
      </c>
      <c r="C25" s="272">
        <f>'- 4 -'!E25</f>
        <v>12061</v>
      </c>
      <c r="D25" s="292">
        <v>13.827588934369501</v>
      </c>
      <c r="E25" s="292">
        <f>'- 9 -'!C25</f>
        <v>13.695168498379269</v>
      </c>
      <c r="F25" s="272">
        <v>445645</v>
      </c>
      <c r="G25" s="272">
        <f>'- 50 -'!F25</f>
        <v>483485</v>
      </c>
      <c r="H25" s="292">
        <v>13.029825839779617</v>
      </c>
      <c r="I25" s="292">
        <f>'- 47 -'!G25</f>
        <v>12.679022158127459</v>
      </c>
    </row>
    <row r="26" spans="1:9" ht="14.1" customHeight="1">
      <c r="A26" s="15" t="s">
        <v>122</v>
      </c>
      <c r="B26" s="16">
        <v>12799</v>
      </c>
      <c r="C26" s="16">
        <f>'- 4 -'!E26</f>
        <v>12883</v>
      </c>
      <c r="D26" s="47">
        <v>13.167372881355931</v>
      </c>
      <c r="E26" s="47">
        <f>'- 9 -'!C26</f>
        <v>13.430089247768805</v>
      </c>
      <c r="F26" s="16">
        <v>292858</v>
      </c>
      <c r="G26" s="16">
        <f>'- 50 -'!F26</f>
        <v>351006</v>
      </c>
      <c r="H26" s="47">
        <v>17.079867584267916</v>
      </c>
      <c r="I26" s="47">
        <f>'- 47 -'!G26</f>
        <v>14.996851936873073</v>
      </c>
    </row>
    <row r="27" spans="1:9" ht="14.1" customHeight="1">
      <c r="A27" s="271" t="s">
        <v>123</v>
      </c>
      <c r="B27" s="272">
        <v>14985</v>
      </c>
      <c r="C27" s="272">
        <f>'- 4 -'!E27</f>
        <v>15021</v>
      </c>
      <c r="D27" s="292">
        <v>11.399932815978408</v>
      </c>
      <c r="E27" s="292">
        <f>'- 9 -'!C27</f>
        <v>11.585374176742917</v>
      </c>
      <c r="F27" s="272">
        <v>186944</v>
      </c>
      <c r="G27" s="272">
        <f>'- 50 -'!F27</f>
        <v>182765</v>
      </c>
      <c r="H27" s="292">
        <v>17.62758894501566</v>
      </c>
      <c r="I27" s="292">
        <f>'- 47 -'!G27</f>
        <v>18.528571178179497</v>
      </c>
    </row>
    <row r="28" spans="1:9" ht="14.1" customHeight="1">
      <c r="A28" s="15" t="s">
        <v>124</v>
      </c>
      <c r="B28" s="16">
        <v>14087</v>
      </c>
      <c r="C28" s="16">
        <f>'- 4 -'!E28</f>
        <v>14617</v>
      </c>
      <c r="D28" s="47">
        <v>11.363898500576701</v>
      </c>
      <c r="E28" s="47">
        <f>'- 9 -'!C28</f>
        <v>11.25542377784206</v>
      </c>
      <c r="F28" s="16">
        <v>412739</v>
      </c>
      <c r="G28" s="16">
        <f>'- 50 -'!F28</f>
        <v>532525</v>
      </c>
      <c r="H28" s="47">
        <v>13.250661113249206</v>
      </c>
      <c r="I28" s="47">
        <f>'- 47 -'!G28</f>
        <v>10.63448002179722</v>
      </c>
    </row>
    <row r="29" spans="1:9" ht="14.1" customHeight="1">
      <c r="A29" s="271" t="s">
        <v>125</v>
      </c>
      <c r="B29" s="272">
        <v>12490</v>
      </c>
      <c r="C29" s="272">
        <f>'- 4 -'!E29</f>
        <v>12445</v>
      </c>
      <c r="D29" s="292">
        <v>13.730353825790017</v>
      </c>
      <c r="E29" s="292">
        <f>'- 9 -'!C29</f>
        <v>13.719337351353104</v>
      </c>
      <c r="F29" s="272">
        <v>555673</v>
      </c>
      <c r="G29" s="272">
        <f>'- 50 -'!F29</f>
        <v>609197</v>
      </c>
      <c r="H29" s="292">
        <v>12.452841586775635</v>
      </c>
      <c r="I29" s="292">
        <f>'- 47 -'!G29</f>
        <v>12.001809868751904</v>
      </c>
    </row>
    <row r="30" spans="1:9" ht="14.1" customHeight="1">
      <c r="A30" s="15" t="s">
        <v>126</v>
      </c>
      <c r="B30" s="16">
        <v>13625</v>
      </c>
      <c r="C30" s="16">
        <f>'- 4 -'!E30</f>
        <v>14640</v>
      </c>
      <c r="D30" s="47">
        <v>12.312492499699989</v>
      </c>
      <c r="E30" s="47">
        <f>'- 9 -'!C30</f>
        <v>11.983767008832658</v>
      </c>
      <c r="F30" s="16">
        <v>351997</v>
      </c>
      <c r="G30" s="16">
        <f>'- 50 -'!F30</f>
        <v>450522</v>
      </c>
      <c r="H30" s="47">
        <v>15.021312488035266</v>
      </c>
      <c r="I30" s="47">
        <f>'- 47 -'!G30</f>
        <v>13.831392067473258</v>
      </c>
    </row>
    <row r="31" spans="1:9" ht="14.1" customHeight="1">
      <c r="A31" s="271" t="s">
        <v>127</v>
      </c>
      <c r="B31" s="272">
        <v>11327</v>
      </c>
      <c r="C31" s="272">
        <f>'- 4 -'!E31</f>
        <v>11684</v>
      </c>
      <c r="D31" s="292">
        <v>12.855416834474426</v>
      </c>
      <c r="E31" s="292">
        <f>'- 9 -'!C31</f>
        <v>12.800127206233105</v>
      </c>
      <c r="F31" s="272">
        <v>334327</v>
      </c>
      <c r="G31" s="272">
        <f>'- 50 -'!F31</f>
        <v>401497</v>
      </c>
      <c r="H31" s="292">
        <v>14.973609195437771</v>
      </c>
      <c r="I31" s="292">
        <f>'- 47 -'!G31</f>
        <v>13.22893093788228</v>
      </c>
    </row>
    <row r="32" spans="1:9" ht="14.1" customHeight="1">
      <c r="A32" s="15" t="s">
        <v>128</v>
      </c>
      <c r="B32" s="16">
        <v>13436</v>
      </c>
      <c r="C32" s="16">
        <f>'- 4 -'!E32</f>
        <v>13733</v>
      </c>
      <c r="D32" s="47">
        <v>12.10741439432916</v>
      </c>
      <c r="E32" s="47">
        <f>'- 9 -'!C32</f>
        <v>12.525412632231834</v>
      </c>
      <c r="F32" s="16">
        <v>429781</v>
      </c>
      <c r="G32" s="16">
        <f>'- 50 -'!F32</f>
        <v>574923</v>
      </c>
      <c r="H32" s="47">
        <v>13.996251930497856</v>
      </c>
      <c r="I32" s="47">
        <f>'- 47 -'!G32</f>
        <v>11.56324914800193</v>
      </c>
    </row>
    <row r="33" spans="1:9" ht="14.1" customHeight="1">
      <c r="A33" s="271" t="s">
        <v>129</v>
      </c>
      <c r="B33" s="272">
        <v>13777</v>
      </c>
      <c r="C33" s="272">
        <f>'- 4 -'!E33</f>
        <v>13853</v>
      </c>
      <c r="D33" s="292">
        <v>12.466902030008825</v>
      </c>
      <c r="E33" s="292">
        <f>'- 9 -'!C33</f>
        <v>12.547504828359603</v>
      </c>
      <c r="F33" s="272">
        <v>412082</v>
      </c>
      <c r="G33" s="272">
        <f>'- 50 -'!F33</f>
        <v>582533</v>
      </c>
      <c r="H33" s="292">
        <v>14.478366511808822</v>
      </c>
      <c r="I33" s="292">
        <f>'- 47 -'!G33</f>
        <v>10.569852746667964</v>
      </c>
    </row>
    <row r="34" spans="1:9" ht="14.1" customHeight="1">
      <c r="A34" s="15" t="s">
        <v>130</v>
      </c>
      <c r="B34" s="16">
        <v>13981</v>
      </c>
      <c r="C34" s="16">
        <f>'- 4 -'!E34</f>
        <v>14797</v>
      </c>
      <c r="D34" s="47">
        <v>12.344043005375672</v>
      </c>
      <c r="E34" s="47">
        <f>'- 9 -'!C34</f>
        <v>12.065625378375106</v>
      </c>
      <c r="F34" s="16">
        <v>450123</v>
      </c>
      <c r="G34" s="16">
        <f>'- 50 -'!F34</f>
        <v>610676</v>
      </c>
      <c r="H34" s="47">
        <v>15.799773867203545</v>
      </c>
      <c r="I34" s="47">
        <f>'- 47 -'!G34</f>
        <v>12.966003036364162</v>
      </c>
    </row>
    <row r="35" spans="1:9" ht="14.1" customHeight="1">
      <c r="A35" s="271" t="s">
        <v>131</v>
      </c>
      <c r="B35" s="272">
        <v>11239</v>
      </c>
      <c r="C35" s="272">
        <f>'- 4 -'!E35</f>
        <v>11677</v>
      </c>
      <c r="D35" s="292">
        <v>13.83393258824988</v>
      </c>
      <c r="E35" s="292">
        <f>'- 9 -'!C35</f>
        <v>13.656605640771895</v>
      </c>
      <c r="F35" s="272">
        <v>377228</v>
      </c>
      <c r="G35" s="272">
        <f>'- 50 -'!F35</f>
        <v>425771</v>
      </c>
      <c r="H35" s="292">
        <v>13.566637667228783</v>
      </c>
      <c r="I35" s="292">
        <f>'- 47 -'!G35</f>
        <v>12.851057459864924</v>
      </c>
    </row>
    <row r="36" spans="1:9" ht="14.1" customHeight="1">
      <c r="A36" s="15" t="s">
        <v>132</v>
      </c>
      <c r="B36" s="16">
        <v>13677</v>
      </c>
      <c r="C36" s="16">
        <f>'- 4 -'!E36</f>
        <v>14242</v>
      </c>
      <c r="D36" s="47">
        <v>12.188033567043265</v>
      </c>
      <c r="E36" s="47">
        <f>'- 9 -'!C36</f>
        <v>12.020886971026581</v>
      </c>
      <c r="F36" s="16">
        <v>474772</v>
      </c>
      <c r="G36" s="16">
        <f>'- 50 -'!F36</f>
        <v>598587</v>
      </c>
      <c r="H36" s="47">
        <v>13.386935075211806</v>
      </c>
      <c r="I36" s="47">
        <f>'- 47 -'!G36</f>
        <v>11.298269102446946</v>
      </c>
    </row>
    <row r="37" spans="1:9" ht="14.1" customHeight="1">
      <c r="A37" s="271" t="s">
        <v>133</v>
      </c>
      <c r="B37" s="272">
        <v>11770</v>
      </c>
      <c r="C37" s="272">
        <f>'- 4 -'!E37</f>
        <v>12094</v>
      </c>
      <c r="D37" s="292">
        <v>13.486696041261059</v>
      </c>
      <c r="E37" s="292">
        <f>'- 9 -'!C37</f>
        <v>13.395247111053077</v>
      </c>
      <c r="F37" s="272">
        <v>278467</v>
      </c>
      <c r="G37" s="272">
        <f>'- 50 -'!F37</f>
        <v>312066</v>
      </c>
      <c r="H37" s="292">
        <v>15.098522110613921</v>
      </c>
      <c r="I37" s="292">
        <f>'- 47 -'!G37</f>
        <v>14.036827695365218</v>
      </c>
    </row>
    <row r="38" spans="1:9" ht="14.1" customHeight="1">
      <c r="A38" s="15" t="s">
        <v>134</v>
      </c>
      <c r="B38" s="16">
        <v>11754</v>
      </c>
      <c r="C38" s="16">
        <f>'- 4 -'!E38</f>
        <v>12104</v>
      </c>
      <c r="D38" s="47">
        <v>13.908466641664619</v>
      </c>
      <c r="E38" s="47">
        <f>'- 9 -'!C38</f>
        <v>13.712470412358289</v>
      </c>
      <c r="F38" s="16">
        <v>296939</v>
      </c>
      <c r="G38" s="16">
        <f>'- 50 -'!F38</f>
        <v>323994</v>
      </c>
      <c r="H38" s="47">
        <v>15.624721952113394</v>
      </c>
      <c r="I38" s="47">
        <f>'- 47 -'!G38</f>
        <v>15.238621334558534</v>
      </c>
    </row>
    <row r="39" spans="1:9" ht="14.1" customHeight="1">
      <c r="A39" s="271" t="s">
        <v>135</v>
      </c>
      <c r="B39" s="272">
        <v>14018</v>
      </c>
      <c r="C39" s="272">
        <f>'- 4 -'!E39</f>
        <v>14896</v>
      </c>
      <c r="D39" s="292">
        <v>11.813896913486392</v>
      </c>
      <c r="E39" s="292">
        <f>'- 9 -'!C39</f>
        <v>11.901885439481211</v>
      </c>
      <c r="F39" s="272">
        <v>639816</v>
      </c>
      <c r="G39" s="272">
        <f>'- 50 -'!F39</f>
        <v>795669</v>
      </c>
      <c r="H39" s="292">
        <v>11.364694225956022</v>
      </c>
      <c r="I39" s="292">
        <f>'- 47 -'!G39</f>
        <v>10.001962097911349</v>
      </c>
    </row>
    <row r="40" spans="1:9" ht="14.1" customHeight="1">
      <c r="A40" s="15" t="s">
        <v>136</v>
      </c>
      <c r="B40" s="16">
        <v>12868</v>
      </c>
      <c r="C40" s="16">
        <f>'- 4 -'!E40</f>
        <v>13139</v>
      </c>
      <c r="D40" s="47">
        <v>13.089640902416232</v>
      </c>
      <c r="E40" s="47">
        <f>'- 9 -'!C40</f>
        <v>12.944337686870989</v>
      </c>
      <c r="F40" s="16">
        <v>541167</v>
      </c>
      <c r="G40" s="16">
        <f>'- 50 -'!F40</f>
        <v>589832</v>
      </c>
      <c r="H40" s="47">
        <v>12.620605803816643</v>
      </c>
      <c r="I40" s="47">
        <f>'- 47 -'!G40</f>
        <v>12.243473305972472</v>
      </c>
    </row>
    <row r="41" spans="1:9" ht="14.1" customHeight="1">
      <c r="A41" s="271" t="s">
        <v>137</v>
      </c>
      <c r="B41" s="272">
        <v>14002</v>
      </c>
      <c r="C41" s="272">
        <f>'- 4 -'!E41</f>
        <v>14208</v>
      </c>
      <c r="D41" s="292">
        <v>12.264868213561613</v>
      </c>
      <c r="E41" s="292">
        <f>'- 9 -'!C41</f>
        <v>12.619844881371455</v>
      </c>
      <c r="F41" s="272">
        <v>469811</v>
      </c>
      <c r="G41" s="272">
        <f>'- 50 -'!F41</f>
        <v>542780</v>
      </c>
      <c r="H41" s="292">
        <v>14.341634769958029</v>
      </c>
      <c r="I41" s="292">
        <f>'- 47 -'!G41</f>
        <v>13.294637840180883</v>
      </c>
    </row>
    <row r="42" spans="1:9" ht="14.1" customHeight="1">
      <c r="A42" s="15" t="s">
        <v>138</v>
      </c>
      <c r="B42" s="16">
        <v>14849</v>
      </c>
      <c r="C42" s="16">
        <f>'- 4 -'!E42</f>
        <v>15367</v>
      </c>
      <c r="D42" s="47">
        <v>12.180624556422995</v>
      </c>
      <c r="E42" s="47">
        <f>'- 9 -'!C42</f>
        <v>11.945931712455016</v>
      </c>
      <c r="F42" s="16">
        <v>299120</v>
      </c>
      <c r="G42" s="16">
        <f>'- 50 -'!F42</f>
        <v>389427</v>
      </c>
      <c r="H42" s="47">
        <v>16.672999371777209</v>
      </c>
      <c r="I42" s="47">
        <f>'- 47 -'!G42</f>
        <v>13.435665187773052</v>
      </c>
    </row>
    <row r="43" spans="1:9" ht="14.1" customHeight="1">
      <c r="A43" s="271" t="s">
        <v>139</v>
      </c>
      <c r="B43" s="272">
        <v>13466</v>
      </c>
      <c r="C43" s="272">
        <f>'- 4 -'!E43</f>
        <v>13936</v>
      </c>
      <c r="D43" s="292">
        <v>12.153047989623868</v>
      </c>
      <c r="E43" s="292">
        <f>'- 9 -'!C43</f>
        <v>11.7886688393081</v>
      </c>
      <c r="F43" s="272">
        <v>431452</v>
      </c>
      <c r="G43" s="272">
        <f>'- 50 -'!F43</f>
        <v>604308</v>
      </c>
      <c r="H43" s="292">
        <v>15.184728225006923</v>
      </c>
      <c r="I43" s="292">
        <f>'- 47 -'!G43</f>
        <v>11.520951505411723</v>
      </c>
    </row>
    <row r="44" spans="1:9" ht="14.1" customHeight="1">
      <c r="A44" s="15" t="s">
        <v>140</v>
      </c>
      <c r="B44" s="16">
        <v>15444</v>
      </c>
      <c r="C44" s="16">
        <f>'- 4 -'!E44</f>
        <v>15948</v>
      </c>
      <c r="D44" s="47">
        <v>11.30753304666348</v>
      </c>
      <c r="E44" s="47">
        <f>'- 9 -'!C44</f>
        <v>11.232174331036692</v>
      </c>
      <c r="F44" s="16">
        <v>212427</v>
      </c>
      <c r="G44" s="16">
        <f>'- 50 -'!F44</f>
        <v>262545</v>
      </c>
      <c r="H44" s="47">
        <v>18.917748698919478</v>
      </c>
      <c r="I44" s="47">
        <f>'- 47 -'!G44</f>
        <v>15.943048102976809</v>
      </c>
    </row>
    <row r="45" spans="1:9" ht="14.1" customHeight="1">
      <c r="A45" s="271" t="s">
        <v>141</v>
      </c>
      <c r="B45" s="272">
        <v>10607</v>
      </c>
      <c r="C45" s="272">
        <f>'- 4 -'!E45</f>
        <v>11253</v>
      </c>
      <c r="D45" s="292">
        <v>14.311194156616272</v>
      </c>
      <c r="E45" s="292">
        <f>'- 9 -'!C45</f>
        <v>13.890475801844445</v>
      </c>
      <c r="F45" s="272">
        <v>286085</v>
      </c>
      <c r="G45" s="272">
        <f>'- 50 -'!F45</f>
        <v>326239</v>
      </c>
      <c r="H45" s="292">
        <v>17.434999319764238</v>
      </c>
      <c r="I45" s="292">
        <f>'- 47 -'!G45</f>
        <v>15.993254874992084</v>
      </c>
    </row>
    <row r="46" spans="1:9" ht="14.1" customHeight="1">
      <c r="A46" s="15" t="s">
        <v>142</v>
      </c>
      <c r="B46" s="16">
        <v>12340</v>
      </c>
      <c r="C46" s="16">
        <f>'- 4 -'!E46</f>
        <v>12660</v>
      </c>
      <c r="D46" s="47">
        <v>13.424381228258017</v>
      </c>
      <c r="E46" s="47">
        <f>'- 9 -'!C46</f>
        <v>13.313878538506367</v>
      </c>
      <c r="F46" s="16">
        <v>362827</v>
      </c>
      <c r="G46" s="16">
        <f>'- 50 -'!F46</f>
        <v>417567</v>
      </c>
      <c r="H46" s="47">
        <v>15.583288681265151</v>
      </c>
      <c r="I46" s="47">
        <f>'- 47 -'!G46</f>
        <v>14.190948621361464</v>
      </c>
    </row>
    <row r="47" spans="1:9" ht="5.0999999999999996" customHeight="1">
      <c r="B47" s="140"/>
      <c r="C47" s="140"/>
      <c r="D47" s="202"/>
      <c r="E47" s="202"/>
      <c r="F47" s="140"/>
      <c r="G47" s="140"/>
      <c r="H47" s="202"/>
      <c r="I47" s="202"/>
    </row>
    <row r="48" spans="1:9" ht="14.1" customHeight="1">
      <c r="A48" s="274" t="s">
        <v>143</v>
      </c>
      <c r="B48" s="305">
        <v>12687</v>
      </c>
      <c r="C48" s="305">
        <f>'- 4 -'!E48</f>
        <v>13016</v>
      </c>
      <c r="D48" s="336">
        <v>13.098614295097995</v>
      </c>
      <c r="E48" s="336">
        <f>'- 9 -'!C48</f>
        <v>13.033675146141874</v>
      </c>
      <c r="F48" s="305">
        <v>378947.90222884336</v>
      </c>
      <c r="G48" s="305">
        <f>'- 50 -'!F48</f>
        <v>434942.09930884093</v>
      </c>
      <c r="H48" s="336">
        <v>14.332392218220495</v>
      </c>
      <c r="I48" s="336">
        <f>'- 47 -'!G48</f>
        <v>13.20872414256054</v>
      </c>
    </row>
    <row r="49" spans="1:9" ht="5.0999999999999996" customHeight="1">
      <c r="B49" s="140"/>
      <c r="C49" s="140"/>
      <c r="D49" s="202"/>
      <c r="E49" s="202"/>
      <c r="F49" s="140"/>
      <c r="G49" s="140"/>
      <c r="H49" s="202"/>
      <c r="I49" s="202"/>
    </row>
    <row r="50" spans="1:9" ht="14.45" customHeight="1">
      <c r="A50" s="15" t="s">
        <v>144</v>
      </c>
      <c r="B50" s="16">
        <v>19632</v>
      </c>
      <c r="C50" s="16">
        <f>'- 4 -'!E50</f>
        <v>20300</v>
      </c>
      <c r="D50" s="200">
        <v>8.2108464267612771</v>
      </c>
      <c r="E50" s="200">
        <f>'- 9 -'!C50</f>
        <v>8.1601621895590473</v>
      </c>
      <c r="F50" s="139"/>
      <c r="G50" s="139"/>
      <c r="H50" s="200"/>
      <c r="I50" s="200"/>
    </row>
    <row r="51" spans="1:9" ht="50.1" customHeight="1">
      <c r="A51" s="19"/>
      <c r="B51" s="19"/>
      <c r="C51" s="19"/>
      <c r="D51" s="19"/>
      <c r="E51" s="19"/>
      <c r="F51" s="19"/>
      <c r="G51" s="19"/>
      <c r="H51" s="19"/>
      <c r="I51" s="19"/>
    </row>
    <row r="52" spans="1:9" ht="15" customHeight="1">
      <c r="A52" s="31" t="s">
        <v>325</v>
      </c>
      <c r="B52" s="31"/>
      <c r="C52" s="31"/>
      <c r="D52" s="31"/>
      <c r="E52" s="31"/>
      <c r="F52" s="31"/>
    </row>
    <row r="53" spans="1:9" ht="12" customHeight="1">
      <c r="A53" s="31" t="s">
        <v>326</v>
      </c>
      <c r="B53" s="31"/>
      <c r="C53" s="31"/>
      <c r="D53" s="31"/>
      <c r="E53" s="31"/>
      <c r="F53" s="31"/>
    </row>
    <row r="54" spans="1:9" ht="12" customHeight="1">
      <c r="A54" s="131" t="s">
        <v>553</v>
      </c>
      <c r="B54" s="31"/>
      <c r="C54" s="31"/>
      <c r="D54" s="31"/>
      <c r="E54" s="31"/>
      <c r="F54" s="31"/>
    </row>
    <row r="55" spans="1:9">
      <c r="A55" s="131" t="s">
        <v>554</v>
      </c>
    </row>
  </sheetData>
  <mergeCells count="4">
    <mergeCell ref="H7:I8"/>
    <mergeCell ref="F6:G8"/>
    <mergeCell ref="D7:E8"/>
    <mergeCell ref="B6:C8"/>
  </mergeCells>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54.xml><?xml version="1.0" encoding="utf-8"?>
<worksheet xmlns="http://schemas.openxmlformats.org/spreadsheetml/2006/main" xmlns:r="http://schemas.openxmlformats.org/officeDocument/2006/relationships">
  <sheetPr transitionEvaluation="1" codeName="Sheet49"/>
  <dimension ref="A1:Y74"/>
  <sheetViews>
    <sheetView showGridLines="0" defaultGridColor="0" colorId="22" workbookViewId="0">
      <pane xSplit="2" ySplit="10" topLeftCell="C11" activePane="bottomRight" state="frozen"/>
      <selection pane="topRight" activeCell="C1" sqref="C1"/>
      <selection pane="bottomLeft" activeCell="A11" sqref="A11"/>
      <selection pane="bottomRight"/>
    </sheetView>
  </sheetViews>
  <sheetFormatPr defaultColWidth="15.83203125" defaultRowHeight="12"/>
  <cols>
    <col min="1" max="1" width="5.83203125" style="1" customWidth="1"/>
    <col min="2" max="2" width="30.83203125" style="1" customWidth="1"/>
    <col min="3" max="18" width="15.83203125" style="1" customWidth="1"/>
    <col min="19" max="20" width="15.83203125" style="1"/>
    <col min="21" max="21" width="22.33203125" style="1" bestFit="1" customWidth="1"/>
    <col min="22" max="16384" width="15.83203125" style="1"/>
  </cols>
  <sheetData>
    <row r="1" spans="1:25" ht="6" customHeight="1">
      <c r="A1" s="3"/>
      <c r="B1" s="180"/>
      <c r="C1" s="180"/>
      <c r="D1" s="180"/>
      <c r="E1" s="180"/>
      <c r="F1" s="180"/>
      <c r="G1" s="180"/>
      <c r="H1" s="180"/>
      <c r="I1" s="180"/>
      <c r="J1" s="180"/>
      <c r="K1" s="180"/>
      <c r="L1" s="180"/>
      <c r="M1" s="180"/>
      <c r="N1" s="180"/>
      <c r="O1" s="180"/>
      <c r="P1" s="180"/>
      <c r="Q1" s="180"/>
      <c r="R1" s="180"/>
    </row>
    <row r="2" spans="1:25">
      <c r="A2" s="180"/>
      <c r="B2" s="453" t="s">
        <v>366</v>
      </c>
      <c r="C2" s="164"/>
      <c r="D2" s="164"/>
      <c r="E2" s="164"/>
      <c r="F2" s="164"/>
      <c r="G2" s="164"/>
      <c r="H2" s="164"/>
      <c r="I2" s="164"/>
      <c r="J2" s="164"/>
      <c r="K2" s="509" t="s">
        <v>564</v>
      </c>
      <c r="L2" s="509">
        <v>1948654</v>
      </c>
      <c r="M2" s="164" t="s">
        <v>567</v>
      </c>
      <c r="N2" s="164"/>
      <c r="O2" s="164"/>
      <c r="P2" s="164"/>
      <c r="Q2" s="164"/>
      <c r="R2" s="164"/>
      <c r="T2" s="247"/>
      <c r="U2" s="430" t="s">
        <v>346</v>
      </c>
      <c r="V2" s="431" t="s">
        <v>347</v>
      </c>
      <c r="Y2" s="1" t="s">
        <v>367</v>
      </c>
    </row>
    <row r="3" spans="1:25">
      <c r="A3" s="203" t="s">
        <v>44</v>
      </c>
      <c r="B3" s="454"/>
      <c r="C3" s="180"/>
      <c r="D3" s="180"/>
      <c r="E3" s="180"/>
      <c r="F3" s="1" t="s">
        <v>76</v>
      </c>
      <c r="G3" s="180"/>
      <c r="H3" s="180"/>
      <c r="I3" s="180"/>
      <c r="J3" s="180"/>
      <c r="K3" s="180"/>
      <c r="L3" s="512">
        <v>1973700</v>
      </c>
      <c r="M3" s="511" t="s">
        <v>568</v>
      </c>
      <c r="N3" s="180"/>
      <c r="O3" s="180"/>
      <c r="P3" s="180"/>
      <c r="Q3" s="180"/>
      <c r="R3" s="180"/>
      <c r="T3" s="432" t="s">
        <v>348</v>
      </c>
      <c r="U3" s="444" t="s">
        <v>359</v>
      </c>
      <c r="V3" s="247"/>
      <c r="Y3" s="1" t="s">
        <v>368</v>
      </c>
    </row>
    <row r="4" spans="1:25">
      <c r="B4" s="455"/>
      <c r="C4" s="164"/>
      <c r="D4" s="164"/>
      <c r="E4" s="164"/>
      <c r="F4" s="164"/>
      <c r="G4" s="164"/>
      <c r="H4" s="164"/>
      <c r="I4" s="164"/>
      <c r="J4" s="164"/>
      <c r="K4" s="164"/>
      <c r="L4" s="164"/>
      <c r="M4" s="164"/>
      <c r="N4" s="164"/>
      <c r="O4" s="164"/>
      <c r="P4" s="164"/>
      <c r="Q4" s="164"/>
      <c r="R4" s="164"/>
      <c r="T4" s="432" t="s">
        <v>349</v>
      </c>
      <c r="U4" s="444" t="s">
        <v>359</v>
      </c>
      <c r="V4" s="247"/>
      <c r="Y4" s="1">
        <v>1</v>
      </c>
    </row>
    <row r="5" spans="1:25">
      <c r="B5" s="204" t="s">
        <v>98</v>
      </c>
      <c r="C5" s="205" t="s">
        <v>28</v>
      </c>
      <c r="D5" s="206"/>
      <c r="E5" s="206"/>
      <c r="F5" s="206"/>
      <c r="G5" s="206"/>
      <c r="H5" s="206"/>
      <c r="I5" s="206"/>
      <c r="J5" s="206"/>
      <c r="K5" s="206"/>
      <c r="L5" s="206"/>
      <c r="M5" s="206"/>
      <c r="N5" s="206"/>
      <c r="O5" s="164"/>
      <c r="P5" s="164"/>
      <c r="Q5" s="164"/>
      <c r="R5" s="164"/>
      <c r="T5" s="1" t="s">
        <v>358</v>
      </c>
    </row>
    <row r="6" spans="1:25">
      <c r="B6" s="445">
        <v>2016</v>
      </c>
      <c r="O6" s="837" t="s">
        <v>555</v>
      </c>
      <c r="P6" s="513"/>
      <c r="S6" s="438" t="s">
        <v>528</v>
      </c>
      <c r="T6" s="438" t="s">
        <v>528</v>
      </c>
    </row>
    <row r="7" spans="1:25">
      <c r="C7" s="90"/>
      <c r="N7" s="128" t="s">
        <v>225</v>
      </c>
      <c r="O7" s="837"/>
      <c r="P7" s="513"/>
      <c r="Q7" s="510" t="s">
        <v>565</v>
      </c>
      <c r="R7" s="510" t="s">
        <v>25</v>
      </c>
      <c r="S7" s="434" t="s">
        <v>350</v>
      </c>
      <c r="T7" s="434" t="s">
        <v>350</v>
      </c>
    </row>
    <row r="8" spans="1:25">
      <c r="C8" s="208" t="s">
        <v>35</v>
      </c>
      <c r="D8" s="4"/>
      <c r="E8" s="4"/>
      <c r="F8" s="4"/>
      <c r="G8" s="4"/>
      <c r="H8" s="4"/>
      <c r="I8" s="4"/>
      <c r="J8" s="4">
        <v>700</v>
      </c>
      <c r="K8" s="4"/>
      <c r="L8" s="128" t="s">
        <v>25</v>
      </c>
      <c r="M8" s="128" t="s">
        <v>188</v>
      </c>
      <c r="N8" s="128" t="s">
        <v>189</v>
      </c>
      <c r="O8" s="837"/>
      <c r="P8" s="513" t="s">
        <v>593</v>
      </c>
      <c r="Q8" s="510" t="s">
        <v>566</v>
      </c>
      <c r="R8" s="510" t="s">
        <v>569</v>
      </c>
      <c r="S8" s="433" t="s">
        <v>351</v>
      </c>
      <c r="T8" s="433" t="s">
        <v>351</v>
      </c>
    </row>
    <row r="9" spans="1:25">
      <c r="A9" s="209" t="s">
        <v>148</v>
      </c>
      <c r="B9" s="1" t="s">
        <v>149</v>
      </c>
      <c r="C9" s="1">
        <v>100</v>
      </c>
      <c r="D9" s="1">
        <v>200</v>
      </c>
      <c r="E9" s="1">
        <v>300</v>
      </c>
      <c r="F9" s="1">
        <v>400</v>
      </c>
      <c r="G9" s="1">
        <v>500</v>
      </c>
      <c r="H9" s="1">
        <v>600</v>
      </c>
      <c r="I9" s="1">
        <v>700</v>
      </c>
      <c r="J9" s="128" t="s">
        <v>41</v>
      </c>
      <c r="K9" s="4">
        <v>800</v>
      </c>
      <c r="L9" s="128" t="s">
        <v>42</v>
      </c>
      <c r="M9" s="128" t="s">
        <v>81</v>
      </c>
      <c r="N9" s="128" t="s">
        <v>97</v>
      </c>
      <c r="O9" s="837"/>
      <c r="P9" s="513" t="s">
        <v>594</v>
      </c>
      <c r="Q9" s="510" t="s">
        <v>34</v>
      </c>
      <c r="R9" s="510" t="s">
        <v>570</v>
      </c>
      <c r="S9" s="435" t="s">
        <v>352</v>
      </c>
      <c r="T9" s="435" t="s">
        <v>352</v>
      </c>
      <c r="U9" s="424" t="s">
        <v>310</v>
      </c>
      <c r="V9" s="424" t="s">
        <v>312</v>
      </c>
      <c r="W9" s="424" t="s">
        <v>313</v>
      </c>
      <c r="X9" s="425" t="s">
        <v>314</v>
      </c>
    </row>
    <row r="10" spans="1:25" ht="3.95" customHeight="1">
      <c r="U10" s="424"/>
      <c r="V10" s="424"/>
      <c r="W10" s="424"/>
      <c r="X10" s="425"/>
    </row>
    <row r="11" spans="1:25" ht="10.9" customHeight="1">
      <c r="A11" s="207" t="s">
        <v>150</v>
      </c>
      <c r="B11" s="1" t="s">
        <v>108</v>
      </c>
      <c r="C11" s="1">
        <v>54400</v>
      </c>
      <c r="D11" s="1">
        <v>0</v>
      </c>
      <c r="E11" s="1">
        <v>0</v>
      </c>
      <c r="F11" s="1">
        <v>0</v>
      </c>
      <c r="G11" s="1">
        <v>0</v>
      </c>
      <c r="H11" s="1">
        <v>7000</v>
      </c>
      <c r="I11" s="1">
        <v>0</v>
      </c>
      <c r="J11" s="1">
        <v>0</v>
      </c>
      <c r="K11" s="1">
        <v>0</v>
      </c>
      <c r="L11" s="72">
        <f t="shared" ref="L11:L37" si="0">SUM(C11:I11)-J11+K11</f>
        <v>61400</v>
      </c>
      <c r="M11" s="72">
        <v>24000</v>
      </c>
      <c r="N11" s="72">
        <v>0</v>
      </c>
      <c r="O11" s="72">
        <v>0</v>
      </c>
      <c r="P11" s="72">
        <v>0</v>
      </c>
      <c r="Q11" s="72">
        <v>2910854</v>
      </c>
      <c r="R11" s="72">
        <v>2076216</v>
      </c>
      <c r="S11" s="436">
        <v>426198</v>
      </c>
      <c r="T11" s="436">
        <v>369198</v>
      </c>
      <c r="U11" s="424" t="s">
        <v>311</v>
      </c>
      <c r="V11" s="424">
        <f>+'- 3 -'!B48+'- 3 -'!B50+'- 3 -'!B51</f>
        <v>2363354167</v>
      </c>
      <c r="W11" s="424">
        <v>2363354167</v>
      </c>
      <c r="X11" s="425">
        <f>+V11-W11</f>
        <v>0</v>
      </c>
    </row>
    <row r="12" spans="1:25" ht="10.9" customHeight="1">
      <c r="A12" s="207" t="s">
        <v>151</v>
      </c>
      <c r="B12" s="1" t="s">
        <v>109</v>
      </c>
      <c r="C12" s="1">
        <v>281000</v>
      </c>
      <c r="D12" s="1">
        <v>0</v>
      </c>
      <c r="E12" s="1">
        <v>0</v>
      </c>
      <c r="F12" s="1">
        <v>0</v>
      </c>
      <c r="G12" s="1">
        <v>0</v>
      </c>
      <c r="H12" s="1">
        <v>0</v>
      </c>
      <c r="I12" s="1">
        <v>0</v>
      </c>
      <c r="J12" s="1">
        <v>0</v>
      </c>
      <c r="K12" s="1">
        <v>0</v>
      </c>
      <c r="L12" s="72">
        <f t="shared" si="0"/>
        <v>281000</v>
      </c>
      <c r="M12" s="72">
        <v>36200</v>
      </c>
      <c r="N12" s="72">
        <v>0</v>
      </c>
      <c r="O12" s="72">
        <v>0</v>
      </c>
      <c r="P12" s="72">
        <v>0</v>
      </c>
      <c r="Q12" s="72">
        <v>6151076</v>
      </c>
      <c r="R12" s="72">
        <v>2939093</v>
      </c>
      <c r="S12" s="436">
        <v>431721</v>
      </c>
      <c r="T12" s="436">
        <v>325373</v>
      </c>
      <c r="U12" s="424" t="s">
        <v>316</v>
      </c>
      <c r="V12" s="424">
        <f>+'- 43 -'!I48</f>
        <v>2355978427</v>
      </c>
      <c r="W12" s="424">
        <v>2355978427</v>
      </c>
      <c r="X12" s="425">
        <f>+V12-W12</f>
        <v>0</v>
      </c>
    </row>
    <row r="13" spans="1:25" ht="10.9" customHeight="1">
      <c r="A13" s="207" t="s">
        <v>152</v>
      </c>
      <c r="B13" s="1" t="s">
        <v>110</v>
      </c>
      <c r="C13" s="1">
        <v>139100</v>
      </c>
      <c r="D13" s="1">
        <v>0</v>
      </c>
      <c r="E13" s="1">
        <v>0</v>
      </c>
      <c r="F13" s="1">
        <v>0</v>
      </c>
      <c r="G13" s="1">
        <v>0</v>
      </c>
      <c r="H13" s="1">
        <v>0</v>
      </c>
      <c r="I13" s="1">
        <v>0</v>
      </c>
      <c r="J13" s="1">
        <v>0</v>
      </c>
      <c r="K13" s="1">
        <v>0</v>
      </c>
      <c r="L13" s="72">
        <f t="shared" si="0"/>
        <v>139100</v>
      </c>
      <c r="M13" s="72">
        <v>82700</v>
      </c>
      <c r="N13" s="72">
        <v>0</v>
      </c>
      <c r="O13" s="72">
        <v>0</v>
      </c>
      <c r="P13" s="72">
        <v>0</v>
      </c>
      <c r="Q13" s="72">
        <v>12150086</v>
      </c>
      <c r="R13" s="72">
        <v>7022200</v>
      </c>
      <c r="S13" s="436">
        <v>366719</v>
      </c>
      <c r="T13" s="436">
        <v>332327</v>
      </c>
      <c r="U13" s="424" t="s">
        <v>317</v>
      </c>
      <c r="V13" s="424">
        <v>4514.4142857142861</v>
      </c>
      <c r="W13" s="424">
        <f>+'- 7 -'!B48</f>
        <v>4514.4142857142861</v>
      </c>
      <c r="X13" s="425">
        <f>+V13-W13</f>
        <v>0</v>
      </c>
    </row>
    <row r="14" spans="1:25" ht="10.9" customHeight="1">
      <c r="A14" s="207" t="s">
        <v>153</v>
      </c>
      <c r="B14" s="1" t="s">
        <v>319</v>
      </c>
      <c r="C14" s="1">
        <v>256000</v>
      </c>
      <c r="D14" s="1">
        <v>0</v>
      </c>
      <c r="E14" s="1">
        <v>0</v>
      </c>
      <c r="F14" s="1">
        <v>0</v>
      </c>
      <c r="G14" s="1">
        <v>0</v>
      </c>
      <c r="H14" s="1">
        <v>7000</v>
      </c>
      <c r="I14" s="1">
        <v>0</v>
      </c>
      <c r="J14" s="1">
        <v>0</v>
      </c>
      <c r="K14" s="1">
        <v>0</v>
      </c>
      <c r="L14" s="72">
        <f t="shared" si="0"/>
        <v>263000</v>
      </c>
      <c r="M14" s="72">
        <v>0</v>
      </c>
      <c r="N14" s="72">
        <v>0</v>
      </c>
      <c r="O14" s="72">
        <v>0</v>
      </c>
      <c r="P14" s="72">
        <v>0</v>
      </c>
      <c r="Q14" s="72">
        <v>26371036</v>
      </c>
      <c r="R14" s="72">
        <v>7884283</v>
      </c>
      <c r="S14" s="436">
        <v>447093</v>
      </c>
      <c r="T14" s="436">
        <v>389123</v>
      </c>
      <c r="U14" s="424" t="s">
        <v>318</v>
      </c>
      <c r="V14" s="424">
        <f>+'- 7 -'!E48</f>
        <v>175134.01428571428</v>
      </c>
      <c r="W14" s="424">
        <v>175134.01428571428</v>
      </c>
      <c r="X14" s="425">
        <f>+V14-W14</f>
        <v>0</v>
      </c>
    </row>
    <row r="15" spans="1:25" ht="10.9" customHeight="1">
      <c r="A15" s="207" t="s">
        <v>154</v>
      </c>
      <c r="B15" s="1" t="s">
        <v>111</v>
      </c>
      <c r="C15" s="1">
        <v>57000</v>
      </c>
      <c r="D15" s="1">
        <v>0</v>
      </c>
      <c r="E15" s="1">
        <v>0</v>
      </c>
      <c r="F15" s="1">
        <v>0</v>
      </c>
      <c r="G15" s="1">
        <v>1000</v>
      </c>
      <c r="H15" s="1">
        <v>5500</v>
      </c>
      <c r="I15" s="1">
        <v>0</v>
      </c>
      <c r="J15" s="1">
        <v>0</v>
      </c>
      <c r="K15" s="1">
        <v>0</v>
      </c>
      <c r="L15" s="72">
        <f t="shared" si="0"/>
        <v>63500</v>
      </c>
      <c r="M15" s="72">
        <v>26000</v>
      </c>
      <c r="N15" s="72">
        <v>0</v>
      </c>
      <c r="O15" s="72">
        <v>0</v>
      </c>
      <c r="P15" s="72">
        <v>0</v>
      </c>
      <c r="Q15" s="72">
        <v>4688652</v>
      </c>
      <c r="R15" s="72">
        <v>2292100</v>
      </c>
      <c r="S15" s="436">
        <v>655020</v>
      </c>
      <c r="T15" s="436">
        <v>572165</v>
      </c>
      <c r="X15" s="423"/>
    </row>
    <row r="16" spans="1:25" ht="10.9" customHeight="1">
      <c r="A16" s="207" t="s">
        <v>155</v>
      </c>
      <c r="B16" s="1" t="s">
        <v>112</v>
      </c>
      <c r="C16" s="1">
        <v>0</v>
      </c>
      <c r="D16" s="1">
        <v>0</v>
      </c>
      <c r="E16" s="1">
        <v>0</v>
      </c>
      <c r="F16" s="1">
        <v>0</v>
      </c>
      <c r="G16" s="1">
        <v>0</v>
      </c>
      <c r="H16" s="1">
        <v>0</v>
      </c>
      <c r="I16" s="1">
        <v>0</v>
      </c>
      <c r="J16" s="1">
        <v>0</v>
      </c>
      <c r="K16" s="1">
        <v>0</v>
      </c>
      <c r="L16" s="72">
        <f t="shared" si="0"/>
        <v>0</v>
      </c>
      <c r="M16" s="72">
        <v>20000</v>
      </c>
      <c r="N16" s="72">
        <v>0</v>
      </c>
      <c r="O16" s="72">
        <v>0</v>
      </c>
      <c r="P16" s="72">
        <v>0</v>
      </c>
      <c r="Q16" s="72">
        <v>2048904</v>
      </c>
      <c r="R16" s="72">
        <v>1446879</v>
      </c>
      <c r="S16" s="436">
        <v>199296</v>
      </c>
      <c r="T16" s="436">
        <v>178472</v>
      </c>
    </row>
    <row r="17" spans="1:20" ht="10.9" customHeight="1">
      <c r="A17" s="207" t="s">
        <v>156</v>
      </c>
      <c r="B17" s="1" t="s">
        <v>113</v>
      </c>
      <c r="C17" s="1">
        <v>77650</v>
      </c>
      <c r="D17" s="1">
        <v>0</v>
      </c>
      <c r="E17" s="1">
        <v>0</v>
      </c>
      <c r="F17" s="1">
        <v>0</v>
      </c>
      <c r="G17" s="1">
        <v>1000</v>
      </c>
      <c r="H17" s="1">
        <v>0</v>
      </c>
      <c r="I17" s="1">
        <v>0</v>
      </c>
      <c r="J17" s="1">
        <v>0</v>
      </c>
      <c r="K17" s="1">
        <v>0</v>
      </c>
      <c r="L17" s="72">
        <f t="shared" si="0"/>
        <v>78650</v>
      </c>
      <c r="M17" s="72">
        <v>30600</v>
      </c>
      <c r="N17" s="72">
        <v>0</v>
      </c>
      <c r="O17" s="72">
        <v>0</v>
      </c>
      <c r="P17" s="72">
        <v>0</v>
      </c>
      <c r="Q17" s="72">
        <v>2480486</v>
      </c>
      <c r="R17" s="72">
        <v>1872545</v>
      </c>
      <c r="S17" s="436">
        <v>865984</v>
      </c>
      <c r="T17" s="436">
        <v>670922</v>
      </c>
    </row>
    <row r="18" spans="1:20" ht="10.9" customHeight="1">
      <c r="A18" s="207" t="s">
        <v>157</v>
      </c>
      <c r="B18" s="1" t="s">
        <v>114</v>
      </c>
      <c r="C18" s="1">
        <v>2981200</v>
      </c>
      <c r="D18" s="1">
        <v>0</v>
      </c>
      <c r="E18" s="1">
        <v>1306000</v>
      </c>
      <c r="F18" s="1">
        <v>0</v>
      </c>
      <c r="G18" s="1">
        <v>97900</v>
      </c>
      <c r="H18" s="1">
        <v>46000</v>
      </c>
      <c r="I18" s="1">
        <v>250000</v>
      </c>
      <c r="J18" s="1">
        <v>0</v>
      </c>
      <c r="K18" s="1">
        <v>0</v>
      </c>
      <c r="L18" s="72">
        <f t="shared" si="0"/>
        <v>4681100</v>
      </c>
      <c r="M18" s="72">
        <v>0</v>
      </c>
      <c r="N18" s="72">
        <v>0</v>
      </c>
      <c r="O18" s="72">
        <v>0</v>
      </c>
      <c r="P18" s="72">
        <v>0</v>
      </c>
      <c r="Q18" s="72">
        <v>11610712</v>
      </c>
      <c r="R18" s="72">
        <v>7026585</v>
      </c>
      <c r="S18" s="436">
        <v>100073</v>
      </c>
      <c r="T18" s="436">
        <v>86964</v>
      </c>
    </row>
    <row r="19" spans="1:20" ht="10.9" customHeight="1">
      <c r="A19" s="207" t="s">
        <v>158</v>
      </c>
      <c r="B19" s="1" t="s">
        <v>115</v>
      </c>
      <c r="C19" s="1">
        <v>400000</v>
      </c>
      <c r="D19" s="1">
        <v>0</v>
      </c>
      <c r="E19" s="1">
        <v>0</v>
      </c>
      <c r="F19" s="1">
        <v>27000</v>
      </c>
      <c r="G19" s="1">
        <v>20000</v>
      </c>
      <c r="H19" s="1">
        <v>0</v>
      </c>
      <c r="I19" s="1">
        <v>0</v>
      </c>
      <c r="J19" s="1">
        <v>0</v>
      </c>
      <c r="K19" s="1">
        <v>0</v>
      </c>
      <c r="L19" s="72">
        <f t="shared" si="0"/>
        <v>447000</v>
      </c>
      <c r="M19" s="72">
        <v>37000</v>
      </c>
      <c r="N19" s="72">
        <v>0</v>
      </c>
      <c r="O19" s="72">
        <v>0</v>
      </c>
      <c r="P19" s="72">
        <v>0</v>
      </c>
      <c r="Q19" s="72">
        <v>4979798</v>
      </c>
      <c r="R19" s="72">
        <v>4724246</v>
      </c>
      <c r="S19" s="436">
        <v>269173</v>
      </c>
      <c r="T19" s="436">
        <v>229523</v>
      </c>
    </row>
    <row r="20" spans="1:20" ht="10.9" customHeight="1">
      <c r="A20" s="207" t="s">
        <v>159</v>
      </c>
      <c r="B20" s="1" t="s">
        <v>116</v>
      </c>
      <c r="C20" s="1">
        <v>1489300</v>
      </c>
      <c r="D20" s="1">
        <v>0</v>
      </c>
      <c r="E20" s="1">
        <v>0</v>
      </c>
      <c r="F20" s="1">
        <v>0</v>
      </c>
      <c r="G20" s="1">
        <v>0</v>
      </c>
      <c r="H20" s="1">
        <v>0</v>
      </c>
      <c r="I20" s="1">
        <v>0</v>
      </c>
      <c r="J20" s="1">
        <v>0</v>
      </c>
      <c r="K20" s="1">
        <v>0</v>
      </c>
      <c r="L20" s="72">
        <f t="shared" si="0"/>
        <v>1489300</v>
      </c>
      <c r="M20" s="72">
        <v>73200</v>
      </c>
      <c r="N20" s="72">
        <v>0</v>
      </c>
      <c r="O20" s="72">
        <v>0</v>
      </c>
      <c r="P20" s="72">
        <v>0</v>
      </c>
      <c r="Q20" s="72">
        <v>10003477</v>
      </c>
      <c r="R20" s="72">
        <v>7963300</v>
      </c>
      <c r="S20" s="436">
        <v>263965</v>
      </c>
      <c r="T20" s="436">
        <v>237528</v>
      </c>
    </row>
    <row r="21" spans="1:20" ht="10.9" customHeight="1">
      <c r="A21" s="207" t="s">
        <v>160</v>
      </c>
      <c r="B21" s="1" t="s">
        <v>117</v>
      </c>
      <c r="C21" s="1">
        <v>231710</v>
      </c>
      <c r="D21" s="1">
        <v>78000</v>
      </c>
      <c r="E21" s="1">
        <v>0</v>
      </c>
      <c r="F21" s="1">
        <v>0</v>
      </c>
      <c r="G21" s="1">
        <v>9900</v>
      </c>
      <c r="H21" s="1">
        <v>15705</v>
      </c>
      <c r="I21" s="1">
        <v>0</v>
      </c>
      <c r="J21" s="1">
        <v>0</v>
      </c>
      <c r="K21" s="1">
        <v>0</v>
      </c>
      <c r="L21" s="72">
        <f t="shared" si="0"/>
        <v>335315</v>
      </c>
      <c r="M21" s="72">
        <v>34000</v>
      </c>
      <c r="N21" s="72">
        <v>0</v>
      </c>
      <c r="O21" s="72">
        <v>0</v>
      </c>
      <c r="P21" s="72">
        <v>0</v>
      </c>
      <c r="Q21" s="72">
        <v>5745134</v>
      </c>
      <c r="R21" s="72">
        <v>3247396</v>
      </c>
      <c r="S21" s="436">
        <v>468889</v>
      </c>
      <c r="T21" s="436">
        <v>397881</v>
      </c>
    </row>
    <row r="22" spans="1:20" ht="10.9" customHeight="1">
      <c r="A22" s="207" t="s">
        <v>161</v>
      </c>
      <c r="B22" s="1" t="s">
        <v>118</v>
      </c>
      <c r="C22" s="1">
        <v>0</v>
      </c>
      <c r="D22" s="1">
        <v>0</v>
      </c>
      <c r="E22" s="1">
        <v>0</v>
      </c>
      <c r="F22" s="1">
        <v>0</v>
      </c>
      <c r="G22" s="1">
        <v>0</v>
      </c>
      <c r="H22" s="1">
        <v>18000</v>
      </c>
      <c r="I22" s="1">
        <v>0</v>
      </c>
      <c r="J22" s="1">
        <v>0</v>
      </c>
      <c r="K22" s="1">
        <v>0</v>
      </c>
      <c r="L22" s="72">
        <f t="shared" si="0"/>
        <v>18000</v>
      </c>
      <c r="M22" s="72">
        <v>27000</v>
      </c>
      <c r="N22" s="72">
        <v>0</v>
      </c>
      <c r="O22" s="72">
        <v>0</v>
      </c>
      <c r="P22" s="72">
        <v>0</v>
      </c>
      <c r="Q22" s="72">
        <v>2416343</v>
      </c>
      <c r="R22" s="72">
        <v>2642290</v>
      </c>
      <c r="S22" s="436">
        <v>171225</v>
      </c>
      <c r="T22" s="436">
        <v>138583</v>
      </c>
    </row>
    <row r="23" spans="1:20" ht="10.9" customHeight="1">
      <c r="A23" s="207" t="s">
        <v>162</v>
      </c>
      <c r="B23" s="1" t="s">
        <v>119</v>
      </c>
      <c r="C23" s="1">
        <v>34000</v>
      </c>
      <c r="D23" s="1">
        <v>0</v>
      </c>
      <c r="E23" s="1">
        <v>0</v>
      </c>
      <c r="F23" s="1">
        <v>0</v>
      </c>
      <c r="G23" s="1">
        <v>0</v>
      </c>
      <c r="H23" s="1">
        <v>1700</v>
      </c>
      <c r="I23" s="1">
        <v>0</v>
      </c>
      <c r="J23" s="1">
        <v>0</v>
      </c>
      <c r="K23" s="1">
        <v>0</v>
      </c>
      <c r="L23" s="72">
        <f t="shared" si="0"/>
        <v>35700</v>
      </c>
      <c r="M23" s="72">
        <v>26000</v>
      </c>
      <c r="N23" s="72">
        <v>0</v>
      </c>
      <c r="O23" s="72">
        <v>0</v>
      </c>
      <c r="P23" s="72">
        <v>1000</v>
      </c>
      <c r="Q23" s="72">
        <v>1923832</v>
      </c>
      <c r="R23" s="72">
        <v>2119994</v>
      </c>
      <c r="S23" s="436">
        <v>279987</v>
      </c>
      <c r="T23" s="436">
        <v>229221</v>
      </c>
    </row>
    <row r="24" spans="1:20" ht="10.9" customHeight="1">
      <c r="A24" s="207" t="s">
        <v>163</v>
      </c>
      <c r="B24" s="1" t="s">
        <v>120</v>
      </c>
      <c r="C24" s="1">
        <v>177865</v>
      </c>
      <c r="D24" s="1">
        <v>0</v>
      </c>
      <c r="E24" s="1">
        <v>0</v>
      </c>
      <c r="F24" s="1">
        <v>0</v>
      </c>
      <c r="G24" s="1">
        <v>0</v>
      </c>
      <c r="H24" s="1">
        <v>0</v>
      </c>
      <c r="I24" s="1">
        <v>0</v>
      </c>
      <c r="J24" s="1">
        <v>0</v>
      </c>
      <c r="K24" s="1">
        <v>0</v>
      </c>
      <c r="L24" s="72">
        <f t="shared" si="0"/>
        <v>177865</v>
      </c>
      <c r="M24" s="72">
        <v>50000</v>
      </c>
      <c r="N24" s="72">
        <v>0</v>
      </c>
      <c r="O24" s="72">
        <v>0</v>
      </c>
      <c r="P24" s="72">
        <v>0</v>
      </c>
      <c r="Q24" s="72">
        <v>9753074</v>
      </c>
      <c r="R24" s="72">
        <v>5373094</v>
      </c>
      <c r="S24" s="436">
        <v>506733</v>
      </c>
      <c r="T24" s="436">
        <v>435908</v>
      </c>
    </row>
    <row r="25" spans="1:20" ht="10.9" customHeight="1">
      <c r="A25" s="207" t="s">
        <v>164</v>
      </c>
      <c r="B25" s="1" t="s">
        <v>121</v>
      </c>
      <c r="C25" s="1">
        <v>602210</v>
      </c>
      <c r="D25" s="1">
        <v>460000</v>
      </c>
      <c r="E25" s="1">
        <v>27690</v>
      </c>
      <c r="F25" s="1">
        <v>0</v>
      </c>
      <c r="G25" s="1">
        <v>9500</v>
      </c>
      <c r="H25" s="1">
        <v>32000</v>
      </c>
      <c r="I25" s="1">
        <v>0</v>
      </c>
      <c r="J25" s="1">
        <v>0</v>
      </c>
      <c r="K25" s="1">
        <v>0</v>
      </c>
      <c r="L25" s="72">
        <f t="shared" si="0"/>
        <v>1131400</v>
      </c>
      <c r="M25" s="72">
        <v>18000</v>
      </c>
      <c r="N25" s="72">
        <v>884098</v>
      </c>
      <c r="O25" s="72">
        <v>0</v>
      </c>
      <c r="P25" s="72">
        <v>0</v>
      </c>
      <c r="Q25" s="72">
        <v>33388035</v>
      </c>
      <c r="R25" s="72">
        <v>15413902</v>
      </c>
      <c r="S25" s="436">
        <v>483485</v>
      </c>
      <c r="T25" s="436">
        <v>445645</v>
      </c>
    </row>
    <row r="26" spans="1:20" ht="10.9" customHeight="1">
      <c r="A26" s="207" t="s">
        <v>165</v>
      </c>
      <c r="B26" s="1" t="s">
        <v>122</v>
      </c>
      <c r="C26" s="1">
        <v>0</v>
      </c>
      <c r="D26" s="1">
        <v>0</v>
      </c>
      <c r="E26" s="1">
        <v>0</v>
      </c>
      <c r="F26" s="1">
        <v>0</v>
      </c>
      <c r="G26" s="1">
        <v>0</v>
      </c>
      <c r="H26" s="1">
        <v>7500</v>
      </c>
      <c r="I26" s="1">
        <v>0</v>
      </c>
      <c r="J26" s="1">
        <v>0</v>
      </c>
      <c r="K26" s="1">
        <v>0</v>
      </c>
      <c r="L26" s="72">
        <f t="shared" si="0"/>
        <v>7500</v>
      </c>
      <c r="M26" s="72">
        <v>40563</v>
      </c>
      <c r="N26" s="72">
        <v>0</v>
      </c>
      <c r="O26" s="72">
        <v>0</v>
      </c>
      <c r="P26" s="72">
        <v>0</v>
      </c>
      <c r="Q26" s="72">
        <v>5195541</v>
      </c>
      <c r="R26" s="72">
        <v>4004284</v>
      </c>
      <c r="S26" s="436">
        <v>351006</v>
      </c>
      <c r="T26" s="436">
        <v>292858</v>
      </c>
    </row>
    <row r="27" spans="1:20" ht="10.9" customHeight="1">
      <c r="A27" s="207" t="s">
        <v>166</v>
      </c>
      <c r="B27" s="1" t="s">
        <v>123</v>
      </c>
      <c r="C27" s="1">
        <v>10300</v>
      </c>
      <c r="D27" s="1">
        <v>0</v>
      </c>
      <c r="E27" s="1">
        <v>0</v>
      </c>
      <c r="F27" s="1">
        <v>0</v>
      </c>
      <c r="G27" s="1">
        <v>0</v>
      </c>
      <c r="H27" s="1">
        <v>0</v>
      </c>
      <c r="I27" s="1">
        <v>0</v>
      </c>
      <c r="J27" s="1">
        <v>0</v>
      </c>
      <c r="K27" s="1">
        <v>0</v>
      </c>
      <c r="L27" s="72">
        <f t="shared" si="0"/>
        <v>10300</v>
      </c>
      <c r="M27" s="72">
        <v>70000</v>
      </c>
      <c r="N27" s="72">
        <v>0</v>
      </c>
      <c r="O27" s="72">
        <v>0</v>
      </c>
      <c r="P27" s="72">
        <v>0</v>
      </c>
      <c r="Q27" s="72">
        <v>3646294</v>
      </c>
      <c r="R27" s="72">
        <v>4826147</v>
      </c>
      <c r="S27" s="436">
        <v>182765</v>
      </c>
      <c r="T27" s="436">
        <v>186944</v>
      </c>
    </row>
    <row r="28" spans="1:20" ht="10.9" customHeight="1">
      <c r="A28" s="207" t="s">
        <v>167</v>
      </c>
      <c r="B28" s="1" t="s">
        <v>124</v>
      </c>
      <c r="C28" s="1">
        <v>90000</v>
      </c>
      <c r="D28" s="1">
        <v>0</v>
      </c>
      <c r="E28" s="1">
        <v>60000</v>
      </c>
      <c r="F28" s="1">
        <v>0</v>
      </c>
      <c r="G28" s="1">
        <v>0</v>
      </c>
      <c r="H28" s="1">
        <v>0</v>
      </c>
      <c r="I28" s="1">
        <v>0</v>
      </c>
      <c r="J28" s="1">
        <v>0</v>
      </c>
      <c r="K28" s="1">
        <v>0</v>
      </c>
      <c r="L28" s="72">
        <f t="shared" si="0"/>
        <v>150000</v>
      </c>
      <c r="M28" s="72">
        <v>26000</v>
      </c>
      <c r="N28" s="72">
        <v>0</v>
      </c>
      <c r="O28" s="72">
        <v>199480</v>
      </c>
      <c r="P28" s="72">
        <v>0</v>
      </c>
      <c r="Q28" s="72">
        <v>3141452</v>
      </c>
      <c r="R28" s="72">
        <v>2401083</v>
      </c>
      <c r="S28" s="436">
        <v>532525</v>
      </c>
      <c r="T28" s="436">
        <v>412739</v>
      </c>
    </row>
    <row r="29" spans="1:20" ht="10.9" customHeight="1">
      <c r="A29" s="207" t="s">
        <v>168</v>
      </c>
      <c r="B29" s="1" t="s">
        <v>125</v>
      </c>
      <c r="C29" s="1">
        <v>2037500</v>
      </c>
      <c r="D29" s="1">
        <v>0</v>
      </c>
      <c r="E29" s="1">
        <v>0</v>
      </c>
      <c r="F29" s="1">
        <v>0</v>
      </c>
      <c r="G29" s="1">
        <v>1500</v>
      </c>
      <c r="H29" s="1">
        <v>0</v>
      </c>
      <c r="I29" s="1">
        <v>0</v>
      </c>
      <c r="J29" s="1">
        <v>0</v>
      </c>
      <c r="K29" s="1">
        <v>0</v>
      </c>
      <c r="L29" s="72">
        <f t="shared" si="0"/>
        <v>2039000</v>
      </c>
      <c r="M29" s="72">
        <v>110000</v>
      </c>
      <c r="N29" s="72">
        <v>883328</v>
      </c>
      <c r="O29" s="72">
        <v>0</v>
      </c>
      <c r="P29" s="72">
        <v>0</v>
      </c>
      <c r="Q29" s="72">
        <v>29410218</v>
      </c>
      <c r="R29" s="72">
        <v>12184634</v>
      </c>
      <c r="S29" s="436">
        <v>609197</v>
      </c>
      <c r="T29" s="436">
        <v>555673</v>
      </c>
    </row>
    <row r="30" spans="1:20" ht="10.9" customHeight="1">
      <c r="A30" s="207" t="s">
        <v>169</v>
      </c>
      <c r="B30" s="1" t="s">
        <v>126</v>
      </c>
      <c r="C30" s="1">
        <v>44587</v>
      </c>
      <c r="D30" s="1">
        <v>0</v>
      </c>
      <c r="E30" s="1">
        <v>0</v>
      </c>
      <c r="F30" s="1">
        <v>0</v>
      </c>
      <c r="G30" s="1">
        <v>0</v>
      </c>
      <c r="H30" s="1">
        <v>0</v>
      </c>
      <c r="I30" s="1">
        <v>0</v>
      </c>
      <c r="J30" s="1">
        <v>0</v>
      </c>
      <c r="K30" s="1">
        <v>0</v>
      </c>
      <c r="L30" s="72">
        <f t="shared" si="0"/>
        <v>44587</v>
      </c>
      <c r="M30" s="72">
        <v>23000</v>
      </c>
      <c r="N30" s="72">
        <v>0</v>
      </c>
      <c r="O30" s="72">
        <v>0</v>
      </c>
      <c r="P30" s="72">
        <v>0</v>
      </c>
      <c r="Q30" s="72">
        <v>1578420</v>
      </c>
      <c r="R30" s="72">
        <v>1701530</v>
      </c>
      <c r="S30" s="436">
        <v>450522</v>
      </c>
      <c r="T30" s="436">
        <v>351997</v>
      </c>
    </row>
    <row r="31" spans="1:20" ht="10.9" customHeight="1">
      <c r="A31" s="207" t="s">
        <v>170</v>
      </c>
      <c r="B31" s="1" t="s">
        <v>127</v>
      </c>
      <c r="C31" s="1">
        <v>43000</v>
      </c>
      <c r="D31" s="1">
        <v>0</v>
      </c>
      <c r="E31" s="1">
        <v>0</v>
      </c>
      <c r="F31" s="1">
        <v>0</v>
      </c>
      <c r="G31" s="1">
        <v>0</v>
      </c>
      <c r="H31" s="1">
        <v>0</v>
      </c>
      <c r="I31" s="1">
        <v>0</v>
      </c>
      <c r="J31" s="1">
        <v>0</v>
      </c>
      <c r="K31" s="1">
        <v>0</v>
      </c>
      <c r="L31" s="72">
        <f t="shared" si="0"/>
        <v>43000</v>
      </c>
      <c r="M31" s="72">
        <v>47000</v>
      </c>
      <c r="N31" s="72">
        <v>0</v>
      </c>
      <c r="O31" s="72">
        <v>0</v>
      </c>
      <c r="P31" s="72">
        <v>0</v>
      </c>
      <c r="Q31" s="72">
        <v>4511021</v>
      </c>
      <c r="R31" s="72">
        <v>3657267</v>
      </c>
      <c r="S31" s="436">
        <v>401497</v>
      </c>
      <c r="T31" s="436">
        <v>334327</v>
      </c>
    </row>
    <row r="32" spans="1:20" ht="10.9" customHeight="1">
      <c r="A32" s="207" t="s">
        <v>171</v>
      </c>
      <c r="B32" s="1" t="s">
        <v>128</v>
      </c>
      <c r="C32" s="1">
        <v>170000</v>
      </c>
      <c r="D32" s="1">
        <v>0</v>
      </c>
      <c r="E32" s="1">
        <v>950</v>
      </c>
      <c r="F32" s="1">
        <v>0</v>
      </c>
      <c r="G32" s="1">
        <v>0</v>
      </c>
      <c r="H32" s="1">
        <v>5100</v>
      </c>
      <c r="I32" s="1">
        <v>0</v>
      </c>
      <c r="J32" s="1">
        <v>0</v>
      </c>
      <c r="K32" s="1">
        <v>0</v>
      </c>
      <c r="L32" s="72">
        <f t="shared" si="0"/>
        <v>176050</v>
      </c>
      <c r="M32" s="72">
        <v>25930</v>
      </c>
      <c r="N32" s="72">
        <v>0</v>
      </c>
      <c r="O32" s="72">
        <v>0</v>
      </c>
      <c r="P32" s="72">
        <v>0</v>
      </c>
      <c r="Q32" s="72">
        <v>4160657</v>
      </c>
      <c r="R32" s="72">
        <v>2980236</v>
      </c>
      <c r="S32" s="436">
        <v>574923</v>
      </c>
      <c r="T32" s="436">
        <v>429781</v>
      </c>
    </row>
    <row r="33" spans="1:20" ht="10.9" customHeight="1">
      <c r="A33" s="207" t="s">
        <v>172</v>
      </c>
      <c r="B33" s="1" t="s">
        <v>129</v>
      </c>
      <c r="C33" s="1">
        <v>85000</v>
      </c>
      <c r="D33" s="1">
        <v>0</v>
      </c>
      <c r="E33" s="1">
        <v>0</v>
      </c>
      <c r="F33" s="1">
        <v>0</v>
      </c>
      <c r="G33" s="1">
        <v>1500</v>
      </c>
      <c r="H33" s="1">
        <v>6000</v>
      </c>
      <c r="I33" s="1">
        <v>0</v>
      </c>
      <c r="J33" s="1">
        <v>0</v>
      </c>
      <c r="K33" s="1">
        <v>0</v>
      </c>
      <c r="L33" s="72">
        <f t="shared" si="0"/>
        <v>92500</v>
      </c>
      <c r="M33" s="72">
        <v>40000</v>
      </c>
      <c r="N33" s="72">
        <v>0</v>
      </c>
      <c r="O33" s="72">
        <v>0</v>
      </c>
      <c r="P33" s="72">
        <v>0</v>
      </c>
      <c r="Q33" s="72">
        <v>3432102</v>
      </c>
      <c r="R33" s="72">
        <v>3202405</v>
      </c>
      <c r="S33" s="436">
        <v>582533</v>
      </c>
      <c r="T33" s="436">
        <v>412082</v>
      </c>
    </row>
    <row r="34" spans="1:20" ht="10.9" customHeight="1">
      <c r="A34" s="207" t="s">
        <v>173</v>
      </c>
      <c r="B34" s="1" t="s">
        <v>130</v>
      </c>
      <c r="C34" s="1">
        <v>426000</v>
      </c>
      <c r="D34" s="1">
        <v>9519</v>
      </c>
      <c r="E34" s="1">
        <v>0</v>
      </c>
      <c r="F34" s="1">
        <v>0</v>
      </c>
      <c r="G34" s="1">
        <v>0</v>
      </c>
      <c r="H34" s="1">
        <v>0</v>
      </c>
      <c r="I34" s="1">
        <v>0</v>
      </c>
      <c r="J34" s="1">
        <v>0</v>
      </c>
      <c r="K34" s="1">
        <v>0</v>
      </c>
      <c r="L34" s="72">
        <f t="shared" si="0"/>
        <v>435519</v>
      </c>
      <c r="M34" s="72">
        <v>38500</v>
      </c>
      <c r="N34" s="72">
        <v>0</v>
      </c>
      <c r="O34" s="72">
        <v>0</v>
      </c>
      <c r="P34" s="72">
        <v>0</v>
      </c>
      <c r="Q34" s="72">
        <v>3613062</v>
      </c>
      <c r="R34" s="72">
        <v>3270048</v>
      </c>
      <c r="S34" s="436">
        <v>610676</v>
      </c>
      <c r="T34" s="436">
        <v>450123</v>
      </c>
    </row>
    <row r="35" spans="1:20" ht="10.9" customHeight="1">
      <c r="A35" s="207" t="s">
        <v>174</v>
      </c>
      <c r="B35" s="1" t="s">
        <v>131</v>
      </c>
      <c r="C35" s="1">
        <v>1000</v>
      </c>
      <c r="D35" s="1">
        <v>0</v>
      </c>
      <c r="E35" s="1">
        <v>0</v>
      </c>
      <c r="F35" s="1">
        <v>0</v>
      </c>
      <c r="G35" s="1">
        <v>3300</v>
      </c>
      <c r="H35" s="1">
        <v>44000</v>
      </c>
      <c r="I35" s="1">
        <v>0</v>
      </c>
      <c r="J35" s="1">
        <v>0</v>
      </c>
      <c r="K35" s="1">
        <v>0</v>
      </c>
      <c r="L35" s="72">
        <f t="shared" si="0"/>
        <v>48300</v>
      </c>
      <c r="M35" s="72">
        <v>60000</v>
      </c>
      <c r="N35" s="72">
        <v>0</v>
      </c>
      <c r="O35" s="72">
        <v>0</v>
      </c>
      <c r="P35" s="72">
        <v>0</v>
      </c>
      <c r="Q35" s="72">
        <v>30435166</v>
      </c>
      <c r="R35" s="72">
        <v>15520392</v>
      </c>
      <c r="S35" s="436">
        <v>425771</v>
      </c>
      <c r="T35" s="436">
        <v>377228</v>
      </c>
    </row>
    <row r="36" spans="1:20" ht="10.9" customHeight="1">
      <c r="A36" s="207" t="s">
        <v>175</v>
      </c>
      <c r="B36" s="1" t="s">
        <v>132</v>
      </c>
      <c r="C36" s="1">
        <v>347900</v>
      </c>
      <c r="D36" s="1">
        <v>0</v>
      </c>
      <c r="E36" s="1">
        <v>0</v>
      </c>
      <c r="F36" s="1">
        <v>0</v>
      </c>
      <c r="G36" s="1">
        <v>0</v>
      </c>
      <c r="H36" s="1">
        <v>0</v>
      </c>
      <c r="I36" s="1">
        <v>0</v>
      </c>
      <c r="J36" s="1">
        <v>0</v>
      </c>
      <c r="K36" s="1">
        <v>0</v>
      </c>
      <c r="L36" s="72">
        <f t="shared" si="0"/>
        <v>347900</v>
      </c>
      <c r="M36" s="72">
        <v>34000</v>
      </c>
      <c r="N36" s="72">
        <v>0</v>
      </c>
      <c r="O36" s="72">
        <v>0</v>
      </c>
      <c r="P36" s="72">
        <v>0</v>
      </c>
      <c r="Q36" s="72">
        <v>3398520</v>
      </c>
      <c r="R36" s="72">
        <v>1915718</v>
      </c>
      <c r="S36" s="436">
        <v>598587</v>
      </c>
      <c r="T36" s="436">
        <v>474772</v>
      </c>
    </row>
    <row r="37" spans="1:20" ht="10.9" customHeight="1">
      <c r="A37" s="207" t="s">
        <v>176</v>
      </c>
      <c r="B37" s="1" t="s">
        <v>133</v>
      </c>
      <c r="C37" s="1">
        <v>499300</v>
      </c>
      <c r="D37" s="1">
        <v>0</v>
      </c>
      <c r="E37" s="1">
        <v>0</v>
      </c>
      <c r="F37" s="1">
        <v>0</v>
      </c>
      <c r="G37" s="1">
        <v>0</v>
      </c>
      <c r="H37" s="1">
        <v>10600</v>
      </c>
      <c r="I37" s="1">
        <v>0</v>
      </c>
      <c r="J37" s="1">
        <v>0</v>
      </c>
      <c r="K37" s="1">
        <v>0</v>
      </c>
      <c r="L37" s="72">
        <f t="shared" si="0"/>
        <v>509900</v>
      </c>
      <c r="M37" s="72">
        <v>45000</v>
      </c>
      <c r="N37" s="72">
        <v>0</v>
      </c>
      <c r="O37" s="72">
        <v>0</v>
      </c>
      <c r="P37" s="72">
        <v>0</v>
      </c>
      <c r="Q37" s="72">
        <v>7774798</v>
      </c>
      <c r="R37" s="72">
        <v>5971012</v>
      </c>
      <c r="S37" s="436">
        <v>312066</v>
      </c>
      <c r="T37" s="436">
        <v>278467</v>
      </c>
    </row>
    <row r="38" spans="1:20" ht="10.9" customHeight="1">
      <c r="A38" s="207" t="s">
        <v>177</v>
      </c>
      <c r="B38" s="1" t="s">
        <v>134</v>
      </c>
      <c r="C38" s="1">
        <v>866000</v>
      </c>
      <c r="D38" s="1">
        <v>225500</v>
      </c>
      <c r="E38" s="1">
        <v>0</v>
      </c>
      <c r="F38" s="1">
        <v>0</v>
      </c>
      <c r="G38" s="1">
        <v>0</v>
      </c>
      <c r="H38" s="1">
        <v>121000</v>
      </c>
      <c r="I38" s="1">
        <v>0</v>
      </c>
      <c r="J38" s="1">
        <v>0</v>
      </c>
      <c r="K38" s="1">
        <v>0</v>
      </c>
      <c r="L38" s="72">
        <f>SUM(C38:I38)-J38+K38</f>
        <v>1212500</v>
      </c>
      <c r="M38" s="72">
        <v>78000</v>
      </c>
      <c r="N38" s="72">
        <v>0</v>
      </c>
      <c r="O38" s="72">
        <v>0</v>
      </c>
      <c r="P38" s="72">
        <v>0</v>
      </c>
      <c r="Q38" s="72">
        <v>21353453</v>
      </c>
      <c r="R38" s="72">
        <v>10714634</v>
      </c>
      <c r="S38" s="436">
        <v>323994</v>
      </c>
      <c r="T38" s="436">
        <v>296939</v>
      </c>
    </row>
    <row r="39" spans="1:20" ht="10.9" customHeight="1">
      <c r="A39" s="207" t="s">
        <v>178</v>
      </c>
      <c r="B39" s="1" t="s">
        <v>135</v>
      </c>
      <c r="C39" s="1">
        <v>175000</v>
      </c>
      <c r="D39" s="1">
        <v>0</v>
      </c>
      <c r="E39" s="1">
        <v>0</v>
      </c>
      <c r="F39" s="1">
        <v>0</v>
      </c>
      <c r="G39" s="1">
        <v>0</v>
      </c>
      <c r="H39" s="1">
        <v>0</v>
      </c>
      <c r="I39" s="1">
        <v>0</v>
      </c>
      <c r="J39" s="1">
        <v>0</v>
      </c>
      <c r="K39" s="1">
        <v>0</v>
      </c>
      <c r="L39" s="72">
        <f t="shared" ref="L39:L46" si="1">SUM(C39:I39)-J39+K39</f>
        <v>175000</v>
      </c>
      <c r="M39" s="72">
        <v>37469</v>
      </c>
      <c r="N39" s="72">
        <v>0</v>
      </c>
      <c r="O39" s="72">
        <v>0</v>
      </c>
      <c r="P39" s="72">
        <v>0</v>
      </c>
      <c r="Q39" s="72">
        <v>2814730</v>
      </c>
      <c r="R39" s="72">
        <v>2077122</v>
      </c>
      <c r="S39" s="436">
        <v>795669</v>
      </c>
      <c r="T39" s="436">
        <v>639816</v>
      </c>
    </row>
    <row r="40" spans="1:20" ht="10.9" customHeight="1">
      <c r="A40" s="207" t="s">
        <v>179</v>
      </c>
      <c r="B40" s="1" t="s">
        <v>136</v>
      </c>
      <c r="C40" s="1">
        <v>457000</v>
      </c>
      <c r="D40" s="1">
        <v>0</v>
      </c>
      <c r="E40" s="1">
        <v>0</v>
      </c>
      <c r="F40" s="1">
        <v>6000</v>
      </c>
      <c r="G40" s="1">
        <v>0</v>
      </c>
      <c r="H40" s="1">
        <v>0</v>
      </c>
      <c r="I40" s="1">
        <v>0</v>
      </c>
      <c r="J40" s="1">
        <v>0</v>
      </c>
      <c r="K40" s="1">
        <v>0</v>
      </c>
      <c r="L40" s="72">
        <f t="shared" si="1"/>
        <v>463000</v>
      </c>
      <c r="M40" s="72">
        <v>86300</v>
      </c>
      <c r="N40" s="72">
        <v>365244</v>
      </c>
      <c r="O40" s="72">
        <v>0</v>
      </c>
      <c r="P40" s="72">
        <v>0</v>
      </c>
      <c r="Q40" s="72">
        <v>19629674</v>
      </c>
      <c r="R40" s="72">
        <v>7870314</v>
      </c>
      <c r="S40" s="436">
        <v>589832</v>
      </c>
      <c r="T40" s="436">
        <v>541167</v>
      </c>
    </row>
    <row r="41" spans="1:20" ht="10.9" customHeight="1">
      <c r="A41" s="207" t="s">
        <v>180</v>
      </c>
      <c r="B41" s="1" t="s">
        <v>137</v>
      </c>
      <c r="C41" s="1">
        <v>556000</v>
      </c>
      <c r="D41" s="1">
        <v>150000</v>
      </c>
      <c r="E41" s="1">
        <v>20000</v>
      </c>
      <c r="F41" s="1">
        <v>0</v>
      </c>
      <c r="G41" s="1">
        <v>-3500</v>
      </c>
      <c r="H41" s="1">
        <v>0</v>
      </c>
      <c r="I41" s="1">
        <v>0</v>
      </c>
      <c r="J41" s="1">
        <v>0</v>
      </c>
      <c r="K41" s="1">
        <v>0</v>
      </c>
      <c r="L41" s="72">
        <f t="shared" si="1"/>
        <v>722500</v>
      </c>
      <c r="M41" s="72">
        <v>54089</v>
      </c>
      <c r="N41" s="72">
        <v>0</v>
      </c>
      <c r="O41" s="72">
        <v>0</v>
      </c>
      <c r="P41" s="72">
        <v>0</v>
      </c>
      <c r="Q41" s="72">
        <v>11620497</v>
      </c>
      <c r="R41" s="72">
        <v>6562146</v>
      </c>
      <c r="S41" s="436">
        <v>542780</v>
      </c>
      <c r="T41" s="436">
        <v>469811</v>
      </c>
    </row>
    <row r="42" spans="1:20" ht="10.9" customHeight="1">
      <c r="A42" s="207" t="s">
        <v>181</v>
      </c>
      <c r="B42" s="1" t="s">
        <v>138</v>
      </c>
      <c r="C42" s="1">
        <v>2600</v>
      </c>
      <c r="D42" s="1">
        <v>0</v>
      </c>
      <c r="E42" s="1">
        <v>0</v>
      </c>
      <c r="F42" s="1">
        <v>0</v>
      </c>
      <c r="G42" s="1">
        <v>0</v>
      </c>
      <c r="H42" s="1">
        <v>0</v>
      </c>
      <c r="I42" s="1">
        <v>0</v>
      </c>
      <c r="J42" s="1">
        <v>0</v>
      </c>
      <c r="K42" s="1">
        <v>0</v>
      </c>
      <c r="L42" s="72">
        <f t="shared" si="1"/>
        <v>2600</v>
      </c>
      <c r="M42" s="72">
        <v>32000</v>
      </c>
      <c r="N42" s="72">
        <v>0</v>
      </c>
      <c r="O42" s="72">
        <v>0</v>
      </c>
      <c r="P42" s="72">
        <v>0</v>
      </c>
      <c r="Q42" s="72">
        <v>3094751</v>
      </c>
      <c r="R42" s="72">
        <v>2433938</v>
      </c>
      <c r="S42" s="436">
        <v>389427</v>
      </c>
      <c r="T42" s="436">
        <v>299120</v>
      </c>
    </row>
    <row r="43" spans="1:20" ht="10.9" customHeight="1">
      <c r="A43" s="207" t="s">
        <v>182</v>
      </c>
      <c r="B43" s="1" t="s">
        <v>139</v>
      </c>
      <c r="C43" s="1">
        <v>26000</v>
      </c>
      <c r="D43" s="1">
        <v>0</v>
      </c>
      <c r="E43" s="1">
        <v>0</v>
      </c>
      <c r="F43" s="1">
        <v>0</v>
      </c>
      <c r="G43" s="1">
        <v>0</v>
      </c>
      <c r="H43" s="1">
        <v>0</v>
      </c>
      <c r="I43" s="1">
        <v>0</v>
      </c>
      <c r="J43" s="1">
        <v>0</v>
      </c>
      <c r="K43" s="1">
        <v>0</v>
      </c>
      <c r="L43" s="72">
        <f t="shared" si="1"/>
        <v>26000</v>
      </c>
      <c r="M43" s="72">
        <v>18000</v>
      </c>
      <c r="N43" s="72">
        <v>0</v>
      </c>
      <c r="O43" s="72">
        <v>0</v>
      </c>
      <c r="P43" s="72">
        <v>0</v>
      </c>
      <c r="Q43" s="72">
        <v>1637416</v>
      </c>
      <c r="R43" s="72">
        <v>1209147</v>
      </c>
      <c r="S43" s="436">
        <v>604308</v>
      </c>
      <c r="T43" s="436">
        <v>431452</v>
      </c>
    </row>
    <row r="44" spans="1:20" ht="10.9" customHeight="1">
      <c r="A44" s="207" t="s">
        <v>183</v>
      </c>
      <c r="B44" s="1" t="s">
        <v>140</v>
      </c>
      <c r="C44" s="1">
        <v>208437</v>
      </c>
      <c r="D44" s="1">
        <v>0</v>
      </c>
      <c r="E44" s="1">
        <v>0</v>
      </c>
      <c r="F44" s="1">
        <v>0</v>
      </c>
      <c r="G44" s="1">
        <v>0</v>
      </c>
      <c r="H44" s="1">
        <v>0</v>
      </c>
      <c r="I44" s="1">
        <v>0</v>
      </c>
      <c r="J44" s="1">
        <v>0</v>
      </c>
      <c r="K44" s="1">
        <v>0</v>
      </c>
      <c r="L44" s="72">
        <f t="shared" si="1"/>
        <v>208437</v>
      </c>
      <c r="M44" s="72">
        <v>14000</v>
      </c>
      <c r="N44" s="72">
        <v>0</v>
      </c>
      <c r="O44" s="72">
        <v>0</v>
      </c>
      <c r="P44" s="72">
        <v>0</v>
      </c>
      <c r="Q44" s="72">
        <v>1539957</v>
      </c>
      <c r="R44" s="72">
        <v>1551389</v>
      </c>
      <c r="S44" s="436">
        <v>262545</v>
      </c>
      <c r="T44" s="436">
        <v>212427</v>
      </c>
    </row>
    <row r="45" spans="1:20" ht="10.9" customHeight="1">
      <c r="A45" s="207" t="s">
        <v>184</v>
      </c>
      <c r="B45" s="1" t="s">
        <v>141</v>
      </c>
      <c r="C45" s="1">
        <v>247750</v>
      </c>
      <c r="D45" s="1">
        <v>0</v>
      </c>
      <c r="E45" s="1">
        <v>7000</v>
      </c>
      <c r="F45" s="1">
        <v>0</v>
      </c>
      <c r="G45" s="1">
        <v>-7000</v>
      </c>
      <c r="H45" s="1">
        <v>0</v>
      </c>
      <c r="I45" s="1">
        <v>0</v>
      </c>
      <c r="J45" s="1">
        <v>0</v>
      </c>
      <c r="K45" s="1">
        <v>0</v>
      </c>
      <c r="L45" s="72">
        <f t="shared" si="1"/>
        <v>247750</v>
      </c>
      <c r="M45" s="72">
        <v>16500</v>
      </c>
      <c r="N45" s="72">
        <v>0</v>
      </c>
      <c r="O45" s="72">
        <v>0</v>
      </c>
      <c r="P45" s="72">
        <v>0</v>
      </c>
      <c r="Q45" s="72">
        <v>2435005</v>
      </c>
      <c r="R45" s="72">
        <v>1745872</v>
      </c>
      <c r="S45" s="436">
        <v>326239</v>
      </c>
      <c r="T45" s="436">
        <v>286085</v>
      </c>
    </row>
    <row r="46" spans="1:20" ht="10.9" customHeight="1">
      <c r="A46" s="207" t="s">
        <v>185</v>
      </c>
      <c r="B46" s="1" t="s">
        <v>142</v>
      </c>
      <c r="C46" s="1">
        <v>1950000</v>
      </c>
      <c r="D46" s="1">
        <v>459500</v>
      </c>
      <c r="E46" s="1">
        <v>0</v>
      </c>
      <c r="F46" s="1">
        <v>0</v>
      </c>
      <c r="G46" s="1">
        <v>12000</v>
      </c>
      <c r="H46" s="1">
        <v>84000</v>
      </c>
      <c r="I46" s="1">
        <v>0</v>
      </c>
      <c r="J46" s="1">
        <v>0</v>
      </c>
      <c r="K46" s="1">
        <v>0</v>
      </c>
      <c r="L46" s="72">
        <f t="shared" si="1"/>
        <v>2505500</v>
      </c>
      <c r="M46" s="72">
        <v>0</v>
      </c>
      <c r="N46" s="72">
        <v>182900</v>
      </c>
      <c r="O46" s="72">
        <v>0</v>
      </c>
      <c r="P46" s="72">
        <v>0</v>
      </c>
      <c r="Q46" s="72">
        <v>59019609</v>
      </c>
      <c r="R46" s="72">
        <v>28167275</v>
      </c>
      <c r="S46" s="436">
        <v>417567</v>
      </c>
      <c r="T46" s="436">
        <v>362827</v>
      </c>
    </row>
    <row r="47" spans="1:20" ht="3.95" customHeight="1">
      <c r="A47" s="207"/>
    </row>
    <row r="48" spans="1:20">
      <c r="A48" s="207"/>
      <c r="B48" s="1" t="s">
        <v>143</v>
      </c>
      <c r="C48" s="1">
        <f t="shared" ref="C48:N48" si="2">SUM(C11:C46)</f>
        <v>15024809</v>
      </c>
      <c r="D48" s="1">
        <f t="shared" si="2"/>
        <v>1382519</v>
      </c>
      <c r="E48" s="1">
        <f t="shared" si="2"/>
        <v>1421640</v>
      </c>
      <c r="F48" s="1">
        <f t="shared" si="2"/>
        <v>33000</v>
      </c>
      <c r="G48" s="1">
        <f t="shared" si="2"/>
        <v>147100</v>
      </c>
      <c r="H48" s="1">
        <f t="shared" si="2"/>
        <v>411105</v>
      </c>
      <c r="I48" s="1">
        <f t="shared" si="2"/>
        <v>250000</v>
      </c>
      <c r="J48" s="1">
        <f t="shared" si="2"/>
        <v>0</v>
      </c>
      <c r="K48" s="1">
        <f t="shared" si="2"/>
        <v>0</v>
      </c>
      <c r="L48" s="1">
        <f t="shared" si="2"/>
        <v>18670173</v>
      </c>
      <c r="M48" s="1">
        <f t="shared" si="2"/>
        <v>1381051</v>
      </c>
      <c r="N48" s="1">
        <f t="shared" si="2"/>
        <v>2315570</v>
      </c>
      <c r="O48" s="1">
        <f>SUM(O11:O46)</f>
        <v>199480</v>
      </c>
      <c r="P48" s="1">
        <f>SUM(P11:P46)</f>
        <v>1000</v>
      </c>
      <c r="Q48" s="1">
        <f t="shared" ref="Q48:R48" si="3">SUM(Q11:Q46)</f>
        <v>360063842</v>
      </c>
      <c r="R48" s="1">
        <f t="shared" si="3"/>
        <v>198010716</v>
      </c>
      <c r="S48" s="436">
        <v>434942.09930884093</v>
      </c>
      <c r="T48" s="436">
        <v>378947.90222884336</v>
      </c>
    </row>
    <row r="49" spans="1:20" ht="3.95" customHeight="1">
      <c r="A49" s="207"/>
      <c r="B49" s="1" t="s">
        <v>1</v>
      </c>
    </row>
    <row r="50" spans="1:20" ht="11.1" customHeight="1">
      <c r="A50" s="207" t="s">
        <v>187</v>
      </c>
      <c r="B50" s="1" t="s">
        <v>144</v>
      </c>
      <c r="C50" s="1">
        <v>0</v>
      </c>
      <c r="D50" s="1">
        <v>0</v>
      </c>
      <c r="E50" s="1">
        <v>0</v>
      </c>
      <c r="F50" s="1">
        <v>10000</v>
      </c>
      <c r="G50" s="1">
        <v>0</v>
      </c>
      <c r="H50" s="1">
        <v>0</v>
      </c>
      <c r="I50" s="1">
        <v>3000</v>
      </c>
      <c r="J50" s="1">
        <v>0</v>
      </c>
      <c r="K50" s="1">
        <v>0</v>
      </c>
      <c r="L50" s="72">
        <f>SUM(C50:I50)-J50+K50</f>
        <v>13000</v>
      </c>
      <c r="M50" s="72">
        <v>0</v>
      </c>
      <c r="N50" s="72">
        <v>0</v>
      </c>
      <c r="O50" s="72">
        <v>0</v>
      </c>
      <c r="P50" s="72">
        <v>0</v>
      </c>
      <c r="Q50" s="72">
        <v>510102</v>
      </c>
      <c r="R50" s="72">
        <v>156758</v>
      </c>
      <c r="S50" s="437" t="s">
        <v>353</v>
      </c>
      <c r="T50" s="437" t="s">
        <v>353</v>
      </c>
    </row>
    <row r="51" spans="1:20" ht="10.9" customHeight="1">
      <c r="A51" s="207" t="s">
        <v>186</v>
      </c>
      <c r="B51" s="1" t="s">
        <v>363</v>
      </c>
      <c r="C51" s="1">
        <v>0</v>
      </c>
      <c r="D51" s="1">
        <v>0</v>
      </c>
      <c r="E51" s="1">
        <v>374928</v>
      </c>
      <c r="F51" s="1">
        <v>0</v>
      </c>
      <c r="G51" s="1">
        <v>0</v>
      </c>
      <c r="H51" s="1">
        <v>0</v>
      </c>
      <c r="I51" s="1">
        <v>0</v>
      </c>
      <c r="J51" s="1">
        <v>0</v>
      </c>
      <c r="K51" s="1">
        <v>0</v>
      </c>
      <c r="L51" s="72">
        <f>SUM(C51:I51)-J51+K51</f>
        <v>374928</v>
      </c>
      <c r="M51" s="72">
        <v>0</v>
      </c>
      <c r="N51" s="72">
        <v>0</v>
      </c>
      <c r="O51" s="72">
        <v>0</v>
      </c>
      <c r="P51" s="72">
        <v>0</v>
      </c>
      <c r="Q51" s="72">
        <v>7433473</v>
      </c>
      <c r="R51" s="72">
        <v>0</v>
      </c>
    </row>
    <row r="52" spans="1:20" ht="3.95" customHeight="1"/>
    <row r="53" spans="1:20" ht="10.9" customHeight="1">
      <c r="S53" s="516" t="s">
        <v>529</v>
      </c>
    </row>
    <row r="54" spans="1:20" ht="10.9" customHeight="1">
      <c r="B54" s="1" t="s">
        <v>315</v>
      </c>
      <c r="C54" s="1">
        <v>15024809</v>
      </c>
      <c r="D54" s="1">
        <v>1382519</v>
      </c>
      <c r="E54" s="1">
        <v>1421640</v>
      </c>
      <c r="F54" s="1">
        <v>33000</v>
      </c>
      <c r="G54" s="1">
        <v>147100</v>
      </c>
      <c r="H54" s="1">
        <v>411105</v>
      </c>
      <c r="I54" s="1">
        <v>250000</v>
      </c>
      <c r="J54" s="1">
        <v>0</v>
      </c>
      <c r="K54" s="1">
        <v>0</v>
      </c>
      <c r="L54" s="72">
        <f>SUM(C54:I54)-J54+K54</f>
        <v>18670173</v>
      </c>
      <c r="S54" s="517" t="s">
        <v>531</v>
      </c>
    </row>
    <row r="55" spans="1:20">
      <c r="B55" s="423" t="s">
        <v>314</v>
      </c>
      <c r="C55" s="423">
        <f>+C48-C54</f>
        <v>0</v>
      </c>
      <c r="D55" s="423">
        <f t="shared" ref="D55:L55" si="4">+D48-D54</f>
        <v>0</v>
      </c>
      <c r="E55" s="423">
        <f t="shared" si="4"/>
        <v>0</v>
      </c>
      <c r="F55" s="423">
        <f t="shared" si="4"/>
        <v>0</v>
      </c>
      <c r="G55" s="423">
        <f t="shared" si="4"/>
        <v>0</v>
      </c>
      <c r="H55" s="423">
        <f t="shared" si="4"/>
        <v>0</v>
      </c>
      <c r="I55" s="423">
        <f t="shared" si="4"/>
        <v>0</v>
      </c>
      <c r="J55" s="423">
        <f t="shared" si="4"/>
        <v>0</v>
      </c>
      <c r="K55" s="423">
        <f t="shared" si="4"/>
        <v>0</v>
      </c>
      <c r="L55" s="423">
        <f t="shared" si="4"/>
        <v>0</v>
      </c>
      <c r="M55" s="423"/>
      <c r="N55" s="423"/>
      <c r="O55" s="423"/>
      <c r="P55" s="423"/>
      <c r="Q55" s="423"/>
      <c r="R55" s="423"/>
      <c r="S55" s="516" t="s">
        <v>530</v>
      </c>
    </row>
    <row r="58" spans="1:20">
      <c r="B58" s="514" t="s">
        <v>571</v>
      </c>
      <c r="C58" s="838" t="s">
        <v>572</v>
      </c>
      <c r="D58" s="839"/>
      <c r="E58" s="839"/>
      <c r="F58" s="840"/>
      <c r="G58" s="514" t="s">
        <v>573</v>
      </c>
    </row>
    <row r="59" spans="1:20">
      <c r="B59" s="424">
        <v>18</v>
      </c>
      <c r="C59" s="424">
        <v>0</v>
      </c>
      <c r="D59" s="424">
        <v>0</v>
      </c>
      <c r="E59" s="424"/>
      <c r="F59" s="424"/>
      <c r="G59" s="424">
        <v>100</v>
      </c>
    </row>
    <row r="60" spans="1:20">
      <c r="B60" s="515">
        <f>+B59+1</f>
        <v>19</v>
      </c>
      <c r="C60" s="515">
        <v>0</v>
      </c>
      <c r="D60" s="515">
        <v>0</v>
      </c>
      <c r="E60" s="515">
        <v>0</v>
      </c>
      <c r="F60" s="515"/>
      <c r="G60" s="515">
        <v>100</v>
      </c>
    </row>
    <row r="61" spans="1:20">
      <c r="B61" s="424">
        <f t="shared" ref="B61:B74" si="5">+B60+1</f>
        <v>20</v>
      </c>
      <c r="C61" s="424">
        <v>0</v>
      </c>
      <c r="D61" s="424"/>
      <c r="E61" s="424"/>
      <c r="F61" s="424"/>
      <c r="G61" s="424">
        <v>100</v>
      </c>
    </row>
    <row r="62" spans="1:20">
      <c r="B62" s="515">
        <f t="shared" si="5"/>
        <v>21</v>
      </c>
      <c r="C62" s="515">
        <v>0</v>
      </c>
      <c r="D62" s="515">
        <v>0</v>
      </c>
      <c r="E62" s="515">
        <v>0</v>
      </c>
      <c r="F62" s="515"/>
      <c r="G62" s="515">
        <v>200</v>
      </c>
    </row>
    <row r="63" spans="1:20">
      <c r="B63" s="424">
        <f t="shared" si="5"/>
        <v>22</v>
      </c>
      <c r="C63" s="424">
        <v>0</v>
      </c>
      <c r="D63" s="424">
        <v>0</v>
      </c>
      <c r="E63" s="424">
        <v>0</v>
      </c>
      <c r="F63" s="424"/>
      <c r="G63" s="424">
        <v>200</v>
      </c>
    </row>
    <row r="64" spans="1:20">
      <c r="B64" s="515">
        <f t="shared" si="5"/>
        <v>23</v>
      </c>
      <c r="C64" s="515">
        <v>0</v>
      </c>
      <c r="D64" s="515">
        <v>0</v>
      </c>
      <c r="E64" s="515"/>
      <c r="F64" s="515"/>
      <c r="G64" s="515">
        <v>300</v>
      </c>
    </row>
    <row r="65" spans="2:7">
      <c r="B65" s="424">
        <f t="shared" si="5"/>
        <v>24</v>
      </c>
      <c r="C65" s="424">
        <v>0</v>
      </c>
      <c r="D65" s="424">
        <v>0</v>
      </c>
      <c r="E65" s="424">
        <v>0</v>
      </c>
      <c r="F65" s="424">
        <v>0</v>
      </c>
      <c r="G65" s="424">
        <v>400</v>
      </c>
    </row>
    <row r="66" spans="2:7">
      <c r="B66" s="515">
        <f t="shared" si="5"/>
        <v>25</v>
      </c>
      <c r="C66" s="515">
        <v>0</v>
      </c>
      <c r="D66" s="515">
        <v>0</v>
      </c>
      <c r="E66" s="515">
        <v>0</v>
      </c>
      <c r="F66" s="515"/>
      <c r="G66" s="515">
        <v>500</v>
      </c>
    </row>
    <row r="67" spans="2:7">
      <c r="B67" s="424">
        <f t="shared" si="5"/>
        <v>26</v>
      </c>
      <c r="C67" s="424">
        <v>0</v>
      </c>
      <c r="D67" s="424"/>
      <c r="E67" s="424"/>
      <c r="F67" s="424"/>
      <c r="G67" s="424">
        <v>500</v>
      </c>
    </row>
    <row r="68" spans="2:7">
      <c r="B68" s="515">
        <f t="shared" si="5"/>
        <v>27</v>
      </c>
      <c r="C68" s="515">
        <v>0</v>
      </c>
      <c r="D68" s="515">
        <v>0</v>
      </c>
      <c r="E68" s="515">
        <v>0</v>
      </c>
      <c r="F68" s="515"/>
      <c r="G68" s="515">
        <v>600</v>
      </c>
    </row>
    <row r="69" spans="2:7">
      <c r="B69" s="424">
        <f t="shared" si="5"/>
        <v>28</v>
      </c>
      <c r="C69" s="424">
        <v>0</v>
      </c>
      <c r="D69" s="424">
        <v>0</v>
      </c>
      <c r="E69" s="424"/>
      <c r="F69" s="424"/>
      <c r="G69" s="424">
        <v>600</v>
      </c>
    </row>
    <row r="70" spans="2:7">
      <c r="B70" s="515">
        <f t="shared" si="5"/>
        <v>29</v>
      </c>
      <c r="C70" s="515">
        <v>0</v>
      </c>
      <c r="D70" s="515">
        <v>0</v>
      </c>
      <c r="E70" s="515">
        <v>0</v>
      </c>
      <c r="F70" s="515"/>
      <c r="G70" s="515">
        <v>700</v>
      </c>
    </row>
    <row r="71" spans="2:7">
      <c r="B71" s="424">
        <f t="shared" si="5"/>
        <v>30</v>
      </c>
      <c r="C71" s="424">
        <v>0</v>
      </c>
      <c r="D71" s="424">
        <v>0</v>
      </c>
      <c r="E71" s="424"/>
      <c r="F71" s="424"/>
      <c r="G71" s="424">
        <v>700</v>
      </c>
    </row>
    <row r="72" spans="2:7">
      <c r="B72" s="515">
        <f t="shared" si="5"/>
        <v>31</v>
      </c>
      <c r="C72" s="515">
        <v>0</v>
      </c>
      <c r="D72" s="515">
        <v>0</v>
      </c>
      <c r="E72" s="515">
        <v>0</v>
      </c>
      <c r="F72" s="515"/>
      <c r="G72" s="515">
        <v>800</v>
      </c>
    </row>
    <row r="73" spans="2:7">
      <c r="B73" s="424">
        <f t="shared" si="5"/>
        <v>32</v>
      </c>
      <c r="C73" s="424">
        <v>0</v>
      </c>
      <c r="D73" s="424">
        <v>0</v>
      </c>
      <c r="E73" s="424"/>
      <c r="F73" s="424"/>
      <c r="G73" s="424">
        <v>800</v>
      </c>
    </row>
    <row r="74" spans="2:7">
      <c r="B74" s="515">
        <f t="shared" si="5"/>
        <v>33</v>
      </c>
      <c r="C74" s="515">
        <v>0</v>
      </c>
      <c r="D74" s="515">
        <v>0</v>
      </c>
      <c r="E74" s="515"/>
      <c r="F74" s="515"/>
      <c r="G74" s="515">
        <v>900</v>
      </c>
    </row>
  </sheetData>
  <mergeCells count="2">
    <mergeCell ref="O6:O9"/>
    <mergeCell ref="C58:F58"/>
  </mergeCells>
  <phoneticPr fontId="0" type="noConversion"/>
  <pageMargins left="0.25" right="0.6" top="0.6" bottom="0.2" header="0.5" footer="0.5"/>
  <pageSetup paperSize="5" scale="87" orientation="landscape" horizontalDpi="4294967292" r:id="rId1"/>
  <headerFooter alignWithMargins="0"/>
  <legacyDrawing r:id="rId2"/>
</worksheet>
</file>

<file path=xl/worksheets/sheet6.xml><?xml version="1.0" encoding="utf-8"?>
<worksheet xmlns="http://schemas.openxmlformats.org/spreadsheetml/2006/main" xmlns:r="http://schemas.openxmlformats.org/officeDocument/2006/relationships">
  <sheetPr codeName="Sheet5">
    <pageSetUpPr fitToPage="1"/>
  </sheetPr>
  <dimension ref="A1:BB63"/>
  <sheetViews>
    <sheetView showGridLines="0" showZeros="0" workbookViewId="0"/>
  </sheetViews>
  <sheetFormatPr defaultColWidth="16.83203125" defaultRowHeight="12"/>
  <cols>
    <col min="1" max="1" width="32.83203125" style="1" customWidth="1"/>
    <col min="2" max="7" width="16.83203125" style="1" customWidth="1"/>
    <col min="8" max="16384" width="16.83203125" style="1"/>
  </cols>
  <sheetData>
    <row r="1" spans="1:54" ht="6.95" customHeight="1">
      <c r="A1" s="3"/>
      <c r="B1" s="4"/>
      <c r="C1" s="4"/>
      <c r="D1" s="4"/>
      <c r="E1" s="4"/>
      <c r="F1" s="4"/>
    </row>
    <row r="2" spans="1:54" ht="15.95" customHeight="1">
      <c r="A2" s="33"/>
      <c r="B2" s="34" t="str">
        <f>IF(Lang=1,BA2,BB2)</f>
        <v>ENROLMENTS - HEADCOUNT, FRAME AND ELIGIBLE</v>
      </c>
      <c r="C2" s="6"/>
      <c r="D2" s="6"/>
      <c r="E2" s="6"/>
      <c r="F2" s="85"/>
      <c r="G2" s="85"/>
      <c r="BA2" s="463" t="s">
        <v>78</v>
      </c>
      <c r="BB2" s="463" t="s">
        <v>386</v>
      </c>
    </row>
    <row r="3" spans="1:54" ht="15.95" customHeight="1">
      <c r="A3" s="37"/>
      <c r="B3" s="38" t="str">
        <f>IF(Lang=1,BA3,BB3)</f>
        <v>ACTUAL AND ESTIMATES AS OF SEPTEMBER 30</v>
      </c>
      <c r="C3" s="8"/>
      <c r="D3" s="8"/>
      <c r="E3" s="8"/>
      <c r="F3" s="87"/>
      <c r="G3" s="87"/>
      <c r="BA3" s="461" t="s">
        <v>229</v>
      </c>
      <c r="BB3" s="461" t="s">
        <v>387</v>
      </c>
    </row>
    <row r="4" spans="1:54" ht="15.95" customHeight="1">
      <c r="B4" s="4"/>
      <c r="C4" s="4"/>
      <c r="D4" s="4"/>
      <c r="E4" s="4"/>
      <c r="F4" s="4"/>
    </row>
    <row r="5" spans="1:54" ht="15.95" customHeight="1">
      <c r="B5" s="286" t="s">
        <v>233</v>
      </c>
      <c r="C5" s="287"/>
      <c r="D5" s="288"/>
      <c r="E5" s="289" t="s">
        <v>234</v>
      </c>
      <c r="F5" s="290" t="s">
        <v>235</v>
      </c>
      <c r="G5" s="291" t="s">
        <v>235</v>
      </c>
    </row>
    <row r="6" spans="1:54" ht="15.95" customHeight="1">
      <c r="B6" s="577" t="s">
        <v>595</v>
      </c>
      <c r="C6" s="578"/>
      <c r="D6" s="579"/>
      <c r="E6" s="583" t="s">
        <v>596</v>
      </c>
      <c r="F6" s="583" t="s">
        <v>597</v>
      </c>
      <c r="G6" s="583" t="s">
        <v>524</v>
      </c>
    </row>
    <row r="7" spans="1:54" ht="15.95" customHeight="1">
      <c r="B7" s="580"/>
      <c r="C7" s="581"/>
      <c r="D7" s="582"/>
      <c r="E7" s="584"/>
      <c r="F7" s="584" t="s">
        <v>376</v>
      </c>
      <c r="G7" s="584" t="s">
        <v>376</v>
      </c>
    </row>
    <row r="8" spans="1:54" ht="15.95" customHeight="1">
      <c r="A8" s="82"/>
      <c r="B8" s="586" t="s">
        <v>383</v>
      </c>
      <c r="C8" s="588" t="s">
        <v>384</v>
      </c>
      <c r="D8" s="588" t="s">
        <v>385</v>
      </c>
      <c r="E8" s="588" t="s">
        <v>381</v>
      </c>
      <c r="F8" s="588" t="s">
        <v>385</v>
      </c>
      <c r="G8" s="536" t="s">
        <v>385</v>
      </c>
    </row>
    <row r="9" spans="1:54" ht="15.95" customHeight="1">
      <c r="A9" s="27" t="s">
        <v>37</v>
      </c>
      <c r="B9" s="587"/>
      <c r="C9" s="589"/>
      <c r="D9" s="589"/>
      <c r="E9" s="589"/>
      <c r="F9" s="589"/>
      <c r="G9" s="538"/>
    </row>
    <row r="10" spans="1:54" ht="5.0999999999999996" customHeight="1">
      <c r="A10" s="29"/>
    </row>
    <row r="11" spans="1:54" ht="14.1" customHeight="1">
      <c r="A11" s="271" t="s">
        <v>108</v>
      </c>
      <c r="B11" s="272">
        <v>1756</v>
      </c>
      <c r="C11" s="272">
        <v>0</v>
      </c>
      <c r="D11" s="272">
        <v>1756</v>
      </c>
      <c r="E11" s="292">
        <f>'- 7 -'!E11</f>
        <v>1753</v>
      </c>
      <c r="F11" s="292">
        <v>1685.9</v>
      </c>
      <c r="G11" s="292">
        <v>1590</v>
      </c>
    </row>
    <row r="12" spans="1:54" ht="14.1" customHeight="1">
      <c r="A12" s="15" t="s">
        <v>109</v>
      </c>
      <c r="B12" s="16">
        <v>2191</v>
      </c>
      <c r="C12" s="16">
        <v>0</v>
      </c>
      <c r="D12" s="16">
        <v>2191</v>
      </c>
      <c r="E12" s="47">
        <f>'- 7 -'!E12</f>
        <v>2150</v>
      </c>
      <c r="F12" s="47">
        <v>1998.2</v>
      </c>
      <c r="G12" s="47">
        <v>2004.7</v>
      </c>
      <c r="I12" s="79"/>
    </row>
    <row r="13" spans="1:54" ht="14.1" customHeight="1">
      <c r="A13" s="271" t="s">
        <v>110</v>
      </c>
      <c r="B13" s="272">
        <v>8562</v>
      </c>
      <c r="C13" s="272">
        <v>0</v>
      </c>
      <c r="D13" s="272">
        <v>8562</v>
      </c>
      <c r="E13" s="292">
        <f>'- 7 -'!E13</f>
        <v>8347</v>
      </c>
      <c r="F13" s="292">
        <v>8214</v>
      </c>
      <c r="G13" s="292">
        <v>8000.3</v>
      </c>
      <c r="I13" s="79"/>
    </row>
    <row r="14" spans="1:54" ht="14.1" customHeight="1">
      <c r="A14" s="15" t="s">
        <v>319</v>
      </c>
      <c r="B14" s="16">
        <v>5375</v>
      </c>
      <c r="C14" s="16">
        <v>28</v>
      </c>
      <c r="D14" s="16">
        <v>5347</v>
      </c>
      <c r="E14" s="47">
        <f>'- 7 -'!E14</f>
        <v>5488</v>
      </c>
      <c r="F14" s="47">
        <v>5068.5</v>
      </c>
      <c r="G14" s="47">
        <v>5002.5</v>
      </c>
    </row>
    <row r="15" spans="1:54" ht="14.1" customHeight="1">
      <c r="A15" s="271" t="s">
        <v>111</v>
      </c>
      <c r="B15" s="272">
        <v>1453</v>
      </c>
      <c r="C15" s="272">
        <v>0</v>
      </c>
      <c r="D15" s="272">
        <v>1453</v>
      </c>
      <c r="E15" s="292">
        <f>'- 7 -'!E15</f>
        <v>1369.5</v>
      </c>
      <c r="F15" s="292">
        <v>1394.9</v>
      </c>
      <c r="G15" s="292">
        <v>1434.3</v>
      </c>
    </row>
    <row r="16" spans="1:54" ht="14.1" customHeight="1">
      <c r="A16" s="15" t="s">
        <v>112</v>
      </c>
      <c r="B16" s="16">
        <v>995</v>
      </c>
      <c r="C16" s="16">
        <v>0</v>
      </c>
      <c r="D16" s="16">
        <v>995</v>
      </c>
      <c r="E16" s="47">
        <f>'- 7 -'!E16</f>
        <v>957.5</v>
      </c>
      <c r="F16" s="47">
        <v>913</v>
      </c>
      <c r="G16" s="47">
        <v>896.4</v>
      </c>
    </row>
    <row r="17" spans="1:7" ht="14.1" customHeight="1">
      <c r="A17" s="271" t="s">
        <v>113</v>
      </c>
      <c r="B17" s="272">
        <v>1405</v>
      </c>
      <c r="C17" s="272">
        <v>0</v>
      </c>
      <c r="D17" s="272">
        <v>1405</v>
      </c>
      <c r="E17" s="292">
        <f>'- 7 -'!E17</f>
        <v>1359.5</v>
      </c>
      <c r="F17" s="292">
        <v>1283</v>
      </c>
      <c r="G17" s="292">
        <v>1266.8</v>
      </c>
    </row>
    <row r="18" spans="1:7" ht="14.1" customHeight="1">
      <c r="A18" s="15" t="s">
        <v>114</v>
      </c>
      <c r="B18" s="16">
        <v>6777</v>
      </c>
      <c r="C18" s="16">
        <v>434</v>
      </c>
      <c r="D18" s="16">
        <v>6343</v>
      </c>
      <c r="E18" s="47">
        <f>'- 7 -'!E18</f>
        <v>6224.6</v>
      </c>
      <c r="F18" s="47">
        <v>2284.1</v>
      </c>
      <c r="G18" s="47">
        <v>2373.3000000000002</v>
      </c>
    </row>
    <row r="19" spans="1:7" ht="14.1" customHeight="1">
      <c r="A19" s="271" t="s">
        <v>115</v>
      </c>
      <c r="B19" s="272">
        <v>4374</v>
      </c>
      <c r="C19" s="272">
        <v>0</v>
      </c>
      <c r="D19" s="272">
        <v>4374</v>
      </c>
      <c r="E19" s="292">
        <f>'- 7 -'!E19</f>
        <v>4218</v>
      </c>
      <c r="F19" s="292">
        <v>4201</v>
      </c>
      <c r="G19" s="292">
        <v>4174.3</v>
      </c>
    </row>
    <row r="20" spans="1:7" ht="14.1" customHeight="1">
      <c r="A20" s="15" t="s">
        <v>116</v>
      </c>
      <c r="B20" s="16">
        <v>7892</v>
      </c>
      <c r="C20" s="16">
        <v>0</v>
      </c>
      <c r="D20" s="16">
        <v>7892</v>
      </c>
      <c r="E20" s="47">
        <f>'- 7 -'!E20</f>
        <v>7580.5</v>
      </c>
      <c r="F20" s="47">
        <v>7560.9</v>
      </c>
      <c r="G20" s="47">
        <v>7368.1</v>
      </c>
    </row>
    <row r="21" spans="1:7" ht="14.1" customHeight="1">
      <c r="A21" s="271" t="s">
        <v>117</v>
      </c>
      <c r="B21" s="272">
        <v>2806</v>
      </c>
      <c r="C21" s="272">
        <v>0</v>
      </c>
      <c r="D21" s="272">
        <v>2806</v>
      </c>
      <c r="E21" s="292">
        <f>'- 7 -'!E21</f>
        <v>2706</v>
      </c>
      <c r="F21" s="292">
        <v>2686.1</v>
      </c>
      <c r="G21" s="292">
        <v>2677</v>
      </c>
    </row>
    <row r="22" spans="1:7" ht="14.1" customHeight="1">
      <c r="A22" s="15" t="s">
        <v>118</v>
      </c>
      <c r="B22" s="16">
        <v>1590</v>
      </c>
      <c r="C22" s="16">
        <v>0</v>
      </c>
      <c r="D22" s="16">
        <v>1590</v>
      </c>
      <c r="E22" s="47">
        <f>'- 7 -'!E22</f>
        <v>1558.2</v>
      </c>
      <c r="F22" s="47">
        <v>1532.3</v>
      </c>
      <c r="G22" s="47">
        <v>1531.9</v>
      </c>
    </row>
    <row r="23" spans="1:7" ht="14.1" customHeight="1">
      <c r="A23" s="271" t="s">
        <v>119</v>
      </c>
      <c r="B23" s="272">
        <v>1149</v>
      </c>
      <c r="C23" s="272">
        <v>0</v>
      </c>
      <c r="D23" s="272">
        <v>1149</v>
      </c>
      <c r="E23" s="292">
        <f>'- 7 -'!E23</f>
        <v>1114</v>
      </c>
      <c r="F23" s="292">
        <v>986</v>
      </c>
      <c r="G23" s="292">
        <v>1015.1</v>
      </c>
    </row>
    <row r="24" spans="1:7" ht="14.1" customHeight="1">
      <c r="A24" s="15" t="s">
        <v>120</v>
      </c>
      <c r="B24" s="16">
        <v>4121</v>
      </c>
      <c r="C24" s="16">
        <v>0</v>
      </c>
      <c r="D24" s="16">
        <v>4121</v>
      </c>
      <c r="E24" s="47">
        <f>'- 7 -'!E24</f>
        <v>3950.5</v>
      </c>
      <c r="F24" s="47">
        <v>3917</v>
      </c>
      <c r="G24" s="47">
        <v>3971.2</v>
      </c>
    </row>
    <row r="25" spans="1:7" ht="14.1" customHeight="1">
      <c r="A25" s="271" t="s">
        <v>121</v>
      </c>
      <c r="B25" s="272">
        <v>14734</v>
      </c>
      <c r="C25" s="272">
        <v>0</v>
      </c>
      <c r="D25" s="272">
        <v>14734</v>
      </c>
      <c r="E25" s="292">
        <f>'- 7 -'!E25</f>
        <v>14280.5</v>
      </c>
      <c r="F25" s="292">
        <v>13912.800000000001</v>
      </c>
      <c r="G25" s="292">
        <v>13644</v>
      </c>
    </row>
    <row r="26" spans="1:7" ht="14.1" customHeight="1">
      <c r="A26" s="15" t="s">
        <v>122</v>
      </c>
      <c r="B26" s="16">
        <v>3175</v>
      </c>
      <c r="C26" s="16">
        <v>0</v>
      </c>
      <c r="D26" s="16">
        <v>3175</v>
      </c>
      <c r="E26" s="47">
        <f>'- 7 -'!E26</f>
        <v>3160.1</v>
      </c>
      <c r="F26" s="47">
        <v>2935.6</v>
      </c>
      <c r="G26" s="47">
        <v>2923.6</v>
      </c>
    </row>
    <row r="27" spans="1:7" ht="14.1" customHeight="1">
      <c r="A27" s="271" t="s">
        <v>123</v>
      </c>
      <c r="B27" s="272">
        <v>3034</v>
      </c>
      <c r="C27" s="272">
        <v>0</v>
      </c>
      <c r="D27" s="272">
        <v>3034</v>
      </c>
      <c r="E27" s="292">
        <f>'- 7 -'!E27</f>
        <v>2910.014285714286</v>
      </c>
      <c r="F27" s="292">
        <v>2858.2</v>
      </c>
      <c r="G27" s="292">
        <v>2786.5</v>
      </c>
    </row>
    <row r="28" spans="1:7" ht="14.1" customHeight="1">
      <c r="A28" s="15" t="s">
        <v>124</v>
      </c>
      <c r="B28" s="16">
        <v>2117</v>
      </c>
      <c r="C28" s="16">
        <v>39</v>
      </c>
      <c r="D28" s="16">
        <v>2078</v>
      </c>
      <c r="E28" s="47">
        <f>'- 7 -'!E28</f>
        <v>1945.5</v>
      </c>
      <c r="F28" s="47">
        <v>1517.4</v>
      </c>
      <c r="G28" s="47">
        <v>1509</v>
      </c>
    </row>
    <row r="29" spans="1:7" ht="14.1" customHeight="1">
      <c r="A29" s="271" t="s">
        <v>125</v>
      </c>
      <c r="B29" s="272">
        <v>13187</v>
      </c>
      <c r="C29" s="272">
        <v>0</v>
      </c>
      <c r="D29" s="272">
        <v>13187</v>
      </c>
      <c r="E29" s="292">
        <f>'- 7 -'!E29</f>
        <v>12679</v>
      </c>
      <c r="F29" s="292">
        <v>12549.1</v>
      </c>
      <c r="G29" s="292">
        <v>12290.7</v>
      </c>
    </row>
    <row r="30" spans="1:7" ht="14.1" customHeight="1">
      <c r="A30" s="15" t="s">
        <v>126</v>
      </c>
      <c r="B30" s="16">
        <v>1036</v>
      </c>
      <c r="C30" s="16">
        <v>0</v>
      </c>
      <c r="D30" s="16">
        <v>1036</v>
      </c>
      <c r="E30" s="47">
        <f>'- 7 -'!E30</f>
        <v>1004</v>
      </c>
      <c r="F30" s="47">
        <v>1003</v>
      </c>
      <c r="G30" s="47">
        <v>1043.5</v>
      </c>
    </row>
    <row r="31" spans="1:7" ht="14.1" customHeight="1">
      <c r="A31" s="271" t="s">
        <v>127</v>
      </c>
      <c r="B31" s="272">
        <v>3390</v>
      </c>
      <c r="C31" s="272">
        <v>0</v>
      </c>
      <c r="D31" s="272">
        <v>3390</v>
      </c>
      <c r="E31" s="292">
        <f>'- 7 -'!E31</f>
        <v>3220</v>
      </c>
      <c r="F31" s="292">
        <v>3109.8</v>
      </c>
      <c r="G31" s="292">
        <v>3103.8</v>
      </c>
    </row>
    <row r="32" spans="1:7" ht="14.1" customHeight="1">
      <c r="A32" s="15" t="s">
        <v>128</v>
      </c>
      <c r="B32" s="16">
        <v>2218</v>
      </c>
      <c r="C32" s="16">
        <v>0</v>
      </c>
      <c r="D32" s="16">
        <v>2218</v>
      </c>
      <c r="E32" s="47">
        <f>'- 7 -'!E32</f>
        <v>2181</v>
      </c>
      <c r="F32" s="47">
        <v>2112.1999999999998</v>
      </c>
      <c r="G32" s="47">
        <v>2085</v>
      </c>
    </row>
    <row r="33" spans="1:7" ht="14.1" customHeight="1">
      <c r="A33" s="271" t="s">
        <v>129</v>
      </c>
      <c r="B33" s="272">
        <v>2120</v>
      </c>
      <c r="C33" s="272">
        <v>0</v>
      </c>
      <c r="D33" s="272">
        <v>2120</v>
      </c>
      <c r="E33" s="292">
        <f>'- 7 -'!E33</f>
        <v>2014</v>
      </c>
      <c r="F33" s="292">
        <v>2000.6</v>
      </c>
      <c r="G33" s="292">
        <v>1980.3</v>
      </c>
    </row>
    <row r="34" spans="1:7" ht="14.1" customHeight="1">
      <c r="A34" s="15" t="s">
        <v>130</v>
      </c>
      <c r="B34" s="16">
        <v>2072</v>
      </c>
      <c r="C34" s="16">
        <v>0</v>
      </c>
      <c r="D34" s="16">
        <v>2072</v>
      </c>
      <c r="E34" s="47">
        <f>'- 7 -'!E34</f>
        <v>1993</v>
      </c>
      <c r="F34" s="47">
        <v>1983</v>
      </c>
      <c r="G34" s="47">
        <v>1995.4</v>
      </c>
    </row>
    <row r="35" spans="1:7" ht="14.1" customHeight="1">
      <c r="A35" s="271" t="s">
        <v>131</v>
      </c>
      <c r="B35" s="272">
        <v>15995</v>
      </c>
      <c r="C35" s="272">
        <v>0</v>
      </c>
      <c r="D35" s="272">
        <v>15995</v>
      </c>
      <c r="E35" s="292">
        <f>'- 7 -'!E35</f>
        <v>15456</v>
      </c>
      <c r="F35" s="292">
        <v>15313.5</v>
      </c>
      <c r="G35" s="292">
        <v>15351.6</v>
      </c>
    </row>
    <row r="36" spans="1:7" ht="14.1" customHeight="1">
      <c r="A36" s="15" t="s">
        <v>132</v>
      </c>
      <c r="B36" s="16">
        <v>1701</v>
      </c>
      <c r="C36" s="16">
        <v>0</v>
      </c>
      <c r="D36" s="16">
        <v>1701</v>
      </c>
      <c r="E36" s="47">
        <f>'- 7 -'!E36</f>
        <v>1657.5</v>
      </c>
      <c r="F36" s="47">
        <v>1523</v>
      </c>
      <c r="G36" s="47">
        <v>1523.2</v>
      </c>
    </row>
    <row r="37" spans="1:7" ht="14.1" customHeight="1">
      <c r="A37" s="271" t="s">
        <v>133</v>
      </c>
      <c r="B37" s="272">
        <v>4284</v>
      </c>
      <c r="C37" s="272">
        <v>0</v>
      </c>
      <c r="D37" s="272">
        <v>4284</v>
      </c>
      <c r="E37" s="292">
        <f>'- 7 -'!E37</f>
        <v>4103.5</v>
      </c>
      <c r="F37" s="292">
        <v>4103.1000000000004</v>
      </c>
      <c r="G37" s="292">
        <v>3948.5</v>
      </c>
    </row>
    <row r="38" spans="1:7" ht="14.1" customHeight="1">
      <c r="A38" s="15" t="s">
        <v>134</v>
      </c>
      <c r="B38" s="16">
        <v>11250</v>
      </c>
      <c r="C38" s="16">
        <v>0</v>
      </c>
      <c r="D38" s="16">
        <v>11250</v>
      </c>
      <c r="E38" s="47">
        <f>'- 7 -'!E38</f>
        <v>11007</v>
      </c>
      <c r="F38" s="47">
        <v>10694.9</v>
      </c>
      <c r="G38" s="47">
        <v>10433.200000000001</v>
      </c>
    </row>
    <row r="39" spans="1:7" ht="14.1" customHeight="1">
      <c r="A39" s="271" t="s">
        <v>135</v>
      </c>
      <c r="B39" s="272">
        <v>1609</v>
      </c>
      <c r="C39" s="272">
        <v>0</v>
      </c>
      <c r="D39" s="272">
        <v>1609</v>
      </c>
      <c r="E39" s="292">
        <f>'- 7 -'!E39</f>
        <v>1527</v>
      </c>
      <c r="F39" s="292">
        <v>1542.4</v>
      </c>
      <c r="G39" s="292">
        <v>1541.2</v>
      </c>
    </row>
    <row r="40" spans="1:7" ht="14.1" customHeight="1">
      <c r="A40" s="15" t="s">
        <v>136</v>
      </c>
      <c r="B40" s="16">
        <v>8251</v>
      </c>
      <c r="C40" s="16">
        <v>0</v>
      </c>
      <c r="D40" s="16">
        <v>8251</v>
      </c>
      <c r="E40" s="47">
        <f>'- 7 -'!E40</f>
        <v>7948.5999999999995</v>
      </c>
      <c r="F40" s="47">
        <v>7826.9</v>
      </c>
      <c r="G40" s="47">
        <v>7799.3</v>
      </c>
    </row>
    <row r="41" spans="1:7" ht="14.1" customHeight="1">
      <c r="A41" s="271" t="s">
        <v>137</v>
      </c>
      <c r="B41" s="272">
        <v>4560</v>
      </c>
      <c r="C41" s="272">
        <v>0</v>
      </c>
      <c r="D41" s="272">
        <v>4560</v>
      </c>
      <c r="E41" s="292">
        <f>'- 7 -'!E41</f>
        <v>4409.5</v>
      </c>
      <c r="F41" s="292">
        <v>4321.5</v>
      </c>
      <c r="G41" s="292">
        <v>4302.2</v>
      </c>
    </row>
    <row r="42" spans="1:7" ht="14.1" customHeight="1">
      <c r="A42" s="15" t="s">
        <v>138</v>
      </c>
      <c r="B42" s="16">
        <v>1484</v>
      </c>
      <c r="C42" s="16">
        <v>50</v>
      </c>
      <c r="D42" s="16">
        <v>1434</v>
      </c>
      <c r="E42" s="47">
        <f>'- 7 -'!E42</f>
        <v>1361</v>
      </c>
      <c r="F42" s="47">
        <v>1352.7</v>
      </c>
      <c r="G42" s="47">
        <v>1371.6000000000001</v>
      </c>
    </row>
    <row r="43" spans="1:7" ht="14.1" customHeight="1">
      <c r="A43" s="271" t="s">
        <v>139</v>
      </c>
      <c r="B43" s="272">
        <v>986</v>
      </c>
      <c r="C43" s="272">
        <v>0</v>
      </c>
      <c r="D43" s="272">
        <v>986</v>
      </c>
      <c r="E43" s="292">
        <f>'- 7 -'!E43</f>
        <v>940.5</v>
      </c>
      <c r="F43" s="292">
        <v>948.7</v>
      </c>
      <c r="G43" s="292">
        <v>960.2</v>
      </c>
    </row>
    <row r="44" spans="1:7" ht="14.1" customHeight="1">
      <c r="A44" s="15" t="s">
        <v>140</v>
      </c>
      <c r="B44" s="16">
        <v>704</v>
      </c>
      <c r="C44" s="16">
        <v>0</v>
      </c>
      <c r="D44" s="16">
        <v>704</v>
      </c>
      <c r="E44" s="47">
        <f>'- 7 -'!E44</f>
        <v>701</v>
      </c>
      <c r="F44" s="47">
        <v>680</v>
      </c>
      <c r="G44" s="47">
        <v>697.7</v>
      </c>
    </row>
    <row r="45" spans="1:7" ht="14.1" customHeight="1">
      <c r="A45" s="271" t="s">
        <v>141</v>
      </c>
      <c r="B45" s="272">
        <v>1737</v>
      </c>
      <c r="C45" s="272">
        <v>0</v>
      </c>
      <c r="D45" s="272">
        <v>1737</v>
      </c>
      <c r="E45" s="292">
        <f>'- 7 -'!E45</f>
        <v>1702</v>
      </c>
      <c r="F45" s="292">
        <v>1638.3</v>
      </c>
      <c r="G45" s="292">
        <v>1594</v>
      </c>
    </row>
    <row r="46" spans="1:7" ht="14.1" customHeight="1">
      <c r="A46" s="15" t="s">
        <v>142</v>
      </c>
      <c r="B46" s="16">
        <v>33040</v>
      </c>
      <c r="C46" s="16">
        <v>1731</v>
      </c>
      <c r="D46" s="16">
        <v>31309</v>
      </c>
      <c r="E46" s="47">
        <f>'- 7 -'!E46</f>
        <v>30157</v>
      </c>
      <c r="F46" s="47">
        <v>29589.9</v>
      </c>
      <c r="G46" s="47">
        <v>29575.3</v>
      </c>
    </row>
    <row r="47" spans="1:7" ht="5.0999999999999996" customHeight="1">
      <c r="A47"/>
      <c r="B47"/>
      <c r="C47"/>
      <c r="D47"/>
      <c r="E47"/>
      <c r="F47"/>
      <c r="G47"/>
    </row>
    <row r="48" spans="1:7" ht="14.1" customHeight="1">
      <c r="A48" s="274" t="s">
        <v>143</v>
      </c>
      <c r="B48" s="275">
        <f t="shared" ref="B48:G48" si="0">SUM(B11:B46)</f>
        <v>183130</v>
      </c>
      <c r="C48" s="275">
        <f t="shared" si="0"/>
        <v>2282</v>
      </c>
      <c r="D48" s="275">
        <f t="shared" si="0"/>
        <v>180848</v>
      </c>
      <c r="E48" s="293">
        <f t="shared" si="0"/>
        <v>175134.01428571428</v>
      </c>
      <c r="F48" s="293">
        <f t="shared" si="0"/>
        <v>167241.5</v>
      </c>
      <c r="G48" s="293">
        <f t="shared" si="0"/>
        <v>165765.70000000001</v>
      </c>
    </row>
    <row r="49" spans="1:7" ht="5.0999999999999996" customHeight="1">
      <c r="A49" s="17" t="s">
        <v>1</v>
      </c>
      <c r="B49" s="18"/>
      <c r="C49" s="18"/>
      <c r="D49" s="18"/>
      <c r="E49" s="50"/>
      <c r="F49" s="50"/>
      <c r="G49" s="50"/>
    </row>
    <row r="50" spans="1:7" ht="14.1" customHeight="1">
      <c r="A50" s="15" t="s">
        <v>144</v>
      </c>
      <c r="B50" s="16">
        <v>174</v>
      </c>
      <c r="C50" s="16">
        <v>0</v>
      </c>
      <c r="D50" s="16">
        <v>174</v>
      </c>
      <c r="E50" s="47">
        <f>'- 7 -'!E50</f>
        <v>161</v>
      </c>
      <c r="F50" s="47">
        <v>169</v>
      </c>
      <c r="G50" s="47">
        <v>164.4</v>
      </c>
    </row>
    <row r="51" spans="1:7" ht="14.1" customHeight="1">
      <c r="A51" s="360" t="s">
        <v>523</v>
      </c>
      <c r="B51" s="272">
        <v>0</v>
      </c>
      <c r="C51" s="272">
        <v>0</v>
      </c>
      <c r="D51" s="272">
        <f>B51-C51</f>
        <v>0</v>
      </c>
      <c r="E51" s="292">
        <f>'- 7 -'!E51</f>
        <v>724.5</v>
      </c>
      <c r="F51" s="292"/>
      <c r="G51" s="292"/>
    </row>
    <row r="52" spans="1:7" ht="50.1" customHeight="1">
      <c r="A52" s="19"/>
      <c r="B52" s="19"/>
      <c r="C52" s="19"/>
      <c r="D52" s="19"/>
      <c r="E52" s="19"/>
      <c r="F52" s="99"/>
      <c r="G52" s="99"/>
    </row>
    <row r="53" spans="1:7" ht="15" customHeight="1">
      <c r="A53" s="20" t="s">
        <v>340</v>
      </c>
      <c r="C53" s="90"/>
      <c r="D53" s="90"/>
      <c r="E53" s="90"/>
      <c r="F53" s="90"/>
    </row>
    <row r="54" spans="1:7" ht="12" customHeight="1">
      <c r="A54" s="565" t="s">
        <v>382</v>
      </c>
      <c r="B54" s="585"/>
      <c r="C54" s="585"/>
      <c r="D54" s="585"/>
      <c r="E54" s="585"/>
      <c r="F54" s="585"/>
      <c r="G54" s="585"/>
    </row>
    <row r="55" spans="1:7" ht="12" customHeight="1">
      <c r="A55" s="585"/>
      <c r="B55" s="585"/>
      <c r="C55" s="585"/>
      <c r="D55" s="585"/>
      <c r="E55" s="585"/>
      <c r="F55" s="585"/>
      <c r="G55" s="585"/>
    </row>
    <row r="56" spans="1:7" ht="12" customHeight="1">
      <c r="A56" s="131" t="s">
        <v>575</v>
      </c>
      <c r="C56" s="90"/>
      <c r="D56" s="90"/>
      <c r="E56" s="90"/>
      <c r="F56" s="91"/>
    </row>
    <row r="57" spans="1:7" ht="14.45" customHeight="1">
      <c r="A57" s="20"/>
      <c r="B57" s="90"/>
      <c r="C57" s="90"/>
      <c r="D57" s="90"/>
      <c r="E57" s="90"/>
      <c r="F57" s="90"/>
    </row>
    <row r="58" spans="1:7" ht="14.45" customHeight="1">
      <c r="F58" s="428"/>
      <c r="G58" s="428"/>
    </row>
    <row r="59" spans="1:7" ht="14.45" customHeight="1">
      <c r="F59" s="428"/>
      <c r="G59" s="428"/>
    </row>
    <row r="60" spans="1:7">
      <c r="F60" s="428"/>
      <c r="G60" s="428"/>
    </row>
    <row r="61" spans="1:7">
      <c r="F61" s="428"/>
      <c r="G61" s="428"/>
    </row>
    <row r="62" spans="1:7">
      <c r="F62" s="428"/>
      <c r="G62" s="428"/>
    </row>
    <row r="63" spans="1:7">
      <c r="F63" s="428"/>
      <c r="G63" s="428"/>
    </row>
  </sheetData>
  <mergeCells count="11">
    <mergeCell ref="B6:D7"/>
    <mergeCell ref="E6:E7"/>
    <mergeCell ref="F6:F7"/>
    <mergeCell ref="G6:G7"/>
    <mergeCell ref="A54:G55"/>
    <mergeCell ref="B8:B9"/>
    <mergeCell ref="C8:C9"/>
    <mergeCell ref="D8:D9"/>
    <mergeCell ref="E8:E9"/>
    <mergeCell ref="F8:F9"/>
    <mergeCell ref="G8:G9"/>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7.xml><?xml version="1.0" encoding="utf-8"?>
<worksheet xmlns="http://schemas.openxmlformats.org/spreadsheetml/2006/main" xmlns:r="http://schemas.openxmlformats.org/officeDocument/2006/relationships">
  <sheetPr codeName="Sheet6">
    <pageSetUpPr fitToPage="1"/>
  </sheetPr>
  <dimension ref="A1:BB58"/>
  <sheetViews>
    <sheetView showGridLines="0" showZeros="0" workbookViewId="0"/>
  </sheetViews>
  <sheetFormatPr defaultRowHeight="12"/>
  <cols>
    <col min="1" max="1" width="39.83203125" style="1" customWidth="1"/>
    <col min="2" max="3" width="31.83203125" style="1" customWidth="1"/>
    <col min="4" max="4" width="29.83203125" style="1" customWidth="1"/>
    <col min="5" max="16384" width="9.33203125" style="1"/>
  </cols>
  <sheetData>
    <row r="1" spans="1:54" ht="6.95" customHeight="1">
      <c r="A1" s="3"/>
      <c r="B1" s="4"/>
      <c r="C1" s="4"/>
      <c r="D1" s="4"/>
    </row>
    <row r="2" spans="1:54" ht="15.95" customHeight="1">
      <c r="A2" s="33"/>
      <c r="B2" s="34" t="str">
        <f>IF(Lang=1,BA2,BB2)</f>
        <v>PUPIL / TEACHER RATIOS</v>
      </c>
      <c r="C2" s="6"/>
      <c r="D2" s="80"/>
      <c r="BA2" s="458" t="s">
        <v>80</v>
      </c>
      <c r="BB2" s="458" t="s">
        <v>388</v>
      </c>
    </row>
    <row r="3" spans="1:54" ht="15.95" customHeight="1">
      <c r="A3" s="37"/>
      <c r="B3" s="7" t="str">
        <f>STATDATE</f>
        <v>ESTIMATE SEPTEMBER 30, 2016</v>
      </c>
      <c r="C3" s="8"/>
      <c r="D3" s="81"/>
    </row>
    <row r="4" spans="1:54" ht="15.95" customHeight="1">
      <c r="B4" s="4"/>
      <c r="C4" s="4"/>
      <c r="D4" s="4"/>
    </row>
    <row r="5" spans="1:54" ht="15.95" customHeight="1">
      <c r="B5" s="4"/>
      <c r="C5" s="4"/>
      <c r="D5" s="4"/>
    </row>
    <row r="6" spans="1:54" ht="15.95" customHeight="1">
      <c r="B6" s="4"/>
      <c r="C6" s="4"/>
      <c r="D6" s="4"/>
    </row>
    <row r="7" spans="1:54" ht="15.95" customHeight="1">
      <c r="B7" s="593" t="s">
        <v>79</v>
      </c>
      <c r="C7" s="594"/>
      <c r="D7" s="4"/>
    </row>
    <row r="8" spans="1:54" ht="15.95" customHeight="1">
      <c r="A8" s="82"/>
      <c r="B8" s="590" t="s">
        <v>389</v>
      </c>
      <c r="C8" s="592" t="s">
        <v>390</v>
      </c>
      <c r="D8" s="84"/>
    </row>
    <row r="9" spans="1:54" ht="15.95" customHeight="1">
      <c r="A9" s="27" t="s">
        <v>37</v>
      </c>
      <c r="B9" s="591"/>
      <c r="C9" s="574"/>
    </row>
    <row r="10" spans="1:54" ht="5.0999999999999996" customHeight="1">
      <c r="A10" s="29"/>
    </row>
    <row r="11" spans="1:54" ht="14.1" customHeight="1">
      <c r="A11" s="271" t="s">
        <v>108</v>
      </c>
      <c r="B11" s="292">
        <v>16.060467246907923</v>
      </c>
      <c r="C11" s="292">
        <v>13.642023346303501</v>
      </c>
    </row>
    <row r="12" spans="1:54" ht="14.1" customHeight="1">
      <c r="A12" s="15" t="s">
        <v>109</v>
      </c>
      <c r="B12" s="47">
        <v>14.07068062827225</v>
      </c>
      <c r="C12" s="47">
        <v>11.118580958783678</v>
      </c>
    </row>
    <row r="13" spans="1:54" ht="14.1" customHeight="1">
      <c r="A13" s="271" t="s">
        <v>110</v>
      </c>
      <c r="B13" s="292">
        <v>17.203569735567509</v>
      </c>
      <c r="C13" s="292">
        <v>12.744678901884141</v>
      </c>
    </row>
    <row r="14" spans="1:54" ht="14.1" customHeight="1">
      <c r="A14" s="15" t="s">
        <v>319</v>
      </c>
      <c r="B14" s="47">
        <v>14.935365355830726</v>
      </c>
      <c r="C14" s="47">
        <v>11.929138137159006</v>
      </c>
    </row>
    <row r="15" spans="1:54" ht="14.1" customHeight="1">
      <c r="A15" s="271" t="s">
        <v>111</v>
      </c>
      <c r="B15" s="292">
        <v>16.414958647968355</v>
      </c>
      <c r="C15" s="292">
        <v>12.594261541291152</v>
      </c>
    </row>
    <row r="16" spans="1:54" ht="14.1" customHeight="1">
      <c r="A16" s="15" t="s">
        <v>112</v>
      </c>
      <c r="B16" s="47">
        <v>15.839536807278744</v>
      </c>
      <c r="C16" s="47">
        <v>12.11258697027198</v>
      </c>
    </row>
    <row r="17" spans="1:3" ht="14.1" customHeight="1">
      <c r="A17" s="271" t="s">
        <v>113</v>
      </c>
      <c r="B17" s="292">
        <v>15.218851449680958</v>
      </c>
      <c r="C17" s="292">
        <v>12.812176043728206</v>
      </c>
    </row>
    <row r="18" spans="1:3" ht="14.1" customHeight="1">
      <c r="A18" s="15" t="s">
        <v>114</v>
      </c>
      <c r="B18" s="47">
        <v>15.101288240859798</v>
      </c>
      <c r="C18" s="47">
        <v>12.00686701901933</v>
      </c>
    </row>
    <row r="19" spans="1:3" ht="14.1" customHeight="1">
      <c r="A19" s="271" t="s">
        <v>115</v>
      </c>
      <c r="B19" s="292">
        <v>18.465983714210665</v>
      </c>
      <c r="C19" s="292">
        <v>14.8</v>
      </c>
    </row>
    <row r="20" spans="1:3" ht="14.1" customHeight="1">
      <c r="A20" s="15" t="s">
        <v>116</v>
      </c>
      <c r="B20" s="47">
        <v>17.752719523190596</v>
      </c>
      <c r="C20" s="47">
        <v>14.370616113744076</v>
      </c>
    </row>
    <row r="21" spans="1:3" ht="14.1" customHeight="1">
      <c r="A21" s="271" t="s">
        <v>117</v>
      </c>
      <c r="B21" s="292">
        <v>15.240777245846239</v>
      </c>
      <c r="C21" s="292">
        <v>11.609747726102626</v>
      </c>
    </row>
    <row r="22" spans="1:3" ht="14.1" customHeight="1">
      <c r="A22" s="15" t="s">
        <v>118</v>
      </c>
      <c r="B22" s="47">
        <v>16.231249999999999</v>
      </c>
      <c r="C22" s="47">
        <v>12.023148148148149</v>
      </c>
    </row>
    <row r="23" spans="1:3" ht="14.1" customHeight="1">
      <c r="A23" s="271" t="s">
        <v>119</v>
      </c>
      <c r="B23" s="292">
        <v>14.402068519715579</v>
      </c>
      <c r="C23" s="292">
        <v>11.195979899497488</v>
      </c>
    </row>
    <row r="24" spans="1:3" ht="14.1" customHeight="1">
      <c r="A24" s="15" t="s">
        <v>120</v>
      </c>
      <c r="B24" s="47">
        <v>14.87387048192771</v>
      </c>
      <c r="C24" s="47">
        <v>11.701718009478672</v>
      </c>
    </row>
    <row r="25" spans="1:3" ht="14.1" customHeight="1">
      <c r="A25" s="271" t="s">
        <v>121</v>
      </c>
      <c r="B25" s="292">
        <v>17.68767727312137</v>
      </c>
      <c r="C25" s="292">
        <v>13.695168498379269</v>
      </c>
    </row>
    <row r="26" spans="1:3" ht="14.1" customHeight="1">
      <c r="A26" s="15" t="s">
        <v>122</v>
      </c>
      <c r="B26" s="47">
        <v>16.218116499871694</v>
      </c>
      <c r="C26" s="47">
        <v>13.430089247768805</v>
      </c>
    </row>
    <row r="27" spans="1:3" ht="14.1" customHeight="1">
      <c r="A27" s="271" t="s">
        <v>123</v>
      </c>
      <c r="B27" s="292">
        <v>15.374936787204978</v>
      </c>
      <c r="C27" s="292">
        <v>11.585374176742917</v>
      </c>
    </row>
    <row r="28" spans="1:3" ht="14.1" customHeight="1">
      <c r="A28" s="15" t="s">
        <v>124</v>
      </c>
      <c r="B28" s="47">
        <v>13.691062631949332</v>
      </c>
      <c r="C28" s="47">
        <v>11.25542377784206</v>
      </c>
    </row>
    <row r="29" spans="1:3" ht="14.1" customHeight="1">
      <c r="A29" s="271" t="s">
        <v>125</v>
      </c>
      <c r="B29" s="292">
        <v>17.134941550104735</v>
      </c>
      <c r="C29" s="292">
        <v>13.719337351353104</v>
      </c>
    </row>
    <row r="30" spans="1:3" ht="14.1" customHeight="1">
      <c r="A30" s="15" t="s">
        <v>126</v>
      </c>
      <c r="B30" s="47">
        <v>14.398393804675175</v>
      </c>
      <c r="C30" s="47">
        <v>11.983767008832658</v>
      </c>
    </row>
    <row r="31" spans="1:3" ht="14.1" customHeight="1">
      <c r="A31" s="271" t="s">
        <v>127</v>
      </c>
      <c r="B31" s="292">
        <v>16.328600405679513</v>
      </c>
      <c r="C31" s="292">
        <v>12.800127206233105</v>
      </c>
    </row>
    <row r="32" spans="1:3" ht="14.1" customHeight="1">
      <c r="A32" s="15" t="s">
        <v>128</v>
      </c>
      <c r="B32" s="47">
        <v>15.080276022291979</v>
      </c>
      <c r="C32" s="47">
        <v>12.525412632231834</v>
      </c>
    </row>
    <row r="33" spans="1:4" ht="14.1" customHeight="1">
      <c r="A33" s="271" t="s">
        <v>129</v>
      </c>
      <c r="B33" s="292">
        <v>15.19082817921255</v>
      </c>
      <c r="C33" s="292">
        <v>12.547504828359603</v>
      </c>
    </row>
    <row r="34" spans="1:4" ht="14.1" customHeight="1">
      <c r="A34" s="15" t="s">
        <v>130</v>
      </c>
      <c r="B34" s="47">
        <v>15.59223908621499</v>
      </c>
      <c r="C34" s="47">
        <v>12.065625378375106</v>
      </c>
    </row>
    <row r="35" spans="1:4" ht="14.1" customHeight="1">
      <c r="A35" s="271" t="s">
        <v>131</v>
      </c>
      <c r="B35" s="292">
        <v>17.453559934503982</v>
      </c>
      <c r="C35" s="292">
        <v>13.656605640771895</v>
      </c>
    </row>
    <row r="36" spans="1:4" ht="14.1" customHeight="1">
      <c r="A36" s="15" t="s">
        <v>132</v>
      </c>
      <c r="B36" s="47">
        <v>14.877479579929989</v>
      </c>
      <c r="C36" s="47">
        <v>12.020886971026581</v>
      </c>
    </row>
    <row r="37" spans="1:4" ht="14.1" customHeight="1">
      <c r="A37" s="271" t="s">
        <v>133</v>
      </c>
      <c r="B37" s="292">
        <v>17.107896272825815</v>
      </c>
      <c r="C37" s="292">
        <v>13.395247111053077</v>
      </c>
    </row>
    <row r="38" spans="1:4" ht="14.1" customHeight="1">
      <c r="A38" s="15" t="s">
        <v>134</v>
      </c>
      <c r="B38" s="47">
        <v>16.879312988805399</v>
      </c>
      <c r="C38" s="47">
        <v>13.712470412358289</v>
      </c>
    </row>
    <row r="39" spans="1:4" ht="14.1" customHeight="1">
      <c r="A39" s="271" t="s">
        <v>135</v>
      </c>
      <c r="B39" s="292">
        <v>13.728434131386599</v>
      </c>
      <c r="C39" s="292">
        <v>11.901885439481211</v>
      </c>
    </row>
    <row r="40" spans="1:4" ht="14.1" customHeight="1">
      <c r="A40" s="15" t="s">
        <v>136</v>
      </c>
      <c r="B40" s="47">
        <v>16.963165307951684</v>
      </c>
      <c r="C40" s="47">
        <v>12.944337686870989</v>
      </c>
    </row>
    <row r="41" spans="1:4" ht="14.1" customHeight="1">
      <c r="A41" s="271" t="s">
        <v>137</v>
      </c>
      <c r="B41" s="292">
        <v>16.178089228059875</v>
      </c>
      <c r="C41" s="292">
        <v>12.619844881371455</v>
      </c>
    </row>
    <row r="42" spans="1:4" ht="14.1" customHeight="1">
      <c r="A42" s="15" t="s">
        <v>138</v>
      </c>
      <c r="B42" s="47">
        <v>14.379292128895932</v>
      </c>
      <c r="C42" s="47">
        <v>11.945931712455016</v>
      </c>
    </row>
    <row r="43" spans="1:4" ht="14.1" customHeight="1">
      <c r="A43" s="271" t="s">
        <v>139</v>
      </c>
      <c r="B43" s="292">
        <v>14.725223109441053</v>
      </c>
      <c r="C43" s="292">
        <v>11.7886688393081</v>
      </c>
    </row>
    <row r="44" spans="1:4" ht="14.1" customHeight="1">
      <c r="A44" s="15" t="s">
        <v>140</v>
      </c>
      <c r="B44" s="47">
        <v>13.475586312956555</v>
      </c>
      <c r="C44" s="47">
        <v>11.232174331036692</v>
      </c>
    </row>
    <row r="45" spans="1:4" ht="14.1" customHeight="1">
      <c r="A45" s="271" t="s">
        <v>141</v>
      </c>
      <c r="B45" s="292">
        <v>16.755266784800156</v>
      </c>
      <c r="C45" s="292">
        <v>13.890475801844445</v>
      </c>
    </row>
    <row r="46" spans="1:4" ht="14.1" customHeight="1">
      <c r="A46" s="15" t="s">
        <v>142</v>
      </c>
      <c r="B46" s="47">
        <v>17.71710905095938</v>
      </c>
      <c r="C46" s="47">
        <v>13.313878538506367</v>
      </c>
    </row>
    <row r="47" spans="1:4" ht="5.0999999999999996" customHeight="1">
      <c r="A47"/>
      <c r="B47"/>
      <c r="C47"/>
      <c r="D47"/>
    </row>
    <row r="48" spans="1:4" ht="14.1" customHeight="1">
      <c r="A48" s="350" t="s">
        <v>143</v>
      </c>
      <c r="B48" s="351">
        <v>16.627236245624616</v>
      </c>
      <c r="C48" s="352">
        <v>13.033675146141874</v>
      </c>
      <c r="D48" s="29"/>
    </row>
    <row r="49" spans="1:4" ht="5.0999999999999996" customHeight="1">
      <c r="A49" s="17" t="s">
        <v>1</v>
      </c>
      <c r="B49" s="50"/>
      <c r="C49" s="50"/>
    </row>
    <row r="50" spans="1:4" ht="14.1" customHeight="1">
      <c r="A50" s="15" t="s">
        <v>144</v>
      </c>
      <c r="B50" s="47">
        <v>10.31390134529148</v>
      </c>
      <c r="C50" s="47">
        <v>8.1601621895590473</v>
      </c>
    </row>
    <row r="51" spans="1:4" ht="14.1" customHeight="1">
      <c r="A51" s="360" t="s">
        <v>523</v>
      </c>
      <c r="B51" s="292">
        <v>22.122137404580151</v>
      </c>
      <c r="C51" s="292">
        <v>16.244394618834079</v>
      </c>
    </row>
    <row r="52" spans="1:4" ht="50.1" customHeight="1">
      <c r="A52" s="19"/>
      <c r="B52" s="19"/>
      <c r="C52" s="19"/>
      <c r="D52" s="19"/>
    </row>
    <row r="53" spans="1:4" ht="15" customHeight="1">
      <c r="A53" s="564" t="s">
        <v>391</v>
      </c>
      <c r="B53" s="595"/>
      <c r="C53" s="595"/>
      <c r="D53" s="595"/>
    </row>
    <row r="54" spans="1:4" ht="12" customHeight="1">
      <c r="A54" s="585"/>
      <c r="B54" s="585"/>
      <c r="C54" s="585"/>
      <c r="D54" s="585"/>
    </row>
    <row r="55" spans="1:4" ht="9.75" customHeight="1">
      <c r="A55" s="585"/>
      <c r="B55" s="585"/>
      <c r="C55" s="585"/>
      <c r="D55" s="585"/>
    </row>
    <row r="56" spans="1:4" ht="12" customHeight="1">
      <c r="A56" s="565" t="s">
        <v>533</v>
      </c>
      <c r="B56" s="565"/>
      <c r="C56" s="565"/>
      <c r="D56" s="565"/>
    </row>
    <row r="57" spans="1:4" ht="12" customHeight="1">
      <c r="A57" s="565"/>
      <c r="B57" s="565"/>
      <c r="C57" s="565"/>
      <c r="D57" s="565"/>
    </row>
    <row r="58" spans="1:4" ht="12" customHeight="1">
      <c r="A58" s="565"/>
      <c r="B58" s="565"/>
      <c r="C58" s="565"/>
      <c r="D58" s="565"/>
    </row>
  </sheetData>
  <mergeCells count="5">
    <mergeCell ref="B8:B9"/>
    <mergeCell ref="C8:C9"/>
    <mergeCell ref="B7:C7"/>
    <mergeCell ref="A53:D55"/>
    <mergeCell ref="A56:D58"/>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8.xml><?xml version="1.0" encoding="utf-8"?>
<worksheet xmlns="http://schemas.openxmlformats.org/spreadsheetml/2006/main" xmlns:r="http://schemas.openxmlformats.org/officeDocument/2006/relationships">
  <sheetPr codeName="Sheet7">
    <pageSetUpPr fitToPage="1"/>
  </sheetPr>
  <dimension ref="A2:BB50"/>
  <sheetViews>
    <sheetView showGridLines="0" showZeros="0" workbookViewId="0"/>
  </sheetViews>
  <sheetFormatPr defaultColWidth="15.83203125" defaultRowHeight="12"/>
  <cols>
    <col min="1" max="1" width="5.83203125" style="1" customWidth="1"/>
    <col min="2" max="2" width="40.83203125" style="1" customWidth="1"/>
    <col min="3" max="5" width="15.83203125" style="1" customWidth="1"/>
    <col min="6" max="6" width="17.83203125" style="1" customWidth="1"/>
    <col min="7" max="9" width="14.83203125" style="1" customWidth="1"/>
    <col min="10" max="10" width="2.83203125" style="1" customWidth="1"/>
    <col min="11" max="11" width="17.83203125" style="1" customWidth="1"/>
    <col min="12" max="12" width="12.83203125" style="1" bestFit="1" customWidth="1"/>
    <col min="13" max="16384" width="15.83203125" style="1"/>
  </cols>
  <sheetData>
    <row r="2" spans="1:54">
      <c r="A2" s="52"/>
      <c r="B2" s="52"/>
      <c r="C2" s="53" t="str">
        <f>OPYEAR</f>
        <v>OPERATING FUND 2016/2017 BUDGET</v>
      </c>
      <c r="D2" s="53"/>
      <c r="E2" s="53"/>
      <c r="F2" s="53"/>
      <c r="G2" s="53"/>
      <c r="H2" s="53"/>
      <c r="I2" s="53"/>
      <c r="J2" s="53"/>
      <c r="K2" s="52"/>
    </row>
    <row r="5" spans="1:54" ht="15.75">
      <c r="C5" s="255" t="str">
        <f>IF(Lang=1,BA5,BB5)</f>
        <v>EXPENSE BY FUNCTION AND OBJECT</v>
      </c>
      <c r="D5" s="55"/>
      <c r="E5" s="55"/>
      <c r="F5" s="55"/>
      <c r="G5" s="55"/>
      <c r="H5" s="55"/>
      <c r="I5" s="55"/>
      <c r="J5" s="55"/>
      <c r="K5" s="4"/>
      <c r="BA5" s="456" t="s">
        <v>255</v>
      </c>
      <c r="BB5" s="456" t="s">
        <v>392</v>
      </c>
    </row>
    <row r="6" spans="1:54">
      <c r="C6" s="54"/>
      <c r="D6" s="55"/>
      <c r="E6" s="55"/>
      <c r="F6" s="55"/>
      <c r="G6" s="55"/>
      <c r="H6" s="55"/>
      <c r="I6" s="55"/>
      <c r="J6" s="55"/>
      <c r="K6" s="4"/>
    </row>
    <row r="7" spans="1:54">
      <c r="C7" s="54"/>
      <c r="D7" s="55"/>
      <c r="E7" s="55"/>
      <c r="F7" s="55"/>
      <c r="G7" s="55"/>
      <c r="H7" s="55"/>
      <c r="I7" s="55"/>
      <c r="J7" s="4"/>
      <c r="K7" s="4"/>
    </row>
    <row r="8" spans="1:54">
      <c r="C8" s="4"/>
      <c r="D8" s="4"/>
      <c r="E8" s="4"/>
      <c r="F8" s="4"/>
      <c r="G8" s="4"/>
      <c r="H8" s="4"/>
      <c r="I8" s="4"/>
      <c r="J8" s="4"/>
      <c r="K8" s="4"/>
    </row>
    <row r="9" spans="1:54">
      <c r="C9" s="4"/>
      <c r="D9" s="4"/>
      <c r="E9" s="4"/>
      <c r="F9" s="4"/>
      <c r="G9" s="4"/>
      <c r="H9" s="4"/>
      <c r="I9" s="4"/>
      <c r="J9" s="4"/>
      <c r="K9" s="4"/>
    </row>
    <row r="10" spans="1:54">
      <c r="C10" s="599" t="s">
        <v>63</v>
      </c>
      <c r="D10" s="600"/>
      <c r="E10" s="600"/>
      <c r="F10" s="600"/>
      <c r="G10" s="600"/>
      <c r="H10" s="600"/>
      <c r="I10" s="600"/>
      <c r="J10" s="601"/>
      <c r="K10" s="4"/>
    </row>
    <row r="11" spans="1:54">
      <c r="C11" s="4"/>
      <c r="D11" s="4"/>
      <c r="E11" s="4"/>
      <c r="F11" s="4"/>
      <c r="G11" s="4"/>
      <c r="H11" s="4"/>
      <c r="I11" s="4"/>
      <c r="J11" s="4"/>
      <c r="K11" s="4"/>
    </row>
    <row r="12" spans="1:54">
      <c r="A12" s="56"/>
      <c r="B12" s="57"/>
      <c r="C12" s="602" t="s">
        <v>64</v>
      </c>
      <c r="D12" s="604" t="s">
        <v>82</v>
      </c>
      <c r="E12" s="602" t="s">
        <v>58</v>
      </c>
      <c r="F12" s="604" t="s">
        <v>393</v>
      </c>
      <c r="G12" s="606" t="s">
        <v>32</v>
      </c>
      <c r="H12" s="608" t="s">
        <v>394</v>
      </c>
      <c r="I12" s="610" t="s">
        <v>42</v>
      </c>
      <c r="J12" s="611"/>
      <c r="K12" s="602" t="s">
        <v>65</v>
      </c>
    </row>
    <row r="13" spans="1:54">
      <c r="A13" s="597" t="s">
        <v>70</v>
      </c>
      <c r="B13" s="598"/>
      <c r="C13" s="603"/>
      <c r="D13" s="605"/>
      <c r="E13" s="603"/>
      <c r="F13" s="605"/>
      <c r="G13" s="607"/>
      <c r="H13" s="609"/>
      <c r="I13" s="612"/>
      <c r="J13" s="613"/>
      <c r="K13" s="603"/>
      <c r="N13" s="128" t="str">
        <f>IF($N$27=0,"","Variance")</f>
        <v/>
      </c>
    </row>
    <row r="15" spans="1:54">
      <c r="A15" s="58">
        <v>100</v>
      </c>
      <c r="B15" s="29" t="s">
        <v>21</v>
      </c>
      <c r="C15" s="59">
        <f>'- 12 -'!B22</f>
        <v>1104646435</v>
      </c>
      <c r="D15" s="60">
        <f>'- 12 -'!B23</f>
        <v>70129713</v>
      </c>
      <c r="E15" s="60">
        <f>'- 12 -'!B40</f>
        <v>33426180</v>
      </c>
      <c r="F15" s="60">
        <f>'- 12 -'!B46</f>
        <v>81363986</v>
      </c>
      <c r="G15" s="61"/>
      <c r="H15" s="164"/>
      <c r="I15" s="62"/>
      <c r="K15" s="59">
        <f>SUM(C15:F15)</f>
        <v>1289566314</v>
      </c>
      <c r="N15" s="1" t="str">
        <f>IF($N$27=0,"",K15-'- 12 -'!$B$51)</f>
        <v/>
      </c>
    </row>
    <row r="16" spans="1:54" ht="24" customHeight="1">
      <c r="A16" s="58">
        <v>200</v>
      </c>
      <c r="B16" s="29" t="s">
        <v>245</v>
      </c>
      <c r="C16" s="59">
        <f>'- 12 -'!D22</f>
        <v>368162397</v>
      </c>
      <c r="D16" s="60">
        <f>'- 12 -'!D23</f>
        <v>37872865</v>
      </c>
      <c r="E16" s="60">
        <f>'- 12 -'!D40</f>
        <v>11054685</v>
      </c>
      <c r="F16" s="60">
        <f>'- 12 -'!D46</f>
        <v>5206517</v>
      </c>
      <c r="G16" s="61"/>
      <c r="H16" s="164"/>
      <c r="I16" s="62"/>
      <c r="K16" s="59">
        <f>SUM(C16:F16)</f>
        <v>422296464</v>
      </c>
      <c r="N16" s="1" t="str">
        <f>IF($N$27=0,"",K16-'- 12 -'!$D$51)</f>
        <v/>
      </c>
    </row>
    <row r="17" spans="1:14" ht="24" customHeight="1">
      <c r="A17" s="58">
        <v>300</v>
      </c>
      <c r="B17" s="29" t="s">
        <v>101</v>
      </c>
      <c r="C17" s="59">
        <f>'- 12 -'!F22</f>
        <v>6849768</v>
      </c>
      <c r="D17" s="60">
        <f>'- 12 -'!F23</f>
        <v>466619</v>
      </c>
      <c r="E17" s="60">
        <f>'- 12 -'!F40</f>
        <v>865557</v>
      </c>
      <c r="F17" s="60">
        <f>'- 12 -'!F46</f>
        <v>305604</v>
      </c>
      <c r="G17" s="61"/>
      <c r="H17" s="164"/>
      <c r="I17" s="63">
        <f>'- 12 -'!F48</f>
        <v>27000</v>
      </c>
      <c r="J17" s="64" t="s">
        <v>89</v>
      </c>
      <c r="K17" s="59">
        <f>SUM(C17:F17,I17)</f>
        <v>8514548</v>
      </c>
      <c r="N17" s="1" t="str">
        <f>IF($N$27=0,"",K17-'- 12 -'!$F$51)</f>
        <v/>
      </c>
    </row>
    <row r="18" spans="1:14" ht="24" customHeight="1">
      <c r="A18" s="58">
        <v>400</v>
      </c>
      <c r="B18" s="29" t="s">
        <v>66</v>
      </c>
      <c r="C18" s="59">
        <f>'- 12 -'!H22</f>
        <v>17134536</v>
      </c>
      <c r="D18" s="60">
        <f>'- 12 -'!H23</f>
        <v>1625308</v>
      </c>
      <c r="E18" s="60">
        <f>'- 12 -'!H40</f>
        <v>2035983</v>
      </c>
      <c r="F18" s="60">
        <f>'- 12 -'!H46</f>
        <v>2347957</v>
      </c>
      <c r="G18" s="61"/>
      <c r="H18" s="164"/>
      <c r="I18" s="62"/>
      <c r="K18" s="59">
        <f>SUM(C18:F18)</f>
        <v>23143784</v>
      </c>
      <c r="N18" s="1" t="str">
        <f>IF($N$27=0,"",K18-'- 12 -'!$H$51)</f>
        <v/>
      </c>
    </row>
    <row r="19" spans="1:14" ht="24" customHeight="1">
      <c r="A19" s="58">
        <v>500</v>
      </c>
      <c r="B19" s="29" t="s">
        <v>86</v>
      </c>
      <c r="C19" s="59">
        <f>'- 12 -'!J22</f>
        <v>51638767</v>
      </c>
      <c r="D19" s="60">
        <f>'- 12 -'!J23</f>
        <v>7849511</v>
      </c>
      <c r="E19" s="60">
        <f>'- 12 -'!J40</f>
        <v>18611383</v>
      </c>
      <c r="F19" s="60">
        <f>'- 12 -'!J46</f>
        <v>2626821</v>
      </c>
      <c r="G19" s="61"/>
      <c r="H19" s="164"/>
      <c r="I19" s="63">
        <f>'- 12 -'!J48</f>
        <v>-27000</v>
      </c>
      <c r="J19" s="64" t="s">
        <v>89</v>
      </c>
      <c r="K19" s="59">
        <f>SUM(C19:F19,I19)</f>
        <v>80699482</v>
      </c>
      <c r="N19" s="1" t="str">
        <f>IF($N$27=0,"",K19-'- 12 -'!$J$51)</f>
        <v/>
      </c>
    </row>
    <row r="20" spans="1:14" ht="12" customHeight="1">
      <c r="A20" s="58"/>
      <c r="B20" s="29"/>
      <c r="C20" s="65"/>
      <c r="D20" s="66"/>
      <c r="E20" s="66"/>
      <c r="F20" s="66"/>
      <c r="G20" s="61"/>
      <c r="H20" s="164"/>
      <c r="I20" s="62"/>
      <c r="K20" s="59"/>
      <c r="L20" s="596" t="s">
        <v>90</v>
      </c>
    </row>
    <row r="21" spans="1:14" ht="24" customHeight="1">
      <c r="A21" s="67">
        <v>600</v>
      </c>
      <c r="B21" s="366" t="s">
        <v>249</v>
      </c>
      <c r="C21" s="59">
        <f>'- 13 -'!B22</f>
        <v>51523788</v>
      </c>
      <c r="D21" s="60">
        <f>'- 13 -'!B23</f>
        <v>4970027</v>
      </c>
      <c r="E21" s="60">
        <f>'- 13 -'!B40</f>
        <v>14479689</v>
      </c>
      <c r="F21" s="60">
        <f>'- 13 -'!B46</f>
        <v>8233272</v>
      </c>
      <c r="G21" s="61"/>
      <c r="H21" s="164"/>
      <c r="I21" s="62"/>
      <c r="K21" s="59">
        <f>SUM(C21:F21)</f>
        <v>79206776</v>
      </c>
      <c r="L21" s="596"/>
      <c r="N21" s="1" t="str">
        <f>IF($N$27=0,"",K21-'- 13 -'!$B$54)</f>
        <v/>
      </c>
    </row>
    <row r="22" spans="1:14" ht="24" customHeight="1">
      <c r="A22" s="58">
        <v>700</v>
      </c>
      <c r="B22" s="29" t="s">
        <v>67</v>
      </c>
      <c r="C22" s="59">
        <f>'- 13 -'!D22</f>
        <v>47542449</v>
      </c>
      <c r="D22" s="60">
        <f>'- 13 -'!D23</f>
        <v>7201850</v>
      </c>
      <c r="E22" s="60">
        <f>'- 13 -'!D40</f>
        <v>26738025</v>
      </c>
      <c r="F22" s="60">
        <f>'- 13 -'!D46</f>
        <v>19922235</v>
      </c>
      <c r="G22" s="61"/>
      <c r="H22" s="164"/>
      <c r="I22" s="62"/>
      <c r="K22" s="59">
        <f>SUM(C22:F22)</f>
        <v>101404559</v>
      </c>
      <c r="L22" s="68"/>
      <c r="N22" s="1" t="str">
        <f>IF($N$27=0,"",K22-'- 13 -'!$D$54)</f>
        <v/>
      </c>
    </row>
    <row r="23" spans="1:14" ht="24" customHeight="1">
      <c r="A23" s="58">
        <v>800</v>
      </c>
      <c r="B23" s="29" t="s">
        <v>68</v>
      </c>
      <c r="C23" s="59">
        <f>'- 13 -'!F22</f>
        <v>116385659</v>
      </c>
      <c r="D23" s="60">
        <f>'- 13 -'!F23</f>
        <v>19456908</v>
      </c>
      <c r="E23" s="60">
        <f>'- 13 -'!F40</f>
        <v>103838801</v>
      </c>
      <c r="F23" s="60">
        <f>'- 13 -'!F46</f>
        <v>26632631</v>
      </c>
      <c r="G23" s="61"/>
      <c r="H23" s="164"/>
      <c r="I23" s="63">
        <f>'- 13 -'!F52</f>
        <v>0</v>
      </c>
      <c r="J23" s="70"/>
      <c r="K23" s="59">
        <f>SUM(C23:F23,I23)</f>
        <v>266313999</v>
      </c>
      <c r="N23" s="1" t="str">
        <f>IF($N$27=0,"",K23-'- 13 -'!$F$54)</f>
        <v/>
      </c>
    </row>
    <row r="24" spans="1:14" ht="24" customHeight="1">
      <c r="A24" s="58">
        <v>900</v>
      </c>
      <c r="B24" s="29" t="s">
        <v>24</v>
      </c>
      <c r="C24" s="65"/>
      <c r="D24" s="66"/>
      <c r="E24" s="66"/>
      <c r="F24" s="66"/>
      <c r="G24" s="60">
        <v>2578140</v>
      </c>
      <c r="H24" s="60">
        <v>13000</v>
      </c>
      <c r="I24" s="69">
        <v>37540693</v>
      </c>
      <c r="J24" s="70" t="s">
        <v>230</v>
      </c>
      <c r="K24" s="59">
        <f>SUM(G24:I24)</f>
        <v>40131833</v>
      </c>
      <c r="N24" s="1" t="str">
        <f>IF($N$27=0,"",K24-'- 13 -'!$H$54)</f>
        <v/>
      </c>
    </row>
    <row r="25" spans="1:14">
      <c r="A25" s="58"/>
      <c r="B25" s="29"/>
      <c r="C25" s="65"/>
      <c r="D25" s="66"/>
      <c r="E25" s="66"/>
      <c r="F25" s="66"/>
      <c r="G25" s="66"/>
      <c r="H25" s="23"/>
      <c r="I25" s="71"/>
      <c r="K25" s="65"/>
    </row>
    <row r="26" spans="1:14">
      <c r="B26" s="29"/>
      <c r="C26" s="72"/>
      <c r="D26" s="72"/>
      <c r="E26" s="72"/>
      <c r="F26" s="72"/>
      <c r="G26" s="72"/>
      <c r="H26" s="72"/>
      <c r="I26" s="72"/>
      <c r="K26" s="72"/>
    </row>
    <row r="27" spans="1:14">
      <c r="A27" s="73"/>
      <c r="B27" s="74" t="s">
        <v>65</v>
      </c>
      <c r="C27" s="75">
        <f>SUM(C15:C24)</f>
        <v>1763883799</v>
      </c>
      <c r="D27" s="76">
        <f>SUM(D15:D24)</f>
        <v>149572801</v>
      </c>
      <c r="E27" s="76">
        <f>SUM(E15:E24)</f>
        <v>211050303</v>
      </c>
      <c r="F27" s="76">
        <f>SUM(F15:F24)</f>
        <v>146639023</v>
      </c>
      <c r="G27" s="76">
        <f>G24</f>
        <v>2578140</v>
      </c>
      <c r="H27" s="76">
        <f>H24</f>
        <v>13000</v>
      </c>
      <c r="I27" s="77">
        <f>SUM(I15:I24)</f>
        <v>37540693</v>
      </c>
      <c r="J27" s="78"/>
      <c r="K27" s="75">
        <f>SUM(K15:K24)</f>
        <v>2311277759</v>
      </c>
      <c r="N27" s="1">
        <f>K27-'- 3 -'!D48</f>
        <v>0</v>
      </c>
    </row>
    <row r="28" spans="1:14">
      <c r="C28" s="72"/>
      <c r="D28" s="72"/>
      <c r="E28" s="72"/>
      <c r="F28" s="72"/>
      <c r="G28" s="72"/>
      <c r="H28" s="72"/>
      <c r="I28" s="72"/>
    </row>
    <row r="29" spans="1:14" ht="60" customHeight="1"/>
    <row r="30" spans="1:14">
      <c r="A30" s="256" t="s">
        <v>89</v>
      </c>
      <c r="B30" s="131" t="s">
        <v>364</v>
      </c>
      <c r="C30" s="29"/>
    </row>
    <row r="31" spans="1:14" hidden="1">
      <c r="A31" s="256" t="s">
        <v>230</v>
      </c>
      <c r="B31" s="127" t="s">
        <v>247</v>
      </c>
      <c r="C31" s="29"/>
    </row>
    <row r="32" spans="1:14">
      <c r="A32" s="256" t="s">
        <v>230</v>
      </c>
      <c r="B32" s="131" t="s">
        <v>602</v>
      </c>
      <c r="C32" s="72"/>
      <c r="K32" s="72"/>
    </row>
    <row r="33" spans="3:3">
      <c r="C33" s="72"/>
    </row>
    <row r="34" spans="3:3" ht="12.75" customHeight="1"/>
    <row r="35" spans="3:3" ht="12.75" customHeight="1"/>
    <row r="36" spans="3:3" ht="12.75" customHeight="1"/>
    <row r="37" spans="3:3" ht="12.75" customHeight="1"/>
    <row r="38" spans="3:3" ht="12.75" customHeight="1"/>
    <row r="39" spans="3:3" ht="12.75" customHeight="1"/>
    <row r="40" spans="3:3" ht="12.75" customHeight="1"/>
    <row r="41" spans="3:3" ht="12.75" customHeight="1"/>
    <row r="42" spans="3:3" ht="12.75" customHeight="1"/>
    <row r="43" spans="3:3" ht="12.75" customHeight="1"/>
    <row r="44" spans="3:3" ht="12.75" customHeight="1"/>
    <row r="45" spans="3:3" ht="12.75" customHeight="1"/>
    <row r="46" spans="3:3" ht="12.75" customHeight="1"/>
    <row r="47" spans="3:3" ht="12.75" customHeight="1"/>
    <row r="48" spans="3:3" ht="12.75" customHeight="1"/>
    <row r="49" ht="12.75" customHeight="1"/>
    <row r="50" ht="12.75" customHeight="1"/>
  </sheetData>
  <mergeCells count="11">
    <mergeCell ref="L20:L21"/>
    <mergeCell ref="A13:B13"/>
    <mergeCell ref="C10:J10"/>
    <mergeCell ref="C12:C13"/>
    <mergeCell ref="D12:D13"/>
    <mergeCell ref="E12:E13"/>
    <mergeCell ref="F12:F13"/>
    <mergeCell ref="G12:G13"/>
    <mergeCell ref="H12:H13"/>
    <mergeCell ref="I12:J13"/>
    <mergeCell ref="K12:K13"/>
  </mergeCells>
  <phoneticPr fontId="0" type="noConversion"/>
  <pageMargins left="0.39370078740157483" right="0" top="0.70866141732283472" bottom="0.31496062992125984" header="0" footer="0"/>
  <pageSetup scale="86" orientation="landscape" r:id="rId1"/>
  <headerFooter alignWithMargins="0"/>
</worksheet>
</file>

<file path=xl/worksheets/sheet9.xml><?xml version="1.0" encoding="utf-8"?>
<worksheet xmlns="http://schemas.openxmlformats.org/spreadsheetml/2006/main" xmlns:r="http://schemas.openxmlformats.org/officeDocument/2006/relationships">
  <sheetPr codeName="Sheet8">
    <pageSetUpPr fitToPage="1"/>
  </sheetPr>
  <dimension ref="A2:BB52"/>
  <sheetViews>
    <sheetView showGridLines="0" showZeros="0" workbookViewId="0"/>
  </sheetViews>
  <sheetFormatPr defaultColWidth="15.83203125" defaultRowHeight="12"/>
  <cols>
    <col min="1" max="1" width="49" style="1" customWidth="1"/>
    <col min="2" max="2" width="15.83203125" style="1" customWidth="1"/>
    <col min="3" max="3" width="8.83203125" style="1" customWidth="1"/>
    <col min="4" max="4" width="15.83203125" style="1" customWidth="1"/>
    <col min="5" max="5" width="8.83203125" style="1" customWidth="1"/>
    <col min="6" max="6" width="15.83203125" style="1" customWidth="1"/>
    <col min="7" max="7" width="8.83203125" style="1" customWidth="1"/>
    <col min="8" max="8" width="15.83203125" style="1" customWidth="1"/>
    <col min="9" max="9" width="8.83203125" style="1" customWidth="1"/>
    <col min="10" max="10" width="15.83203125" style="1" customWidth="1"/>
    <col min="11" max="11" width="8.83203125" style="1" customWidth="1"/>
    <col min="12" max="12" width="5.83203125" style="1" customWidth="1"/>
    <col min="13" max="16384" width="15.83203125" style="1"/>
  </cols>
  <sheetData>
    <row r="2" spans="1:54">
      <c r="A2" s="52"/>
      <c r="B2" s="52"/>
      <c r="C2" s="52"/>
      <c r="D2" s="100" t="str">
        <f>OPYEAR</f>
        <v>OPERATING FUND 2016/2017 BUDGET</v>
      </c>
      <c r="E2" s="100"/>
      <c r="F2" s="100"/>
      <c r="G2" s="100"/>
      <c r="H2" s="101"/>
      <c r="I2" s="101"/>
      <c r="J2" s="102"/>
      <c r="K2" s="103" t="s">
        <v>4</v>
      </c>
    </row>
    <row r="3" spans="1:54" ht="9.9499999999999993" customHeight="1">
      <c r="J3" s="90"/>
      <c r="K3" s="90"/>
    </row>
    <row r="4" spans="1:54" ht="15.75">
      <c r="B4" s="257" t="str">
        <f>IF(Lang=1,BA4,BB4)</f>
        <v>EXPENSE BY 2ND LEVEL OBJECT</v>
      </c>
      <c r="C4" s="90"/>
      <c r="D4" s="90"/>
      <c r="E4" s="90"/>
      <c r="F4" s="90"/>
      <c r="G4" s="90"/>
      <c r="H4" s="90"/>
      <c r="I4" s="90"/>
      <c r="J4" s="90"/>
      <c r="K4" s="90"/>
      <c r="BA4" s="456" t="s">
        <v>263</v>
      </c>
      <c r="BB4" s="465" t="s">
        <v>395</v>
      </c>
    </row>
    <row r="5" spans="1:54" ht="15.75">
      <c r="B5" s="257" t="str">
        <f>IF(Lang=1,BA5,BB5)</f>
        <v>AS A PERCENTAGE OF TOTAL OPERATING FUND EXPENSES</v>
      </c>
      <c r="C5" s="90"/>
      <c r="D5" s="90"/>
      <c r="E5" s="90"/>
      <c r="F5" s="90"/>
      <c r="G5" s="90"/>
      <c r="H5" s="90"/>
      <c r="I5" s="90"/>
      <c r="J5" s="90"/>
      <c r="K5" s="90"/>
      <c r="BA5" s="456" t="s">
        <v>264</v>
      </c>
      <c r="BB5" s="465" t="s">
        <v>396</v>
      </c>
    </row>
    <row r="6" spans="1:54" ht="9.9499999999999993" customHeight="1"/>
    <row r="7" spans="1:54">
      <c r="B7" s="614" t="s">
        <v>70</v>
      </c>
      <c r="C7" s="615"/>
      <c r="D7" s="615"/>
      <c r="E7" s="615"/>
      <c r="F7" s="615"/>
      <c r="G7" s="615"/>
      <c r="H7" s="615"/>
      <c r="I7" s="615"/>
      <c r="J7" s="615"/>
      <c r="K7" s="616"/>
    </row>
    <row r="8" spans="1:54" ht="6" customHeight="1"/>
    <row r="9" spans="1:54">
      <c r="A9" s="4"/>
      <c r="B9" s="618" t="s">
        <v>397</v>
      </c>
      <c r="C9" s="619"/>
      <c r="D9" s="622" t="s">
        <v>398</v>
      </c>
      <c r="E9" s="619"/>
      <c r="F9" s="622" t="s">
        <v>101</v>
      </c>
      <c r="G9" s="619"/>
      <c r="H9" s="618" t="s">
        <v>399</v>
      </c>
      <c r="I9" s="619"/>
      <c r="J9" s="622" t="s">
        <v>86</v>
      </c>
      <c r="K9" s="619"/>
    </row>
    <row r="10" spans="1:54">
      <c r="A10" s="4"/>
      <c r="B10" s="620"/>
      <c r="C10" s="621"/>
      <c r="D10" s="620"/>
      <c r="E10" s="621"/>
      <c r="F10" s="620"/>
      <c r="G10" s="621"/>
      <c r="H10" s="620"/>
      <c r="I10" s="621"/>
      <c r="J10" s="620"/>
      <c r="K10" s="621"/>
    </row>
    <row r="11" spans="1:54">
      <c r="A11" s="107" t="s">
        <v>63</v>
      </c>
      <c r="B11" s="108" t="s">
        <v>38</v>
      </c>
      <c r="C11" s="108" t="s">
        <v>39</v>
      </c>
      <c r="D11" s="108" t="s">
        <v>38</v>
      </c>
      <c r="E11" s="108" t="s">
        <v>39</v>
      </c>
      <c r="F11" s="108" t="s">
        <v>38</v>
      </c>
      <c r="G11" s="108" t="s">
        <v>39</v>
      </c>
      <c r="H11" s="108" t="s">
        <v>38</v>
      </c>
      <c r="I11" s="108" t="s">
        <v>39</v>
      </c>
      <c r="J11" s="108" t="s">
        <v>38</v>
      </c>
      <c r="K11" s="109" t="s">
        <v>39</v>
      </c>
    </row>
    <row r="12" spans="1:54" ht="5.0999999999999996" customHeight="1">
      <c r="A12" s="110"/>
      <c r="B12" s="4"/>
      <c r="C12" s="4"/>
      <c r="D12" s="4"/>
      <c r="E12" s="4"/>
      <c r="F12" s="4"/>
      <c r="G12" s="4"/>
      <c r="H12" s="4"/>
      <c r="I12" s="4"/>
      <c r="J12" s="4"/>
      <c r="K12" s="4"/>
    </row>
    <row r="13" spans="1:54">
      <c r="A13" s="281" t="s">
        <v>64</v>
      </c>
      <c r="B13" s="111"/>
      <c r="C13" s="262"/>
      <c r="D13" s="111"/>
      <c r="E13" s="262"/>
      <c r="F13" s="111"/>
      <c r="G13" s="262"/>
      <c r="H13" s="111"/>
      <c r="I13" s="262"/>
      <c r="J13" s="111"/>
      <c r="K13" s="262"/>
    </row>
    <row r="14" spans="1:54">
      <c r="A14" s="112" t="s">
        <v>192</v>
      </c>
      <c r="B14" s="113"/>
      <c r="C14" s="259"/>
      <c r="D14" s="113"/>
      <c r="E14" s="259"/>
      <c r="F14" s="113"/>
      <c r="G14" s="259"/>
      <c r="H14" s="113"/>
      <c r="I14" s="259"/>
      <c r="J14" s="113">
        <v>4236250</v>
      </c>
      <c r="K14" s="259"/>
    </row>
    <row r="15" spans="1:54">
      <c r="A15" s="112" t="s">
        <v>193</v>
      </c>
      <c r="B15" s="113">
        <v>91370459</v>
      </c>
      <c r="C15" s="259">
        <f>B15/'- 13 -'!$J$54*100</f>
        <v>3.953244418339942</v>
      </c>
      <c r="D15" s="113">
        <v>7362446</v>
      </c>
      <c r="E15" s="259">
        <f>D15/'- 13 -'!$J$54*100</f>
        <v>0.3185444056358438</v>
      </c>
      <c r="F15" s="113">
        <v>755396</v>
      </c>
      <c r="G15" s="259">
        <f>F15/'- 13 -'!$J$54*100</f>
        <v>3.2683047161187175E-2</v>
      </c>
      <c r="H15" s="113">
        <v>920113</v>
      </c>
      <c r="I15" s="259">
        <f>H15/'- 13 -'!$J$54*100</f>
        <v>3.9809711161591287E-2</v>
      </c>
      <c r="J15" s="113">
        <v>22371514</v>
      </c>
      <c r="K15" s="259">
        <f>J15/'- 13 -'!$J$54*100</f>
        <v>0.96792840725812568</v>
      </c>
    </row>
    <row r="16" spans="1:54">
      <c r="A16" s="112" t="s">
        <v>194</v>
      </c>
      <c r="B16" s="113">
        <v>931371205</v>
      </c>
      <c r="C16" s="259">
        <f>B16/'- 13 -'!$J$54*100</f>
        <v>40.296809908427797</v>
      </c>
      <c r="D16" s="113">
        <v>157605210</v>
      </c>
      <c r="E16" s="259">
        <f>D16/'- 13 -'!$J$54*100</f>
        <v>6.8189645050792018</v>
      </c>
      <c r="F16" s="113">
        <v>5260079</v>
      </c>
      <c r="G16" s="259">
        <f>F16/'- 13 -'!$J$54*100</f>
        <v>0.22758316171725859</v>
      </c>
      <c r="H16" s="113">
        <v>8868165</v>
      </c>
      <c r="I16" s="259">
        <f>H16/'- 13 -'!$J$54*100</f>
        <v>0.38369101097727476</v>
      </c>
      <c r="J16" s="113"/>
      <c r="K16" s="259">
        <f>J16/'- 13 -'!$J$54*100</f>
        <v>0</v>
      </c>
    </row>
    <row r="17" spans="1:12">
      <c r="A17" s="112" t="s">
        <v>195</v>
      </c>
      <c r="B17" s="113">
        <v>22798240</v>
      </c>
      <c r="C17" s="259">
        <f>B17/'- 13 -'!$J$54*100</f>
        <v>0.98639118172728457</v>
      </c>
      <c r="D17" s="113">
        <v>162288588</v>
      </c>
      <c r="E17" s="259">
        <f>D17/'- 13 -'!$J$54*100</f>
        <v>7.0215960573347944</v>
      </c>
      <c r="F17" s="113">
        <v>324078</v>
      </c>
      <c r="G17" s="259">
        <f>F17/'- 13 -'!$J$54*100</f>
        <v>1.4021594710460761E-2</v>
      </c>
      <c r="H17" s="113">
        <v>4231632</v>
      </c>
      <c r="I17" s="259">
        <f>H17/'- 13 -'!$J$54*100</f>
        <v>0.18308625969000206</v>
      </c>
      <c r="J17" s="113"/>
      <c r="K17" s="259">
        <f>J17/'- 13 -'!$J$54*100</f>
        <v>0</v>
      </c>
    </row>
    <row r="18" spans="1:12">
      <c r="A18" s="112" t="s">
        <v>196</v>
      </c>
      <c r="B18" s="113">
        <v>6064313</v>
      </c>
      <c r="C18" s="259">
        <f>B18/'- 13 -'!$J$54*100</f>
        <v>0.26237923920592704</v>
      </c>
      <c r="D18" s="113">
        <v>1744344</v>
      </c>
      <c r="E18" s="259">
        <f>D18/'- 13 -'!$J$54*100</f>
        <v>7.5470981071297544E-2</v>
      </c>
      <c r="F18" s="113">
        <v>194948</v>
      </c>
      <c r="G18" s="259">
        <f>F18/'- 13 -'!$J$54*100</f>
        <v>8.4346418010938853E-3</v>
      </c>
      <c r="H18" s="113">
        <v>1863883</v>
      </c>
      <c r="I18" s="259">
        <f>H18/'- 13 -'!$J$54*100</f>
        <v>8.0642968710365193E-2</v>
      </c>
      <c r="J18" s="113">
        <v>6349836</v>
      </c>
      <c r="K18" s="259">
        <f>J18/'- 13 -'!$J$54*100</f>
        <v>0.27473270900799596</v>
      </c>
    </row>
    <row r="19" spans="1:12">
      <c r="A19" s="114" t="s">
        <v>197</v>
      </c>
      <c r="B19" s="115">
        <v>40286005</v>
      </c>
      <c r="C19" s="260">
        <f>B19/'- 13 -'!$J$54*100</f>
        <v>1.7430187628089404</v>
      </c>
      <c r="D19" s="115">
        <v>2855349</v>
      </c>
      <c r="E19" s="260">
        <f>D19/'- 13 -'!$J$54*100</f>
        <v>0.12353984668789435</v>
      </c>
      <c r="F19" s="115">
        <v>306267</v>
      </c>
      <c r="G19" s="260">
        <f>F19/'- 13 -'!$J$54*100</f>
        <v>1.325098200800019E-2</v>
      </c>
      <c r="H19" s="115">
        <v>529833</v>
      </c>
      <c r="I19" s="260">
        <f>H19/'- 13 -'!$J$54*100</f>
        <v>2.2923813372791597E-2</v>
      </c>
      <c r="J19" s="115">
        <v>16139538</v>
      </c>
      <c r="K19" s="260">
        <f>J19/'- 13 -'!$J$54*100</f>
        <v>0.69829504208888116</v>
      </c>
    </row>
    <row r="20" spans="1:12">
      <c r="A20" s="114" t="s">
        <v>198</v>
      </c>
      <c r="B20" s="116"/>
      <c r="C20" s="260"/>
      <c r="D20" s="116">
        <v>36121267</v>
      </c>
      <c r="E20" s="260">
        <f>D20/'- 13 -'!$J$54*100</f>
        <v>1.5628267463460674</v>
      </c>
      <c r="F20" s="116"/>
      <c r="G20" s="260"/>
      <c r="H20" s="116">
        <v>709610</v>
      </c>
      <c r="I20" s="260"/>
      <c r="J20" s="116"/>
      <c r="K20" s="260"/>
    </row>
    <row r="21" spans="1:12">
      <c r="A21" s="117" t="s">
        <v>199</v>
      </c>
      <c r="B21" s="118">
        <v>12756213</v>
      </c>
      <c r="C21" s="261">
        <f>B21/'- 13 -'!$J$54*100</f>
        <v>0.55191172719626391</v>
      </c>
      <c r="D21" s="118">
        <v>185193</v>
      </c>
      <c r="E21" s="261">
        <f>D21/'- 13 -'!$J$54*100</f>
        <v>8.0125808885958306E-3</v>
      </c>
      <c r="F21" s="118">
        <v>9000</v>
      </c>
      <c r="G21" s="261">
        <f>F21/'- 13 -'!$J$54*100</f>
        <v>3.893949987168115E-4</v>
      </c>
      <c r="H21" s="118">
        <v>11300</v>
      </c>
      <c r="I21" s="261">
        <f>H21/'- 13 -'!$J$54*100</f>
        <v>4.8890705394444116E-4</v>
      </c>
      <c r="J21" s="118">
        <v>2541629</v>
      </c>
      <c r="K21" s="261">
        <f>J21/'- 13 -'!$J$54*100</f>
        <v>0.10996640235484566</v>
      </c>
    </row>
    <row r="22" spans="1:12" ht="12.75" customHeight="1">
      <c r="A22" s="119" t="s">
        <v>200</v>
      </c>
      <c r="B22" s="125">
        <f>SUM(B14:B21)</f>
        <v>1104646435</v>
      </c>
      <c r="C22" s="263">
        <f>B22/'- 13 -'!$J$54*100</f>
        <v>47.793755237706158</v>
      </c>
      <c r="D22" s="125">
        <f>SUM(D14:D21)</f>
        <v>368162397</v>
      </c>
      <c r="E22" s="263">
        <f>D22/'- 13 -'!$J$54*100</f>
        <v>15.928955123043695</v>
      </c>
      <c r="F22" s="125">
        <f>SUM(F14:F21)</f>
        <v>6849768</v>
      </c>
      <c r="G22" s="263">
        <f>F22/'- 13 -'!$J$54*100</f>
        <v>0.29636282239671741</v>
      </c>
      <c r="H22" s="125">
        <f>SUM(H14:H21)</f>
        <v>17134536</v>
      </c>
      <c r="I22" s="263">
        <f>H22/'- 13 -'!$J$54*100</f>
        <v>0.74134473597035122</v>
      </c>
      <c r="J22" s="125">
        <f>SUM(J14:J21)</f>
        <v>51638767</v>
      </c>
      <c r="K22" s="263">
        <f>J22/'- 13 -'!$J$54*100</f>
        <v>2.2342086233003031</v>
      </c>
    </row>
    <row r="23" spans="1:12">
      <c r="A23" s="281" t="s">
        <v>72</v>
      </c>
      <c r="B23" s="125">
        <v>70129713</v>
      </c>
      <c r="C23" s="263">
        <f>B23/'- 13 -'!$J$54*100</f>
        <v>3.0342399448494843</v>
      </c>
      <c r="D23" s="125">
        <v>37872865</v>
      </c>
      <c r="E23" s="263">
        <f>D23/'- 13 -'!$J$54*100</f>
        <v>1.6386115797863305</v>
      </c>
      <c r="F23" s="125">
        <v>466619</v>
      </c>
      <c r="G23" s="263">
        <f>F23/'- 13 -'!$J$54*100</f>
        <v>2.018878943402665E-2</v>
      </c>
      <c r="H23" s="125">
        <v>1625308</v>
      </c>
      <c r="I23" s="263">
        <f>H23/'- 13 -'!$J$54*100</f>
        <v>7.0320756286047059E-2</v>
      </c>
      <c r="J23" s="125">
        <v>7849511</v>
      </c>
      <c r="K23" s="263">
        <f>J23/'- 13 -'!$J$54*100</f>
        <v>0.33961781397473312</v>
      </c>
    </row>
    <row r="24" spans="1:12">
      <c r="A24" s="281" t="s">
        <v>58</v>
      </c>
      <c r="B24" s="113"/>
      <c r="C24" s="259"/>
      <c r="D24" s="113"/>
      <c r="E24" s="259"/>
      <c r="F24" s="113"/>
      <c r="G24" s="259"/>
      <c r="H24" s="113"/>
      <c r="I24" s="259"/>
      <c r="J24" s="113"/>
      <c r="K24" s="259"/>
    </row>
    <row r="25" spans="1:12">
      <c r="A25" s="114" t="s">
        <v>201</v>
      </c>
      <c r="B25" s="115">
        <v>7610490</v>
      </c>
      <c r="C25" s="260">
        <f>B25/'- 13 -'!$J$54*100</f>
        <v>0.32927630486492299</v>
      </c>
      <c r="D25" s="115">
        <v>7240251</v>
      </c>
      <c r="E25" s="260">
        <f>D25/'- 13 -'!$J$54*100</f>
        <v>0.31325750320604373</v>
      </c>
      <c r="F25" s="115">
        <v>52593</v>
      </c>
      <c r="G25" s="260">
        <f>F25/'- 13 -'!$J$54*100</f>
        <v>2.2754945741681409E-3</v>
      </c>
      <c r="H25" s="115">
        <v>1326538</v>
      </c>
      <c r="I25" s="260">
        <f>H25/'- 13 -'!$J$54*100</f>
        <v>5.7394140311977968E-2</v>
      </c>
      <c r="J25" s="115">
        <v>4223142</v>
      </c>
      <c r="K25" s="260">
        <f>J25/'- 13 -'!$J$54*100</f>
        <v>0.1827189304078792</v>
      </c>
    </row>
    <row r="26" spans="1:12" ht="12" customHeight="1">
      <c r="A26" s="114" t="s">
        <v>202</v>
      </c>
      <c r="B26" s="115">
        <v>4153568</v>
      </c>
      <c r="C26" s="260">
        <f>B26/'- 13 -'!$J$54*100</f>
        <v>0.17970873400335438</v>
      </c>
      <c r="D26" s="115">
        <v>355086</v>
      </c>
      <c r="E26" s="260">
        <f>D26/'- 13 -'!$J$54*100</f>
        <v>1.5363190279373082E-2</v>
      </c>
      <c r="F26" s="115">
        <v>38224</v>
      </c>
      <c r="G26" s="260">
        <f>F26/'- 13 -'!$J$54*100</f>
        <v>1.6538038256612671E-3</v>
      </c>
      <c r="H26" s="115">
        <v>33270</v>
      </c>
      <c r="I26" s="260">
        <f>H26/'- 13 -'!$J$54*100</f>
        <v>1.4394635119231467E-3</v>
      </c>
      <c r="J26" s="115">
        <v>1208304</v>
      </c>
      <c r="K26" s="260">
        <f>J26/'- 13 -'!$J$54*100</f>
        <v>5.2278614947724247E-2</v>
      </c>
      <c r="L26" s="617" t="s">
        <v>103</v>
      </c>
    </row>
    <row r="27" spans="1:12" ht="12.75" customHeight="1">
      <c r="A27" s="114" t="s">
        <v>203</v>
      </c>
      <c r="B27" s="115"/>
      <c r="C27" s="260">
        <f>B27/'- 13 -'!$J$54*100</f>
        <v>0</v>
      </c>
      <c r="D27" s="115"/>
      <c r="E27" s="260">
        <f>D27/'- 13 -'!$J$54*100</f>
        <v>0</v>
      </c>
      <c r="F27" s="115">
        <v>33005</v>
      </c>
      <c r="G27" s="260">
        <f>F27/'- 13 -'!$J$54*100</f>
        <v>1.4279979925164849E-3</v>
      </c>
      <c r="H27" s="115"/>
      <c r="I27" s="260">
        <f>H27/'- 13 -'!$J$54*100</f>
        <v>0</v>
      </c>
      <c r="J27" s="115"/>
      <c r="K27" s="260">
        <f>J27/'- 13 -'!$J$54*100</f>
        <v>0</v>
      </c>
      <c r="L27" s="617"/>
    </row>
    <row r="28" spans="1:12" ht="12.75" customHeight="1">
      <c r="A28" s="114" t="s">
        <v>242</v>
      </c>
      <c r="B28" s="115">
        <v>2949092</v>
      </c>
      <c r="C28" s="260">
        <f>B28/'- 13 -'!$J$54*100</f>
        <v>0.12759574172841767</v>
      </c>
      <c r="D28" s="115">
        <v>2388996</v>
      </c>
      <c r="E28" s="260">
        <f>D28/'- 13 -'!$J$54*100</f>
        <v>0.10336256603938532</v>
      </c>
      <c r="F28" s="115">
        <v>81701</v>
      </c>
      <c r="G28" s="260">
        <f>F28/'- 13 -'!$J$54*100</f>
        <v>3.5348845322402465E-3</v>
      </c>
      <c r="H28" s="115">
        <v>106304</v>
      </c>
      <c r="I28" s="260">
        <f>H28/'- 13 -'!$J$54*100</f>
        <v>4.5993606603991037E-3</v>
      </c>
      <c r="J28" s="115">
        <v>2862294</v>
      </c>
      <c r="K28" s="260">
        <f>J28/'- 13 -'!$J$54*100</f>
        <v>0.12384032982857081</v>
      </c>
      <c r="L28" s="617"/>
    </row>
    <row r="29" spans="1:12" ht="12.75" customHeight="1">
      <c r="A29" s="114" t="s">
        <v>204</v>
      </c>
      <c r="B29" s="115"/>
      <c r="C29" s="260">
        <f>B29/'- 13 -'!$J$54*100</f>
        <v>0</v>
      </c>
      <c r="D29" s="115"/>
      <c r="E29" s="260">
        <f>D29/'- 13 -'!$J$54*100</f>
        <v>0</v>
      </c>
      <c r="F29" s="115"/>
      <c r="G29" s="260">
        <f>F29/'- 13 -'!$J$54*100</f>
        <v>0</v>
      </c>
      <c r="H29" s="115"/>
      <c r="I29" s="260">
        <f>H29/'- 13 -'!$J$54*100</f>
        <v>0</v>
      </c>
      <c r="J29" s="115"/>
      <c r="K29" s="260">
        <f>J29/'- 13 -'!$J$54*100</f>
        <v>0</v>
      </c>
      <c r="L29" s="617"/>
    </row>
    <row r="30" spans="1:12" ht="12.75" customHeight="1">
      <c r="A30" s="114" t="s">
        <v>205</v>
      </c>
      <c r="B30" s="115">
        <v>1258250</v>
      </c>
      <c r="C30" s="260">
        <f>B30/'- 13 -'!$J$54*100</f>
        <v>5.443958412615868E-2</v>
      </c>
      <c r="D30" s="115">
        <v>300000</v>
      </c>
      <c r="E30" s="260">
        <f>D30/'- 13 -'!$J$54*100</f>
        <v>1.2979833290560383E-2</v>
      </c>
      <c r="F30" s="115">
        <v>0</v>
      </c>
      <c r="G30" s="260">
        <f>F30/'- 13 -'!$J$54*100</f>
        <v>0</v>
      </c>
      <c r="H30" s="115"/>
      <c r="I30" s="260">
        <f>H30/'- 13 -'!$J$54*100</f>
        <v>0</v>
      </c>
      <c r="J30" s="115"/>
      <c r="K30" s="260">
        <f>J30/'- 13 -'!$J$54*100</f>
        <v>0</v>
      </c>
      <c r="L30" s="258"/>
    </row>
    <row r="31" spans="1:12" ht="12.75" customHeight="1">
      <c r="A31" s="114" t="s">
        <v>206</v>
      </c>
      <c r="B31" s="115">
        <v>571404</v>
      </c>
      <c r="C31" s="260">
        <f>B31/'- 13 -'!$J$54*100</f>
        <v>2.472242887186455E-2</v>
      </c>
      <c r="D31" s="115">
        <v>18750</v>
      </c>
      <c r="E31" s="260">
        <f>D31/'- 13 -'!$J$54*100</f>
        <v>8.1123958066002392E-4</v>
      </c>
      <c r="F31" s="115">
        <v>4724</v>
      </c>
      <c r="G31" s="260">
        <f>F31/'- 13 -'!$J$54*100</f>
        <v>2.0438910821535752E-4</v>
      </c>
      <c r="H31" s="115">
        <v>105400</v>
      </c>
      <c r="I31" s="260">
        <f>H31/'- 13 -'!$J$54*100</f>
        <v>4.5602480960835485E-3</v>
      </c>
      <c r="J31" s="115">
        <v>271120</v>
      </c>
      <c r="K31" s="260">
        <f>J31/'- 13 -'!$J$54*100</f>
        <v>1.1730308005789105E-2</v>
      </c>
    </row>
    <row r="32" spans="1:12">
      <c r="A32" s="114" t="s">
        <v>207</v>
      </c>
      <c r="B32" s="115">
        <v>132039</v>
      </c>
      <c r="C32" s="260">
        <f>B32/'- 13 -'!$J$54*100</f>
        <v>5.7128140261743414E-3</v>
      </c>
      <c r="D32" s="115">
        <v>18137</v>
      </c>
      <c r="E32" s="260">
        <f>D32/'- 13 -'!$J$54*100</f>
        <v>7.8471745463631231E-4</v>
      </c>
      <c r="F32" s="115">
        <v>2039</v>
      </c>
      <c r="G32" s="260">
        <f>F32/'- 13 -'!$J$54*100</f>
        <v>8.8219600264842081E-5</v>
      </c>
      <c r="H32" s="115">
        <v>785</v>
      </c>
      <c r="I32" s="260">
        <f>H32/'- 13 -'!$J$54*100</f>
        <v>3.3963897110299675E-5</v>
      </c>
      <c r="J32" s="115">
        <v>1540413</v>
      </c>
      <c r="K32" s="260">
        <f>J32/'- 13 -'!$J$54*100</f>
        <v>6.664767979537331E-2</v>
      </c>
    </row>
    <row r="33" spans="1:13">
      <c r="A33" s="114" t="s">
        <v>208</v>
      </c>
      <c r="B33" s="115">
        <v>3038088</v>
      </c>
      <c r="C33" s="260">
        <f>B33/'- 13 -'!$J$54*100</f>
        <v>0.13144625254017339</v>
      </c>
      <c r="D33" s="115">
        <v>64200</v>
      </c>
      <c r="E33" s="260">
        <f>D33/'- 13 -'!$J$54*100</f>
        <v>2.7776843241799224E-3</v>
      </c>
      <c r="F33" s="115">
        <v>23400</v>
      </c>
      <c r="G33" s="260">
        <f>F33/'- 13 -'!$J$54*100</f>
        <v>1.0124269966637098E-3</v>
      </c>
      <c r="H33" s="115">
        <v>40260</v>
      </c>
      <c r="I33" s="260">
        <f>H33/'- 13 -'!$J$54*100</f>
        <v>1.7418936275932038E-3</v>
      </c>
      <c r="J33" s="115">
        <v>203180</v>
      </c>
      <c r="K33" s="260">
        <f>J33/'- 13 -'!$J$54*100</f>
        <v>8.7908084265868637E-3</v>
      </c>
    </row>
    <row r="34" spans="1:13">
      <c r="A34" s="114" t="s">
        <v>209</v>
      </c>
      <c r="B34" s="115">
        <v>2631826</v>
      </c>
      <c r="C34" s="260">
        <f>B34/'- 13 -'!$J$54*100</f>
        <v>0.11386887576587458</v>
      </c>
      <c r="D34" s="115">
        <v>161482</v>
      </c>
      <c r="E34" s="260">
        <f>D34/'- 13 -'!$J$54*100</f>
        <v>6.9866981314209067E-3</v>
      </c>
      <c r="F34" s="115">
        <v>508635</v>
      </c>
      <c r="G34" s="260">
        <f>F34/'- 13 -'!$J$54*100</f>
        <v>2.2006658352480602E-2</v>
      </c>
      <c r="H34" s="115">
        <v>261206</v>
      </c>
      <c r="I34" s="260">
        <f>H34/'- 13 -'!$J$54*100</f>
        <v>1.1301367781647052E-2</v>
      </c>
      <c r="J34" s="115">
        <v>389401</v>
      </c>
      <c r="K34" s="260">
        <f>J34/'- 13 -'!$J$54*100</f>
        <v>1.6847866877258345E-2</v>
      </c>
    </row>
    <row r="35" spans="1:13">
      <c r="A35" s="362" t="s">
        <v>248</v>
      </c>
      <c r="B35" s="115"/>
      <c r="C35" s="260">
        <f>B35/'- 13 -'!$J$54*100</f>
        <v>0</v>
      </c>
      <c r="D35" s="115"/>
      <c r="E35" s="260">
        <f>D35/'- 13 -'!$J$54*100</f>
        <v>0</v>
      </c>
      <c r="F35" s="115">
        <v>33115</v>
      </c>
      <c r="G35" s="260">
        <f>F35/'- 13 -'!$J$54*100</f>
        <v>1.4327572647230237E-3</v>
      </c>
      <c r="H35" s="115"/>
      <c r="I35" s="260">
        <f>H35/'- 13 -'!$J$54*100</f>
        <v>0</v>
      </c>
      <c r="J35" s="115"/>
      <c r="K35" s="260">
        <f>J35/'- 13 -'!$J$54*100</f>
        <v>0</v>
      </c>
    </row>
    <row r="36" spans="1:13">
      <c r="A36" s="114" t="s">
        <v>210</v>
      </c>
      <c r="B36" s="115">
        <v>296253</v>
      </c>
      <c r="C36" s="260">
        <f>B36/'- 13 -'!$J$54*100</f>
        <v>1.2817715172761287E-2</v>
      </c>
      <c r="D36" s="115">
        <v>35530</v>
      </c>
      <c r="E36" s="260">
        <f>D36/'- 13 -'!$J$54*100</f>
        <v>1.5372449227120347E-3</v>
      </c>
      <c r="F36" s="115">
        <v>14051</v>
      </c>
      <c r="G36" s="260">
        <f>F36/'- 13 -'!$J$54*100</f>
        <v>6.079321252188798E-4</v>
      </c>
      <c r="H36" s="115">
        <v>127300</v>
      </c>
      <c r="I36" s="260">
        <f>H36/'- 13 -'!$J$54*100</f>
        <v>5.5077759262944564E-3</v>
      </c>
      <c r="J36" s="115">
        <v>737548</v>
      </c>
      <c r="K36" s="260">
        <f>J36/'- 13 -'!$J$54*100</f>
        <v>3.1910833612620766E-2</v>
      </c>
    </row>
    <row r="37" spans="1:13">
      <c r="A37" s="114" t="s">
        <v>211</v>
      </c>
      <c r="B37" s="115">
        <v>957704</v>
      </c>
      <c r="C37" s="260">
        <f>B37/'- 13 -'!$J$54*100</f>
        <v>4.1436127539009472E-2</v>
      </c>
      <c r="D37" s="115">
        <v>105628</v>
      </c>
      <c r="E37" s="260">
        <f>D37/'- 13 -'!$J$54*100</f>
        <v>4.5701127693843742E-3</v>
      </c>
      <c r="F37" s="115">
        <v>807</v>
      </c>
      <c r="G37" s="260">
        <f>F37/'- 13 -'!$J$54*100</f>
        <v>3.4915751551607433E-5</v>
      </c>
      <c r="H37" s="115">
        <v>3895</v>
      </c>
      <c r="I37" s="260">
        <f>H37/'- 13 -'!$J$54*100</f>
        <v>1.6852150222244233E-4</v>
      </c>
      <c r="J37" s="115">
        <v>2829745</v>
      </c>
      <c r="K37" s="260">
        <f>J37/'- 13 -'!$J$54*100</f>
        <v>0.12243206118265598</v>
      </c>
    </row>
    <row r="38" spans="1:13">
      <c r="A38" s="121" t="s">
        <v>212</v>
      </c>
      <c r="B38" s="115">
        <v>591377</v>
      </c>
      <c r="C38" s="260">
        <f>B38/'- 13 -'!$J$54*100</f>
        <v>2.5586582906239094E-2</v>
      </c>
      <c r="D38" s="115">
        <v>240325</v>
      </c>
      <c r="E38" s="260">
        <f>D38/'- 13 -'!$J$54*100</f>
        <v>1.039792811851308E-2</v>
      </c>
      <c r="F38" s="115">
        <v>48180</v>
      </c>
      <c r="G38" s="260">
        <f>F38/'- 13 -'!$J$54*100</f>
        <v>2.0845612264639977E-3</v>
      </c>
      <c r="H38" s="115">
        <v>25525</v>
      </c>
      <c r="I38" s="260">
        <f>H38/'- 13 -'!$J$54*100</f>
        <v>1.1043674824718461E-3</v>
      </c>
      <c r="J38" s="115">
        <v>1655177</v>
      </c>
      <c r="K38" s="260">
        <f>J38/'- 13 -'!$J$54*100</f>
        <v>7.1613071754566215E-2</v>
      </c>
    </row>
    <row r="39" spans="1:13">
      <c r="A39" s="122" t="s">
        <v>213</v>
      </c>
      <c r="B39" s="118">
        <v>9236089</v>
      </c>
      <c r="C39" s="261">
        <f>B39/'- 13 -'!$J$54*100</f>
        <v>0.39960965158926187</v>
      </c>
      <c r="D39" s="118">
        <v>126300</v>
      </c>
      <c r="E39" s="261">
        <f>D39/'- 13 -'!$J$54*100</f>
        <v>5.4645098153259216E-3</v>
      </c>
      <c r="F39" s="118">
        <v>25083</v>
      </c>
      <c r="G39" s="261">
        <f>F39/'- 13 -'!$J$54*100</f>
        <v>1.0852438614237536E-3</v>
      </c>
      <c r="H39" s="118">
        <v>5500</v>
      </c>
      <c r="I39" s="261">
        <f>H39/'- 13 -'!$J$54*100</f>
        <v>2.3796361032694038E-4</v>
      </c>
      <c r="J39" s="118">
        <v>2691059</v>
      </c>
      <c r="K39" s="261">
        <f>J39/'- 13 -'!$J$54*100</f>
        <v>0.11643165731687379</v>
      </c>
    </row>
    <row r="40" spans="1:13">
      <c r="A40" s="119" t="s">
        <v>214</v>
      </c>
      <c r="B40" s="125">
        <f>SUM(B25:B39)</f>
        <v>33426180</v>
      </c>
      <c r="C40" s="263">
        <f>B40/'- 13 -'!$J$54*100</f>
        <v>1.4462208131342125</v>
      </c>
      <c r="D40" s="125">
        <f>SUM(D25:D39)</f>
        <v>11054685</v>
      </c>
      <c r="E40" s="263">
        <f>D40/'- 13 -'!$J$54*100</f>
        <v>0.47829322793219503</v>
      </c>
      <c r="F40" s="125">
        <f>SUM(F25:F39)</f>
        <v>865557</v>
      </c>
      <c r="G40" s="263">
        <f>F40/'- 13 -'!$J$54*100</f>
        <v>3.7449285211591916E-2</v>
      </c>
      <c r="H40" s="125">
        <f>SUM(H25:H39)</f>
        <v>2035983</v>
      </c>
      <c r="I40" s="263">
        <f>H40/'- 13 -'!$J$54*100</f>
        <v>8.8089066408050004E-2</v>
      </c>
      <c r="J40" s="125">
        <f>SUM(J25:J39)</f>
        <v>18611383</v>
      </c>
      <c r="K40" s="263">
        <f>J40/'- 13 -'!$J$54*100</f>
        <v>0.80524216215589872</v>
      </c>
    </row>
    <row r="41" spans="1:13">
      <c r="A41" s="281" t="s">
        <v>215</v>
      </c>
      <c r="B41" s="123"/>
      <c r="C41" s="264"/>
      <c r="D41" s="123"/>
      <c r="E41" s="264"/>
      <c r="F41" s="123"/>
      <c r="G41" s="264"/>
      <c r="H41" s="123"/>
      <c r="I41" s="264"/>
      <c r="J41" s="123"/>
      <c r="K41" s="264"/>
    </row>
    <row r="42" spans="1:13">
      <c r="A42" s="114" t="s">
        <v>216</v>
      </c>
      <c r="B42" s="115">
        <v>36543010</v>
      </c>
      <c r="C42" s="260">
        <f>B42/'- 13 -'!$J$54*100</f>
        <v>1.5810739257842699</v>
      </c>
      <c r="D42" s="115">
        <v>3357494</v>
      </c>
      <c r="E42" s="260">
        <f>D42/'- 13 -'!$J$54*100</f>
        <v>0.14526570798018915</v>
      </c>
      <c r="F42" s="115">
        <v>135425</v>
      </c>
      <c r="G42" s="260">
        <f>F42/'- 13 -'!$J$54*100</f>
        <v>5.8593130779138001E-3</v>
      </c>
      <c r="H42" s="115">
        <v>2153690</v>
      </c>
      <c r="I42" s="260">
        <f>H42/'- 13 -'!$J$54*100</f>
        <v>9.3181790531823308E-2</v>
      </c>
      <c r="J42" s="115">
        <v>1404876</v>
      </c>
      <c r="K42" s="260">
        <f>J42/'- 13 -'!$J$54*100</f>
        <v>6.0783520913031033E-2</v>
      </c>
    </row>
    <row r="43" spans="1:13">
      <c r="A43" s="114" t="s">
        <v>217</v>
      </c>
      <c r="B43" s="115">
        <v>12187899</v>
      </c>
      <c r="C43" s="260">
        <f>B43/'- 13 -'!$J$54*100</f>
        <v>0.52732299060729204</v>
      </c>
      <c r="D43" s="115">
        <v>789447</v>
      </c>
      <c r="E43" s="260">
        <f>D43/'- 13 -'!$J$54*100</f>
        <v>3.4156301505776747E-2</v>
      </c>
      <c r="F43" s="115">
        <v>77517</v>
      </c>
      <c r="G43" s="260">
        <f>F43/'- 13 -'!$J$54*100</f>
        <v>3.3538591239478974E-3</v>
      </c>
      <c r="H43" s="115">
        <v>81727</v>
      </c>
      <c r="I43" s="260">
        <f>H43/'- 13 -'!$J$54*100</f>
        <v>3.5360094511254284E-3</v>
      </c>
      <c r="J43" s="115">
        <v>120680</v>
      </c>
      <c r="K43" s="260">
        <f>J43/'- 13 -'!$J$54*100</f>
        <v>5.2213542716827571E-3</v>
      </c>
    </row>
    <row r="44" spans="1:13">
      <c r="A44" s="114" t="s">
        <v>218</v>
      </c>
      <c r="B44" s="115">
        <v>11207937</v>
      </c>
      <c r="C44" s="260">
        <f>B44/'- 13 -'!$J$54*100</f>
        <v>0.48492384597034494</v>
      </c>
      <c r="D44" s="115">
        <v>440668</v>
      </c>
      <c r="E44" s="260">
        <f>D44/'- 13 -'!$J$54*100</f>
        <v>1.9065990588282209E-2</v>
      </c>
      <c r="F44" s="115">
        <v>36695</v>
      </c>
      <c r="G44" s="260">
        <f>F44/'- 13 -'!$J$54*100</f>
        <v>1.5876499419903776E-3</v>
      </c>
      <c r="H44" s="115">
        <v>106160</v>
      </c>
      <c r="I44" s="260">
        <f>H44/'- 13 -'!$J$54*100</f>
        <v>4.5931303404196343E-3</v>
      </c>
      <c r="J44" s="115">
        <v>309571</v>
      </c>
      <c r="K44" s="260">
        <f>J44/'- 13 -'!$J$54*100</f>
        <v>1.3393933238640228E-2</v>
      </c>
    </row>
    <row r="45" spans="1:13">
      <c r="A45" s="122" t="s">
        <v>219</v>
      </c>
      <c r="B45" s="118">
        <v>21425140</v>
      </c>
      <c r="C45" s="261">
        <f>B45/'- 13 -'!$J$54*100</f>
        <v>0.92698248475638967</v>
      </c>
      <c r="D45" s="118">
        <v>618908</v>
      </c>
      <c r="E45" s="261">
        <f>D45/'- 13 -'!$J$54*100</f>
        <v>2.6777742207313819E-2</v>
      </c>
      <c r="F45" s="118">
        <v>55967</v>
      </c>
      <c r="G45" s="261">
        <f>F45/'- 13 -'!$J$54*100</f>
        <v>2.4214744325759766E-3</v>
      </c>
      <c r="H45" s="118">
        <v>6380</v>
      </c>
      <c r="I45" s="261">
        <f>H45/'- 13 -'!$J$54*100</f>
        <v>2.7603778797925083E-4</v>
      </c>
      <c r="J45" s="118">
        <v>791694</v>
      </c>
      <c r="K45" s="261">
        <f>J45/'- 13 -'!$J$54*100</f>
        <v>3.4253520457123043E-2</v>
      </c>
    </row>
    <row r="46" spans="1:13">
      <c r="A46" s="119" t="s">
        <v>220</v>
      </c>
      <c r="B46" s="125">
        <f>SUM(B42:B45)</f>
        <v>81363986</v>
      </c>
      <c r="C46" s="263">
        <f>B46/'- 13 -'!$J$54*100</f>
        <v>3.5203032471182971</v>
      </c>
      <c r="D46" s="125">
        <f>SUM(D42:D45)</f>
        <v>5206517</v>
      </c>
      <c r="E46" s="263">
        <f>D46/'- 13 -'!$J$54*100</f>
        <v>0.22526574228156193</v>
      </c>
      <c r="F46" s="125">
        <f>SUM(F42:F45)</f>
        <v>305604</v>
      </c>
      <c r="G46" s="263">
        <f>F46/'- 13 -'!$J$54*100</f>
        <v>1.3222296576428051E-2</v>
      </c>
      <c r="H46" s="125">
        <f>SUM(H42:H45)</f>
        <v>2347957</v>
      </c>
      <c r="I46" s="263">
        <f>H46/'- 13 -'!$J$54*100</f>
        <v>0.10158696811134761</v>
      </c>
      <c r="J46" s="125">
        <f>SUM(J42:J45)</f>
        <v>2626821</v>
      </c>
      <c r="K46" s="263">
        <f>J46/'- 13 -'!$J$54*100</f>
        <v>0.11365232888047706</v>
      </c>
    </row>
    <row r="47" spans="1:13">
      <c r="A47" s="281" t="s">
        <v>42</v>
      </c>
      <c r="B47" s="123"/>
      <c r="C47" s="264"/>
      <c r="D47" s="123"/>
      <c r="E47" s="264"/>
      <c r="F47" s="123"/>
      <c r="G47" s="264"/>
      <c r="H47" s="123"/>
      <c r="I47" s="264"/>
      <c r="J47" s="123"/>
      <c r="K47" s="264"/>
    </row>
    <row r="48" spans="1:13" ht="15" customHeight="1">
      <c r="A48" s="122" t="s">
        <v>246</v>
      </c>
      <c r="B48" s="124"/>
      <c r="C48" s="261"/>
      <c r="D48" s="124"/>
      <c r="E48" s="261"/>
      <c r="F48" s="118">
        <v>27000</v>
      </c>
      <c r="G48" s="261"/>
      <c r="H48" s="124"/>
      <c r="I48" s="261"/>
      <c r="J48" s="118">
        <v>-27000</v>
      </c>
      <c r="K48" s="261"/>
      <c r="M48" s="1">
        <f>F48+J48+'- 13 -'!F48</f>
        <v>0</v>
      </c>
    </row>
    <row r="49" spans="1:11">
      <c r="A49" s="119" t="s">
        <v>223</v>
      </c>
      <c r="B49" s="119"/>
      <c r="C49" s="263"/>
      <c r="D49" s="119"/>
      <c r="E49" s="263"/>
      <c r="F49" s="125">
        <f>F48</f>
        <v>27000</v>
      </c>
      <c r="G49" s="263"/>
      <c r="H49" s="119"/>
      <c r="I49" s="263"/>
      <c r="J49" s="125">
        <f>J48</f>
        <v>-27000</v>
      </c>
      <c r="K49" s="263"/>
    </row>
    <row r="50" spans="1:11" ht="5.0999999999999996" customHeight="1">
      <c r="A50" s="19"/>
      <c r="B50" s="23"/>
      <c r="C50" s="265"/>
      <c r="D50" s="72"/>
      <c r="E50" s="265"/>
      <c r="F50" s="72"/>
      <c r="G50" s="265"/>
      <c r="H50" s="72"/>
      <c r="I50" s="265"/>
      <c r="J50" s="72"/>
      <c r="K50" s="265"/>
    </row>
    <row r="51" spans="1:11">
      <c r="A51" s="282" t="s">
        <v>224</v>
      </c>
      <c r="B51" s="344">
        <f>SUM(B47,B46,B40,B23,B22)</f>
        <v>1289566314</v>
      </c>
      <c r="C51" s="345">
        <f>B51/'- 13 -'!$J$54*100</f>
        <v>55.79451924280815</v>
      </c>
      <c r="D51" s="344">
        <f>SUM(D47,D46,D40,D23,D22)</f>
        <v>422296464</v>
      </c>
      <c r="E51" s="345">
        <f>D51/'- 13 -'!$J$54*100</f>
        <v>18.27112567304378</v>
      </c>
      <c r="F51" s="344">
        <f>SUM(F49,F46,F40,F23,F22)</f>
        <v>8514548</v>
      </c>
      <c r="G51" s="345">
        <f>F51/'- 13 -'!$J$54*100</f>
        <v>0.36839137861491444</v>
      </c>
      <c r="H51" s="344">
        <f>SUM(H47,H46,H40,H23,H22)</f>
        <v>23143784</v>
      </c>
      <c r="I51" s="345">
        <f>H51/'- 13 -'!$J$54*100</f>
        <v>1.0013415267757959</v>
      </c>
      <c r="J51" s="344">
        <f>SUM(J49,J46,J40,J23,J22)</f>
        <v>80699482</v>
      </c>
      <c r="K51" s="345">
        <f>J51/'- 13 -'!$J$54*100</f>
        <v>3.4915527433152613</v>
      </c>
    </row>
    <row r="52" spans="1:11" ht="20.100000000000001" customHeight="1">
      <c r="A52" s="449" t="s">
        <v>365</v>
      </c>
    </row>
  </sheetData>
  <mergeCells count="7">
    <mergeCell ref="B7:K7"/>
    <mergeCell ref="L26:L29"/>
    <mergeCell ref="B9:C10"/>
    <mergeCell ref="D9:E10"/>
    <mergeCell ref="F9:G10"/>
    <mergeCell ref="H9:I10"/>
    <mergeCell ref="J9:K10"/>
  </mergeCells>
  <phoneticPr fontId="0" type="noConversion"/>
  <printOptions verticalCentered="1"/>
  <pageMargins left="0.74803149606299213" right="0" top="0.31496062992125984" bottom="0.31496062992125984" header="0" footer="0"/>
  <pageSetup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62</vt:i4>
      </vt:variant>
    </vt:vector>
  </HeadingPairs>
  <TitlesOfParts>
    <vt:vector size="116" baseType="lpstr">
      <vt:lpstr>README</vt:lpstr>
      <vt:lpstr>- 3 -</vt:lpstr>
      <vt:lpstr>- 4 -</vt:lpstr>
      <vt:lpstr>- 6 -</vt:lpstr>
      <vt:lpstr>- 7 -</vt:lpstr>
      <vt:lpstr>- 8 -</vt:lpstr>
      <vt:lpstr>- 9 -</vt:lpstr>
      <vt:lpstr>- 10 -</vt:lpstr>
      <vt:lpstr>- 12 -</vt:lpstr>
      <vt:lpstr>- 13 -</vt:lpstr>
      <vt:lpstr>- 15 -</vt:lpstr>
      <vt:lpstr>- 16 -</vt:lpstr>
      <vt:lpstr>- 17 -</vt:lpstr>
      <vt:lpstr>- 18 -</vt:lpstr>
      <vt:lpstr>- 19 -</vt:lpstr>
      <vt:lpstr>- 20 -</vt:lpstr>
      <vt:lpstr>- 21 -</vt:lpstr>
      <vt:lpstr>- 22 -</vt:lpstr>
      <vt:lpstr>- 23 -</vt:lpstr>
      <vt:lpstr>- 24 -</vt:lpstr>
      <vt:lpstr>- 25 -</vt:lpstr>
      <vt:lpstr>- 26 -</vt:lpstr>
      <vt:lpstr>- 27 -</vt:lpstr>
      <vt:lpstr>- 28 -</vt:lpstr>
      <vt:lpstr>- 29 -</vt:lpstr>
      <vt:lpstr>- 30 -</vt:lpstr>
      <vt:lpstr>- 31 -</vt:lpstr>
      <vt:lpstr>- 32 -</vt:lpstr>
      <vt:lpstr>- 33 -</vt:lpstr>
      <vt:lpstr>- 34 -</vt:lpstr>
      <vt:lpstr>- 35 -</vt:lpstr>
      <vt:lpstr>- 36 -</vt:lpstr>
      <vt:lpstr>- 37 -</vt:lpstr>
      <vt:lpstr>- 38 -</vt:lpstr>
      <vt:lpstr>- 40 -</vt:lpstr>
      <vt:lpstr>- 41 -</vt:lpstr>
      <vt:lpstr>- 42 -</vt:lpstr>
      <vt:lpstr>- 43 -</vt:lpstr>
      <vt:lpstr>- 44 -</vt:lpstr>
      <vt:lpstr>- 45 -</vt:lpstr>
      <vt:lpstr>- 47 -</vt:lpstr>
      <vt:lpstr>- 48 - </vt:lpstr>
      <vt:lpstr>- 50 -</vt:lpstr>
      <vt:lpstr>- 51 -</vt:lpstr>
      <vt:lpstr>- 52 -</vt:lpstr>
      <vt:lpstr>- 53 -</vt:lpstr>
      <vt:lpstr>- 54 -</vt:lpstr>
      <vt:lpstr>- 55 -</vt:lpstr>
      <vt:lpstr>- 56 -</vt:lpstr>
      <vt:lpstr>- 57 -</vt:lpstr>
      <vt:lpstr>- 58 -</vt:lpstr>
      <vt:lpstr>- 59 -</vt:lpstr>
      <vt:lpstr>- 60 -</vt:lpstr>
      <vt:lpstr>Data</vt:lpstr>
      <vt:lpstr>AEXP_BF</vt:lpstr>
      <vt:lpstr>AEXP_BP</vt:lpstr>
      <vt:lpstr>Lang</vt:lpstr>
      <vt:lpstr>OPYEAR</vt:lpstr>
      <vt:lpstr>'- 10 -'!Print_Area</vt:lpstr>
      <vt:lpstr>'- 12 -'!Print_Area</vt:lpstr>
      <vt:lpstr>'- 13 -'!Print_Area</vt:lpstr>
      <vt:lpstr>'- 15 -'!Print_Area</vt:lpstr>
      <vt:lpstr>'- 16 -'!Print_Area</vt:lpstr>
      <vt:lpstr>'- 17 -'!Print_Area</vt:lpstr>
      <vt:lpstr>'- 18 -'!Print_Area</vt:lpstr>
      <vt:lpstr>'- 19 -'!Print_Area</vt:lpstr>
      <vt:lpstr>'- 20 -'!Print_Area</vt:lpstr>
      <vt:lpstr>'- 21 -'!Print_Area</vt:lpstr>
      <vt:lpstr>'- 22 -'!Print_Area</vt:lpstr>
      <vt:lpstr>'- 23 -'!Print_Area</vt:lpstr>
      <vt:lpstr>'- 24 -'!Print_Area</vt:lpstr>
      <vt:lpstr>'- 25 -'!Print_Area</vt:lpstr>
      <vt:lpstr>'- 26 -'!Print_Area</vt:lpstr>
      <vt:lpstr>'- 27 -'!Print_Area</vt:lpstr>
      <vt:lpstr>'- 28 -'!Print_Area</vt:lpstr>
      <vt:lpstr>'- 29 -'!Print_Area</vt:lpstr>
      <vt:lpstr>'- 3 -'!Print_Area</vt:lpstr>
      <vt:lpstr>'- 30 -'!Print_Area</vt:lpstr>
      <vt:lpstr>'- 31 -'!Print_Area</vt:lpstr>
      <vt:lpstr>'- 32 -'!Print_Area</vt:lpstr>
      <vt:lpstr>'- 33 -'!Print_Area</vt:lpstr>
      <vt:lpstr>'- 34 -'!Print_Area</vt:lpstr>
      <vt:lpstr>'- 35 -'!Print_Area</vt:lpstr>
      <vt:lpstr>'- 36 -'!Print_Area</vt:lpstr>
      <vt:lpstr>'- 37 -'!Print_Area</vt:lpstr>
      <vt:lpstr>'- 38 -'!Print_Area</vt:lpstr>
      <vt:lpstr>'- 4 -'!Print_Area</vt:lpstr>
      <vt:lpstr>'- 40 -'!Print_Area</vt:lpstr>
      <vt:lpstr>'- 41 -'!Print_Area</vt:lpstr>
      <vt:lpstr>'- 42 -'!Print_Area</vt:lpstr>
      <vt:lpstr>'- 43 -'!Print_Area</vt:lpstr>
      <vt:lpstr>'- 44 -'!Print_Area</vt:lpstr>
      <vt:lpstr>'- 45 -'!Print_Area</vt:lpstr>
      <vt:lpstr>'- 47 -'!Print_Area</vt:lpstr>
      <vt:lpstr>'- 48 - '!Print_Area</vt:lpstr>
      <vt:lpstr>'- 50 -'!Print_Area</vt:lpstr>
      <vt:lpstr>'- 51 -'!Print_Area</vt:lpstr>
      <vt:lpstr>'- 52 -'!Print_Area</vt:lpstr>
      <vt:lpstr>'- 53 -'!Print_Area</vt:lpstr>
      <vt:lpstr>'- 54 -'!Print_Area</vt:lpstr>
      <vt:lpstr>'- 55 -'!Print_Area</vt:lpstr>
      <vt:lpstr>'- 56 -'!Print_Area</vt:lpstr>
      <vt:lpstr>'- 57 -'!Print_Area</vt:lpstr>
      <vt:lpstr>'- 58 -'!Print_Area</vt:lpstr>
      <vt:lpstr>'- 59 -'!Print_Area</vt:lpstr>
      <vt:lpstr>'- 6 -'!Print_Area</vt:lpstr>
      <vt:lpstr>'- 60 -'!Print_Area</vt:lpstr>
      <vt:lpstr>'- 7 -'!Print_Area</vt:lpstr>
      <vt:lpstr>'- 8 -'!Print_Area</vt:lpstr>
      <vt:lpstr>'- 9 -'!Print_Area</vt:lpstr>
      <vt:lpstr>Data!Print_Area</vt:lpstr>
      <vt:lpstr>README!Print_Area</vt:lpstr>
      <vt:lpstr>REVYEAR</vt:lpstr>
      <vt:lpstr>STATDATE</vt:lpstr>
      <vt:lpstr>TAXYEAR</vt:lpstr>
      <vt:lpstr>YEAR</vt:lpstr>
    </vt:vector>
  </TitlesOfParts>
  <Company>Government of Manitoba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Pizarro, Gonzalo (EDU)</dc:creator>
  <cp:lastModifiedBy>GPizarro</cp:lastModifiedBy>
  <cp:lastPrinted>2016-09-30T19:34:25Z</cp:lastPrinted>
  <dcterms:created xsi:type="dcterms:W3CDTF">1999-01-19T20:49:35Z</dcterms:created>
  <dcterms:modified xsi:type="dcterms:W3CDTF">2016-09-30T19:39:52Z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-1142230523</vt:i4>
  </property>
  <property fmtid="{D5CDD505-2E9C-101B-9397-08002B2CF9AE}" pid="3" name="_NewReviewCycle">
    <vt:lpwstr/>
  </property>
  <property fmtid="{D5CDD505-2E9C-101B-9397-08002B2CF9AE}" pid="4" name="_EmailSubject">
    <vt:lpwstr>2016/17 Frame Report Budget to be posted.</vt:lpwstr>
  </property>
  <property fmtid="{D5CDD505-2E9C-101B-9397-08002B2CF9AE}" pid="5" name="_AuthorEmail">
    <vt:lpwstr>Gonzalo.Pizarro@gov.mb.ca</vt:lpwstr>
  </property>
  <property fmtid="{D5CDD505-2E9C-101B-9397-08002B2CF9AE}" pid="6" name="_AuthorEmailDisplayName">
    <vt:lpwstr>Pizarro, Gonzalo (MET)</vt:lpwstr>
  </property>
</Properties>
</file>