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480" windowHeight="5160" tabRatio="865"/>
  </bookViews>
  <sheets>
    <sheet name="README" sheetId="9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28" r:id="rId23"/>
    <sheet name="- 28 -" sheetId="29"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33" r:id="rId39"/>
    <sheet name="- 45 -" sheetId="48" r:id="rId40"/>
    <sheet name="- 47 -" sheetId="49" r:id="rId41"/>
    <sheet name="- 48 - " sheetId="88" r:id="rId42"/>
    <sheet name="- 50 -" sheetId="50" r:id="rId43"/>
    <sheet name="- 51 -" sheetId="51" r:id="rId44"/>
    <sheet name="- 52 -" sheetId="81" r:id="rId45"/>
    <sheet name="- 53 -" sheetId="47" r:id="rId46"/>
    <sheet name="- 54 -" sheetId="46" r:id="rId47"/>
    <sheet name="- 55 -" sheetId="52" r:id="rId48"/>
    <sheet name="- 56 -" sheetId="84" r:id="rId49"/>
    <sheet name="- 57 -" sheetId="85" r:id="rId50"/>
    <sheet name="- 58 -" sheetId="89" r:id="rId51"/>
    <sheet name="- 59 -" sheetId="90" r:id="rId52"/>
    <sheet name="- 60 -" sheetId="78" r:id="rId53"/>
    <sheet name="Data" sheetId="2" state="hidden" r:id="rId54"/>
  </sheets>
  <externalReferences>
    <externalReference r:id="rId55"/>
    <externalReference r:id="rId56"/>
    <externalReference r:id="rId57"/>
    <externalReference r:id="rId58"/>
  </externalReferences>
  <definedNames>
    <definedName name="_Fill" localSheetId="50" hidden="1">#REF!</definedName>
    <definedName name="_Fill" localSheetId="0" hidden="1">#REF!</definedName>
    <definedName name="_Fill" hidden="1">#REF!</definedName>
    <definedName name="_Order1" hidden="1">0</definedName>
    <definedName name="AEXP_BF" localSheetId="0">'- 15 -'!$B$2</definedName>
    <definedName name="AEXP_BF">'- 15 -'!$B$2</definedName>
    <definedName name="AEXP_BP" localSheetId="0">'- 18 -'!$B$2</definedName>
    <definedName name="AEXP_BP">'- 18 -'!$B$2</definedName>
    <definedName name="capyear" localSheetId="0">#REF!</definedName>
    <definedName name="capyear">#REF!</definedName>
    <definedName name="DATE_ENTRY" localSheetId="0">#REF!</definedName>
    <definedName name="DATE_ENTRY">#REF!</definedName>
    <definedName name="DIV">[1]Data!$A$9:$A$696</definedName>
    <definedName name="DIVNUM">[2]DATA!$B$1</definedName>
    <definedName name="HTML_CodePage" hidden="1">1252</definedName>
    <definedName name="HTML_Control" localSheetId="18" hidden="1">{"'- 4 -'!$A$1:$G$76","'-3 -'!$A$1:$G$77"}</definedName>
    <definedName name="HTML_Control" localSheetId="41" hidden="1">{"'- 4 -'!$A$1:$G$76","'-3 -'!$A$1:$G$77"}</definedName>
    <definedName name="HTML_Control" localSheetId="44" hidden="1">{"'- 4 -'!$A$1:$G$76","'-3 -'!$A$1:$G$77"}</definedName>
    <definedName name="HTML_Control" localSheetId="48" hidden="1">{"'- 4 -'!$A$1:$G$76","'-3 -'!$A$1:$G$77"}</definedName>
    <definedName name="HTML_Control" localSheetId="49"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ang" localSheetId="0">Data!$V$4</definedName>
    <definedName name="Lang">Data!$V$4</definedName>
    <definedName name="LIST">[2]DATA!$D$1:$D$39</definedName>
    <definedName name="LOADED1" localSheetId="0">#REF!</definedName>
    <definedName name="LOADED1">#REF!</definedName>
    <definedName name="LOADED2" localSheetId="0">#REF!</definedName>
    <definedName name="LOADED2">#REF!</definedName>
    <definedName name="LOADED3" localSheetId="0">#REF!</definedName>
    <definedName name="LOADED3">#REF!</definedName>
    <definedName name="NOW" localSheetId="0">#REF!</definedName>
    <definedName name="NOW">#REF!</definedName>
    <definedName name="OD_FINISH" localSheetId="0">#REF!</definedName>
    <definedName name="OD_FINISH">#REF!</definedName>
    <definedName name="OD_FIRST" localSheetId="0">#REF!</definedName>
    <definedName name="OD_FIRST">#REF!</definedName>
    <definedName name="OD_LAST" localSheetId="0">#REF!</definedName>
    <definedName name="OD_LAST">#REF!</definedName>
    <definedName name="OD_START" localSheetId="0">#REF!</definedName>
    <definedName name="OD_START">#REF!</definedName>
    <definedName name="ONE_AM" localSheetId="0">#REF!</definedName>
    <definedName name="ONE_AM">#REF!</definedName>
    <definedName name="ONE_PM" localSheetId="0">#REF!</definedName>
    <definedName name="ONE_PM">#REF!</definedName>
    <definedName name="OPYEAR" localSheetId="0">'[3]- 3 -'!$A$3</definedName>
    <definedName name="OPYEAR">'- 3 -'!$A$3</definedName>
    <definedName name="_xlnm.Print_Area" localSheetId="7">'- 10 -'!$A$1:$L$34</definedName>
    <definedName name="_xlnm.Print_Area" localSheetId="8">'- 12 -'!$A$2:$L$53</definedName>
    <definedName name="_xlnm.Print_Area" localSheetId="9">'- 13 -'!$A$2:$L$55</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'- 21 -'!$A$1:$I$59</definedName>
    <definedName name="_xlnm.Print_Area" localSheetId="17">'- 22 -'!$A$1:$J$58</definedName>
    <definedName name="_xlnm.Print_Area" localSheetId="18">'- 23 -'!$A$1:$F$59</definedName>
    <definedName name="_xlnm.Print_Area" localSheetId="19">'- 24 -'!$A$1:$I$59</definedName>
    <definedName name="_xlnm.Print_Area" localSheetId="20">'- 25 -'!$A$1:$J$59</definedName>
    <definedName name="_xlnm.Print_Area" localSheetId="21">'- 26 -'!$A$1:$E$59</definedName>
    <definedName name="_xlnm.Print_Area" localSheetId="22">'- 27 -'!$A$1:$J$59</definedName>
    <definedName name="_xlnm.Print_Area" localSheetId="23">'- 28 -'!$A$1:$G$59</definedName>
    <definedName name="_xlnm.Print_Area" localSheetId="24">'- 29 -'!$A$1:$G$59</definedName>
    <definedName name="_xlnm.Print_Area" localSheetId="1">'- 3 -'!$A$1:$F$59</definedName>
    <definedName name="_xlnm.Print_Area" localSheetId="25">'- 30 -'!$A$1:$F$59</definedName>
    <definedName name="_xlnm.Print_Area" localSheetId="26">'- 31 -'!$A$1:$G$59</definedName>
    <definedName name="_xlnm.Print_Area" localSheetId="27">'- 32 -'!$A$1:$F$59</definedName>
    <definedName name="_xlnm.Print_Area" localSheetId="28">'- 33 -'!$A$1:$F$59</definedName>
    <definedName name="_xlnm.Print_Area" localSheetId="29">'- 34 -'!$A$1:$H$59</definedName>
    <definedName name="_xlnm.Print_Area" localSheetId="30">'- 35 -'!$A$1:$E$59</definedName>
    <definedName name="_xlnm.Print_Area" localSheetId="31">'- 36 -'!$A$1:$G$59</definedName>
    <definedName name="_xlnm.Print_Area" localSheetId="32">'- 37 -'!$A$1:$J$59</definedName>
    <definedName name="_xlnm.Print_Area" localSheetId="33">'- 38 -'!$A$1:$H$58</definedName>
    <definedName name="_xlnm.Print_Area" localSheetId="2">'- 4 -'!$A$1:$E$59</definedName>
    <definedName name="_xlnm.Print_Area" localSheetId="34">'- 40 -'!$A$1:$H$59</definedName>
    <definedName name="_xlnm.Print_Area" localSheetId="35">'- 41 -'!$A$1:$I$62</definedName>
    <definedName name="_xlnm.Print_Area" localSheetId="36">'- 42 -'!$A$1:$I$59</definedName>
    <definedName name="_xlnm.Print_Area" localSheetId="37">'- 43 -'!$A$1:$I$59</definedName>
    <definedName name="_xlnm.Print_Area" localSheetId="38">'- 44 -'!$A$1:$C$60</definedName>
    <definedName name="_xlnm.Print_Area" localSheetId="39">'- 45 -'!$A$1:$D$58</definedName>
    <definedName name="_xlnm.Print_Area" localSheetId="40">'- 47 -'!$A$1:$G$57</definedName>
    <definedName name="_xlnm.Print_Area" localSheetId="41">'- 48 - '!$A$1:$F$52</definedName>
    <definedName name="_xlnm.Print_Area" localSheetId="42">'- 50 -'!$A$1:$F$57</definedName>
    <definedName name="_xlnm.Print_Area" localSheetId="43">'- 51 -'!$A$1:$G$59</definedName>
    <definedName name="_xlnm.Print_Area" localSheetId="44">'- 52 -'!$A$1:$G$59</definedName>
    <definedName name="_xlnm.Print_Area" localSheetId="45">'- 53 -'!$A$1:$F$57</definedName>
    <definedName name="_xlnm.Print_Area" localSheetId="46">'- 54 -'!$A$1:$F$59</definedName>
    <definedName name="_xlnm.Print_Area" localSheetId="47">'- 55 -'!$A$1:$F$59</definedName>
    <definedName name="_xlnm.Print_Area" localSheetId="48">'- 56 -'!$A$1:$F$62</definedName>
    <definedName name="_xlnm.Print_Area" localSheetId="49">'- 57 -'!$A$1:$H$56</definedName>
    <definedName name="_xlnm.Print_Area" localSheetId="50">'- 58 -'!$A$1:$I$57</definedName>
    <definedName name="_xlnm.Print_Area" localSheetId="51">'- 59 -'!$A$2:$G$52</definedName>
    <definedName name="_xlnm.Print_Area" localSheetId="3">'- 6 -'!$A$1:$H$59</definedName>
    <definedName name="_xlnm.Print_Area" localSheetId="52">'- 60 -'!$A$1:$I$55</definedName>
    <definedName name="_xlnm.Print_Area" localSheetId="4">'- 7 -'!$A$1:$G$59</definedName>
    <definedName name="_xlnm.Print_Area" localSheetId="5">'- 8 -'!$A$1:$G$59</definedName>
    <definedName name="_xlnm.Print_Area" localSheetId="6">'- 9 -'!$A$1:$D$58</definedName>
    <definedName name="_xlnm.Print_Area" localSheetId="53">Data!$A$3:$N$52</definedName>
    <definedName name="_xlnm.Print_Area" localSheetId="0">README!$B$3:$B$15</definedName>
    <definedName name="REVYEAR" localSheetId="0">'[3]- 42 -'!$B$1</definedName>
    <definedName name="REVYEAR">'- 41 -'!$B$1</definedName>
    <definedName name="STAMP" localSheetId="0">#REF!</definedName>
    <definedName name="STAMP">#REF!</definedName>
    <definedName name="STATDATE" localSheetId="0">'[3]- 6 -'!$B$3</definedName>
    <definedName name="STATDATE">'- 6 -'!$B$3</definedName>
    <definedName name="TAXYEAR" localSheetId="0">'[3]- 46 -'!$B$3</definedName>
    <definedName name="TAXYEAR">'- 45 -'!$B$3</definedName>
    <definedName name="TOTAL1" localSheetId="0">#REF!</definedName>
    <definedName name="TOTAL1">#REF!</definedName>
    <definedName name="TOTAL2" localSheetId="0">#REF!</definedName>
    <definedName name="TOTAL2">#REF!</definedName>
    <definedName name="TOTAL3" localSheetId="0">#REF!</definedName>
    <definedName name="TOTAL3">#REF!</definedName>
    <definedName name="TWO" localSheetId="0">#REF!</definedName>
    <definedName name="TWO">#REF!</definedName>
    <definedName name="YEAR" localSheetId="0">#REF!</definedName>
    <definedName name="YEAR">Data!$B$6</definedName>
    <definedName name="YEARFRENCH">'[4]- 42 -'!$B$1</definedName>
  </definedNames>
  <calcPr calcId="125725"/>
</workbook>
</file>

<file path=xl/calcChain.xml><?xml version="1.0" encoding="utf-8"?>
<calcChain xmlns="http://schemas.openxmlformats.org/spreadsheetml/2006/main">
  <c r="O48" i="2"/>
  <c r="BB3" i="48" l="1"/>
  <c r="BA3"/>
  <c r="I28" i="41" l="1"/>
  <c r="D48" i="43" l="1"/>
  <c r="A3" i="78" l="1"/>
  <c r="BB3"/>
  <c r="BA3"/>
  <c r="A2"/>
  <c r="A2" i="90"/>
  <c r="BB3" i="89"/>
  <c r="AY2" i="84"/>
  <c r="AX2"/>
  <c r="BA3" i="89" s="1"/>
  <c r="A3" s="1"/>
  <c r="B2" i="50"/>
  <c r="A2" i="88"/>
  <c r="A2" i="49"/>
  <c r="B3" i="48"/>
  <c r="A3" i="88" s="1"/>
  <c r="BB3" i="33"/>
  <c r="A2"/>
  <c r="BB1" i="43"/>
  <c r="BA1"/>
  <c r="B1" s="1"/>
  <c r="BA3" i="33" l="1"/>
  <c r="A3" s="1"/>
  <c r="BA2" i="42"/>
  <c r="A2" s="1"/>
  <c r="BB2"/>
  <c r="B2" i="54"/>
  <c r="B2" i="76" s="1"/>
  <c r="A2" i="41"/>
  <c r="B2" i="40"/>
  <c r="B2" i="39"/>
  <c r="B2" i="8"/>
  <c r="B2" i="35" s="1"/>
  <c r="B2" i="18"/>
  <c r="B2" i="20" s="1"/>
  <c r="B5" i="22"/>
  <c r="B5" i="23" s="1"/>
  <c r="B4" i="22"/>
  <c r="B4" i="23" s="1"/>
  <c r="C5" i="21"/>
  <c r="B2" i="17"/>
  <c r="B3" i="16"/>
  <c r="B2"/>
  <c r="B2" i="14"/>
  <c r="B2" i="15" s="1"/>
  <c r="BA3" i="14"/>
  <c r="B3" s="1"/>
  <c r="B3" i="15" s="1"/>
  <c r="BB3" i="14"/>
  <c r="A2" i="6"/>
  <c r="BB3" i="5"/>
  <c r="BA3"/>
  <c r="A3" s="1"/>
  <c r="A2"/>
  <c r="B2" i="19" l="1"/>
  <c r="B2" i="10"/>
  <c r="B2" i="26"/>
  <c r="B2" i="34"/>
  <c r="B2" i="38"/>
  <c r="B2" i="7"/>
  <c r="B2" i="25"/>
  <c r="B2" i="29"/>
  <c r="B2" i="37"/>
  <c r="B2" i="9"/>
  <c r="B2" i="82"/>
  <c r="B2" i="28"/>
  <c r="B2" i="36"/>
  <c r="B2" i="11"/>
  <c r="B2" i="27"/>
  <c r="E51" i="18" l="1"/>
  <c r="E50"/>
  <c r="E46"/>
  <c r="E45"/>
  <c r="E44"/>
  <c r="E43"/>
  <c r="E42"/>
  <c r="E41"/>
  <c r="E40"/>
  <c r="E39"/>
  <c r="E38"/>
  <c r="E37"/>
  <c r="E36"/>
  <c r="E35"/>
  <c r="E34"/>
  <c r="E33"/>
  <c r="E32"/>
  <c r="E31"/>
  <c r="E30"/>
  <c r="E29"/>
  <c r="E28"/>
  <c r="E27"/>
  <c r="E26"/>
  <c r="E25"/>
  <c r="E24"/>
  <c r="E23"/>
  <c r="E22"/>
  <c r="E21"/>
  <c r="E20"/>
  <c r="E19"/>
  <c r="E18"/>
  <c r="E17"/>
  <c r="E16"/>
  <c r="E15"/>
  <c r="E14"/>
  <c r="E13"/>
  <c r="E12"/>
  <c r="E11"/>
  <c r="C14" i="84" l="1"/>
  <c r="C15"/>
  <c r="C17"/>
  <c r="C19"/>
  <c r="C21"/>
  <c r="C23"/>
  <c r="C31"/>
  <c r="C35"/>
  <c r="C37"/>
  <c r="C39"/>
  <c r="C41"/>
  <c r="C43"/>
  <c r="C45"/>
  <c r="C47"/>
  <c r="C52"/>
  <c r="C13"/>
  <c r="C28"/>
  <c r="C30"/>
  <c r="C32"/>
  <c r="C34"/>
  <c r="C36"/>
  <c r="C25"/>
  <c r="C27"/>
  <c r="C29"/>
  <c r="C33"/>
  <c r="C12"/>
  <c r="C16"/>
  <c r="C18"/>
  <c r="C20"/>
  <c r="C22"/>
  <c r="C24"/>
  <c r="C26"/>
  <c r="C38"/>
  <c r="C40"/>
  <c r="C42"/>
  <c r="C44"/>
  <c r="C46"/>
  <c r="C51"/>
  <c r="L51" i="2"/>
  <c r="L50"/>
  <c r="L46"/>
  <c r="L45"/>
  <c r="L44"/>
  <c r="L43"/>
  <c r="L42"/>
  <c r="L41"/>
  <c r="L40"/>
  <c r="L39"/>
  <c r="L38"/>
  <c r="L37"/>
  <c r="L36"/>
  <c r="L35"/>
  <c r="L34"/>
  <c r="L33"/>
  <c r="L32"/>
  <c r="L31"/>
  <c r="L30"/>
  <c r="L29"/>
  <c r="L28"/>
  <c r="L27"/>
  <c r="L26"/>
  <c r="L24"/>
  <c r="L23"/>
  <c r="L22"/>
  <c r="L21"/>
  <c r="L20"/>
  <c r="L19"/>
  <c r="L18"/>
  <c r="L17"/>
  <c r="L16"/>
  <c r="L15"/>
  <c r="L14"/>
  <c r="N48"/>
  <c r="M48"/>
  <c r="E50" i="78"/>
  <c r="E46"/>
  <c r="E45"/>
  <c r="E44"/>
  <c r="L12" i="2" l="1"/>
  <c r="L13"/>
  <c r="E43" i="78"/>
  <c r="E42"/>
  <c r="E41"/>
  <c r="E40"/>
  <c r="E39"/>
  <c r="E38"/>
  <c r="E37"/>
  <c r="E36"/>
  <c r="E35"/>
  <c r="E34"/>
  <c r="E33"/>
  <c r="E32"/>
  <c r="E31"/>
  <c r="E30"/>
  <c r="E29"/>
  <c r="E28"/>
  <c r="E27"/>
  <c r="E26"/>
  <c r="E24"/>
  <c r="E23"/>
  <c r="E22"/>
  <c r="E21"/>
  <c r="E20"/>
  <c r="E19"/>
  <c r="E18"/>
  <c r="E17"/>
  <c r="E16"/>
  <c r="E15"/>
  <c r="I14"/>
  <c r="E14"/>
  <c r="E13"/>
  <c r="E12"/>
  <c r="D9"/>
  <c r="D9" i="90" l="1"/>
  <c r="G9" s="1"/>
  <c r="B9"/>
  <c r="A3" s="1"/>
  <c r="I51" i="89"/>
  <c r="I46"/>
  <c r="I44"/>
  <c r="I42"/>
  <c r="I40"/>
  <c r="I38"/>
  <c r="I36"/>
  <c r="I34"/>
  <c r="I32"/>
  <c r="I30"/>
  <c r="I28"/>
  <c r="I26"/>
  <c r="I24"/>
  <c r="I22"/>
  <c r="I20"/>
  <c r="I18"/>
  <c r="I16"/>
  <c r="I14"/>
  <c r="I12"/>
  <c r="H48"/>
  <c r="G48"/>
  <c r="F48"/>
  <c r="E48"/>
  <c r="D48"/>
  <c r="C48"/>
  <c r="B48"/>
  <c r="K20" i="85"/>
  <c r="K16"/>
  <c r="J50"/>
  <c r="D50"/>
  <c r="C50"/>
  <c r="F52" i="84"/>
  <c r="D40"/>
  <c r="F41" i="85" s="1"/>
  <c r="F19" i="84"/>
  <c r="F15"/>
  <c r="B49"/>
  <c r="G12" i="81"/>
  <c r="G51"/>
  <c r="G50"/>
  <c r="G46"/>
  <c r="G45"/>
  <c r="G44"/>
  <c r="G43"/>
  <c r="G42"/>
  <c r="G41"/>
  <c r="G40"/>
  <c r="G39"/>
  <c r="G38"/>
  <c r="G37"/>
  <c r="G36"/>
  <c r="G35"/>
  <c r="G34"/>
  <c r="G33"/>
  <c r="G32"/>
  <c r="G31"/>
  <c r="G30"/>
  <c r="G29"/>
  <c r="G28"/>
  <c r="G27"/>
  <c r="G26"/>
  <c r="G24"/>
  <c r="G23"/>
  <c r="G22"/>
  <c r="G21"/>
  <c r="G20"/>
  <c r="G19"/>
  <c r="G18"/>
  <c r="G17"/>
  <c r="G16"/>
  <c r="G15"/>
  <c r="G14"/>
  <c r="G13"/>
  <c r="F48" i="50"/>
  <c r="F46"/>
  <c r="F45"/>
  <c r="F44"/>
  <c r="F43"/>
  <c r="F42"/>
  <c r="F41"/>
  <c r="F40"/>
  <c r="F39"/>
  <c r="F38"/>
  <c r="F37"/>
  <c r="F36"/>
  <c r="F35"/>
  <c r="F34"/>
  <c r="F33"/>
  <c r="F32"/>
  <c r="F31"/>
  <c r="F30"/>
  <c r="F29"/>
  <c r="F28"/>
  <c r="F27"/>
  <c r="F26"/>
  <c r="F25"/>
  <c r="F24"/>
  <c r="F23"/>
  <c r="F22"/>
  <c r="G22" i="78" s="1"/>
  <c r="F21" i="50"/>
  <c r="F20"/>
  <c r="F19"/>
  <c r="F18"/>
  <c r="F17"/>
  <c r="F16"/>
  <c r="G16" i="78" s="1"/>
  <c r="F15" i="50"/>
  <c r="F14"/>
  <c r="G14" i="78" s="1"/>
  <c r="F13" i="50"/>
  <c r="F12"/>
  <c r="F11"/>
  <c r="B3"/>
  <c r="E48" i="49"/>
  <c r="E53" s="1"/>
  <c r="D48"/>
  <c r="D53" s="1"/>
  <c r="C48"/>
  <c r="C53" s="1"/>
  <c r="B48"/>
  <c r="B53" s="1"/>
  <c r="K47"/>
  <c r="I45"/>
  <c r="I44"/>
  <c r="F44"/>
  <c r="K44" s="1"/>
  <c r="I43"/>
  <c r="F43"/>
  <c r="G43" s="1"/>
  <c r="I43" i="78" s="1"/>
  <c r="I42" i="49"/>
  <c r="I41"/>
  <c r="I40"/>
  <c r="I39"/>
  <c r="F39"/>
  <c r="K39" s="1"/>
  <c r="I38"/>
  <c r="I37"/>
  <c r="I36"/>
  <c r="F36"/>
  <c r="K36" s="1"/>
  <c r="I35"/>
  <c r="I34"/>
  <c r="I33"/>
  <c r="I32"/>
  <c r="I31"/>
  <c r="I30"/>
  <c r="I29"/>
  <c r="I28"/>
  <c r="F28"/>
  <c r="K28" s="1"/>
  <c r="I27"/>
  <c r="I26"/>
  <c r="I25"/>
  <c r="I24"/>
  <c r="K23"/>
  <c r="I23"/>
  <c r="I22"/>
  <c r="I21"/>
  <c r="I20"/>
  <c r="I19"/>
  <c r="I18"/>
  <c r="I17"/>
  <c r="I16"/>
  <c r="I15"/>
  <c r="I14"/>
  <c r="F14" s="1"/>
  <c r="I13"/>
  <c r="I12"/>
  <c r="F12"/>
  <c r="K12" s="1"/>
  <c r="I11"/>
  <c r="F11"/>
  <c r="A3"/>
  <c r="B51" i="48"/>
  <c r="B50"/>
  <c r="G43" i="78" l="1"/>
  <c r="C49" i="84"/>
  <c r="F9" i="90"/>
  <c r="G12" i="49"/>
  <c r="I12" i="78" s="1"/>
  <c r="G12" s="1"/>
  <c r="G39" i="49"/>
  <c r="I39" i="78" s="1"/>
  <c r="G39" s="1"/>
  <c r="G44" i="49"/>
  <c r="I13" i="89"/>
  <c r="I15"/>
  <c r="I17"/>
  <c r="I19"/>
  <c r="I21"/>
  <c r="I23"/>
  <c r="I25"/>
  <c r="I27"/>
  <c r="I29"/>
  <c r="I31"/>
  <c r="I33"/>
  <c r="I35"/>
  <c r="I37"/>
  <c r="I39"/>
  <c r="I41"/>
  <c r="I43"/>
  <c r="I45"/>
  <c r="I50"/>
  <c r="G11" i="49"/>
  <c r="G28"/>
  <c r="G36"/>
  <c r="K43"/>
  <c r="D12" i="84"/>
  <c r="D14"/>
  <c r="D16"/>
  <c r="D18"/>
  <c r="F19" i="85" s="1"/>
  <c r="D21" i="84"/>
  <c r="D23"/>
  <c r="D25"/>
  <c r="D27"/>
  <c r="D29"/>
  <c r="F29" s="1"/>
  <c r="D31"/>
  <c r="D33"/>
  <c r="D35"/>
  <c r="D37"/>
  <c r="D39"/>
  <c r="F40" i="85" s="1"/>
  <c r="F40" i="84"/>
  <c r="D43"/>
  <c r="D45"/>
  <c r="E49"/>
  <c r="I11" i="89"/>
  <c r="K11" i="49"/>
  <c r="C48" i="50"/>
  <c r="D13" i="84"/>
  <c r="D17"/>
  <c r="D20"/>
  <c r="D22"/>
  <c r="D24"/>
  <c r="F24" s="1"/>
  <c r="D26"/>
  <c r="D28"/>
  <c r="F28" s="1"/>
  <c r="D30"/>
  <c r="D32"/>
  <c r="D34"/>
  <c r="D36"/>
  <c r="D38"/>
  <c r="D41"/>
  <c r="F42" i="85" s="1"/>
  <c r="D42" i="84"/>
  <c r="D44"/>
  <c r="F44" s="1"/>
  <c r="D46"/>
  <c r="F47" i="85" s="1"/>
  <c r="D47" i="84"/>
  <c r="F48" i="85" s="1"/>
  <c r="F13" i="46"/>
  <c r="F15"/>
  <c r="F15" i="52" s="1"/>
  <c r="F19" i="46"/>
  <c r="F19" i="52" s="1"/>
  <c r="F21" i="46"/>
  <c r="F21" i="52" s="1"/>
  <c r="F23" i="46"/>
  <c r="F23" i="52" s="1"/>
  <c r="F27" i="46"/>
  <c r="F27" i="52" s="1"/>
  <c r="F29" i="46"/>
  <c r="F29" i="52" s="1"/>
  <c r="F31" i="46"/>
  <c r="F31" i="52" s="1"/>
  <c r="F33" i="46"/>
  <c r="F33" i="52" s="1"/>
  <c r="F35" i="46"/>
  <c r="F35" i="52" s="1"/>
  <c r="F37" i="46"/>
  <c r="F37" i="52" s="1"/>
  <c r="F39" i="46"/>
  <c r="F39" i="52" s="1"/>
  <c r="F41" i="46"/>
  <c r="F41" i="52" s="1"/>
  <c r="F43" i="46"/>
  <c r="F43" i="52" s="1"/>
  <c r="F45" i="46"/>
  <c r="F45" i="52" s="1"/>
  <c r="F50" i="46"/>
  <c r="F50" i="52" s="1"/>
  <c r="F13"/>
  <c r="B46" i="48"/>
  <c r="B45"/>
  <c r="B44"/>
  <c r="B43"/>
  <c r="B42"/>
  <c r="B41"/>
  <c r="B40"/>
  <c r="B39"/>
  <c r="B38"/>
  <c r="B37"/>
  <c r="B36"/>
  <c r="B35"/>
  <c r="B34"/>
  <c r="B33"/>
  <c r="B32"/>
  <c r="B31"/>
  <c r="B30"/>
  <c r="B29"/>
  <c r="B28"/>
  <c r="B27"/>
  <c r="B26"/>
  <c r="B25"/>
  <c r="B24"/>
  <c r="B23"/>
  <c r="B22"/>
  <c r="B21"/>
  <c r="B20"/>
  <c r="B19"/>
  <c r="B18"/>
  <c r="B17"/>
  <c r="B16"/>
  <c r="B15"/>
  <c r="B14"/>
  <c r="B13"/>
  <c r="B12"/>
  <c r="B11"/>
  <c r="A5"/>
  <c r="C11" l="1"/>
  <c r="B11" i="50" s="1"/>
  <c r="C15" i="48"/>
  <c r="B15" i="50" s="1"/>
  <c r="D15" s="1"/>
  <c r="C19" i="48"/>
  <c r="B19" i="50" s="1"/>
  <c r="D19" s="1"/>
  <c r="C23" i="48"/>
  <c r="B23" i="50" s="1"/>
  <c r="D23" s="1"/>
  <c r="C27" i="48"/>
  <c r="B27" i="50" s="1"/>
  <c r="D27" s="1"/>
  <c r="C31" i="48"/>
  <c r="B31" i="50" s="1"/>
  <c r="D31" s="1"/>
  <c r="C35" i="48"/>
  <c r="B35" i="50" s="1"/>
  <c r="D35" s="1"/>
  <c r="C39" i="48"/>
  <c r="B39" i="50" s="1"/>
  <c r="D39" s="1"/>
  <c r="C43" i="48"/>
  <c r="B43" i="50" s="1"/>
  <c r="D43" s="1"/>
  <c r="C13" i="48"/>
  <c r="B13" i="50" s="1"/>
  <c r="D13" s="1"/>
  <c r="C17" i="48"/>
  <c r="B17" i="50" s="1"/>
  <c r="D17" s="1"/>
  <c r="C21" i="48"/>
  <c r="B21" i="50" s="1"/>
  <c r="D21" s="1"/>
  <c r="C25" i="48"/>
  <c r="B25" i="50" s="1"/>
  <c r="D25" s="1"/>
  <c r="C29" i="48"/>
  <c r="B29" i="50" s="1"/>
  <c r="D29" s="1"/>
  <c r="C33" i="48"/>
  <c r="B33" i="50" s="1"/>
  <c r="D33" s="1"/>
  <c r="C37" i="48"/>
  <c r="B37" i="50" s="1"/>
  <c r="D37" s="1"/>
  <c r="C41" i="48"/>
  <c r="B41" i="50" s="1"/>
  <c r="D41" s="1"/>
  <c r="C45" i="48"/>
  <c r="B45" i="50" s="1"/>
  <c r="D45" s="1"/>
  <c r="J12" i="49"/>
  <c r="B48" i="48"/>
  <c r="B53" s="1"/>
  <c r="C51" s="1"/>
  <c r="F39" i="84"/>
  <c r="I48" i="89"/>
  <c r="F18" i="84"/>
  <c r="C46" i="48"/>
  <c r="B46" i="50" s="1"/>
  <c r="D46" s="1"/>
  <c r="D11"/>
  <c r="C12" i="48"/>
  <c r="B12" i="50" s="1"/>
  <c r="D12" s="1"/>
  <c r="C14" i="48"/>
  <c r="B14" i="50" s="1"/>
  <c r="D14" s="1"/>
  <c r="C16" i="48"/>
  <c r="B16" i="50" s="1"/>
  <c r="D16" s="1"/>
  <c r="C18" i="48"/>
  <c r="B18" i="50" s="1"/>
  <c r="D18" s="1"/>
  <c r="C20" i="48"/>
  <c r="B20" i="50" s="1"/>
  <c r="D20" s="1"/>
  <c r="C22" i="48"/>
  <c r="B22" i="50" s="1"/>
  <c r="D22" s="1"/>
  <c r="C24" i="48"/>
  <c r="B24" i="50" s="1"/>
  <c r="D24" s="1"/>
  <c r="C26" i="48"/>
  <c r="B26" i="50" s="1"/>
  <c r="D26" s="1"/>
  <c r="C28" i="48"/>
  <c r="B28" i="50" s="1"/>
  <c r="D28" s="1"/>
  <c r="C30" i="48"/>
  <c r="B30" i="50" s="1"/>
  <c r="D30" s="1"/>
  <c r="C32" i="48"/>
  <c r="B32" i="50" s="1"/>
  <c r="D32" s="1"/>
  <c r="C34" i="48"/>
  <c r="B34" i="50" s="1"/>
  <c r="D34" s="1"/>
  <c r="C36" i="48"/>
  <c r="B36" i="50" s="1"/>
  <c r="D36" s="1"/>
  <c r="C38" i="48"/>
  <c r="B38" i="50" s="1"/>
  <c r="D38" s="1"/>
  <c r="C40" i="48"/>
  <c r="B40" i="50" s="1"/>
  <c r="D40" s="1"/>
  <c r="C42" i="48"/>
  <c r="B42" i="50" s="1"/>
  <c r="D42" s="1"/>
  <c r="C44" i="48"/>
  <c r="B44" i="50" s="1"/>
  <c r="D44" s="1"/>
  <c r="I44" i="78"/>
  <c r="G44" s="1"/>
  <c r="J43" i="49"/>
  <c r="J38"/>
  <c r="F39" i="85"/>
  <c r="F38" i="84"/>
  <c r="F35" i="85"/>
  <c r="F34" i="84"/>
  <c r="F31" i="85"/>
  <c r="F30" i="84"/>
  <c r="F27" i="85"/>
  <c r="F26" i="84"/>
  <c r="F23" i="85"/>
  <c r="F22" i="84"/>
  <c r="F14" i="85"/>
  <c r="F13" i="84"/>
  <c r="F45"/>
  <c r="F46" i="85"/>
  <c r="F36"/>
  <c r="F35" i="84"/>
  <c r="F32" i="85"/>
  <c r="F31" i="84"/>
  <c r="F28" i="85"/>
  <c r="F27" i="84"/>
  <c r="F23"/>
  <c r="F24" i="85"/>
  <c r="F15"/>
  <c r="F14" i="84"/>
  <c r="I28" i="78"/>
  <c r="G28" s="1"/>
  <c r="J27" i="49"/>
  <c r="I11" i="78"/>
  <c r="G11" s="1"/>
  <c r="J11" i="49"/>
  <c r="F41" i="84"/>
  <c r="F43" i="85"/>
  <c r="F42" i="84"/>
  <c r="F37" i="85"/>
  <c r="F36" i="84"/>
  <c r="F33" i="85"/>
  <c r="F32" i="84"/>
  <c r="F21" i="85"/>
  <c r="F20" i="84"/>
  <c r="F18" i="85"/>
  <c r="F17" i="84"/>
  <c r="F44" i="85"/>
  <c r="F43" i="84"/>
  <c r="F38" i="85"/>
  <c r="F37" i="84"/>
  <c r="F34" i="85"/>
  <c r="F33" i="84"/>
  <c r="F26" i="85"/>
  <c r="F25" i="84"/>
  <c r="F21"/>
  <c r="F22" i="85"/>
  <c r="F17"/>
  <c r="F16" i="84"/>
  <c r="F13" i="85"/>
  <c r="D49" i="84"/>
  <c r="F49" s="1"/>
  <c r="F12"/>
  <c r="I36" i="78"/>
  <c r="G36" s="1"/>
  <c r="J35" i="49"/>
  <c r="F46" i="84"/>
  <c r="F47"/>
  <c r="F51" i="45"/>
  <c r="D48" i="50" l="1"/>
  <c r="C48" i="48"/>
  <c r="C53" s="1"/>
  <c r="B48" i="50"/>
  <c r="F50" i="45"/>
  <c r="F46"/>
  <c r="F45"/>
  <c r="F44"/>
  <c r="F43"/>
  <c r="F42"/>
  <c r="F41"/>
  <c r="F40"/>
  <c r="F39"/>
  <c r="F38"/>
  <c r="F36"/>
  <c r="F35"/>
  <c r="F34"/>
  <c r="F33"/>
  <c r="F32"/>
  <c r="F30"/>
  <c r="F29"/>
  <c r="F28"/>
  <c r="F27"/>
  <c r="F26"/>
  <c r="F24"/>
  <c r="F23"/>
  <c r="F22"/>
  <c r="F21"/>
  <c r="F20"/>
  <c r="F19"/>
  <c r="F18"/>
  <c r="F17"/>
  <c r="F16"/>
  <c r="F15"/>
  <c r="F13"/>
  <c r="F12"/>
  <c r="B50" i="43"/>
  <c r="F31" i="45" l="1"/>
  <c r="F37"/>
  <c r="F50" i="43"/>
  <c r="B45"/>
  <c r="B43"/>
  <c r="B41"/>
  <c r="B39"/>
  <c r="B37"/>
  <c r="B35"/>
  <c r="B33"/>
  <c r="B31"/>
  <c r="B29"/>
  <c r="B27"/>
  <c r="B23"/>
  <c r="B21"/>
  <c r="B19"/>
  <c r="B15"/>
  <c r="B13"/>
  <c r="F13" l="1"/>
  <c r="H13" s="1"/>
  <c r="F15"/>
  <c r="F21"/>
  <c r="F23"/>
  <c r="F27"/>
  <c r="H27" s="1"/>
  <c r="F29"/>
  <c r="F31"/>
  <c r="F33"/>
  <c r="F43"/>
  <c r="F45"/>
  <c r="B2" i="46" l="1"/>
  <c r="B2" i="52"/>
  <c r="B2" i="47"/>
  <c r="B2" i="81"/>
  <c r="B2" i="51"/>
  <c r="B2" i="45"/>
  <c r="B2" i="44"/>
  <c r="I13" i="45"/>
  <c r="I27"/>
  <c r="B51" i="76"/>
  <c r="B50"/>
  <c r="E50" s="1"/>
  <c r="B46"/>
  <c r="E46" s="1"/>
  <c r="B45"/>
  <c r="B44"/>
  <c r="E44" s="1"/>
  <c r="B43"/>
  <c r="B42"/>
  <c r="B41"/>
  <c r="B40"/>
  <c r="B39"/>
  <c r="B38"/>
  <c r="E38" s="1"/>
  <c r="B37"/>
  <c r="B36"/>
  <c r="E36" s="1"/>
  <c r="B35"/>
  <c r="B34"/>
  <c r="E34" s="1"/>
  <c r="B33"/>
  <c r="B32"/>
  <c r="E32" s="1"/>
  <c r="B31"/>
  <c r="B30"/>
  <c r="B29"/>
  <c r="B28"/>
  <c r="B27"/>
  <c r="E27" s="1"/>
  <c r="B26"/>
  <c r="B24"/>
  <c r="B23"/>
  <c r="E23" s="1"/>
  <c r="B22"/>
  <c r="B21"/>
  <c r="B20"/>
  <c r="B19"/>
  <c r="B18"/>
  <c r="E18" s="1"/>
  <c r="B17"/>
  <c r="B16"/>
  <c r="B15"/>
  <c r="B14"/>
  <c r="B13"/>
  <c r="E13" s="1"/>
  <c r="B12"/>
  <c r="E12" s="1"/>
  <c r="F51" i="41"/>
  <c r="B51"/>
  <c r="F50"/>
  <c r="B50"/>
  <c r="I48"/>
  <c r="F46"/>
  <c r="B46"/>
  <c r="F45"/>
  <c r="B45"/>
  <c r="F44"/>
  <c r="B44"/>
  <c r="F43"/>
  <c r="B43"/>
  <c r="F42"/>
  <c r="B42"/>
  <c r="F41"/>
  <c r="B41"/>
  <c r="F40"/>
  <c r="B40"/>
  <c r="F39"/>
  <c r="B39"/>
  <c r="F38"/>
  <c r="B38"/>
  <c r="F37"/>
  <c r="B37"/>
  <c r="F36"/>
  <c r="B36"/>
  <c r="F35"/>
  <c r="B35"/>
  <c r="F34"/>
  <c r="B34"/>
  <c r="F33"/>
  <c r="B33"/>
  <c r="F32"/>
  <c r="B32"/>
  <c r="F31"/>
  <c r="B31"/>
  <c r="F30"/>
  <c r="B30"/>
  <c r="F29"/>
  <c r="B29"/>
  <c r="F28"/>
  <c r="B28"/>
  <c r="F27"/>
  <c r="B27"/>
  <c r="F26"/>
  <c r="B26"/>
  <c r="F24"/>
  <c r="B24"/>
  <c r="F23"/>
  <c r="B23"/>
  <c r="F22"/>
  <c r="B22"/>
  <c r="F21"/>
  <c r="B21"/>
  <c r="F20"/>
  <c r="B20"/>
  <c r="F19"/>
  <c r="B19"/>
  <c r="F18"/>
  <c r="B18"/>
  <c r="F17"/>
  <c r="B17"/>
  <c r="F16"/>
  <c r="B16"/>
  <c r="F15"/>
  <c r="B15"/>
  <c r="F14"/>
  <c r="B14"/>
  <c r="F13"/>
  <c r="B13"/>
  <c r="F12"/>
  <c r="B12"/>
  <c r="D12" s="1"/>
  <c r="D51" i="40"/>
  <c r="B51"/>
  <c r="D50"/>
  <c r="B50"/>
  <c r="B46"/>
  <c r="B45"/>
  <c r="B44"/>
  <c r="B43"/>
  <c r="B42"/>
  <c r="B41"/>
  <c r="B40"/>
  <c r="B39"/>
  <c r="B38"/>
  <c r="B37"/>
  <c r="B36"/>
  <c r="B35"/>
  <c r="B34"/>
  <c r="B33"/>
  <c r="B32"/>
  <c r="B31"/>
  <c r="B30"/>
  <c r="B29"/>
  <c r="B28"/>
  <c r="D27"/>
  <c r="B27"/>
  <c r="B26"/>
  <c r="B24"/>
  <c r="B23"/>
  <c r="B22"/>
  <c r="B21"/>
  <c r="B20"/>
  <c r="B19"/>
  <c r="B18"/>
  <c r="B17"/>
  <c r="B16"/>
  <c r="B15"/>
  <c r="D14"/>
  <c r="B14"/>
  <c r="B13"/>
  <c r="B12"/>
  <c r="G12" i="41" l="1"/>
  <c r="G14"/>
  <c r="G16"/>
  <c r="G18"/>
  <c r="G20"/>
  <c r="G22"/>
  <c r="G26"/>
  <c r="G28"/>
  <c r="G30"/>
  <c r="G32"/>
  <c r="G34"/>
  <c r="G36"/>
  <c r="G38"/>
  <c r="G40"/>
  <c r="D16" i="40"/>
  <c r="D18"/>
  <c r="D20"/>
  <c r="D22"/>
  <c r="D24"/>
  <c r="D26"/>
  <c r="D29"/>
  <c r="D31"/>
  <c r="D33"/>
  <c r="D35"/>
  <c r="D37"/>
  <c r="D39"/>
  <c r="D41"/>
  <c r="D43"/>
  <c r="D45"/>
  <c r="D12"/>
  <c r="D15"/>
  <c r="D17"/>
  <c r="D19"/>
  <c r="D21"/>
  <c r="D23"/>
  <c r="D28"/>
  <c r="D30"/>
  <c r="D32"/>
  <c r="D34"/>
  <c r="D36"/>
  <c r="D38"/>
  <c r="D40"/>
  <c r="D42"/>
  <c r="D44"/>
  <c r="D13" i="41"/>
  <c r="D15"/>
  <c r="D17"/>
  <c r="D19"/>
  <c r="D21"/>
  <c r="D23"/>
  <c r="D27"/>
  <c r="D29"/>
  <c r="D31"/>
  <c r="D33"/>
  <c r="D35"/>
  <c r="D37"/>
  <c r="D39"/>
  <c r="D41"/>
  <c r="G42"/>
  <c r="D43"/>
  <c r="G44"/>
  <c r="D45"/>
  <c r="D50"/>
  <c r="D13" i="40"/>
  <c r="G13" i="41"/>
  <c r="D14"/>
  <c r="G15"/>
  <c r="D16"/>
  <c r="G17"/>
  <c r="D18"/>
  <c r="G19"/>
  <c r="D20"/>
  <c r="G21"/>
  <c r="D22"/>
  <c r="G23"/>
  <c r="D24"/>
  <c r="D26"/>
  <c r="G27"/>
  <c r="D28"/>
  <c r="G29"/>
  <c r="D30"/>
  <c r="G31"/>
  <c r="D32"/>
  <c r="G33"/>
  <c r="D34"/>
  <c r="G35"/>
  <c r="D36"/>
  <c r="G37"/>
  <c r="D38"/>
  <c r="G39"/>
  <c r="D40"/>
  <c r="G41"/>
  <c r="D42"/>
  <c r="G43"/>
  <c r="D44"/>
  <c r="G45"/>
  <c r="D46"/>
  <c r="G27" i="45"/>
  <c r="E27"/>
  <c r="C27"/>
  <c r="I27" i="44"/>
  <c r="G27"/>
  <c r="E27"/>
  <c r="C27"/>
  <c r="C13" i="45"/>
  <c r="E13"/>
  <c r="G13" i="44"/>
  <c r="C13"/>
  <c r="E13"/>
  <c r="I13"/>
  <c r="G13" i="45"/>
  <c r="E20" i="76"/>
  <c r="E41"/>
  <c r="I27" i="43"/>
  <c r="I13"/>
  <c r="H51" i="39"/>
  <c r="F51"/>
  <c r="D51"/>
  <c r="B51"/>
  <c r="H50"/>
  <c r="F50"/>
  <c r="D50"/>
  <c r="B50"/>
  <c r="B46"/>
  <c r="F46" s="1"/>
  <c r="B45"/>
  <c r="F45" s="1"/>
  <c r="B44"/>
  <c r="F44" s="1"/>
  <c r="B43"/>
  <c r="F43" s="1"/>
  <c r="B42"/>
  <c r="F42" s="1"/>
  <c r="B41"/>
  <c r="F41" s="1"/>
  <c r="B40"/>
  <c r="F40" s="1"/>
  <c r="B39"/>
  <c r="F39" s="1"/>
  <c r="B38"/>
  <c r="F38" s="1"/>
  <c r="B37"/>
  <c r="F37" s="1"/>
  <c r="B36"/>
  <c r="F36" s="1"/>
  <c r="B35"/>
  <c r="F35" s="1"/>
  <c r="B34"/>
  <c r="F34" s="1"/>
  <c r="B33"/>
  <c r="F33" s="1"/>
  <c r="B32"/>
  <c r="F32" s="1"/>
  <c r="B31"/>
  <c r="F31" s="1"/>
  <c r="B30"/>
  <c r="F30" s="1"/>
  <c r="B29"/>
  <c r="F29" s="1"/>
  <c r="B28"/>
  <c r="F28" s="1"/>
  <c r="H27"/>
  <c r="F27"/>
  <c r="D27"/>
  <c r="B27"/>
  <c r="B26"/>
  <c r="F26" s="1"/>
  <c r="B24"/>
  <c r="F24" s="1"/>
  <c r="B23"/>
  <c r="F23" s="1"/>
  <c r="B22"/>
  <c r="F22" s="1"/>
  <c r="B21"/>
  <c r="F21" s="1"/>
  <c r="B20"/>
  <c r="F20" s="1"/>
  <c r="B19"/>
  <c r="F19" s="1"/>
  <c r="B18"/>
  <c r="F18" s="1"/>
  <c r="B17"/>
  <c r="F17" s="1"/>
  <c r="B16"/>
  <c r="F16" s="1"/>
  <c r="B15"/>
  <c r="F15" s="1"/>
  <c r="B14"/>
  <c r="F14" s="1"/>
  <c r="B13"/>
  <c r="F13" s="1"/>
  <c r="B12"/>
  <c r="F12" s="1"/>
  <c r="D19" l="1"/>
  <c r="D46"/>
  <c r="D38"/>
  <c r="D31"/>
  <c r="D32"/>
  <c r="D42"/>
  <c r="D15"/>
  <c r="D23"/>
  <c r="D34"/>
  <c r="D40"/>
  <c r="D44"/>
  <c r="D13"/>
  <c r="D17"/>
  <c r="D21"/>
  <c r="D28"/>
  <c r="D29"/>
  <c r="D30"/>
  <c r="D36"/>
  <c r="D37"/>
  <c r="D12"/>
  <c r="H13"/>
  <c r="D14"/>
  <c r="H15"/>
  <c r="D16"/>
  <c r="H17"/>
  <c r="D18"/>
  <c r="H19"/>
  <c r="D20"/>
  <c r="H21"/>
  <c r="D22"/>
  <c r="H23"/>
  <c r="D24"/>
  <c r="D26"/>
  <c r="H28"/>
  <c r="H30"/>
  <c r="H32"/>
  <c r="D33"/>
  <c r="H34"/>
  <c r="D35"/>
  <c r="H36"/>
  <c r="H38"/>
  <c r="D39"/>
  <c r="H40"/>
  <c r="D41"/>
  <c r="H42"/>
  <c r="D43"/>
  <c r="H44"/>
  <c r="D45"/>
  <c r="H46"/>
  <c r="H12"/>
  <c r="H14"/>
  <c r="H16"/>
  <c r="H18"/>
  <c r="H20"/>
  <c r="H22"/>
  <c r="H24"/>
  <c r="H26"/>
  <c r="H29"/>
  <c r="H31"/>
  <c r="H33"/>
  <c r="H35"/>
  <c r="H37"/>
  <c r="H39"/>
  <c r="H41"/>
  <c r="H43"/>
  <c r="H45"/>
  <c r="G46" i="41"/>
  <c r="E51" i="7"/>
  <c r="I51" s="1"/>
  <c r="E50"/>
  <c r="I50" s="1"/>
  <c r="E46"/>
  <c r="I46" s="1"/>
  <c r="E45"/>
  <c r="I45" s="1"/>
  <c r="E44"/>
  <c r="I44" s="1"/>
  <c r="E43"/>
  <c r="I43" s="1"/>
  <c r="E42"/>
  <c r="I42" s="1"/>
  <c r="E41"/>
  <c r="I41" s="1"/>
  <c r="E40"/>
  <c r="I40" s="1"/>
  <c r="E39"/>
  <c r="I39" s="1"/>
  <c r="E38"/>
  <c r="I38" s="1"/>
  <c r="E37"/>
  <c r="I37" s="1"/>
  <c r="E36"/>
  <c r="I36" s="1"/>
  <c r="E35"/>
  <c r="I35" s="1"/>
  <c r="E34"/>
  <c r="I34" s="1"/>
  <c r="E33"/>
  <c r="I33" s="1"/>
  <c r="E32"/>
  <c r="I32" s="1"/>
  <c r="E31"/>
  <c r="I31" s="1"/>
  <c r="E30"/>
  <c r="I30" s="1"/>
  <c r="E29"/>
  <c r="I29" s="1"/>
  <c r="E28"/>
  <c r="I28" s="1"/>
  <c r="E27"/>
  <c r="I27" s="1"/>
  <c r="E26"/>
  <c r="G26" s="1"/>
  <c r="E24"/>
  <c r="I24" s="1"/>
  <c r="E23"/>
  <c r="I23" s="1"/>
  <c r="E22"/>
  <c r="G22" s="1"/>
  <c r="E21"/>
  <c r="I21" s="1"/>
  <c r="E20"/>
  <c r="H20" s="1"/>
  <c r="E19"/>
  <c r="I19" s="1"/>
  <c r="E18"/>
  <c r="I18" s="1"/>
  <c r="E17"/>
  <c r="I17" s="1"/>
  <c r="E16"/>
  <c r="I16" s="1"/>
  <c r="E15"/>
  <c r="I15" s="1"/>
  <c r="E14"/>
  <c r="I14" s="1"/>
  <c r="E13"/>
  <c r="I13" s="1"/>
  <c r="E12"/>
  <c r="I12" s="1"/>
  <c r="J51" i="9"/>
  <c r="G51"/>
  <c r="D51"/>
  <c r="J50"/>
  <c r="G50"/>
  <c r="D50"/>
  <c r="J46"/>
  <c r="G46"/>
  <c r="D46"/>
  <c r="J45"/>
  <c r="G45"/>
  <c r="D45"/>
  <c r="J44"/>
  <c r="G44"/>
  <c r="D44"/>
  <c r="J43"/>
  <c r="G43"/>
  <c r="D43"/>
  <c r="J42"/>
  <c r="G42"/>
  <c r="D42"/>
  <c r="J41"/>
  <c r="G41"/>
  <c r="D41"/>
  <c r="J40"/>
  <c r="G40"/>
  <c r="D40"/>
  <c r="J39"/>
  <c r="G39"/>
  <c r="D39"/>
  <c r="J38"/>
  <c r="G38"/>
  <c r="D38"/>
  <c r="J37"/>
  <c r="G37"/>
  <c r="D37"/>
  <c r="J36"/>
  <c r="G36"/>
  <c r="D36"/>
  <c r="J35"/>
  <c r="G35"/>
  <c r="D35"/>
  <c r="J34"/>
  <c r="G34"/>
  <c r="D34"/>
  <c r="J33"/>
  <c r="G33"/>
  <c r="D33"/>
  <c r="J32"/>
  <c r="G32"/>
  <c r="D32"/>
  <c r="J31"/>
  <c r="G31"/>
  <c r="D31"/>
  <c r="J30"/>
  <c r="G30"/>
  <c r="D30"/>
  <c r="J29"/>
  <c r="G29"/>
  <c r="D29"/>
  <c r="J28"/>
  <c r="G28"/>
  <c r="D28"/>
  <c r="J27"/>
  <c r="G27"/>
  <c r="D27"/>
  <c r="J26"/>
  <c r="G26"/>
  <c r="D26"/>
  <c r="J24"/>
  <c r="G24"/>
  <c r="D24"/>
  <c r="J23"/>
  <c r="G23"/>
  <c r="D23"/>
  <c r="J22"/>
  <c r="G22"/>
  <c r="D22"/>
  <c r="J21"/>
  <c r="G21"/>
  <c r="D21"/>
  <c r="J20"/>
  <c r="G20"/>
  <c r="D20"/>
  <c r="J19"/>
  <c r="G19"/>
  <c r="D19"/>
  <c r="J18"/>
  <c r="G18"/>
  <c r="D18"/>
  <c r="J17"/>
  <c r="G17"/>
  <c r="D17"/>
  <c r="J16"/>
  <c r="G16"/>
  <c r="D16"/>
  <c r="J15"/>
  <c r="G15"/>
  <c r="D15"/>
  <c r="J14"/>
  <c r="G14"/>
  <c r="J13"/>
  <c r="G13"/>
  <c r="D13"/>
  <c r="J12"/>
  <c r="G12"/>
  <c r="D12"/>
  <c r="G51" i="8"/>
  <c r="G50"/>
  <c r="G44"/>
  <c r="G41"/>
  <c r="G37"/>
  <c r="G29"/>
  <c r="G28"/>
  <c r="G22"/>
  <c r="G21"/>
  <c r="G14"/>
  <c r="H51" i="20"/>
  <c r="E51"/>
  <c r="B51"/>
  <c r="H50"/>
  <c r="E50"/>
  <c r="B50"/>
  <c r="H46"/>
  <c r="E46"/>
  <c r="B46"/>
  <c r="H45"/>
  <c r="E45"/>
  <c r="B45"/>
  <c r="H44"/>
  <c r="E44"/>
  <c r="B44"/>
  <c r="H43"/>
  <c r="E43"/>
  <c r="B43"/>
  <c r="H42"/>
  <c r="E42"/>
  <c r="B42"/>
  <c r="H41"/>
  <c r="E41"/>
  <c r="B41"/>
  <c r="H40"/>
  <c r="E40"/>
  <c r="B40"/>
  <c r="H39"/>
  <c r="E39"/>
  <c r="B39"/>
  <c r="H38"/>
  <c r="E38"/>
  <c r="B38"/>
  <c r="H37"/>
  <c r="E37"/>
  <c r="B37"/>
  <c r="H36"/>
  <c r="E36"/>
  <c r="B36"/>
  <c r="H35"/>
  <c r="E35"/>
  <c r="B35"/>
  <c r="H34"/>
  <c r="E34"/>
  <c r="B34"/>
  <c r="H33"/>
  <c r="E33"/>
  <c r="B33"/>
  <c r="H32"/>
  <c r="E32"/>
  <c r="B32"/>
  <c r="H31"/>
  <c r="E31"/>
  <c r="B31"/>
  <c r="H30"/>
  <c r="E30"/>
  <c r="B30"/>
  <c r="H29"/>
  <c r="E29"/>
  <c r="B29"/>
  <c r="H28"/>
  <c r="E28"/>
  <c r="B28"/>
  <c r="H27"/>
  <c r="E27"/>
  <c r="B27"/>
  <c r="H26"/>
  <c r="E26"/>
  <c r="B26"/>
  <c r="H24"/>
  <c r="E24"/>
  <c r="B24"/>
  <c r="H23"/>
  <c r="E23"/>
  <c r="B23"/>
  <c r="H22"/>
  <c r="E22"/>
  <c r="B22"/>
  <c r="H21"/>
  <c r="E21"/>
  <c r="B21"/>
  <c r="H20"/>
  <c r="E20"/>
  <c r="B20"/>
  <c r="H19"/>
  <c r="E19"/>
  <c r="B19"/>
  <c r="H18"/>
  <c r="E18"/>
  <c r="B18"/>
  <c r="H17"/>
  <c r="E17"/>
  <c r="B17"/>
  <c r="H16"/>
  <c r="E16"/>
  <c r="B16"/>
  <c r="H15"/>
  <c r="E15"/>
  <c r="B15"/>
  <c r="H14"/>
  <c r="E14"/>
  <c r="B14"/>
  <c r="H13"/>
  <c r="E13"/>
  <c r="B13"/>
  <c r="H12"/>
  <c r="E12"/>
  <c r="B12"/>
  <c r="G51" i="19"/>
  <c r="D51"/>
  <c r="B51"/>
  <c r="G50"/>
  <c r="D50"/>
  <c r="B50"/>
  <c r="G46"/>
  <c r="D46"/>
  <c r="B46"/>
  <c r="G45"/>
  <c r="D45"/>
  <c r="B45"/>
  <c r="G44"/>
  <c r="D44"/>
  <c r="B44"/>
  <c r="G43"/>
  <c r="D43"/>
  <c r="B43"/>
  <c r="G42"/>
  <c r="D42"/>
  <c r="B42"/>
  <c r="G41"/>
  <c r="D41"/>
  <c r="B41"/>
  <c r="G40"/>
  <c r="D40"/>
  <c r="B40"/>
  <c r="G39"/>
  <c r="D39"/>
  <c r="B39"/>
  <c r="G38"/>
  <c r="D38"/>
  <c r="B38"/>
  <c r="G37"/>
  <c r="D37"/>
  <c r="B37"/>
  <c r="G36"/>
  <c r="D36"/>
  <c r="B36"/>
  <c r="G35"/>
  <c r="D35"/>
  <c r="B35"/>
  <c r="G34"/>
  <c r="D34"/>
  <c r="B34"/>
  <c r="G33"/>
  <c r="D33"/>
  <c r="B33"/>
  <c r="G32"/>
  <c r="D32"/>
  <c r="B32"/>
  <c r="G31"/>
  <c r="D31"/>
  <c r="B31"/>
  <c r="G30"/>
  <c r="D30"/>
  <c r="B30"/>
  <c r="G29"/>
  <c r="D29"/>
  <c r="B29"/>
  <c r="G28"/>
  <c r="D28"/>
  <c r="B28"/>
  <c r="G27"/>
  <c r="D27"/>
  <c r="B27"/>
  <c r="G26"/>
  <c r="D26"/>
  <c r="B26"/>
  <c r="G24"/>
  <c r="D24"/>
  <c r="B24"/>
  <c r="G23"/>
  <c r="D23"/>
  <c r="B23"/>
  <c r="G22"/>
  <c r="D22"/>
  <c r="B22"/>
  <c r="G21"/>
  <c r="D21"/>
  <c r="B21"/>
  <c r="G20"/>
  <c r="D20"/>
  <c r="B20"/>
  <c r="G19"/>
  <c r="D19"/>
  <c r="B19"/>
  <c r="G18"/>
  <c r="D18"/>
  <c r="B18"/>
  <c r="G17"/>
  <c r="D17"/>
  <c r="B17"/>
  <c r="G16"/>
  <c r="D16"/>
  <c r="B16"/>
  <c r="G15"/>
  <c r="D15"/>
  <c r="B15"/>
  <c r="G14"/>
  <c r="D14"/>
  <c r="B14"/>
  <c r="G13"/>
  <c r="D13"/>
  <c r="B13"/>
  <c r="G12"/>
  <c r="D12"/>
  <c r="B12"/>
  <c r="H51" i="18"/>
  <c r="B51"/>
  <c r="H50"/>
  <c r="B50"/>
  <c r="H46"/>
  <c r="B46"/>
  <c r="H45"/>
  <c r="B45"/>
  <c r="H44"/>
  <c r="B44"/>
  <c r="H43"/>
  <c r="B43"/>
  <c r="H42"/>
  <c r="B42"/>
  <c r="H41"/>
  <c r="B41"/>
  <c r="H40"/>
  <c r="B40"/>
  <c r="H39"/>
  <c r="B39"/>
  <c r="H38"/>
  <c r="B38"/>
  <c r="H37"/>
  <c r="B37"/>
  <c r="H36"/>
  <c r="B36"/>
  <c r="H35"/>
  <c r="B35"/>
  <c r="H34"/>
  <c r="B34"/>
  <c r="H33"/>
  <c r="B33"/>
  <c r="H32"/>
  <c r="B32"/>
  <c r="H31"/>
  <c r="B31"/>
  <c r="H30"/>
  <c r="B30"/>
  <c r="H29"/>
  <c r="B29"/>
  <c r="H28"/>
  <c r="B28"/>
  <c r="H27"/>
  <c r="B27"/>
  <c r="H26"/>
  <c r="B26"/>
  <c r="H24"/>
  <c r="B24"/>
  <c r="H23"/>
  <c r="B23"/>
  <c r="H22"/>
  <c r="B22"/>
  <c r="H21"/>
  <c r="B21"/>
  <c r="H20"/>
  <c r="B20"/>
  <c r="H19"/>
  <c r="B19"/>
  <c r="H18"/>
  <c r="B18"/>
  <c r="H17"/>
  <c r="B17"/>
  <c r="H16"/>
  <c r="B16"/>
  <c r="H15"/>
  <c r="B15"/>
  <c r="H14"/>
  <c r="B14"/>
  <c r="H13"/>
  <c r="B13"/>
  <c r="H12"/>
  <c r="B12"/>
  <c r="I27" i="90" l="1"/>
  <c r="I29"/>
  <c r="I31"/>
  <c r="I46"/>
  <c r="I33"/>
  <c r="I35"/>
  <c r="I23"/>
  <c r="I37"/>
  <c r="I39"/>
  <c r="I41"/>
  <c r="D22" i="7"/>
  <c r="F22"/>
  <c r="F21"/>
  <c r="D12"/>
  <c r="F12"/>
  <c r="D13"/>
  <c r="F13"/>
  <c r="D14"/>
  <c r="F14"/>
  <c r="D15"/>
  <c r="F15"/>
  <c r="D16"/>
  <c r="F16"/>
  <c r="D17"/>
  <c r="F17"/>
  <c r="D18"/>
  <c r="F18"/>
  <c r="D19"/>
  <c r="F19"/>
  <c r="D20"/>
  <c r="G20"/>
  <c r="F20" s="1"/>
  <c r="H21"/>
  <c r="I22"/>
  <c r="H22" s="1"/>
  <c r="F29"/>
  <c r="D30"/>
  <c r="F30"/>
  <c r="F32"/>
  <c r="F34"/>
  <c r="D35"/>
  <c r="F35"/>
  <c r="D36"/>
  <c r="F36"/>
  <c r="D37"/>
  <c r="F37"/>
  <c r="D38"/>
  <c r="F38"/>
  <c r="D39"/>
  <c r="F39"/>
  <c r="D40"/>
  <c r="F40"/>
  <c r="D41"/>
  <c r="F41"/>
  <c r="D42"/>
  <c r="F42"/>
  <c r="D43"/>
  <c r="F43"/>
  <c r="D44"/>
  <c r="F44"/>
  <c r="D45"/>
  <c r="F45"/>
  <c r="D46"/>
  <c r="F46"/>
  <c r="I43" i="90"/>
  <c r="I45"/>
  <c r="H12" i="7"/>
  <c r="H13"/>
  <c r="H14"/>
  <c r="H15"/>
  <c r="H16"/>
  <c r="H17"/>
  <c r="H18"/>
  <c r="H19"/>
  <c r="I20"/>
  <c r="H29"/>
  <c r="H30"/>
  <c r="H32"/>
  <c r="H34"/>
  <c r="H35"/>
  <c r="H36"/>
  <c r="H37"/>
  <c r="H38"/>
  <c r="H39"/>
  <c r="H40"/>
  <c r="H41"/>
  <c r="H42"/>
  <c r="H43"/>
  <c r="H44"/>
  <c r="H45"/>
  <c r="H46"/>
  <c r="I24" i="90"/>
  <c r="I26"/>
  <c r="I28"/>
  <c r="I30"/>
  <c r="I32"/>
  <c r="I34"/>
  <c r="I36"/>
  <c r="I38"/>
  <c r="I40"/>
  <c r="I42"/>
  <c r="I44"/>
  <c r="G12" i="7"/>
  <c r="G13"/>
  <c r="G14"/>
  <c r="G15"/>
  <c r="G16"/>
  <c r="G17"/>
  <c r="G18"/>
  <c r="G19"/>
  <c r="G21"/>
  <c r="D23"/>
  <c r="F23"/>
  <c r="H23"/>
  <c r="D24"/>
  <c r="F24"/>
  <c r="H24"/>
  <c r="D26"/>
  <c r="F26"/>
  <c r="I26"/>
  <c r="H26" s="1"/>
  <c r="F27"/>
  <c r="H27"/>
  <c r="D28"/>
  <c r="F28"/>
  <c r="H28"/>
  <c r="G29"/>
  <c r="G30"/>
  <c r="F31"/>
  <c r="H31"/>
  <c r="G32"/>
  <c r="F33"/>
  <c r="H33"/>
  <c r="G34"/>
  <c r="G35"/>
  <c r="G36"/>
  <c r="G37"/>
  <c r="G38"/>
  <c r="G39"/>
  <c r="G40"/>
  <c r="G41"/>
  <c r="G42"/>
  <c r="G43"/>
  <c r="G44"/>
  <c r="G45"/>
  <c r="G46"/>
  <c r="D50"/>
  <c r="F50"/>
  <c r="H50"/>
  <c r="D51"/>
  <c r="F51"/>
  <c r="H51"/>
  <c r="G23"/>
  <c r="G24"/>
  <c r="G27"/>
  <c r="G28"/>
  <c r="G31"/>
  <c r="G33"/>
  <c r="G50"/>
  <c r="G51"/>
  <c r="I22" i="90"/>
  <c r="I12"/>
  <c r="I13"/>
  <c r="I14"/>
  <c r="I15"/>
  <c r="I16"/>
  <c r="I17"/>
  <c r="I18"/>
  <c r="I19"/>
  <c r="I20"/>
  <c r="I21"/>
  <c r="G12" i="8"/>
  <c r="G13"/>
  <c r="G15"/>
  <c r="G16"/>
  <c r="G17"/>
  <c r="G18"/>
  <c r="G19"/>
  <c r="G20"/>
  <c r="G23"/>
  <c r="G24"/>
  <c r="G26"/>
  <c r="G27"/>
  <c r="G30"/>
  <c r="G31"/>
  <c r="G32"/>
  <c r="G33"/>
  <c r="G34"/>
  <c r="G35"/>
  <c r="G36"/>
  <c r="G38"/>
  <c r="G39"/>
  <c r="G40"/>
  <c r="G42"/>
  <c r="G43"/>
  <c r="G45"/>
  <c r="G46"/>
  <c r="D21" i="7"/>
  <c r="D27"/>
  <c r="D29"/>
  <c r="D31"/>
  <c r="D32"/>
  <c r="D33"/>
  <c r="D34"/>
  <c r="F52" i="23" l="1"/>
  <c r="D46" l="1"/>
  <c r="B46"/>
  <c r="F46"/>
  <c r="J29"/>
  <c r="J49" i="22"/>
  <c r="F49"/>
  <c r="J35" i="23"/>
  <c r="J14"/>
  <c r="B40" i="22" l="1"/>
  <c r="J40"/>
  <c r="D46"/>
  <c r="F40"/>
  <c r="H46"/>
  <c r="D22" i="23"/>
  <c r="D40"/>
  <c r="B22" i="22"/>
  <c r="F22"/>
  <c r="D40"/>
  <c r="B46"/>
  <c r="F46"/>
  <c r="J46"/>
  <c r="B22" i="23"/>
  <c r="F40"/>
  <c r="J17"/>
  <c r="J20"/>
  <c r="H40" i="22"/>
  <c r="J36" i="23"/>
  <c r="J38"/>
  <c r="J44"/>
  <c r="J15"/>
  <c r="J32"/>
  <c r="J34"/>
  <c r="D22" i="22"/>
  <c r="H22"/>
  <c r="J37" i="23"/>
  <c r="J39"/>
  <c r="J45"/>
  <c r="J19"/>
  <c r="J33"/>
  <c r="B40"/>
  <c r="J22" i="22"/>
  <c r="J18" i="23"/>
  <c r="J21"/>
  <c r="F22"/>
  <c r="J23"/>
  <c r="J25"/>
  <c r="J26"/>
  <c r="J27"/>
  <c r="J28"/>
  <c r="J30"/>
  <c r="J31"/>
  <c r="J42"/>
  <c r="J43"/>
  <c r="J48"/>
  <c r="M48" i="22"/>
  <c r="J16" i="23"/>
  <c r="H51"/>
  <c r="H50"/>
  <c r="H49"/>
  <c r="D23" i="21"/>
  <c r="D22"/>
  <c r="D21"/>
  <c r="I19"/>
  <c r="D19"/>
  <c r="F19" l="1"/>
  <c r="E19"/>
  <c r="D54" i="23"/>
  <c r="B51" i="22"/>
  <c r="C22" i="21"/>
  <c r="F54" i="23"/>
  <c r="H51" i="22"/>
  <c r="C23" i="21"/>
  <c r="F51" i="22"/>
  <c r="J46" i="23"/>
  <c r="D51" i="22"/>
  <c r="C19" i="21"/>
  <c r="C21"/>
  <c r="J22" i="23"/>
  <c r="B54"/>
  <c r="K24" i="21"/>
  <c r="H27"/>
  <c r="H52" i="23"/>
  <c r="J49"/>
  <c r="J50"/>
  <c r="G27" i="21"/>
  <c r="J40" i="23"/>
  <c r="J51" i="22"/>
  <c r="D18" i="21"/>
  <c r="C18" s="1"/>
  <c r="I17"/>
  <c r="F17" s="1"/>
  <c r="E17" s="1"/>
  <c r="D17"/>
  <c r="C17"/>
  <c r="D16"/>
  <c r="C16" s="1"/>
  <c r="F15"/>
  <c r="D15"/>
  <c r="D51" i="16"/>
  <c r="G48"/>
  <c r="F48"/>
  <c r="D48"/>
  <c r="C48"/>
  <c r="B48"/>
  <c r="C51" i="15"/>
  <c r="C50"/>
  <c r="C46"/>
  <c r="K19" i="21" l="1"/>
  <c r="K17"/>
  <c r="D50" i="28"/>
  <c r="D50" i="8"/>
  <c r="D50" i="18"/>
  <c r="D51" i="28"/>
  <c r="D51" i="8"/>
  <c r="D51" i="18"/>
  <c r="D46" i="28"/>
  <c r="D46" i="8"/>
  <c r="D46" i="18"/>
  <c r="F46" i="15"/>
  <c r="D46" i="11" s="1"/>
  <c r="F50" i="15"/>
  <c r="D50" i="11" s="1"/>
  <c r="C15" i="21"/>
  <c r="D27"/>
  <c r="E15"/>
  <c r="C45" i="15"/>
  <c r="C44"/>
  <c r="C43"/>
  <c r="C42"/>
  <c r="C41"/>
  <c r="C40"/>
  <c r="C39"/>
  <c r="C38"/>
  <c r="C37"/>
  <c r="C36"/>
  <c r="C35"/>
  <c r="C34"/>
  <c r="C33"/>
  <c r="C32"/>
  <c r="F32" s="1"/>
  <c r="D32" i="11" s="1"/>
  <c r="C31" i="15"/>
  <c r="C30"/>
  <c r="C29"/>
  <c r="C28"/>
  <c r="C27"/>
  <c r="C26"/>
  <c r="C24"/>
  <c r="C23"/>
  <c r="C22"/>
  <c r="C21"/>
  <c r="C20"/>
  <c r="C19"/>
  <c r="C18"/>
  <c r="C17"/>
  <c r="C16"/>
  <c r="C15"/>
  <c r="C14"/>
  <c r="C13"/>
  <c r="C12"/>
  <c r="B3" i="17"/>
  <c r="D12" i="28" l="1"/>
  <c r="D12" i="8"/>
  <c r="D12" i="18"/>
  <c r="D14" i="28"/>
  <c r="D14" i="8"/>
  <c r="D14" i="18"/>
  <c r="D16" i="28"/>
  <c r="D16" i="8"/>
  <c r="D16" i="18"/>
  <c r="D18" i="28"/>
  <c r="D18" i="8"/>
  <c r="D18" i="18"/>
  <c r="D20" i="28"/>
  <c r="D20" i="8"/>
  <c r="D20" i="18"/>
  <c r="D22" i="28"/>
  <c r="D22" i="8"/>
  <c r="D22" i="18"/>
  <c r="D24" i="28"/>
  <c r="D24" i="8"/>
  <c r="D24" i="18"/>
  <c r="D26" i="28"/>
  <c r="D26" i="8"/>
  <c r="D26" i="18"/>
  <c r="D27" i="28"/>
  <c r="D27" i="8"/>
  <c r="D27" i="18"/>
  <c r="D29" i="28"/>
  <c r="D29" i="8"/>
  <c r="D29" i="18"/>
  <c r="D30" i="28"/>
  <c r="D30" i="8"/>
  <c r="D30" i="18"/>
  <c r="D31" i="28"/>
  <c r="D31" i="8"/>
  <c r="D31" i="18"/>
  <c r="D32" i="28"/>
  <c r="D32" i="8"/>
  <c r="D32" i="18"/>
  <c r="D33" i="28"/>
  <c r="D33" i="8"/>
  <c r="D33" i="18"/>
  <c r="D34" i="28"/>
  <c r="D34" i="8"/>
  <c r="D34" i="18"/>
  <c r="D35" i="28"/>
  <c r="D35" i="8"/>
  <c r="D35" i="18"/>
  <c r="D36" i="28"/>
  <c r="D36" i="8"/>
  <c r="D36" i="18"/>
  <c r="D37" i="28"/>
  <c r="D37" i="8"/>
  <c r="D37" i="18"/>
  <c r="D38" i="28"/>
  <c r="D38" i="8"/>
  <c r="D38" i="18"/>
  <c r="D39" i="28"/>
  <c r="D39" i="8"/>
  <c r="D39" i="18"/>
  <c r="D40" i="28"/>
  <c r="D40" i="8"/>
  <c r="D40" i="18"/>
  <c r="D41" i="28"/>
  <c r="D41" i="8"/>
  <c r="D41" i="18"/>
  <c r="D42" i="28"/>
  <c r="D42" i="8"/>
  <c r="D42" i="18"/>
  <c r="D43" i="28"/>
  <c r="D43" i="8"/>
  <c r="D43" i="18"/>
  <c r="D44" i="28"/>
  <c r="D44" i="8"/>
  <c r="D44" i="18"/>
  <c r="D45" i="28"/>
  <c r="D45" i="8"/>
  <c r="D45" i="18"/>
  <c r="F45" i="15"/>
  <c r="D45" i="11" s="1"/>
  <c r="G50" i="54"/>
  <c r="E50" i="41"/>
  <c r="J50" i="54"/>
  <c r="C50" i="41"/>
  <c r="D50" i="54"/>
  <c r="G50" i="29"/>
  <c r="J50" i="28"/>
  <c r="J50" i="26"/>
  <c r="G50" i="76"/>
  <c r="D50" i="29"/>
  <c r="G50" i="28"/>
  <c r="D50" i="27"/>
  <c r="D50" i="76" s="1"/>
  <c r="G50" i="26"/>
  <c r="D50"/>
  <c r="J50" i="11"/>
  <c r="D50" i="10"/>
  <c r="G50" i="11"/>
  <c r="G50" i="10"/>
  <c r="I50" i="19"/>
  <c r="F50"/>
  <c r="J50" i="20"/>
  <c r="G50"/>
  <c r="G50" i="18"/>
  <c r="D50" i="20"/>
  <c r="E50" i="16"/>
  <c r="G46" i="90"/>
  <c r="J46" i="54"/>
  <c r="G46"/>
  <c r="E46" i="41"/>
  <c r="G46" i="76"/>
  <c r="D46" i="54"/>
  <c r="G46" i="29"/>
  <c r="G46" i="28"/>
  <c r="D46" i="27"/>
  <c r="D46" i="76" s="1"/>
  <c r="G46" i="26"/>
  <c r="C46" i="41"/>
  <c r="D46" i="29"/>
  <c r="J46" i="28"/>
  <c r="J46" i="26"/>
  <c r="D46"/>
  <c r="J46" i="11"/>
  <c r="G46" i="10"/>
  <c r="G46" i="11"/>
  <c r="D46" i="10"/>
  <c r="D46" i="20"/>
  <c r="I46" i="19"/>
  <c r="F46"/>
  <c r="G46" i="20"/>
  <c r="G46" i="18"/>
  <c r="J46" i="20"/>
  <c r="E46" i="16"/>
  <c r="D13" i="28"/>
  <c r="D13" i="8"/>
  <c r="D13" i="18"/>
  <c r="D15" i="28"/>
  <c r="D15" i="8"/>
  <c r="D15" i="18"/>
  <c r="D17" i="28"/>
  <c r="D17" i="8"/>
  <c r="D17" i="18"/>
  <c r="D19" i="28"/>
  <c r="D19" i="8"/>
  <c r="D19" i="18"/>
  <c r="D21" i="28"/>
  <c r="D21" i="8"/>
  <c r="D21" i="18"/>
  <c r="D23" i="28"/>
  <c r="D23" i="8"/>
  <c r="D23" i="18"/>
  <c r="D28" i="28"/>
  <c r="D28" i="8"/>
  <c r="D28" i="18"/>
  <c r="F12" i="15"/>
  <c r="D12" i="11" s="1"/>
  <c r="F13" i="15"/>
  <c r="D13" i="11" s="1"/>
  <c r="F14" i="15"/>
  <c r="D14" i="11" s="1"/>
  <c r="F15" i="15"/>
  <c r="D15" i="11" s="1"/>
  <c r="F16" i="15"/>
  <c r="D16" i="11" s="1"/>
  <c r="F17" i="15"/>
  <c r="D17" i="11" s="1"/>
  <c r="F18" i="15"/>
  <c r="D18" i="11" s="1"/>
  <c r="F19" i="15"/>
  <c r="D19" i="11" s="1"/>
  <c r="F20" i="15"/>
  <c r="D20" i="11" s="1"/>
  <c r="F21" i="15"/>
  <c r="D21" i="11" s="1"/>
  <c r="F22" i="15"/>
  <c r="D22" i="11" s="1"/>
  <c r="F23" i="15"/>
  <c r="D23" i="11" s="1"/>
  <c r="F24" i="15"/>
  <c r="D24" i="11" s="1"/>
  <c r="F26" i="15"/>
  <c r="D26" i="11" s="1"/>
  <c r="F27" i="15"/>
  <c r="D27" i="11" s="1"/>
  <c r="F28" i="15"/>
  <c r="D28" i="11" s="1"/>
  <c r="F29" i="15"/>
  <c r="D29" i="11" s="1"/>
  <c r="F30" i="15"/>
  <c r="D30" i="11" s="1"/>
  <c r="F31" i="15"/>
  <c r="D31" i="11" s="1"/>
  <c r="F33" i="15"/>
  <c r="D33" i="11" s="1"/>
  <c r="F34" i="15"/>
  <c r="D34" i="11" s="1"/>
  <c r="F35" i="15"/>
  <c r="D35" i="11" s="1"/>
  <c r="F36" i="15"/>
  <c r="D36" i="11" s="1"/>
  <c r="F37" i="15"/>
  <c r="D37" i="11" s="1"/>
  <c r="F38" i="15"/>
  <c r="D38" i="11" s="1"/>
  <c r="F39" i="15"/>
  <c r="D39" i="11" s="1"/>
  <c r="F40" i="15"/>
  <c r="D40" i="11" s="1"/>
  <c r="F41" i="15"/>
  <c r="D41" i="11" s="1"/>
  <c r="F42" i="15"/>
  <c r="D42" i="11" s="1"/>
  <c r="F43" i="15"/>
  <c r="D43" i="11" s="1"/>
  <c r="F44" i="15"/>
  <c r="D44" i="11" s="1"/>
  <c r="C27" i="21"/>
  <c r="K15"/>
  <c r="E51" i="5"/>
  <c r="E50"/>
  <c r="E46"/>
  <c r="B48" i="85"/>
  <c r="E48" s="1"/>
  <c r="G48" s="1"/>
  <c r="E45" i="5"/>
  <c r="B47" i="85"/>
  <c r="E47" s="1"/>
  <c r="G47" s="1"/>
  <c r="E44" i="5"/>
  <c r="B46" i="85"/>
  <c r="E46" s="1"/>
  <c r="G46" s="1"/>
  <c r="E43" i="5"/>
  <c r="B45" i="85"/>
  <c r="E42" i="5"/>
  <c r="B44" i="85"/>
  <c r="E44" s="1"/>
  <c r="G44" s="1"/>
  <c r="E41" i="5"/>
  <c r="B43" i="85"/>
  <c r="E43" s="1"/>
  <c r="G43" s="1"/>
  <c r="E40" i="5"/>
  <c r="B42" i="85"/>
  <c r="E42" s="1"/>
  <c r="G42" s="1"/>
  <c r="E39" i="5"/>
  <c r="B41" i="85"/>
  <c r="E41" s="1"/>
  <c r="G41" s="1"/>
  <c r="E38" i="5"/>
  <c r="B40" i="85"/>
  <c r="E40" s="1"/>
  <c r="G40" s="1"/>
  <c r="E37" i="5"/>
  <c r="B39" i="85"/>
  <c r="E39" s="1"/>
  <c r="G39" s="1"/>
  <c r="E36" i="5"/>
  <c r="B38" i="85"/>
  <c r="E38" s="1"/>
  <c r="G38" s="1"/>
  <c r="E35" i="5"/>
  <c r="B37" i="85"/>
  <c r="E37" s="1"/>
  <c r="G37" s="1"/>
  <c r="E34" i="5"/>
  <c r="B36" i="85"/>
  <c r="E36" s="1"/>
  <c r="G36" s="1"/>
  <c r="E33" i="5"/>
  <c r="B35" i="85"/>
  <c r="E35" s="1"/>
  <c r="G35" s="1"/>
  <c r="E32" i="5"/>
  <c r="B34" i="85"/>
  <c r="E34" s="1"/>
  <c r="G34" s="1"/>
  <c r="E31" i="5"/>
  <c r="B33" i="85"/>
  <c r="E33" s="1"/>
  <c r="G33" s="1"/>
  <c r="E30" i="5"/>
  <c r="B32" i="85"/>
  <c r="E32" s="1"/>
  <c r="G32" s="1"/>
  <c r="E29" i="5"/>
  <c r="B31" i="85"/>
  <c r="E31" s="1"/>
  <c r="G31" s="1"/>
  <c r="E28" i="5"/>
  <c r="B30" i="85"/>
  <c r="E27" i="5"/>
  <c r="B29" i="85"/>
  <c r="E26" i="5"/>
  <c r="B28" i="85"/>
  <c r="E28" s="1"/>
  <c r="G28" s="1"/>
  <c r="E24" i="5"/>
  <c r="B26" i="85"/>
  <c r="E26" s="1"/>
  <c r="G26" s="1"/>
  <c r="E23" i="5"/>
  <c r="B25" i="85"/>
  <c r="B24"/>
  <c r="E24" s="1"/>
  <c r="G24" s="1"/>
  <c r="E21" i="5"/>
  <c r="B23" i="85"/>
  <c r="E23" s="1"/>
  <c r="G23" s="1"/>
  <c r="E20" i="5"/>
  <c r="B22" i="85"/>
  <c r="E22" s="1"/>
  <c r="G22" s="1"/>
  <c r="E19" i="5"/>
  <c r="B21" i="85"/>
  <c r="E21" s="1"/>
  <c r="G21" s="1"/>
  <c r="E18" i="5"/>
  <c r="E17"/>
  <c r="B19" i="85"/>
  <c r="E19" s="1"/>
  <c r="G19" s="1"/>
  <c r="E16" i="5"/>
  <c r="B18" i="85"/>
  <c r="E18" s="1"/>
  <c r="G18" s="1"/>
  <c r="E15" i="5"/>
  <c r="B17" i="85"/>
  <c r="E17" s="1"/>
  <c r="G17" s="1"/>
  <c r="E13" i="5"/>
  <c r="B15" i="85"/>
  <c r="E15" s="1"/>
  <c r="G15" s="1"/>
  <c r="E12" i="5"/>
  <c r="B14" i="85"/>
  <c r="E14" s="1"/>
  <c r="G14" s="1"/>
  <c r="A3" i="41" l="1"/>
  <c r="B3" i="54"/>
  <c r="B3" i="40"/>
  <c r="B3" i="76"/>
  <c r="B3" i="39"/>
  <c r="B3" i="37"/>
  <c r="B3" i="36"/>
  <c r="B3" i="29"/>
  <c r="B3" i="28"/>
  <c r="B3" i="27"/>
  <c r="B3" i="38"/>
  <c r="B3" i="35"/>
  <c r="B3" i="34"/>
  <c r="B3" i="25"/>
  <c r="B3" i="8"/>
  <c r="B3" i="26"/>
  <c r="B3" i="82"/>
  <c r="B3" i="11"/>
  <c r="B3" i="10"/>
  <c r="B3" i="7"/>
  <c r="B3" i="9"/>
  <c r="B3" i="18"/>
  <c r="B3" i="19" s="1"/>
  <c r="B3" i="20" s="1"/>
  <c r="C2" i="23"/>
  <c r="D2" i="22"/>
  <c r="C2" i="21"/>
  <c r="G43" i="90"/>
  <c r="G43" i="54"/>
  <c r="E43" i="41"/>
  <c r="C43"/>
  <c r="J43" i="54"/>
  <c r="D43"/>
  <c r="G43" i="29"/>
  <c r="J43" i="28"/>
  <c r="J43" i="26"/>
  <c r="D43" i="29"/>
  <c r="G43" i="28"/>
  <c r="D43" i="27"/>
  <c r="G43" i="26"/>
  <c r="D43"/>
  <c r="G43" i="11"/>
  <c r="J43"/>
  <c r="F43" i="19"/>
  <c r="J43" i="20"/>
  <c r="I43" i="19"/>
  <c r="G43" i="18"/>
  <c r="D43" i="10"/>
  <c r="D43" i="20"/>
  <c r="G43"/>
  <c r="G43" i="10"/>
  <c r="E43" i="16"/>
  <c r="G41" i="90"/>
  <c r="G41" i="54"/>
  <c r="E41" i="41"/>
  <c r="J41" i="54"/>
  <c r="D41"/>
  <c r="G41" i="29"/>
  <c r="J41" i="28"/>
  <c r="D41" i="26"/>
  <c r="C41" i="41"/>
  <c r="D41" i="29"/>
  <c r="G41" i="28"/>
  <c r="D41" i="27"/>
  <c r="D41" i="76" s="1"/>
  <c r="G41" i="26"/>
  <c r="J41"/>
  <c r="G41" i="11"/>
  <c r="D41" i="10"/>
  <c r="G41" i="76"/>
  <c r="J41" i="11"/>
  <c r="G41" i="10"/>
  <c r="D41" i="20"/>
  <c r="G41"/>
  <c r="G41" i="18"/>
  <c r="F41" i="19"/>
  <c r="J41" i="20"/>
  <c r="I41" i="19"/>
  <c r="E41" i="16"/>
  <c r="G39" i="90"/>
  <c r="G39" i="54"/>
  <c r="E39" i="41"/>
  <c r="J39" i="54"/>
  <c r="D39"/>
  <c r="C39" i="41"/>
  <c r="G39" i="29"/>
  <c r="J39" i="28"/>
  <c r="J39" i="26"/>
  <c r="D39" i="29"/>
  <c r="G39" i="28"/>
  <c r="D39" i="27"/>
  <c r="G39" i="26"/>
  <c r="D39"/>
  <c r="G39" i="11"/>
  <c r="D39" i="10"/>
  <c r="J39" i="11"/>
  <c r="G39" i="10"/>
  <c r="F39" i="19"/>
  <c r="J39" i="20"/>
  <c r="G39" i="18"/>
  <c r="D39" i="20"/>
  <c r="I39" i="19"/>
  <c r="G39" i="20"/>
  <c r="E39" i="16"/>
  <c r="G37" i="90"/>
  <c r="G37" i="54"/>
  <c r="E37" i="41"/>
  <c r="J37" i="54"/>
  <c r="D37"/>
  <c r="G37" i="29"/>
  <c r="J37" i="28"/>
  <c r="D37" i="26"/>
  <c r="C37" i="41"/>
  <c r="D37" i="29"/>
  <c r="G37" i="28"/>
  <c r="D37" i="27"/>
  <c r="G37" i="26"/>
  <c r="J37"/>
  <c r="G37" i="11"/>
  <c r="D37" i="10"/>
  <c r="J37" i="11"/>
  <c r="G37" i="10"/>
  <c r="J37" i="20"/>
  <c r="G37"/>
  <c r="D37"/>
  <c r="G37" i="18"/>
  <c r="F37" i="19"/>
  <c r="I37"/>
  <c r="E37" i="16"/>
  <c r="G35" i="90"/>
  <c r="G35" i="54"/>
  <c r="E35" i="41"/>
  <c r="J35" i="54"/>
  <c r="D35"/>
  <c r="C35" i="41"/>
  <c r="G35" i="29"/>
  <c r="J35" i="28"/>
  <c r="D35" i="29"/>
  <c r="G35" i="28"/>
  <c r="D35" i="27"/>
  <c r="G35" i="26"/>
  <c r="G35" i="11"/>
  <c r="D35" i="10"/>
  <c r="J35" i="26"/>
  <c r="D35"/>
  <c r="J35" i="11"/>
  <c r="G35" i="10"/>
  <c r="J35" i="20"/>
  <c r="G35"/>
  <c r="D35"/>
  <c r="G35" i="18"/>
  <c r="F35" i="19"/>
  <c r="I35"/>
  <c r="E35" i="16"/>
  <c r="G33" i="90"/>
  <c r="G33" i="54"/>
  <c r="E33" i="41"/>
  <c r="J33" i="54"/>
  <c r="D33"/>
  <c r="G33" i="29"/>
  <c r="J33" i="28"/>
  <c r="C33" i="41"/>
  <c r="D33" i="29"/>
  <c r="G33" i="28"/>
  <c r="D33" i="27"/>
  <c r="G33" i="26"/>
  <c r="G33" i="11"/>
  <c r="D33" i="10"/>
  <c r="J33" i="26"/>
  <c r="D33"/>
  <c r="J33" i="11"/>
  <c r="G33" i="10"/>
  <c r="J33" i="20"/>
  <c r="G33"/>
  <c r="D33"/>
  <c r="I33" i="19"/>
  <c r="G33" i="18"/>
  <c r="F33" i="19"/>
  <c r="E33" i="16"/>
  <c r="G31" i="90"/>
  <c r="G31" i="54"/>
  <c r="E31" i="41"/>
  <c r="J31" i="54"/>
  <c r="D31"/>
  <c r="C31" i="41"/>
  <c r="G31" i="29"/>
  <c r="J31" i="28"/>
  <c r="D31" i="29"/>
  <c r="G31" i="28"/>
  <c r="D31" i="27"/>
  <c r="G31" i="26"/>
  <c r="G31" i="11"/>
  <c r="D31" i="10"/>
  <c r="J31" i="26"/>
  <c r="D31"/>
  <c r="J31" i="11"/>
  <c r="G31" i="10"/>
  <c r="J31" i="20"/>
  <c r="D31"/>
  <c r="I31" i="19"/>
  <c r="G31" i="20"/>
  <c r="G31" i="18"/>
  <c r="F31" i="19"/>
  <c r="E31" i="16"/>
  <c r="G29" i="90"/>
  <c r="E29" i="41"/>
  <c r="J29" i="54"/>
  <c r="G29"/>
  <c r="G29" i="29"/>
  <c r="J29" i="28"/>
  <c r="C29" i="41"/>
  <c r="D29" i="54"/>
  <c r="D29" i="29"/>
  <c r="G29" i="28"/>
  <c r="D29" i="27"/>
  <c r="G29" i="26"/>
  <c r="G29" i="11"/>
  <c r="D29" i="10"/>
  <c r="J29" i="26"/>
  <c r="D29"/>
  <c r="J29" i="11"/>
  <c r="G29" i="10"/>
  <c r="D29" i="20"/>
  <c r="J29"/>
  <c r="I29" i="19"/>
  <c r="G29" i="18"/>
  <c r="G29" i="20"/>
  <c r="F29" i="19"/>
  <c r="E29" i="16"/>
  <c r="G27" i="90"/>
  <c r="G27" i="54"/>
  <c r="E27" i="41"/>
  <c r="J27" i="54"/>
  <c r="C27" i="41"/>
  <c r="D27" i="54"/>
  <c r="G27" i="29"/>
  <c r="J27" i="28"/>
  <c r="G27" i="76"/>
  <c r="D27" i="29"/>
  <c r="G27" i="28"/>
  <c r="D27" i="27"/>
  <c r="D27" i="76" s="1"/>
  <c r="G27" i="26"/>
  <c r="G27" i="11"/>
  <c r="D27" i="10"/>
  <c r="J27" i="26"/>
  <c r="D27"/>
  <c r="J27" i="11"/>
  <c r="G27" i="10"/>
  <c r="D27" i="20"/>
  <c r="G27"/>
  <c r="G27" i="18"/>
  <c r="I27" i="19"/>
  <c r="F27"/>
  <c r="J27" i="20"/>
  <c r="G23" i="90"/>
  <c r="G23" i="54"/>
  <c r="E23" i="41"/>
  <c r="J23" i="54"/>
  <c r="C23" i="41"/>
  <c r="G23" i="29"/>
  <c r="J23" i="28"/>
  <c r="D23" i="54"/>
  <c r="G23" i="76"/>
  <c r="D23" i="29"/>
  <c r="G23" i="28"/>
  <c r="D23" i="27"/>
  <c r="D23" i="76" s="1"/>
  <c r="G23" i="26"/>
  <c r="G23" i="11"/>
  <c r="D23" i="10"/>
  <c r="J23" i="26"/>
  <c r="D23"/>
  <c r="J23" i="11"/>
  <c r="G23" i="10"/>
  <c r="D23" i="20"/>
  <c r="I23" i="19"/>
  <c r="G23" i="20"/>
  <c r="G23" i="18"/>
  <c r="F23" i="19"/>
  <c r="J23" i="20"/>
  <c r="E23" i="16"/>
  <c r="G21" i="90"/>
  <c r="G21" i="54"/>
  <c r="E21" i="41"/>
  <c r="J21" i="54"/>
  <c r="D21"/>
  <c r="G21" i="29"/>
  <c r="J21" i="28"/>
  <c r="C21" i="41"/>
  <c r="D21" i="29"/>
  <c r="G21" i="28"/>
  <c r="D21" i="27"/>
  <c r="G21" i="26"/>
  <c r="G21" i="11"/>
  <c r="D21" i="10"/>
  <c r="J21" i="26"/>
  <c r="D21"/>
  <c r="J21" i="11"/>
  <c r="G21" i="10"/>
  <c r="I21" i="19"/>
  <c r="F21"/>
  <c r="J21" i="20"/>
  <c r="G21" i="18"/>
  <c r="D21" i="20"/>
  <c r="G21"/>
  <c r="G19" i="90"/>
  <c r="G19" i="54"/>
  <c r="E19" i="41"/>
  <c r="J19" i="54"/>
  <c r="D19"/>
  <c r="C19" i="41"/>
  <c r="G19" i="29"/>
  <c r="J19" i="28"/>
  <c r="D19" i="29"/>
  <c r="G19" i="28"/>
  <c r="D19" i="27"/>
  <c r="G19" i="26"/>
  <c r="G19" i="11"/>
  <c r="D19" i="10"/>
  <c r="J19" i="26"/>
  <c r="D19"/>
  <c r="J19" i="11"/>
  <c r="G19" i="10"/>
  <c r="I19" i="19"/>
  <c r="F19"/>
  <c r="D19" i="20"/>
  <c r="G19"/>
  <c r="G19" i="18"/>
  <c r="J19" i="20"/>
  <c r="E19" i="16"/>
  <c r="G17" i="90"/>
  <c r="G17" i="54"/>
  <c r="E17" i="41"/>
  <c r="J17" i="54"/>
  <c r="D17"/>
  <c r="G17" i="29"/>
  <c r="J17" i="28"/>
  <c r="C17" i="41"/>
  <c r="D17" i="29"/>
  <c r="G17" i="28"/>
  <c r="D17" i="27"/>
  <c r="G17" i="26"/>
  <c r="G17" i="11"/>
  <c r="D17" i="10"/>
  <c r="J17" i="26"/>
  <c r="D17"/>
  <c r="J17" i="11"/>
  <c r="G17" i="10"/>
  <c r="I17" i="19"/>
  <c r="D17" i="20"/>
  <c r="F17" i="19"/>
  <c r="G17" i="20"/>
  <c r="J17"/>
  <c r="G17" i="18"/>
  <c r="E17" i="16"/>
  <c r="G15" i="90"/>
  <c r="G15" i="54"/>
  <c r="E15" i="41"/>
  <c r="J15" i="54"/>
  <c r="D15"/>
  <c r="C15" i="41"/>
  <c r="G15" i="29"/>
  <c r="J15" i="28"/>
  <c r="D15" i="29"/>
  <c r="G15" i="28"/>
  <c r="D15" i="27"/>
  <c r="G15" i="26"/>
  <c r="G15" i="11"/>
  <c r="D15" i="10"/>
  <c r="J15" i="26"/>
  <c r="D15"/>
  <c r="J15" i="11"/>
  <c r="G15" i="10"/>
  <c r="J15" i="20"/>
  <c r="G15"/>
  <c r="D15"/>
  <c r="F15" i="19"/>
  <c r="I15"/>
  <c r="G15" i="18"/>
  <c r="E15" i="16"/>
  <c r="G13" i="90"/>
  <c r="G13" i="54"/>
  <c r="E13" i="41"/>
  <c r="J13" i="54"/>
  <c r="G13" i="76"/>
  <c r="D13" i="54"/>
  <c r="G13" i="29"/>
  <c r="J13" i="28"/>
  <c r="C13" i="41"/>
  <c r="D13" i="29"/>
  <c r="G13" i="28"/>
  <c r="D13" i="27"/>
  <c r="D13" i="76" s="1"/>
  <c r="G13" i="26"/>
  <c r="G13" i="11"/>
  <c r="D13" i="10"/>
  <c r="J13" i="26"/>
  <c r="D13"/>
  <c r="J13" i="11"/>
  <c r="G13" i="10"/>
  <c r="J13" i="20"/>
  <c r="G13"/>
  <c r="D13"/>
  <c r="F13" i="19"/>
  <c r="I13"/>
  <c r="G13" i="18"/>
  <c r="E13" i="16"/>
  <c r="G45" i="90"/>
  <c r="G45" i="54"/>
  <c r="E45" i="41"/>
  <c r="J45" i="54"/>
  <c r="D45"/>
  <c r="C45" i="41"/>
  <c r="G45" i="29"/>
  <c r="J45" i="28"/>
  <c r="J45" i="26"/>
  <c r="D45"/>
  <c r="D45" i="29"/>
  <c r="G45" i="28"/>
  <c r="D45" i="27"/>
  <c r="G45" i="26"/>
  <c r="G45" i="11"/>
  <c r="D45" i="10"/>
  <c r="J45" i="20"/>
  <c r="D45"/>
  <c r="G45" i="18"/>
  <c r="G45" i="20"/>
  <c r="J45" i="11"/>
  <c r="G45" i="10"/>
  <c r="F45" i="19"/>
  <c r="I45"/>
  <c r="E45" i="16"/>
  <c r="G44" i="90"/>
  <c r="J44" i="54"/>
  <c r="G44"/>
  <c r="E44" i="41"/>
  <c r="C44"/>
  <c r="G44" i="76"/>
  <c r="G44" i="29"/>
  <c r="G44" i="28"/>
  <c r="G44" i="26"/>
  <c r="D44" i="54"/>
  <c r="D44" i="29"/>
  <c r="J44" i="28"/>
  <c r="J44" i="26"/>
  <c r="D44"/>
  <c r="D44" i="27"/>
  <c r="D44" i="76" s="1"/>
  <c r="G44" i="11"/>
  <c r="G44" i="10"/>
  <c r="J44" i="11"/>
  <c r="D44" i="10"/>
  <c r="I44" i="19"/>
  <c r="F44"/>
  <c r="D44" i="20"/>
  <c r="G44" i="18"/>
  <c r="G44" i="20"/>
  <c r="J44"/>
  <c r="E44" i="16"/>
  <c r="G42" i="90"/>
  <c r="J42" i="54"/>
  <c r="D42"/>
  <c r="G42"/>
  <c r="E42" i="41"/>
  <c r="G42" i="29"/>
  <c r="G42" i="28"/>
  <c r="D42" i="27"/>
  <c r="G42" i="26"/>
  <c r="C42" i="41"/>
  <c r="D42" i="29"/>
  <c r="J42" i="28"/>
  <c r="J42" i="26"/>
  <c r="D42"/>
  <c r="G42" i="11"/>
  <c r="G42" i="10"/>
  <c r="J42" i="11"/>
  <c r="D42" i="10"/>
  <c r="I42" i="19"/>
  <c r="F42"/>
  <c r="G42" i="20"/>
  <c r="J42"/>
  <c r="D42"/>
  <c r="G42" i="18"/>
  <c r="E42" i="16"/>
  <c r="G40" i="90"/>
  <c r="J40" i="54"/>
  <c r="D40"/>
  <c r="G40"/>
  <c r="E40" i="41"/>
  <c r="C40"/>
  <c r="G40" i="29"/>
  <c r="G40" i="28"/>
  <c r="D40" i="29"/>
  <c r="J40" i="28"/>
  <c r="J40" i="26"/>
  <c r="D40"/>
  <c r="D40" i="27"/>
  <c r="G40" i="26"/>
  <c r="G40" i="11"/>
  <c r="G40" i="10"/>
  <c r="J40" i="11"/>
  <c r="D40" i="10"/>
  <c r="I40" i="19"/>
  <c r="F40"/>
  <c r="D40" i="20"/>
  <c r="G40" i="18"/>
  <c r="G40" i="20"/>
  <c r="J40"/>
  <c r="E40" i="16"/>
  <c r="G38" i="90"/>
  <c r="J38" i="54"/>
  <c r="G38"/>
  <c r="E38" i="41"/>
  <c r="C38"/>
  <c r="G38" i="76"/>
  <c r="D38" i="54"/>
  <c r="G38" i="29"/>
  <c r="G38" i="28"/>
  <c r="D38" i="27"/>
  <c r="D38" i="76" s="1"/>
  <c r="G38" i="26"/>
  <c r="D38" i="29"/>
  <c r="J38" i="28"/>
  <c r="J38" i="26"/>
  <c r="D38"/>
  <c r="G38" i="11"/>
  <c r="G38" i="10"/>
  <c r="J38" i="11"/>
  <c r="D38" i="10"/>
  <c r="D38" i="20"/>
  <c r="I38" i="19"/>
  <c r="F38"/>
  <c r="G38" i="20"/>
  <c r="G38" i="18"/>
  <c r="J38" i="20"/>
  <c r="E38" i="16"/>
  <c r="G36" i="90"/>
  <c r="J36" i="54"/>
  <c r="G36"/>
  <c r="E36" i="41"/>
  <c r="C36"/>
  <c r="G36" i="76"/>
  <c r="G36" i="29"/>
  <c r="G36" i="28"/>
  <c r="D36" i="54"/>
  <c r="D36" i="29"/>
  <c r="J36" i="28"/>
  <c r="D36" i="27"/>
  <c r="D36" i="76" s="1"/>
  <c r="J36" i="26"/>
  <c r="D36"/>
  <c r="G36" i="11"/>
  <c r="G36" i="10"/>
  <c r="G36" i="26"/>
  <c r="J36" i="11"/>
  <c r="D36" i="10"/>
  <c r="J36" i="20"/>
  <c r="G36"/>
  <c r="D36"/>
  <c r="I36" i="19"/>
  <c r="F36"/>
  <c r="G36" i="18"/>
  <c r="E36" i="16"/>
  <c r="G34" i="90"/>
  <c r="J34" i="54"/>
  <c r="G34"/>
  <c r="E34" i="41"/>
  <c r="C34"/>
  <c r="G34" i="76"/>
  <c r="D34" i="54"/>
  <c r="G34" i="29"/>
  <c r="G34" i="28"/>
  <c r="D34" i="27"/>
  <c r="D34" i="76" s="1"/>
  <c r="D34" i="29"/>
  <c r="J34" i="28"/>
  <c r="J34" i="26"/>
  <c r="D34"/>
  <c r="G34" i="11"/>
  <c r="G34" i="10"/>
  <c r="G34" i="26"/>
  <c r="J34" i="11"/>
  <c r="D34" i="10"/>
  <c r="J34" i="20"/>
  <c r="G34"/>
  <c r="D34"/>
  <c r="I34" i="19"/>
  <c r="F34"/>
  <c r="G34" i="18"/>
  <c r="E34" i="16"/>
  <c r="G32" i="90"/>
  <c r="J32" i="54"/>
  <c r="G32"/>
  <c r="E32" i="41"/>
  <c r="C32"/>
  <c r="G32" i="76"/>
  <c r="G32" i="29"/>
  <c r="G32" i="28"/>
  <c r="D32" i="54"/>
  <c r="D32" i="29"/>
  <c r="J32" i="28"/>
  <c r="D32" i="27"/>
  <c r="D32" i="76" s="1"/>
  <c r="J32" i="26"/>
  <c r="D32"/>
  <c r="G32" i="11"/>
  <c r="G32" i="10"/>
  <c r="G32" i="26"/>
  <c r="J32" i="11"/>
  <c r="D32" i="10"/>
  <c r="J32" i="20"/>
  <c r="G32"/>
  <c r="D32"/>
  <c r="I32" i="19"/>
  <c r="G32" i="18"/>
  <c r="F32" i="19"/>
  <c r="E32" i="16"/>
  <c r="G30" i="90"/>
  <c r="J30" i="54"/>
  <c r="D30"/>
  <c r="G30"/>
  <c r="E30" i="41"/>
  <c r="C30"/>
  <c r="G30" i="29"/>
  <c r="G30" i="28"/>
  <c r="D30" i="27"/>
  <c r="D30" i="29"/>
  <c r="J30" i="28"/>
  <c r="J30" i="26"/>
  <c r="D30"/>
  <c r="G30" i="11"/>
  <c r="G30" i="10"/>
  <c r="G30" i="26"/>
  <c r="J30" i="11"/>
  <c r="D30" i="10"/>
  <c r="I30" i="19"/>
  <c r="D30" i="20"/>
  <c r="G30"/>
  <c r="F30" i="19"/>
  <c r="J30" i="20"/>
  <c r="G30" i="18"/>
  <c r="E30" i="16"/>
  <c r="G28" i="90"/>
  <c r="J28" i="54"/>
  <c r="D28"/>
  <c r="G28"/>
  <c r="E28" i="41"/>
  <c r="C28"/>
  <c r="G28" i="29"/>
  <c r="G28" i="28"/>
  <c r="D28" i="29"/>
  <c r="J28" i="28"/>
  <c r="D28" i="27"/>
  <c r="J28" i="26"/>
  <c r="D28"/>
  <c r="G28" i="11"/>
  <c r="G28" i="10"/>
  <c r="G28" i="26"/>
  <c r="J28" i="11"/>
  <c r="D28" i="10"/>
  <c r="J28" i="20"/>
  <c r="G28"/>
  <c r="I28" i="19"/>
  <c r="G28" i="18"/>
  <c r="F28" i="19"/>
  <c r="D28" i="20"/>
  <c r="E28" i="16"/>
  <c r="E27" s="1"/>
  <c r="G26" i="90"/>
  <c r="J26" i="54"/>
  <c r="D26"/>
  <c r="G26"/>
  <c r="E26" i="41"/>
  <c r="C26"/>
  <c r="G26" i="29"/>
  <c r="G26" i="28"/>
  <c r="D26" i="27"/>
  <c r="D26" i="29"/>
  <c r="J26" i="28"/>
  <c r="J26" i="26"/>
  <c r="D26"/>
  <c r="G26" i="11"/>
  <c r="G26" i="10"/>
  <c r="G26" i="26"/>
  <c r="J26" i="11"/>
  <c r="D26" i="10"/>
  <c r="I26" i="19"/>
  <c r="F26"/>
  <c r="D26" i="20"/>
  <c r="G26"/>
  <c r="J26"/>
  <c r="G26" i="18"/>
  <c r="E26" i="16"/>
  <c r="G24" i="90"/>
  <c r="J24" i="54"/>
  <c r="D24"/>
  <c r="G24"/>
  <c r="E24" i="41"/>
  <c r="C24"/>
  <c r="G24" i="29"/>
  <c r="G24" i="28"/>
  <c r="D24" i="29"/>
  <c r="J24" i="28"/>
  <c r="D24" i="27"/>
  <c r="J24" i="26"/>
  <c r="D24"/>
  <c r="G24" i="11"/>
  <c r="G24" i="10"/>
  <c r="G24" i="26"/>
  <c r="J24" i="11"/>
  <c r="D24" i="10"/>
  <c r="I24" i="19"/>
  <c r="G24" i="20"/>
  <c r="J24"/>
  <c r="G24" i="18"/>
  <c r="F24" i="19"/>
  <c r="D24" i="20"/>
  <c r="E24" i="16"/>
  <c r="G22" i="90"/>
  <c r="J22" i="54"/>
  <c r="D22"/>
  <c r="G22"/>
  <c r="E22" i="41"/>
  <c r="C22"/>
  <c r="G22" i="29"/>
  <c r="G22" i="28"/>
  <c r="D22" i="27"/>
  <c r="D22" i="29"/>
  <c r="J22" i="28"/>
  <c r="J22" i="26"/>
  <c r="D22"/>
  <c r="G22" i="11"/>
  <c r="G22" i="10"/>
  <c r="G22" i="26"/>
  <c r="J22" i="11"/>
  <c r="D22" i="10"/>
  <c r="D22" i="20"/>
  <c r="G22"/>
  <c r="F22" i="19"/>
  <c r="J22" i="20"/>
  <c r="I22" i="19"/>
  <c r="G22" i="18"/>
  <c r="E22" i="16"/>
  <c r="E21" s="1"/>
  <c r="G20" i="90"/>
  <c r="J20" i="54"/>
  <c r="D20"/>
  <c r="G20"/>
  <c r="E20" i="41"/>
  <c r="C20"/>
  <c r="G20" i="29"/>
  <c r="G20" i="28"/>
  <c r="D20" i="29"/>
  <c r="J20" i="28"/>
  <c r="D20" i="27"/>
  <c r="D20" i="76" s="1"/>
  <c r="J20" i="26"/>
  <c r="D20"/>
  <c r="G20" i="11"/>
  <c r="G20" i="10"/>
  <c r="G20" i="76"/>
  <c r="G20" i="26"/>
  <c r="J20" i="11"/>
  <c r="D20" i="10"/>
  <c r="G20" i="20"/>
  <c r="F20" i="19"/>
  <c r="J20" i="20"/>
  <c r="I20" i="19"/>
  <c r="D20" i="20"/>
  <c r="G20" i="18"/>
  <c r="E20" i="16"/>
  <c r="G18" i="90"/>
  <c r="J18" i="54"/>
  <c r="G18"/>
  <c r="E18" i="41"/>
  <c r="C18"/>
  <c r="G18" i="29"/>
  <c r="G18" i="28"/>
  <c r="D18" i="27"/>
  <c r="D18" i="76" s="1"/>
  <c r="G18"/>
  <c r="D18" i="54"/>
  <c r="D18" i="29"/>
  <c r="J18" i="28"/>
  <c r="J18" i="26"/>
  <c r="D18"/>
  <c r="G18" i="11"/>
  <c r="G18" i="10"/>
  <c r="G18" i="26"/>
  <c r="J18" i="11"/>
  <c r="D18" i="10"/>
  <c r="F18" i="19"/>
  <c r="D18" i="20"/>
  <c r="G18" i="18"/>
  <c r="I18" i="19"/>
  <c r="G18" i="20"/>
  <c r="J18"/>
  <c r="E18" i="16"/>
  <c r="G16" i="90"/>
  <c r="J16" i="54"/>
  <c r="D16"/>
  <c r="G16"/>
  <c r="E16" i="41"/>
  <c r="C16"/>
  <c r="G16" i="29"/>
  <c r="G16" i="28"/>
  <c r="D16" i="29"/>
  <c r="J16" i="28"/>
  <c r="D16" i="27"/>
  <c r="J16" i="26"/>
  <c r="D16"/>
  <c r="G16" i="11"/>
  <c r="G16" i="10"/>
  <c r="G16" i="26"/>
  <c r="J16" i="11"/>
  <c r="D16" i="10"/>
  <c r="J16" i="20"/>
  <c r="G16"/>
  <c r="D16"/>
  <c r="I16" i="19"/>
  <c r="F16"/>
  <c r="G16" i="18"/>
  <c r="E16" i="16"/>
  <c r="G14" i="90"/>
  <c r="J14" i="54"/>
  <c r="D14"/>
  <c r="G14"/>
  <c r="E14" i="41"/>
  <c r="C14"/>
  <c r="G14" i="29"/>
  <c r="G14" i="28"/>
  <c r="D14" i="29"/>
  <c r="J14" i="28"/>
  <c r="D14" i="27"/>
  <c r="J14" i="26"/>
  <c r="D14"/>
  <c r="G14" i="11"/>
  <c r="G14" i="10"/>
  <c r="G14" i="26"/>
  <c r="J14" i="11"/>
  <c r="D14" i="10"/>
  <c r="J14" i="20"/>
  <c r="G14"/>
  <c r="D14"/>
  <c r="G14" i="18"/>
  <c r="F14" i="19"/>
  <c r="I14"/>
  <c r="E14" i="16"/>
  <c r="G12" i="90"/>
  <c r="J12" i="54"/>
  <c r="G12"/>
  <c r="E12" i="41"/>
  <c r="C12"/>
  <c r="D12" i="54"/>
  <c r="G12" i="29"/>
  <c r="G12" i="28"/>
  <c r="D12" i="27"/>
  <c r="D12" i="76" s="1"/>
  <c r="G12"/>
  <c r="D12" i="29"/>
  <c r="J12" i="28"/>
  <c r="J12" i="26"/>
  <c r="D12"/>
  <c r="G12" i="11"/>
  <c r="G12" i="10"/>
  <c r="G12" i="26"/>
  <c r="J12" i="11"/>
  <c r="D12" i="10"/>
  <c r="J12" i="20"/>
  <c r="G12"/>
  <c r="D12"/>
  <c r="F12" i="19"/>
  <c r="I12"/>
  <c r="G12" i="18"/>
  <c r="E12" i="16"/>
  <c r="K14" i="85"/>
  <c r="K15"/>
  <c r="K26"/>
  <c r="K28"/>
  <c r="K31"/>
  <c r="K32"/>
  <c r="K33"/>
  <c r="K34"/>
  <c r="K35"/>
  <c r="K36"/>
  <c r="K37"/>
  <c r="K38"/>
  <c r="K39"/>
  <c r="K40"/>
  <c r="K41"/>
  <c r="K42"/>
  <c r="K43"/>
  <c r="K44"/>
  <c r="K46"/>
  <c r="K47"/>
  <c r="K48"/>
  <c r="K17"/>
  <c r="K18"/>
  <c r="K19"/>
  <c r="K21"/>
  <c r="K22"/>
  <c r="K23"/>
  <c r="K24"/>
  <c r="F51" i="15" l="1"/>
  <c r="D51" i="11" s="1"/>
  <c r="J51" i="54" l="1"/>
  <c r="D51"/>
  <c r="G51"/>
  <c r="C51" i="41"/>
  <c r="G51" i="29"/>
  <c r="G51" i="28"/>
  <c r="D51" i="27"/>
  <c r="D51" i="29"/>
  <c r="J51" i="28"/>
  <c r="J51" i="26"/>
  <c r="D51"/>
  <c r="G51"/>
  <c r="J51" i="11"/>
  <c r="G51" i="10"/>
  <c r="G51" i="11"/>
  <c r="D51" i="10"/>
  <c r="J51" i="20"/>
  <c r="I51" i="19"/>
  <c r="F51"/>
  <c r="G51" i="18"/>
  <c r="G51" i="20"/>
  <c r="D51"/>
  <c r="E51" i="16"/>
  <c r="A53" i="42"/>
  <c r="A62" i="43" l="1"/>
  <c r="C20" i="5"/>
  <c r="D20" s="1"/>
  <c r="C20" i="19" s="1"/>
  <c r="C21" i="5"/>
  <c r="D21" s="1"/>
  <c r="C21" i="7" s="1"/>
  <c r="C19" i="5"/>
  <c r="D19" s="1"/>
  <c r="C19" i="36" s="1"/>
  <c r="C16" i="5"/>
  <c r="D16" s="1"/>
  <c r="C18"/>
  <c r="D18" s="1"/>
  <c r="C23"/>
  <c r="D23" s="1"/>
  <c r="G23" i="25" s="1"/>
  <c r="C50" i="5"/>
  <c r="D50" s="1"/>
  <c r="C22"/>
  <c r="D22" s="1"/>
  <c r="C22" i="28" s="1"/>
  <c r="C17" i="5"/>
  <c r="D17" s="1"/>
  <c r="C15"/>
  <c r="D15" s="1"/>
  <c r="C51"/>
  <c r="D51" s="1"/>
  <c r="C13"/>
  <c r="D13" s="1"/>
  <c r="C14"/>
  <c r="D14" s="1"/>
  <c r="C24"/>
  <c r="D24" s="1"/>
  <c r="I24" i="25" s="1"/>
  <c r="C26" i="5"/>
  <c r="D26" s="1"/>
  <c r="F26" i="18" s="1"/>
  <c r="C27" i="5"/>
  <c r="D27" s="1"/>
  <c r="E27" i="37" s="1"/>
  <c r="C28" i="5"/>
  <c r="D28" s="1"/>
  <c r="F28" i="9" s="1"/>
  <c r="C29" i="5"/>
  <c r="D29" s="1"/>
  <c r="F29" i="10" s="1"/>
  <c r="C30" i="5"/>
  <c r="D30" s="1"/>
  <c r="C30" i="8" s="1"/>
  <c r="C31" i="5"/>
  <c r="D31" s="1"/>
  <c r="C31" i="20" s="1"/>
  <c r="C32" i="5"/>
  <c r="D32" s="1"/>
  <c r="C32" i="8" s="1"/>
  <c r="C33" i="5"/>
  <c r="D33" s="1"/>
  <c r="C33" i="20" s="1"/>
  <c r="C34" i="5"/>
  <c r="D34" s="1"/>
  <c r="C34" i="20" s="1"/>
  <c r="C35" i="5"/>
  <c r="D35" s="1"/>
  <c r="E35" i="35" s="1"/>
  <c r="C36" i="5"/>
  <c r="D36" s="1"/>
  <c r="I36" i="20" s="1"/>
  <c r="C37" i="5"/>
  <c r="D37" s="1"/>
  <c r="I37" i="9" s="1"/>
  <c r="C38" i="5"/>
  <c r="D38" s="1"/>
  <c r="F38" i="11" s="1"/>
  <c r="C39" i="5"/>
  <c r="D39" s="1"/>
  <c r="E39" i="19" s="1"/>
  <c r="C40" i="5"/>
  <c r="D40" s="1"/>
  <c r="F40" i="9" s="1"/>
  <c r="C41" i="5"/>
  <c r="D41" s="1"/>
  <c r="I41" i="11" s="1"/>
  <c r="C42" i="5"/>
  <c r="D42" s="1"/>
  <c r="C43"/>
  <c r="D43" s="1"/>
  <c r="E43" i="82" s="1"/>
  <c r="C44" i="5"/>
  <c r="D44" s="1"/>
  <c r="F44" i="9" s="1"/>
  <c r="C45" i="5"/>
  <c r="D45" s="1"/>
  <c r="F45" i="8" s="1"/>
  <c r="C46" i="5"/>
  <c r="D46" s="1"/>
  <c r="C12"/>
  <c r="D12" s="1"/>
  <c r="F12" i="46"/>
  <c r="F12" i="52" s="1"/>
  <c r="B12" i="43" s="1"/>
  <c r="F12" s="1"/>
  <c r="F14" i="46"/>
  <c r="F14" i="52" s="1"/>
  <c r="B14" i="43" s="1"/>
  <c r="F16" i="46"/>
  <c r="F16" i="52" s="1"/>
  <c r="B16" i="43" s="1"/>
  <c r="F16" s="1"/>
  <c r="H16" s="1"/>
  <c r="F17" i="46"/>
  <c r="F17" i="52" s="1"/>
  <c r="B17" i="43" s="1"/>
  <c r="F17" s="1"/>
  <c r="H17" s="1"/>
  <c r="F18" i="46"/>
  <c r="F18" i="52" s="1"/>
  <c r="B18" i="43" s="1"/>
  <c r="F18" s="1"/>
  <c r="H18" s="1"/>
  <c r="F19"/>
  <c r="H19" s="1"/>
  <c r="F20" i="46"/>
  <c r="F20" i="52" s="1"/>
  <c r="F22" i="46"/>
  <c r="F22" i="52" s="1"/>
  <c r="B22" i="43" s="1"/>
  <c r="F22" s="1"/>
  <c r="H22" s="1"/>
  <c r="F24" i="46"/>
  <c r="F24" i="52" s="1"/>
  <c r="B24" i="43" s="1"/>
  <c r="F24" s="1"/>
  <c r="H24" s="1"/>
  <c r="F26" i="46"/>
  <c r="F26" i="52" s="1"/>
  <c r="B26" i="43" s="1"/>
  <c r="F26" s="1"/>
  <c r="H26" s="1"/>
  <c r="F28" i="46"/>
  <c r="F28" i="52" s="1"/>
  <c r="B28" i="43" s="1"/>
  <c r="F28" s="1"/>
  <c r="H28" s="1"/>
  <c r="F30" i="46"/>
  <c r="F30" i="52" s="1"/>
  <c r="B30" i="43" s="1"/>
  <c r="F30" s="1"/>
  <c r="H30" s="1"/>
  <c r="F32" i="46"/>
  <c r="F32" i="52" s="1"/>
  <c r="B32" i="43" s="1"/>
  <c r="F32" s="1"/>
  <c r="H32" s="1"/>
  <c r="F34" i="46"/>
  <c r="F34" i="52" s="1"/>
  <c r="B34" i="43" s="1"/>
  <c r="F34" s="1"/>
  <c r="H34" s="1"/>
  <c r="F35"/>
  <c r="H35" s="1"/>
  <c r="F36" i="46"/>
  <c r="F36" i="52" s="1"/>
  <c r="B36" i="43" s="1"/>
  <c r="F36" s="1"/>
  <c r="H36" s="1"/>
  <c r="F37"/>
  <c r="H37" s="1"/>
  <c r="I37" i="45" s="1"/>
  <c r="F38" i="46"/>
  <c r="F38" i="52" s="1"/>
  <c r="B38" i="43" s="1"/>
  <c r="F38" s="1"/>
  <c r="H38" s="1"/>
  <c r="F39"/>
  <c r="H39" s="1"/>
  <c r="F40" i="46"/>
  <c r="F40" i="52" s="1"/>
  <c r="B40" i="43" s="1"/>
  <c r="F40" s="1"/>
  <c r="H40" s="1"/>
  <c r="F41"/>
  <c r="H41" s="1"/>
  <c r="I41" i="45" s="1"/>
  <c r="F42" i="46"/>
  <c r="F42" i="52" s="1"/>
  <c r="B42" i="43" s="1"/>
  <c r="F42" s="1"/>
  <c r="H42" s="1"/>
  <c r="F44" i="46"/>
  <c r="F44" i="52" s="1"/>
  <c r="B44" i="43" s="1"/>
  <c r="F44" s="1"/>
  <c r="H44" s="1"/>
  <c r="F46" i="46"/>
  <c r="F46" i="52" s="1"/>
  <c r="B46" i="43" s="1"/>
  <c r="F46" s="1"/>
  <c r="H46" s="1"/>
  <c r="E26" i="76"/>
  <c r="G26" s="1"/>
  <c r="D26"/>
  <c r="H15" i="43"/>
  <c r="I15" i="45" s="1"/>
  <c r="H21" i="43"/>
  <c r="I21" i="45" s="1"/>
  <c r="H23" i="43"/>
  <c r="I23" i="45" s="1"/>
  <c r="H29" i="43"/>
  <c r="I29" i="45" s="1"/>
  <c r="H31" i="43"/>
  <c r="I31" i="45" s="1"/>
  <c r="H33" i="43"/>
  <c r="I33" i="45" s="1"/>
  <c r="H43" i="43"/>
  <c r="I43" i="45" s="1"/>
  <c r="H45" i="43"/>
  <c r="I45" i="45" s="1"/>
  <c r="F19" i="29"/>
  <c r="I26" i="20"/>
  <c r="E26" i="19"/>
  <c r="I26" i="26"/>
  <c r="C26" i="29"/>
  <c r="C26" i="38"/>
  <c r="F28" i="54"/>
  <c r="E29" i="38"/>
  <c r="F30" i="8"/>
  <c r="C30" i="7"/>
  <c r="I30" i="20"/>
  <c r="F30" i="26"/>
  <c r="G30" i="25"/>
  <c r="C30" i="34"/>
  <c r="C30" i="29"/>
  <c r="C30" i="38"/>
  <c r="I30" i="54"/>
  <c r="C34" i="7"/>
  <c r="I34" i="18"/>
  <c r="C34" i="10"/>
  <c r="F34" i="26"/>
  <c r="G34" i="25"/>
  <c r="E34" i="34"/>
  <c r="C34" i="36"/>
  <c r="E34" i="38"/>
  <c r="I34" i="54"/>
  <c r="C37" i="25"/>
  <c r="F38" i="9"/>
  <c r="I38" i="18"/>
  <c r="I38" i="20"/>
  <c r="C38" i="10"/>
  <c r="I38" i="25"/>
  <c r="I38" i="26"/>
  <c r="C38" i="36"/>
  <c r="E38" i="38"/>
  <c r="I38" i="54"/>
  <c r="C41"/>
  <c r="F42" i="9"/>
  <c r="C42" i="19"/>
  <c r="C42" i="8"/>
  <c r="F42" i="20"/>
  <c r="C42" i="10"/>
  <c r="I42" i="25"/>
  <c r="C42" i="34"/>
  <c r="C42" i="26"/>
  <c r="C42" i="28"/>
  <c r="C42" i="29"/>
  <c r="E42" i="36"/>
  <c r="C42" i="38"/>
  <c r="C42" i="35"/>
  <c r="C42" i="37"/>
  <c r="F42" i="54"/>
  <c r="I42"/>
  <c r="I44" i="28"/>
  <c r="C45" i="36"/>
  <c r="E45" i="35"/>
  <c r="I46" i="11"/>
  <c r="F46" i="8"/>
  <c r="C46" i="18"/>
  <c r="I46"/>
  <c r="E46" i="19"/>
  <c r="I46" i="20"/>
  <c r="C46"/>
  <c r="I46" i="9"/>
  <c r="C46" i="10"/>
  <c r="C46" i="82"/>
  <c r="E46" i="25"/>
  <c r="I46"/>
  <c r="I46" i="28"/>
  <c r="C46" i="26"/>
  <c r="F46" i="28"/>
  <c r="C46" i="34"/>
  <c r="G46"/>
  <c r="E46" i="36"/>
  <c r="C46" i="38"/>
  <c r="F46" i="76"/>
  <c r="C46" i="35"/>
  <c r="C46" i="37"/>
  <c r="F46" i="54"/>
  <c r="I46"/>
  <c r="C50" i="8"/>
  <c r="F50" i="18"/>
  <c r="H50" i="19"/>
  <c r="I50" i="20"/>
  <c r="C50" i="19"/>
  <c r="F50" i="20"/>
  <c r="C50" i="9"/>
  <c r="C50" i="7"/>
  <c r="C50" i="82"/>
  <c r="E50" i="25"/>
  <c r="I50"/>
  <c r="I50" i="26"/>
  <c r="I50" i="28"/>
  <c r="F50"/>
  <c r="C50" i="34"/>
  <c r="G50"/>
  <c r="E50" i="36"/>
  <c r="C50" i="38"/>
  <c r="F50" i="54"/>
  <c r="C50" i="29"/>
  <c r="E50" i="35"/>
  <c r="E50" i="37"/>
  <c r="I50" i="54"/>
  <c r="C51" i="8"/>
  <c r="C51" i="18"/>
  <c r="I51"/>
  <c r="F51" i="20"/>
  <c r="E51" i="19"/>
  <c r="I51" i="20"/>
  <c r="F51" i="9"/>
  <c r="F51" i="10"/>
  <c r="E51" i="82"/>
  <c r="F51" i="11"/>
  <c r="E51" i="25"/>
  <c r="I51"/>
  <c r="F51" i="28"/>
  <c r="C51" i="26"/>
  <c r="C51" i="27"/>
  <c r="C51" i="76" s="1"/>
  <c r="I51" i="28"/>
  <c r="E51" i="34"/>
  <c r="C51" i="36"/>
  <c r="G51"/>
  <c r="E51" i="38"/>
  <c r="C51" i="29"/>
  <c r="E51" i="35"/>
  <c r="E51" i="37"/>
  <c r="F51" i="54"/>
  <c r="E14" i="76"/>
  <c r="G14" s="1"/>
  <c r="D14"/>
  <c r="E15"/>
  <c r="D15"/>
  <c r="E16"/>
  <c r="G16" s="1"/>
  <c r="D16"/>
  <c r="E17"/>
  <c r="D17"/>
  <c r="E19"/>
  <c r="G19" s="1"/>
  <c r="D19"/>
  <c r="E21"/>
  <c r="G21" s="1"/>
  <c r="D21"/>
  <c r="E22"/>
  <c r="D22"/>
  <c r="E24"/>
  <c r="D24"/>
  <c r="E28"/>
  <c r="D28"/>
  <c r="E29"/>
  <c r="G29" s="1"/>
  <c r="D29"/>
  <c r="E30"/>
  <c r="D30"/>
  <c r="E31"/>
  <c r="G31" s="1"/>
  <c r="D31"/>
  <c r="E33"/>
  <c r="G33" s="1"/>
  <c r="D33"/>
  <c r="E35"/>
  <c r="D35"/>
  <c r="E37"/>
  <c r="G37" s="1"/>
  <c r="D37"/>
  <c r="E39"/>
  <c r="D39"/>
  <c r="E40"/>
  <c r="G40" s="1"/>
  <c r="D40"/>
  <c r="E42"/>
  <c r="F42" s="1"/>
  <c r="D42"/>
  <c r="E43"/>
  <c r="G43" s="1"/>
  <c r="D43"/>
  <c r="E45"/>
  <c r="D45"/>
  <c r="E51"/>
  <c r="D51"/>
  <c r="B13" i="42"/>
  <c r="C13"/>
  <c r="D13"/>
  <c r="E13"/>
  <c r="F13"/>
  <c r="G13"/>
  <c r="H13"/>
  <c r="B27"/>
  <c r="C27"/>
  <c r="D27"/>
  <c r="E27"/>
  <c r="F27"/>
  <c r="G27"/>
  <c r="H27"/>
  <c r="F51" i="46"/>
  <c r="F51" i="52" s="1"/>
  <c r="B51" i="43" s="1"/>
  <c r="F51" s="1"/>
  <c r="H51" s="1"/>
  <c r="H50"/>
  <c r="I50" i="45" s="1"/>
  <c r="E22" i="5"/>
  <c r="G24" i="78"/>
  <c r="E25" i="85"/>
  <c r="K25" s="1"/>
  <c r="E29"/>
  <c r="E30"/>
  <c r="K30" s="1"/>
  <c r="E45"/>
  <c r="K45" s="1"/>
  <c r="F25"/>
  <c r="F29"/>
  <c r="G29" s="1"/>
  <c r="F30"/>
  <c r="F45"/>
  <c r="E14" i="5"/>
  <c r="G48" i="78"/>
  <c r="G25" i="85" l="1"/>
  <c r="I45" i="20"/>
  <c r="G41" i="36"/>
  <c r="G45" i="85"/>
  <c r="C45" i="18"/>
  <c r="I41" i="20"/>
  <c r="E44" i="25"/>
  <c r="I41" i="18"/>
  <c r="F20"/>
  <c r="E45" i="82"/>
  <c r="G41" i="25"/>
  <c r="E37" i="38"/>
  <c r="F33" i="11"/>
  <c r="E26" i="82"/>
  <c r="F45" i="29"/>
  <c r="E41" i="34"/>
  <c r="C33" i="27"/>
  <c r="C33" i="76" s="1"/>
  <c r="H29" i="19"/>
  <c r="C21" i="26"/>
  <c r="G30" i="85"/>
  <c r="C44" i="38"/>
  <c r="C44" i="18"/>
  <c r="F44" i="54"/>
  <c r="H44" i="19"/>
  <c r="I40" i="20"/>
  <c r="I36" i="18"/>
  <c r="F45" i="54"/>
  <c r="E45" i="38"/>
  <c r="I45" i="28"/>
  <c r="G45" i="25"/>
  <c r="F45" i="9"/>
  <c r="I45" i="18"/>
  <c r="C41" i="35"/>
  <c r="F41" i="28"/>
  <c r="C41"/>
  <c r="C41" i="82"/>
  <c r="C41" i="8"/>
  <c r="C41" i="9"/>
  <c r="I37" i="54"/>
  <c r="C37" i="34"/>
  <c r="C37" i="20"/>
  <c r="C33" i="37"/>
  <c r="C33" i="26"/>
  <c r="C33" i="7"/>
  <c r="G29" i="25"/>
  <c r="F23" i="54"/>
  <c r="C45" i="29"/>
  <c r="E45" i="34"/>
  <c r="C45" i="26"/>
  <c r="C45" i="10"/>
  <c r="E45" i="19"/>
  <c r="I45" i="11"/>
  <c r="C41" i="37"/>
  <c r="C41" i="36"/>
  <c r="F41" i="29"/>
  <c r="C41" i="25"/>
  <c r="F41" i="11"/>
  <c r="I41" i="9"/>
  <c r="C37" i="36"/>
  <c r="C37" i="19"/>
  <c r="F33" i="29"/>
  <c r="F33" i="8"/>
  <c r="C29" i="27"/>
  <c r="C29" i="76" s="1"/>
  <c r="C29" i="18"/>
  <c r="C24" i="28"/>
  <c r="I21" i="9"/>
  <c r="F45" i="76"/>
  <c r="E45" i="37"/>
  <c r="G45" i="36"/>
  <c r="F45" i="26"/>
  <c r="C45" i="25"/>
  <c r="H45" i="19"/>
  <c r="E41" i="38"/>
  <c r="I41" i="26"/>
  <c r="F41" i="76"/>
  <c r="C41" i="7"/>
  <c r="E41" i="19"/>
  <c r="F41" i="20"/>
  <c r="C37" i="35"/>
  <c r="I37" i="26"/>
  <c r="F37" i="8"/>
  <c r="C33" i="36"/>
  <c r="F33" i="9"/>
  <c r="C29" i="26"/>
  <c r="F23" i="29"/>
  <c r="F36" i="26"/>
  <c r="E38" i="37"/>
  <c r="E38" i="34"/>
  <c r="C37" i="37"/>
  <c r="F37" i="26"/>
  <c r="C37" i="7"/>
  <c r="E34" i="37"/>
  <c r="C34" i="28"/>
  <c r="E33" i="38"/>
  <c r="G33" i="25"/>
  <c r="C30" i="37"/>
  <c r="C30" i="27"/>
  <c r="C30" i="76" s="1"/>
  <c r="C29" i="36"/>
  <c r="E26" i="35"/>
  <c r="E26" i="25"/>
  <c r="C23" i="18"/>
  <c r="C40" i="26"/>
  <c r="C36" i="36"/>
  <c r="G32" i="25"/>
  <c r="I40" i="54"/>
  <c r="E32" i="38"/>
  <c r="C24" i="37"/>
  <c r="C44"/>
  <c r="E44" i="36"/>
  <c r="I44" i="26"/>
  <c r="C44" i="82"/>
  <c r="I44" i="20"/>
  <c r="I44" i="11"/>
  <c r="E40" i="35"/>
  <c r="C40" i="34"/>
  <c r="C40" i="19"/>
  <c r="I36" i="54"/>
  <c r="E36" i="34"/>
  <c r="C36" i="10"/>
  <c r="I36" i="11"/>
  <c r="C32" i="36"/>
  <c r="C32" i="10"/>
  <c r="C28" i="34"/>
  <c r="I44" i="54"/>
  <c r="F44" i="76"/>
  <c r="C44" i="34"/>
  <c r="I44" i="25"/>
  <c r="C44" i="9"/>
  <c r="I44" i="18"/>
  <c r="C40" i="29"/>
  <c r="C40" i="10"/>
  <c r="E36" i="38"/>
  <c r="G36" i="25"/>
  <c r="C36" i="8"/>
  <c r="E32" i="37"/>
  <c r="C32" i="28"/>
  <c r="F32" i="10"/>
  <c r="F20" i="28"/>
  <c r="C44" i="35"/>
  <c r="G44" i="34"/>
  <c r="F44" i="26"/>
  <c r="C44" i="7"/>
  <c r="E44" i="19"/>
  <c r="C40" i="38"/>
  <c r="I40" i="25"/>
  <c r="E36" i="37"/>
  <c r="C36" i="28"/>
  <c r="I32" i="54"/>
  <c r="E32" i="34"/>
  <c r="C32" i="20"/>
  <c r="H28" i="19"/>
  <c r="F39" i="9"/>
  <c r="F35" i="11"/>
  <c r="F39" i="54"/>
  <c r="F31" i="28"/>
  <c r="F43" i="29"/>
  <c r="G43" i="34"/>
  <c r="I43" i="9"/>
  <c r="I39" i="25"/>
  <c r="F35" i="28"/>
  <c r="E31" i="35"/>
  <c r="C27" i="19"/>
  <c r="C22"/>
  <c r="E43" i="35"/>
  <c r="F43" i="11"/>
  <c r="C39" i="26"/>
  <c r="I39" i="9"/>
  <c r="F27" i="28"/>
  <c r="C39" i="38"/>
  <c r="E28" i="35"/>
  <c r="C28" i="27"/>
  <c r="C28" i="76" s="1"/>
  <c r="F28" i="10"/>
  <c r="C20" i="25"/>
  <c r="F32" i="26"/>
  <c r="F32" i="18"/>
  <c r="C28" i="29"/>
  <c r="F28" i="20"/>
  <c r="G20" i="36"/>
  <c r="H20" i="19"/>
  <c r="C28" i="38"/>
  <c r="F28" i="26"/>
  <c r="C20" i="82"/>
  <c r="G28" i="25"/>
  <c r="I24" i="18"/>
  <c r="I20" i="54"/>
  <c r="F20" i="29"/>
  <c r="I20" i="9"/>
  <c r="C20" i="35"/>
  <c r="C20" i="26"/>
  <c r="C24" i="9"/>
  <c r="F23" i="10"/>
  <c r="C21" i="27"/>
  <c r="C21" i="76" s="1"/>
  <c r="C12" i="11"/>
  <c r="I12" i="10"/>
  <c r="F43" i="5"/>
  <c r="D43" i="6" s="1"/>
  <c r="E43" s="1"/>
  <c r="C43" i="78" s="1"/>
  <c r="I43" i="10"/>
  <c r="C43" i="11"/>
  <c r="F39" i="5"/>
  <c r="D39" i="6" s="1"/>
  <c r="E39" s="1"/>
  <c r="C39" i="78" s="1"/>
  <c r="I39" i="10"/>
  <c r="C39" i="11"/>
  <c r="C35" i="20"/>
  <c r="I35" i="10"/>
  <c r="C35" i="11"/>
  <c r="F31" i="18"/>
  <c r="I31" i="10"/>
  <c r="C31" i="11"/>
  <c r="I27" i="18"/>
  <c r="C27" i="11"/>
  <c r="I27" i="10"/>
  <c r="I13"/>
  <c r="C13" i="11"/>
  <c r="C22" i="18"/>
  <c r="C22" i="11"/>
  <c r="I22" i="10"/>
  <c r="C16" i="11"/>
  <c r="I16" i="10"/>
  <c r="C44" i="11"/>
  <c r="I44" i="10"/>
  <c r="C40" i="11"/>
  <c r="I40" i="10"/>
  <c r="C36" i="11"/>
  <c r="I36" i="10"/>
  <c r="C32" i="11"/>
  <c r="I32" i="10"/>
  <c r="C28" i="11"/>
  <c r="I28" i="10"/>
  <c r="C14" i="11"/>
  <c r="I14" i="10"/>
  <c r="I17"/>
  <c r="C17" i="11"/>
  <c r="C18"/>
  <c r="I18" i="10"/>
  <c r="C20" i="11"/>
  <c r="I20" i="10"/>
  <c r="E23" i="37"/>
  <c r="F21" i="29"/>
  <c r="F45" i="5"/>
  <c r="D45" i="6" s="1"/>
  <c r="F45" s="1"/>
  <c r="C45" i="11"/>
  <c r="I45" i="10"/>
  <c r="C41" i="11"/>
  <c r="I41" i="10"/>
  <c r="C37" i="11"/>
  <c r="I37" i="10"/>
  <c r="C33" i="11"/>
  <c r="I33" i="10"/>
  <c r="I29"/>
  <c r="C29" i="11"/>
  <c r="F24" i="9"/>
  <c r="C24" i="11"/>
  <c r="I24" i="10"/>
  <c r="I15"/>
  <c r="C15" i="11"/>
  <c r="C23"/>
  <c r="I23" i="10"/>
  <c r="H21" i="19"/>
  <c r="C21" i="11"/>
  <c r="I21" i="10"/>
  <c r="F46"/>
  <c r="C46" i="11"/>
  <c r="I46" i="10"/>
  <c r="C42" i="11"/>
  <c r="I42" i="10"/>
  <c r="C38" i="11"/>
  <c r="I38" i="10"/>
  <c r="C34" i="11"/>
  <c r="I34" i="10"/>
  <c r="C30" i="11"/>
  <c r="I30" i="10"/>
  <c r="F26" i="11"/>
  <c r="C26"/>
  <c r="I26" i="10"/>
  <c r="F51" i="5"/>
  <c r="D51" i="6" s="1"/>
  <c r="E51" s="1"/>
  <c r="I51" i="10"/>
  <c r="C51" i="11"/>
  <c r="C50" i="18"/>
  <c r="I50" i="10"/>
  <c r="C50" i="11"/>
  <c r="E19" i="37"/>
  <c r="C19" i="11"/>
  <c r="I19" i="10"/>
  <c r="C29" i="37"/>
  <c r="F29" i="29"/>
  <c r="C29" i="19"/>
  <c r="C24" i="36"/>
  <c r="I24" i="20"/>
  <c r="C23" i="28"/>
  <c r="H23" i="19"/>
  <c r="C21" i="37"/>
  <c r="E21" i="19"/>
  <c r="F39" i="76"/>
  <c r="F22"/>
  <c r="E43" i="37"/>
  <c r="E43" i="36"/>
  <c r="F43" i="26"/>
  <c r="E43" i="25"/>
  <c r="C43" i="20"/>
  <c r="I43" i="18"/>
  <c r="C43" i="10"/>
  <c r="C39" i="54"/>
  <c r="C39" i="27"/>
  <c r="C39" i="76" s="1"/>
  <c r="C39" i="28"/>
  <c r="F39" i="10"/>
  <c r="I39" i="20"/>
  <c r="F39" i="8"/>
  <c r="F35" i="54"/>
  <c r="G35" i="34"/>
  <c r="F35" i="9"/>
  <c r="C35" i="18"/>
  <c r="F31" i="54"/>
  <c r="G31" i="34"/>
  <c r="F31" i="9"/>
  <c r="C31" i="7"/>
  <c r="I27" i="54"/>
  <c r="G27" i="34"/>
  <c r="F27" i="9"/>
  <c r="C27" i="7"/>
  <c r="C22" i="36"/>
  <c r="I22" i="9"/>
  <c r="F43" i="54"/>
  <c r="C43" i="38"/>
  <c r="F43" i="28"/>
  <c r="I43" i="25"/>
  <c r="F43" i="9"/>
  <c r="E43" i="19"/>
  <c r="F43" i="10"/>
  <c r="E39" i="35"/>
  <c r="C39" i="29"/>
  <c r="F39"/>
  <c r="E39" i="82"/>
  <c r="C39" i="9"/>
  <c r="C35" i="29"/>
  <c r="E35" i="82"/>
  <c r="F35" i="8"/>
  <c r="C31" i="29"/>
  <c r="E31" i="82"/>
  <c r="C31" i="9"/>
  <c r="C27" i="36"/>
  <c r="E27" i="82"/>
  <c r="C27" i="10"/>
  <c r="E22" i="38"/>
  <c r="C43" i="54"/>
  <c r="C43" i="34"/>
  <c r="C43" i="28"/>
  <c r="C43" i="8"/>
  <c r="C43" i="9"/>
  <c r="E39" i="37"/>
  <c r="E39" i="36"/>
  <c r="E39" i="34"/>
  <c r="E39" i="25"/>
  <c r="H39" i="19"/>
  <c r="I39" i="18"/>
  <c r="I39" i="11"/>
  <c r="C35" i="38"/>
  <c r="E35" i="25"/>
  <c r="C31" i="38"/>
  <c r="E31" i="25"/>
  <c r="E27" i="38"/>
  <c r="E27" i="25"/>
  <c r="C22" i="37"/>
  <c r="I22" i="25"/>
  <c r="E24" i="38"/>
  <c r="F24" i="11"/>
  <c r="C23" i="19"/>
  <c r="C21" i="36"/>
  <c r="F21" i="10"/>
  <c r="F26" i="54"/>
  <c r="C26" i="34"/>
  <c r="C26" i="10"/>
  <c r="E24" i="34"/>
  <c r="I24" i="11"/>
  <c r="E23" i="36"/>
  <c r="C23" i="26"/>
  <c r="E21" i="38"/>
  <c r="G21" i="25"/>
  <c r="I19" i="45"/>
  <c r="I19" i="43" s="1"/>
  <c r="B19" i="42" s="1"/>
  <c r="H22" i="19"/>
  <c r="F22" i="10"/>
  <c r="E22" i="34"/>
  <c r="I22" i="11"/>
  <c r="F37" i="5"/>
  <c r="I37" i="11"/>
  <c r="C37" i="10"/>
  <c r="C37" i="18"/>
  <c r="C37" i="9"/>
  <c r="F37" i="18"/>
  <c r="H37" i="19"/>
  <c r="C37" i="8"/>
  <c r="F37" i="11"/>
  <c r="E37" i="19"/>
  <c r="F37" i="9"/>
  <c r="F37" i="10"/>
  <c r="E37" i="82"/>
  <c r="E37" i="25"/>
  <c r="I37"/>
  <c r="C37" i="28"/>
  <c r="F37" i="29"/>
  <c r="E37" i="34"/>
  <c r="C37" i="26"/>
  <c r="C37" i="27"/>
  <c r="C37" i="76" s="1"/>
  <c r="C37" i="29"/>
  <c r="E37" i="36"/>
  <c r="C37" i="38"/>
  <c r="F35" i="5"/>
  <c r="I35" i="11"/>
  <c r="I35" i="9"/>
  <c r="C35"/>
  <c r="F35" i="18"/>
  <c r="H35" i="19"/>
  <c r="I35" i="20"/>
  <c r="C35" i="19"/>
  <c r="F35" i="20"/>
  <c r="C35" i="7"/>
  <c r="C35" i="82"/>
  <c r="C35" i="26"/>
  <c r="C35" i="25"/>
  <c r="G35"/>
  <c r="F35" i="26"/>
  <c r="F35" i="29"/>
  <c r="E35" i="34"/>
  <c r="C35" i="27"/>
  <c r="C35" i="76" s="1"/>
  <c r="I35" i="28"/>
  <c r="C35" i="36"/>
  <c r="G35"/>
  <c r="E35" i="38"/>
  <c r="C35" i="35"/>
  <c r="C35" i="37"/>
  <c r="I35" i="54"/>
  <c r="F33" i="5"/>
  <c r="I33" i="11"/>
  <c r="C33" i="9"/>
  <c r="I33"/>
  <c r="F33" i="18"/>
  <c r="H33" i="19"/>
  <c r="I33" i="20"/>
  <c r="C33" i="19"/>
  <c r="F33" i="20"/>
  <c r="F33" i="10"/>
  <c r="E33" i="82"/>
  <c r="I33" i="26"/>
  <c r="E33" i="25"/>
  <c r="I33"/>
  <c r="F33" i="28"/>
  <c r="C33" i="34"/>
  <c r="G33"/>
  <c r="C33" i="28"/>
  <c r="C33" i="29"/>
  <c r="E33" i="36"/>
  <c r="C33" i="38"/>
  <c r="C33" i="54"/>
  <c r="E33" i="35"/>
  <c r="E33" i="37"/>
  <c r="F33" i="54"/>
  <c r="F31" i="5"/>
  <c r="C31" i="18"/>
  <c r="C31" i="10"/>
  <c r="E31" i="19"/>
  <c r="I31" i="18"/>
  <c r="H31" i="19"/>
  <c r="I31" i="20"/>
  <c r="F31"/>
  <c r="F31" i="10"/>
  <c r="C31" i="82"/>
  <c r="C31" i="26"/>
  <c r="C31" i="25"/>
  <c r="G31"/>
  <c r="F31" i="26"/>
  <c r="F31" i="29"/>
  <c r="E31" i="34"/>
  <c r="C31" i="27"/>
  <c r="C31" i="76" s="1"/>
  <c r="I31" i="28"/>
  <c r="C31" i="36"/>
  <c r="G31"/>
  <c r="E31" i="38"/>
  <c r="C31" i="35"/>
  <c r="C31" i="37"/>
  <c r="I31" i="54"/>
  <c r="F29" i="5"/>
  <c r="F29" i="11"/>
  <c r="I29" i="9"/>
  <c r="F29" i="8"/>
  <c r="C29" i="9"/>
  <c r="I29" i="18"/>
  <c r="F29" i="20"/>
  <c r="C29" i="8"/>
  <c r="E29" i="19"/>
  <c r="F29" i="9"/>
  <c r="I29" i="11"/>
  <c r="E29" i="82"/>
  <c r="I29" i="26"/>
  <c r="E29" i="25"/>
  <c r="I29"/>
  <c r="F29" i="28"/>
  <c r="C29" i="34"/>
  <c r="G29"/>
  <c r="C29" i="28"/>
  <c r="C29" i="29"/>
  <c r="E29" i="36"/>
  <c r="C29" i="38"/>
  <c r="I29" i="54"/>
  <c r="E29" i="35"/>
  <c r="E29" i="37"/>
  <c r="F29" i="54"/>
  <c r="F27" i="11"/>
  <c r="C27" i="9"/>
  <c r="F27" i="8"/>
  <c r="I27" i="9"/>
  <c r="F27" i="18"/>
  <c r="H27" i="19"/>
  <c r="C27" i="8"/>
  <c r="E27" i="19"/>
  <c r="I27" i="20"/>
  <c r="F27" i="10"/>
  <c r="C27" i="82"/>
  <c r="C27" i="26"/>
  <c r="C27" i="25"/>
  <c r="G27"/>
  <c r="F27" i="26"/>
  <c r="F27" i="29"/>
  <c r="E27" i="34"/>
  <c r="C27" i="28"/>
  <c r="C27" i="29"/>
  <c r="E27" i="36"/>
  <c r="C27" i="38"/>
  <c r="C27" i="35"/>
  <c r="C27" i="37"/>
  <c r="F27" i="54"/>
  <c r="C27"/>
  <c r="F24" i="5"/>
  <c r="C24" i="7"/>
  <c r="F24" i="8"/>
  <c r="F24" i="18"/>
  <c r="C24" i="19"/>
  <c r="C24" i="20"/>
  <c r="C24" i="8"/>
  <c r="F24" i="20"/>
  <c r="I24" i="9"/>
  <c r="C24" i="82"/>
  <c r="F24" i="26"/>
  <c r="C24" i="25"/>
  <c r="G24"/>
  <c r="C24" i="26"/>
  <c r="C24" i="27"/>
  <c r="C24" i="76" s="1"/>
  <c r="I24" i="28"/>
  <c r="C24" i="34"/>
  <c r="G24"/>
  <c r="C24" i="29"/>
  <c r="E24" i="36"/>
  <c r="C24" i="38"/>
  <c r="I24" i="54"/>
  <c r="E24" i="35"/>
  <c r="E24" i="37"/>
  <c r="F24" i="54"/>
  <c r="F22" i="9"/>
  <c r="F22" i="8"/>
  <c r="I22" i="18"/>
  <c r="C22" i="20"/>
  <c r="C22" i="8"/>
  <c r="E22" i="19"/>
  <c r="C22" i="9"/>
  <c r="C22" i="7"/>
  <c r="C22" i="82"/>
  <c r="F22" i="26"/>
  <c r="C22" i="25"/>
  <c r="G22"/>
  <c r="C22" i="26"/>
  <c r="C22" i="27"/>
  <c r="C22" i="76" s="1"/>
  <c r="I22" i="28"/>
  <c r="C22" i="34"/>
  <c r="G22"/>
  <c r="C22" i="29"/>
  <c r="E22" i="36"/>
  <c r="C22" i="38"/>
  <c r="I22" i="54"/>
  <c r="E22" i="35"/>
  <c r="E22" i="37"/>
  <c r="F22" i="54"/>
  <c r="F23" i="11"/>
  <c r="F23" i="8"/>
  <c r="I23" i="9"/>
  <c r="C23"/>
  <c r="C23" i="7"/>
  <c r="I23" i="18"/>
  <c r="E23" i="19"/>
  <c r="C23" i="8"/>
  <c r="C23" i="20"/>
  <c r="F23" i="9"/>
  <c r="I23" i="11"/>
  <c r="E23" i="82"/>
  <c r="I23" i="26"/>
  <c r="E23" i="25"/>
  <c r="I23"/>
  <c r="F23" i="28"/>
  <c r="C23" i="34"/>
  <c r="G23"/>
  <c r="I23" i="28"/>
  <c r="C23" i="36"/>
  <c r="G23"/>
  <c r="E23" i="38"/>
  <c r="C23" i="35"/>
  <c r="C23" i="37"/>
  <c r="F23" i="76"/>
  <c r="I23" i="54"/>
  <c r="F21" i="5"/>
  <c r="F21" i="11"/>
  <c r="C21" i="9"/>
  <c r="F21" i="8"/>
  <c r="I21" i="18"/>
  <c r="C21"/>
  <c r="F21" i="20"/>
  <c r="C21" i="19"/>
  <c r="C21" i="20"/>
  <c r="F21" i="9"/>
  <c r="I21" i="11"/>
  <c r="E21" i="82"/>
  <c r="I21" i="26"/>
  <c r="E21" i="25"/>
  <c r="I21"/>
  <c r="F21" i="28"/>
  <c r="C21" i="34"/>
  <c r="G21"/>
  <c r="C21" i="28"/>
  <c r="C21" i="29"/>
  <c r="E21" i="36"/>
  <c r="C21" i="38"/>
  <c r="F21" i="54"/>
  <c r="E21" i="35"/>
  <c r="E21" i="37"/>
  <c r="I21" i="54"/>
  <c r="E45" i="90"/>
  <c r="F22" i="5"/>
  <c r="D22" i="6" s="1"/>
  <c r="F22" s="1"/>
  <c r="F35" i="76"/>
  <c r="F24"/>
  <c r="F15"/>
  <c r="I45" i="54"/>
  <c r="C45" i="37"/>
  <c r="C45" i="35"/>
  <c r="C45" i="54"/>
  <c r="C45" i="38"/>
  <c r="E45" i="36"/>
  <c r="G45" i="34"/>
  <c r="C45"/>
  <c r="C45" i="27"/>
  <c r="C45" i="76" s="1"/>
  <c r="I45" i="26"/>
  <c r="F45" i="28"/>
  <c r="I45" i="25"/>
  <c r="E45"/>
  <c r="C45" i="28"/>
  <c r="C45" i="82"/>
  <c r="C45" i="7"/>
  <c r="C45" i="20"/>
  <c r="F45" i="11"/>
  <c r="C45" i="8"/>
  <c r="F45" i="20"/>
  <c r="C45" i="19"/>
  <c r="F45" i="18"/>
  <c r="F45" i="10"/>
  <c r="C45" i="9"/>
  <c r="I45"/>
  <c r="I43" i="54"/>
  <c r="C43" i="37"/>
  <c r="C43" i="35"/>
  <c r="E43" i="38"/>
  <c r="G43" i="36"/>
  <c r="C43"/>
  <c r="E43" i="34"/>
  <c r="C43" i="29"/>
  <c r="C43" i="27"/>
  <c r="C43" i="76" s="1"/>
  <c r="I43" i="26"/>
  <c r="I43" i="28"/>
  <c r="C43" i="26"/>
  <c r="G43" i="25"/>
  <c r="C43"/>
  <c r="C43" i="82"/>
  <c r="C43" i="7"/>
  <c r="I43" i="20"/>
  <c r="H43" i="19"/>
  <c r="F43" i="20"/>
  <c r="C43" i="19"/>
  <c r="F43" i="18"/>
  <c r="F43" i="8"/>
  <c r="C43" i="18"/>
  <c r="I43" i="11"/>
  <c r="F41" i="54"/>
  <c r="E41" i="37"/>
  <c r="E41" i="35"/>
  <c r="I41" i="54"/>
  <c r="C41" i="38"/>
  <c r="E41" i="36"/>
  <c r="C41" i="29"/>
  <c r="F41" i="26"/>
  <c r="G41" i="34"/>
  <c r="C41"/>
  <c r="I41" i="28"/>
  <c r="C41" i="26"/>
  <c r="I41" i="25"/>
  <c r="E41"/>
  <c r="E41" i="82"/>
  <c r="F41" i="10"/>
  <c r="F41" i="9"/>
  <c r="H41" i="19"/>
  <c r="C41" i="20"/>
  <c r="C41" i="19"/>
  <c r="F41" i="18"/>
  <c r="F41" i="8"/>
  <c r="C41" i="18"/>
  <c r="C41" i="10"/>
  <c r="I39" i="54"/>
  <c r="C39" i="37"/>
  <c r="C39" i="35"/>
  <c r="E39" i="38"/>
  <c r="G39" i="36"/>
  <c r="C39"/>
  <c r="F39" i="28"/>
  <c r="F39" i="26"/>
  <c r="G39" i="34"/>
  <c r="C39"/>
  <c r="I39" i="28"/>
  <c r="I39" i="26"/>
  <c r="G39" i="25"/>
  <c r="C39"/>
  <c r="C39" i="82"/>
  <c r="C39" i="7"/>
  <c r="F39" i="20"/>
  <c r="F39" i="11"/>
  <c r="C39" i="8"/>
  <c r="C39" i="20"/>
  <c r="C39" i="19"/>
  <c r="F39" i="18"/>
  <c r="C39" i="10"/>
  <c r="C39" i="18"/>
  <c r="F37" i="54"/>
  <c r="E37" i="37"/>
  <c r="E37" i="35"/>
  <c r="C37" i="54"/>
  <c r="G37" i="36"/>
  <c r="F37" i="28"/>
  <c r="G37" i="34"/>
  <c r="I37" i="28"/>
  <c r="G37" i="25"/>
  <c r="C37" i="82"/>
  <c r="I37" i="20"/>
  <c r="I37" i="18"/>
  <c r="F37" i="20"/>
  <c r="E35" i="37"/>
  <c r="C35" i="54"/>
  <c r="E35" i="36"/>
  <c r="C35" i="28"/>
  <c r="C35" i="34"/>
  <c r="I35" i="25"/>
  <c r="I35" i="26"/>
  <c r="F35" i="10"/>
  <c r="E35" i="19"/>
  <c r="C35" i="8"/>
  <c r="I35" i="18"/>
  <c r="C35" i="10"/>
  <c r="I33" i="54"/>
  <c r="C33" i="35"/>
  <c r="G33" i="36"/>
  <c r="I33" i="28"/>
  <c r="E33" i="34"/>
  <c r="F33" i="26"/>
  <c r="C33" i="25"/>
  <c r="C33" i="82"/>
  <c r="E33" i="19"/>
  <c r="C33" i="8"/>
  <c r="I33" i="18"/>
  <c r="C33"/>
  <c r="C33" i="10"/>
  <c r="E31" i="37"/>
  <c r="C31" i="54"/>
  <c r="E31" i="36"/>
  <c r="C31" i="28"/>
  <c r="C31" i="34"/>
  <c r="I31" i="25"/>
  <c r="I31" i="26"/>
  <c r="I31" i="11"/>
  <c r="C31" i="8"/>
  <c r="C31" i="19"/>
  <c r="F31" i="8"/>
  <c r="I31" i="9"/>
  <c r="F31" i="11"/>
  <c r="C29" i="54"/>
  <c r="C29" i="35"/>
  <c r="G29" i="36"/>
  <c r="I29" i="28"/>
  <c r="E29" i="34"/>
  <c r="F29" i="26"/>
  <c r="C29" i="25"/>
  <c r="C29" i="82"/>
  <c r="C29" i="20"/>
  <c r="I29"/>
  <c r="F29" i="18"/>
  <c r="C29" i="7"/>
  <c r="C29" i="10"/>
  <c r="F27" i="76"/>
  <c r="E27" i="35"/>
  <c r="G27" i="36"/>
  <c r="I27" i="28"/>
  <c r="C27" i="34"/>
  <c r="I27" i="25"/>
  <c r="I27" i="26"/>
  <c r="I27" i="11"/>
  <c r="C27" i="20"/>
  <c r="F27"/>
  <c r="C27" i="18"/>
  <c r="C24" i="54"/>
  <c r="C24" i="35"/>
  <c r="G24" i="36"/>
  <c r="F24" i="28"/>
  <c r="F24" i="29"/>
  <c r="I24" i="26"/>
  <c r="E24" i="25"/>
  <c r="E24" i="82"/>
  <c r="C24" i="10"/>
  <c r="H24" i="19"/>
  <c r="E24"/>
  <c r="C24" i="18"/>
  <c r="F24" i="10"/>
  <c r="C23" i="54"/>
  <c r="E23" i="35"/>
  <c r="C23" i="38"/>
  <c r="C23" i="29"/>
  <c r="E23" i="34"/>
  <c r="F23" i="26"/>
  <c r="C23" i="25"/>
  <c r="C23" i="82"/>
  <c r="I23" i="20"/>
  <c r="F23"/>
  <c r="F23" i="18"/>
  <c r="C23" i="10"/>
  <c r="C22" i="54"/>
  <c r="C22" i="35"/>
  <c r="G22" i="36"/>
  <c r="F22" i="28"/>
  <c r="F22" i="29"/>
  <c r="I22" i="26"/>
  <c r="E22" i="25"/>
  <c r="E22" i="82"/>
  <c r="C22" i="10"/>
  <c r="F22" i="20"/>
  <c r="I22"/>
  <c r="F22" i="18"/>
  <c r="F22" i="11"/>
  <c r="C21" i="54"/>
  <c r="C21" i="35"/>
  <c r="G21" i="36"/>
  <c r="I21" i="28"/>
  <c r="E21" i="34"/>
  <c r="F21" i="26"/>
  <c r="C21" i="25"/>
  <c r="C21" i="82"/>
  <c r="I21" i="20"/>
  <c r="C21" i="8"/>
  <c r="F21" i="18"/>
  <c r="C21" i="10"/>
  <c r="F40" i="5"/>
  <c r="I40" i="11"/>
  <c r="C40" i="18"/>
  <c r="F40" i="8"/>
  <c r="I40" i="18"/>
  <c r="E40" i="19"/>
  <c r="C40" i="8"/>
  <c r="F40" i="11"/>
  <c r="C40" i="20"/>
  <c r="C40" i="9"/>
  <c r="C40" i="7"/>
  <c r="E40" i="82"/>
  <c r="C40" i="25"/>
  <c r="G40"/>
  <c r="C40" i="27"/>
  <c r="C40" i="76" s="1"/>
  <c r="F40" i="29"/>
  <c r="E40" i="34"/>
  <c r="F40" i="26"/>
  <c r="I40"/>
  <c r="I40" i="28"/>
  <c r="C40" i="36"/>
  <c r="G40"/>
  <c r="E40" i="38"/>
  <c r="C40" i="35"/>
  <c r="C40" i="37"/>
  <c r="C40" i="54"/>
  <c r="H36" i="19"/>
  <c r="F36" i="9"/>
  <c r="F36" i="10"/>
  <c r="F36" i="18"/>
  <c r="C36" i="19"/>
  <c r="F36" i="20"/>
  <c r="C36"/>
  <c r="C36" i="9"/>
  <c r="C36" i="7"/>
  <c r="E36" i="82"/>
  <c r="E36" i="25"/>
  <c r="I36"/>
  <c r="I36" i="26"/>
  <c r="I36" i="28"/>
  <c r="C36" i="34"/>
  <c r="G36"/>
  <c r="C36" i="29"/>
  <c r="E36" i="36"/>
  <c r="C36" i="38"/>
  <c r="C36" i="35"/>
  <c r="C36" i="37"/>
  <c r="F36" i="54"/>
  <c r="C36"/>
  <c r="I32" i="11"/>
  <c r="C32" i="7"/>
  <c r="C32" i="18"/>
  <c r="I32"/>
  <c r="F32" i="20"/>
  <c r="F32" i="11"/>
  <c r="E32" i="19"/>
  <c r="I32" i="20"/>
  <c r="I32" i="9"/>
  <c r="E32" i="82"/>
  <c r="E32" i="25"/>
  <c r="I32"/>
  <c r="I32" i="26"/>
  <c r="I32" i="28"/>
  <c r="C32" i="34"/>
  <c r="G32"/>
  <c r="C32" i="29"/>
  <c r="E32" i="36"/>
  <c r="C32" i="38"/>
  <c r="C32" i="35"/>
  <c r="C32" i="37"/>
  <c r="F32" i="54"/>
  <c r="C32"/>
  <c r="F28" i="5"/>
  <c r="F28" i="11"/>
  <c r="C28" i="7"/>
  <c r="C28" i="18"/>
  <c r="F28"/>
  <c r="C28" i="19"/>
  <c r="C28" i="20"/>
  <c r="C28" i="8"/>
  <c r="C28" i="9"/>
  <c r="C28" i="10"/>
  <c r="I28" i="11"/>
  <c r="E28" i="82"/>
  <c r="E28" i="25"/>
  <c r="I28"/>
  <c r="I28" i="26"/>
  <c r="C28" i="28"/>
  <c r="F28" i="29"/>
  <c r="E28" i="34"/>
  <c r="F28" i="28"/>
  <c r="C28" i="36"/>
  <c r="G28"/>
  <c r="E28" i="38"/>
  <c r="C28" i="35"/>
  <c r="C28" i="37"/>
  <c r="I28" i="54"/>
  <c r="C20" i="7"/>
  <c r="I20" i="18"/>
  <c r="C20" i="20"/>
  <c r="C20" i="8"/>
  <c r="E20" i="19"/>
  <c r="C20" i="9"/>
  <c r="C20" i="10"/>
  <c r="I20" i="11"/>
  <c r="E20" i="82"/>
  <c r="E20" i="25"/>
  <c r="I20"/>
  <c r="I20" i="26"/>
  <c r="I20" i="28"/>
  <c r="C20" i="34"/>
  <c r="G20"/>
  <c r="C20" i="29"/>
  <c r="E20" i="36"/>
  <c r="C20" i="38"/>
  <c r="C20" i="54"/>
  <c r="E20" i="35"/>
  <c r="E20" i="37"/>
  <c r="F20" i="54"/>
  <c r="F42" i="5"/>
  <c r="I42" i="11"/>
  <c r="F42" i="8"/>
  <c r="C42" i="18"/>
  <c r="I42"/>
  <c r="E42" i="19"/>
  <c r="I42" i="20"/>
  <c r="H42" i="19"/>
  <c r="C42" i="9"/>
  <c r="C42" i="7"/>
  <c r="E42" i="82"/>
  <c r="C42" i="25"/>
  <c r="G42"/>
  <c r="C42" i="27"/>
  <c r="C42" i="76" s="1"/>
  <c r="F42" i="29"/>
  <c r="E42" i="34"/>
  <c r="F42" i="26"/>
  <c r="I38" i="11"/>
  <c r="H38" i="19"/>
  <c r="C38" i="18"/>
  <c r="F38"/>
  <c r="C38" i="20"/>
  <c r="C38" i="19"/>
  <c r="F38" i="20"/>
  <c r="C38" i="9"/>
  <c r="C38" i="7"/>
  <c r="E38" i="82"/>
  <c r="C38" i="25"/>
  <c r="G38"/>
  <c r="F38" i="28"/>
  <c r="C38" i="34"/>
  <c r="G38"/>
  <c r="C38" i="26"/>
  <c r="C38" i="28"/>
  <c r="C38" i="29"/>
  <c r="E38" i="36"/>
  <c r="C38" i="38"/>
  <c r="C38" i="35"/>
  <c r="C38" i="37"/>
  <c r="F38" i="54"/>
  <c r="C38"/>
  <c r="I34" i="11"/>
  <c r="F34" i="8"/>
  <c r="C34" i="18"/>
  <c r="F34"/>
  <c r="H34" i="19"/>
  <c r="C34" i="8"/>
  <c r="F34" i="11"/>
  <c r="E34" i="19"/>
  <c r="I34" i="20"/>
  <c r="I34" i="9"/>
  <c r="E34" i="82"/>
  <c r="E34" i="25"/>
  <c r="I34"/>
  <c r="I34" i="26"/>
  <c r="I34" i="28"/>
  <c r="C34" i="34"/>
  <c r="G34"/>
  <c r="C34" i="29"/>
  <c r="E34" i="36"/>
  <c r="C34" i="38"/>
  <c r="C34" i="35"/>
  <c r="C34" i="37"/>
  <c r="F34" i="54"/>
  <c r="C34"/>
  <c r="F30" i="5"/>
  <c r="E30" i="19"/>
  <c r="F30" i="9"/>
  <c r="F30" i="11"/>
  <c r="C30" i="18"/>
  <c r="F30"/>
  <c r="F30" i="20"/>
  <c r="C30" i="19"/>
  <c r="C30" i="20"/>
  <c r="C30" i="9"/>
  <c r="C30" i="10"/>
  <c r="I30" i="11"/>
  <c r="E30" i="82"/>
  <c r="E30" i="25"/>
  <c r="I30"/>
  <c r="I30" i="26"/>
  <c r="C30" i="28"/>
  <c r="F30" i="29"/>
  <c r="E30" i="34"/>
  <c r="F30" i="28"/>
  <c r="C30" i="36"/>
  <c r="G30"/>
  <c r="E30" i="38"/>
  <c r="E30" i="35"/>
  <c r="E30" i="37"/>
  <c r="C30" i="54"/>
  <c r="F26" i="9"/>
  <c r="C26" i="18"/>
  <c r="I26"/>
  <c r="C26" i="20"/>
  <c r="C26" i="8"/>
  <c r="C26" i="19"/>
  <c r="F26" i="20"/>
  <c r="I26" i="9"/>
  <c r="C26" i="82"/>
  <c r="F26" i="26"/>
  <c r="C26" i="25"/>
  <c r="G26"/>
  <c r="C26" i="26"/>
  <c r="C26" i="28"/>
  <c r="F26" i="29"/>
  <c r="E26" i="34"/>
  <c r="F26" i="28"/>
  <c r="C26" i="36"/>
  <c r="G26"/>
  <c r="E26" i="38"/>
  <c r="C26" i="35"/>
  <c r="C26" i="37"/>
  <c r="I26" i="54"/>
  <c r="F19" i="26"/>
  <c r="E19" i="34"/>
  <c r="I19" i="28"/>
  <c r="G19" i="36"/>
  <c r="E19" i="35"/>
  <c r="C19" i="54"/>
  <c r="F51" i="76"/>
  <c r="F30"/>
  <c r="F28"/>
  <c r="F17"/>
  <c r="C51" i="54"/>
  <c r="C51" i="37"/>
  <c r="C51" i="35"/>
  <c r="I51" i="54"/>
  <c r="C51" i="38"/>
  <c r="E51" i="36"/>
  <c r="G51" i="34"/>
  <c r="C51"/>
  <c r="C51" i="28"/>
  <c r="I51" i="26"/>
  <c r="F51" i="29"/>
  <c r="F51" i="26"/>
  <c r="G51" i="25"/>
  <c r="C51"/>
  <c r="C51" i="82"/>
  <c r="I51" i="11"/>
  <c r="C51" i="7"/>
  <c r="F51" i="8"/>
  <c r="C51" i="20"/>
  <c r="C51" i="19"/>
  <c r="C51" i="10"/>
  <c r="H51" i="19"/>
  <c r="F51" i="18"/>
  <c r="I51" i="9"/>
  <c r="C51"/>
  <c r="C50" i="54"/>
  <c r="C50" i="37"/>
  <c r="C50" i="35"/>
  <c r="F50" i="76"/>
  <c r="E50" i="38"/>
  <c r="G50" i="36"/>
  <c r="C50"/>
  <c r="E50" i="34"/>
  <c r="F50" i="29"/>
  <c r="F50" i="26"/>
  <c r="C50" i="28"/>
  <c r="C50" i="26"/>
  <c r="G50" i="25"/>
  <c r="C50"/>
  <c r="F50" i="11"/>
  <c r="E50" i="82"/>
  <c r="I50" i="11"/>
  <c r="C50" i="10"/>
  <c r="I50" i="9"/>
  <c r="F50" i="8"/>
  <c r="E50" i="19"/>
  <c r="F50" i="10"/>
  <c r="C50" i="20"/>
  <c r="I50" i="18"/>
  <c r="F50" i="9"/>
  <c r="C46" i="54"/>
  <c r="E46" i="37"/>
  <c r="E46" i="35"/>
  <c r="C46" i="29"/>
  <c r="E46" i="38"/>
  <c r="G46" i="36"/>
  <c r="C46"/>
  <c r="E46" i="34"/>
  <c r="F46" i="29"/>
  <c r="I46" i="26"/>
  <c r="F46"/>
  <c r="C46" i="28"/>
  <c r="G46" i="25"/>
  <c r="C46"/>
  <c r="F46" i="11"/>
  <c r="E46" i="82"/>
  <c r="C46" i="7"/>
  <c r="C46" i="9"/>
  <c r="C46" i="8"/>
  <c r="F46" i="20"/>
  <c r="C46" i="19"/>
  <c r="F46" i="18"/>
  <c r="H46" i="19"/>
  <c r="F46" i="9"/>
  <c r="C44" i="54"/>
  <c r="E44" i="37"/>
  <c r="E44" i="35"/>
  <c r="C44" i="29"/>
  <c r="E44" i="38"/>
  <c r="G44" i="36"/>
  <c r="C44"/>
  <c r="E44" i="34"/>
  <c r="F44" i="29"/>
  <c r="C44" i="28"/>
  <c r="C44" i="26"/>
  <c r="F44" i="28"/>
  <c r="G44" i="25"/>
  <c r="C44"/>
  <c r="E44" i="82"/>
  <c r="F44" i="10"/>
  <c r="I44" i="9"/>
  <c r="F44" i="20"/>
  <c r="F44" i="11"/>
  <c r="C44" i="8"/>
  <c r="C44" i="20"/>
  <c r="C44" i="19"/>
  <c r="F44" i="18"/>
  <c r="C44" i="10"/>
  <c r="F44" i="8"/>
  <c r="C42" i="54"/>
  <c r="E42" i="37"/>
  <c r="E42" i="35"/>
  <c r="E42" i="38"/>
  <c r="G42" i="36"/>
  <c r="C42"/>
  <c r="I42" i="28"/>
  <c r="I42" i="26"/>
  <c r="G42" i="34"/>
  <c r="F42" i="28"/>
  <c r="E42" i="25"/>
  <c r="C42" i="82"/>
  <c r="I42" i="9"/>
  <c r="F42" i="11"/>
  <c r="C42" i="20"/>
  <c r="F42" i="18"/>
  <c r="F42" i="10"/>
  <c r="E40" i="37"/>
  <c r="F40" i="54"/>
  <c r="E40" i="36"/>
  <c r="C40" i="28"/>
  <c r="G40" i="34"/>
  <c r="F40" i="28"/>
  <c r="E40" i="25"/>
  <c r="C40" i="82"/>
  <c r="I40" i="9"/>
  <c r="H40" i="19"/>
  <c r="F40" i="20"/>
  <c r="F40" i="18"/>
  <c r="F40" i="10"/>
  <c r="F38" i="76"/>
  <c r="E38" i="35"/>
  <c r="G38" i="36"/>
  <c r="I38" i="28"/>
  <c r="F38" i="26"/>
  <c r="F38" i="29"/>
  <c r="E38" i="25"/>
  <c r="C38" i="82"/>
  <c r="I38" i="9"/>
  <c r="E38" i="19"/>
  <c r="C38" i="8"/>
  <c r="F38"/>
  <c r="F38" i="10"/>
  <c r="F36" i="76"/>
  <c r="E36" i="35"/>
  <c r="G36" i="36"/>
  <c r="F36" i="28"/>
  <c r="F36" i="29"/>
  <c r="C36" i="26"/>
  <c r="C36" i="25"/>
  <c r="C36" i="82"/>
  <c r="I36" i="9"/>
  <c r="F36" i="11"/>
  <c r="E36" i="19"/>
  <c r="C36" i="18"/>
  <c r="F36" i="8"/>
  <c r="F34" i="76"/>
  <c r="E34" i="35"/>
  <c r="G34" i="36"/>
  <c r="F34" i="28"/>
  <c r="F34" i="29"/>
  <c r="C34" i="26"/>
  <c r="C34" i="25"/>
  <c r="C34" i="82"/>
  <c r="C34" i="9"/>
  <c r="C34" i="19"/>
  <c r="F34" i="20"/>
  <c r="F34" i="9"/>
  <c r="F34" i="10"/>
  <c r="F32" i="76"/>
  <c r="E32" i="35"/>
  <c r="G32" i="36"/>
  <c r="F32" i="28"/>
  <c r="F32" i="29"/>
  <c r="C32" i="26"/>
  <c r="C32" i="25"/>
  <c r="C32" i="82"/>
  <c r="C32" i="9"/>
  <c r="C32" i="19"/>
  <c r="H32"/>
  <c r="F32" i="9"/>
  <c r="F32" i="8"/>
  <c r="F30" i="54"/>
  <c r="C30" i="35"/>
  <c r="E30" i="36"/>
  <c r="G30" i="34"/>
  <c r="I30" i="28"/>
  <c r="C30" i="26"/>
  <c r="C30" i="25"/>
  <c r="C30" i="82"/>
  <c r="I30" i="9"/>
  <c r="H30" i="19"/>
  <c r="I30" i="18"/>
  <c r="F30" i="10"/>
  <c r="E28" i="37"/>
  <c r="C28" i="54"/>
  <c r="E28" i="36"/>
  <c r="G28" i="34"/>
  <c r="I28" i="28"/>
  <c r="C28" i="26"/>
  <c r="C28" i="25"/>
  <c r="C28" i="82"/>
  <c r="I28" i="9"/>
  <c r="I28" i="20"/>
  <c r="I28" i="18"/>
  <c r="F28" i="8"/>
  <c r="E28" i="19"/>
  <c r="E26" i="37"/>
  <c r="C26" i="54"/>
  <c r="E26" i="36"/>
  <c r="G26" i="34"/>
  <c r="I26" i="28"/>
  <c r="I26" i="25"/>
  <c r="I26" i="11"/>
  <c r="C26" i="9"/>
  <c r="C26" i="7"/>
  <c r="H26" i="19"/>
  <c r="F26" i="8"/>
  <c r="F26" i="10"/>
  <c r="C20" i="37"/>
  <c r="E20" i="38"/>
  <c r="C20" i="36"/>
  <c r="E20" i="34"/>
  <c r="C20" i="28"/>
  <c r="G20" i="25"/>
  <c r="F20" i="26"/>
  <c r="F20" i="20"/>
  <c r="I20"/>
  <c r="C20" i="18"/>
  <c r="F20" i="76"/>
  <c r="E19" i="38"/>
  <c r="C19" i="27"/>
  <c r="C19" i="76" s="1"/>
  <c r="G19" i="25"/>
  <c r="C43" i="44"/>
  <c r="C43" i="42" s="1"/>
  <c r="G43" i="44"/>
  <c r="E43" i="42" s="1"/>
  <c r="C43" i="45"/>
  <c r="G43" i="42" s="1"/>
  <c r="G43" i="45"/>
  <c r="I43" i="43"/>
  <c r="B43" i="42" s="1"/>
  <c r="E43" i="44"/>
  <c r="D43" i="42" s="1"/>
  <c r="I43" i="44"/>
  <c r="F43" i="42" s="1"/>
  <c r="E43" i="45"/>
  <c r="H43" i="42" s="1"/>
  <c r="G28" i="76"/>
  <c r="F21"/>
  <c r="I31" i="43"/>
  <c r="B31" i="42" s="1"/>
  <c r="E31" i="44"/>
  <c r="D31" i="42" s="1"/>
  <c r="I31" i="44"/>
  <c r="F31" i="42" s="1"/>
  <c r="E31" i="45"/>
  <c r="H31" i="42" s="1"/>
  <c r="C31" i="44"/>
  <c r="C31" i="42" s="1"/>
  <c r="G31" i="44"/>
  <c r="E31" i="42" s="1"/>
  <c r="C31" i="45"/>
  <c r="G31" i="42" s="1"/>
  <c r="G31" i="45"/>
  <c r="I37" i="43"/>
  <c r="B37" i="42" s="1"/>
  <c r="E37" i="44"/>
  <c r="D37" i="42" s="1"/>
  <c r="I37" i="44"/>
  <c r="F37" i="42" s="1"/>
  <c r="E37" i="45"/>
  <c r="H37" i="42" s="1"/>
  <c r="C37" i="44"/>
  <c r="C37" i="42" s="1"/>
  <c r="G37" i="44"/>
  <c r="E37" i="42" s="1"/>
  <c r="C37" i="45"/>
  <c r="G37" i="42" s="1"/>
  <c r="G37" i="45"/>
  <c r="C23" i="44"/>
  <c r="C23" i="42" s="1"/>
  <c r="G23" i="44"/>
  <c r="E23" i="42" s="1"/>
  <c r="C23" i="45"/>
  <c r="G23" i="42" s="1"/>
  <c r="G23" i="45"/>
  <c r="I23" i="43"/>
  <c r="B23" i="42" s="1"/>
  <c r="E23" i="44"/>
  <c r="D23" i="42" s="1"/>
  <c r="I23" i="44"/>
  <c r="F23" i="42" s="1"/>
  <c r="E23" i="45"/>
  <c r="H23" i="42" s="1"/>
  <c r="C46" i="27"/>
  <c r="C46" i="76" s="1"/>
  <c r="F46" i="5"/>
  <c r="F44"/>
  <c r="C44" i="27"/>
  <c r="C44" i="76" s="1"/>
  <c r="C38" i="27"/>
  <c r="C38" i="76" s="1"/>
  <c r="F38" i="5"/>
  <c r="F36"/>
  <c r="C36" i="27"/>
  <c r="C36" i="76" s="1"/>
  <c r="F34" i="5"/>
  <c r="C34" i="27"/>
  <c r="C34" i="76" s="1"/>
  <c r="F32" i="5"/>
  <c r="C32" i="27"/>
  <c r="C32" i="76" s="1"/>
  <c r="F26" i="5"/>
  <c r="C26" i="27"/>
  <c r="C26" i="76" s="1"/>
  <c r="F14" i="11"/>
  <c r="F14" i="9"/>
  <c r="C14" i="7"/>
  <c r="C14" i="18"/>
  <c r="H14" i="19"/>
  <c r="E14"/>
  <c r="C14" i="8"/>
  <c r="I14" i="20"/>
  <c r="C14" i="10"/>
  <c r="I14" i="11"/>
  <c r="E14" i="82"/>
  <c r="E14" i="25"/>
  <c r="I14"/>
  <c r="I14" i="26"/>
  <c r="C14" i="28"/>
  <c r="F14" i="29"/>
  <c r="E14" i="34"/>
  <c r="F14" i="28"/>
  <c r="C14" i="36"/>
  <c r="G14"/>
  <c r="E14" i="38"/>
  <c r="C14" i="35"/>
  <c r="C14" i="37"/>
  <c r="C14" i="54"/>
  <c r="F14" i="10"/>
  <c r="C14" i="9"/>
  <c r="F14" i="8"/>
  <c r="F14" i="18"/>
  <c r="I14"/>
  <c r="C14" i="19"/>
  <c r="F14" i="20"/>
  <c r="C14"/>
  <c r="I14" i="9"/>
  <c r="C14" i="82"/>
  <c r="F14" i="26"/>
  <c r="C14" i="25"/>
  <c r="G14"/>
  <c r="C14" i="26"/>
  <c r="C14" i="27"/>
  <c r="C14" i="76" s="1"/>
  <c r="I14" i="28"/>
  <c r="C14" i="34"/>
  <c r="G14"/>
  <c r="C14" i="29"/>
  <c r="E14" i="36"/>
  <c r="C14" i="38"/>
  <c r="I14" i="54"/>
  <c r="E14" i="35"/>
  <c r="E14" i="37"/>
  <c r="F14" i="54"/>
  <c r="F17" i="5"/>
  <c r="C17" i="10"/>
  <c r="F17" i="8"/>
  <c r="I17" i="9"/>
  <c r="I17" i="18"/>
  <c r="C17"/>
  <c r="E17" i="19"/>
  <c r="C17" i="8"/>
  <c r="I17" i="20"/>
  <c r="F17" i="10"/>
  <c r="C17" i="82"/>
  <c r="C17" i="26"/>
  <c r="C17" i="25"/>
  <c r="G17"/>
  <c r="F17" i="26"/>
  <c r="F17" i="29"/>
  <c r="E17" i="34"/>
  <c r="C17" i="27"/>
  <c r="C17" i="76" s="1"/>
  <c r="I17" i="28"/>
  <c r="C17" i="36"/>
  <c r="G17"/>
  <c r="E17" i="38"/>
  <c r="C17" i="35"/>
  <c r="C17" i="37"/>
  <c r="C17" i="54"/>
  <c r="F17" i="11"/>
  <c r="C17" i="9"/>
  <c r="C17" i="7"/>
  <c r="F17" i="18"/>
  <c r="H17" i="19"/>
  <c r="C17"/>
  <c r="C17" i="20"/>
  <c r="F17"/>
  <c r="F17" i="9"/>
  <c r="I17" i="11"/>
  <c r="E17" i="82"/>
  <c r="I17" i="26"/>
  <c r="E17" i="25"/>
  <c r="I17"/>
  <c r="F17" i="28"/>
  <c r="C17" i="34"/>
  <c r="G17"/>
  <c r="C17" i="28"/>
  <c r="C17" i="29"/>
  <c r="E17" i="36"/>
  <c r="C17" i="38"/>
  <c r="F17" i="54"/>
  <c r="E17" i="35"/>
  <c r="E17" i="37"/>
  <c r="I17" i="54"/>
  <c r="C50" i="27"/>
  <c r="C50" i="76" s="1"/>
  <c r="F50" i="5"/>
  <c r="D50" i="6" s="1"/>
  <c r="E50" s="1"/>
  <c r="C50" i="78" s="1"/>
  <c r="C18" i="27"/>
  <c r="C18" i="76" s="1"/>
  <c r="F18" i="10"/>
  <c r="F18" i="9"/>
  <c r="F18" i="18"/>
  <c r="I18"/>
  <c r="C18" i="19"/>
  <c r="C18" i="20"/>
  <c r="C18" i="8"/>
  <c r="C18" i="9"/>
  <c r="C18" i="10"/>
  <c r="I18" i="11"/>
  <c r="E18" i="82"/>
  <c r="E18" i="25"/>
  <c r="I18"/>
  <c r="I18" i="26"/>
  <c r="I18" i="28"/>
  <c r="C18" i="34"/>
  <c r="G18"/>
  <c r="C18" i="29"/>
  <c r="E18" i="36"/>
  <c r="C18" i="38"/>
  <c r="I18" i="54"/>
  <c r="E18" i="35"/>
  <c r="E18" i="37"/>
  <c r="F18" i="76"/>
  <c r="F18" i="5"/>
  <c r="C18" i="7"/>
  <c r="F18" i="8"/>
  <c r="F18" i="11"/>
  <c r="C18" i="18"/>
  <c r="H18" i="19"/>
  <c r="E18"/>
  <c r="I18" i="20"/>
  <c r="F18"/>
  <c r="I18" i="9"/>
  <c r="C18" i="82"/>
  <c r="F18" i="26"/>
  <c r="C18" i="25"/>
  <c r="G18"/>
  <c r="C18" i="26"/>
  <c r="C18" i="28"/>
  <c r="F18" i="29"/>
  <c r="E18" i="34"/>
  <c r="F18" i="28"/>
  <c r="C18" i="36"/>
  <c r="G18"/>
  <c r="E18" i="38"/>
  <c r="C18" i="35"/>
  <c r="C18" i="37"/>
  <c r="C18" i="54"/>
  <c r="F18"/>
  <c r="F19" i="5"/>
  <c r="I19" i="9"/>
  <c r="C19" i="10"/>
  <c r="E19" i="19"/>
  <c r="C19" i="18"/>
  <c r="H19" i="19"/>
  <c r="C19" i="8"/>
  <c r="I19" i="20"/>
  <c r="F19" i="10"/>
  <c r="C19" i="82"/>
  <c r="C19" i="26"/>
  <c r="C19" i="25"/>
  <c r="F19" i="11"/>
  <c r="C19" i="7"/>
  <c r="F19" i="18"/>
  <c r="C19" i="9"/>
  <c r="F19" i="8"/>
  <c r="I19" i="18"/>
  <c r="C19" i="19"/>
  <c r="F19" i="20"/>
  <c r="C19"/>
  <c r="F19" i="9"/>
  <c r="I19" i="11"/>
  <c r="E19" i="82"/>
  <c r="I19" i="26"/>
  <c r="E19" i="25"/>
  <c r="I19"/>
  <c r="F19" i="28"/>
  <c r="C19" i="34"/>
  <c r="G19"/>
  <c r="C19" i="28"/>
  <c r="C19" i="29"/>
  <c r="E19" i="36"/>
  <c r="C19" i="38"/>
  <c r="C19" i="35"/>
  <c r="C19" i="37"/>
  <c r="F19" i="54"/>
  <c r="I19"/>
  <c r="C20" i="27"/>
  <c r="C20" i="76" s="1"/>
  <c r="F20" i="5"/>
  <c r="F20" i="11"/>
  <c r="F20" i="8"/>
  <c r="F20" i="10"/>
  <c r="F20" i="9"/>
  <c r="F40" i="76"/>
  <c r="F12" i="5"/>
  <c r="E12" i="90" s="1"/>
  <c r="C12" i="27"/>
  <c r="C12" i="76" s="1"/>
  <c r="F12" i="8"/>
  <c r="F12" i="11"/>
  <c r="C12" i="9"/>
  <c r="C12" i="18"/>
  <c r="E12" i="19"/>
  <c r="H12"/>
  <c r="C12" i="8"/>
  <c r="I12" i="20"/>
  <c r="C12" i="10"/>
  <c r="I12" i="11"/>
  <c r="E12" i="82"/>
  <c r="E12" i="25"/>
  <c r="I12"/>
  <c r="I12" i="26"/>
  <c r="I12" i="28"/>
  <c r="C12" i="34"/>
  <c r="G12"/>
  <c r="C12" i="29"/>
  <c r="E12" i="36"/>
  <c r="C12" i="38"/>
  <c r="I12" i="54"/>
  <c r="C12" i="35"/>
  <c r="C12" i="37"/>
  <c r="C12" i="54"/>
  <c r="C12" i="7"/>
  <c r="F12" i="18"/>
  <c r="F12" i="10"/>
  <c r="I12" i="9"/>
  <c r="C12" i="19"/>
  <c r="I12" i="18"/>
  <c r="F12" i="20"/>
  <c r="C12"/>
  <c r="F12" i="9"/>
  <c r="C12" i="82"/>
  <c r="F12" i="26"/>
  <c r="C12" i="25"/>
  <c r="G12"/>
  <c r="C12" i="26"/>
  <c r="C12" i="28"/>
  <c r="F12" i="29"/>
  <c r="E12" i="34"/>
  <c r="F12" i="28"/>
  <c r="C12" i="36"/>
  <c r="G12"/>
  <c r="E12" i="38"/>
  <c r="F12" i="76"/>
  <c r="E12" i="35"/>
  <c r="E12" i="37"/>
  <c r="F12" i="54"/>
  <c r="F41" i="5"/>
  <c r="C41" i="27"/>
  <c r="C41" i="76" s="1"/>
  <c r="F27" i="5"/>
  <c r="C27" i="27"/>
  <c r="C27" i="76" s="1"/>
  <c r="C13" i="10"/>
  <c r="F13" i="9"/>
  <c r="E13" i="19"/>
  <c r="I13" i="18"/>
  <c r="H13" i="19"/>
  <c r="C13" i="20"/>
  <c r="C13" i="8"/>
  <c r="C13" i="9"/>
  <c r="F13" i="10"/>
  <c r="C13" i="82"/>
  <c r="C13" i="26"/>
  <c r="C13" i="25"/>
  <c r="G13"/>
  <c r="F13" i="26"/>
  <c r="F13" i="29"/>
  <c r="E13" i="34"/>
  <c r="C13" i="28"/>
  <c r="C13" i="29"/>
  <c r="E13" i="36"/>
  <c r="C13" i="38"/>
  <c r="F13" i="54"/>
  <c r="E13" i="35"/>
  <c r="E13" i="37"/>
  <c r="C13" i="54"/>
  <c r="F13" i="5"/>
  <c r="C13" i="27"/>
  <c r="C13" i="76" s="1"/>
  <c r="F13" i="11"/>
  <c r="C13" i="7"/>
  <c r="F13" i="8"/>
  <c r="F13" i="18"/>
  <c r="C13" i="19"/>
  <c r="C13" i="18"/>
  <c r="I13" i="20"/>
  <c r="F13"/>
  <c r="I13" i="9"/>
  <c r="I13" i="11"/>
  <c r="E13" i="82"/>
  <c r="I13" i="26"/>
  <c r="E13" i="25"/>
  <c r="I13"/>
  <c r="F13" i="28"/>
  <c r="C13" i="34"/>
  <c r="G13"/>
  <c r="I13" i="28"/>
  <c r="C13" i="36"/>
  <c r="G13"/>
  <c r="E13" i="38"/>
  <c r="C13" i="35"/>
  <c r="C13" i="37"/>
  <c r="F13" i="76"/>
  <c r="I13" i="54"/>
  <c r="F15" i="5"/>
  <c r="F15" i="11"/>
  <c r="I15" i="9"/>
  <c r="C15"/>
  <c r="F15" i="8"/>
  <c r="C15" i="18"/>
  <c r="I15"/>
  <c r="E15" i="19"/>
  <c r="I15" i="20"/>
  <c r="F15"/>
  <c r="F15" i="10"/>
  <c r="C15" i="82"/>
  <c r="C15" i="26"/>
  <c r="C15" i="25"/>
  <c r="G15"/>
  <c r="F15" i="26"/>
  <c r="F15" i="29"/>
  <c r="E15" i="34"/>
  <c r="C15" i="27"/>
  <c r="C15" i="76" s="1"/>
  <c r="I15" i="28"/>
  <c r="C15" i="36"/>
  <c r="G15"/>
  <c r="E15" i="38"/>
  <c r="E15" i="35"/>
  <c r="E15" i="37"/>
  <c r="C15" i="54"/>
  <c r="F15" i="18"/>
  <c r="C15" i="10"/>
  <c r="C15" i="7"/>
  <c r="H15" i="19"/>
  <c r="C15"/>
  <c r="C15" i="20"/>
  <c r="C15" i="8"/>
  <c r="F15" i="9"/>
  <c r="I15" i="11"/>
  <c r="E15" i="82"/>
  <c r="I15" i="26"/>
  <c r="E15" i="25"/>
  <c r="I15"/>
  <c r="F15" i="28"/>
  <c r="C15" i="34"/>
  <c r="G15"/>
  <c r="C15" i="28"/>
  <c r="C15" i="29"/>
  <c r="E15" i="36"/>
  <c r="C15" i="38"/>
  <c r="C15" i="35"/>
  <c r="C15" i="37"/>
  <c r="F15" i="54"/>
  <c r="I15"/>
  <c r="C23" i="27"/>
  <c r="C23" i="76" s="1"/>
  <c r="F23" i="5"/>
  <c r="F16" i="11"/>
  <c r="C16" i="7"/>
  <c r="F16" i="18"/>
  <c r="C16"/>
  <c r="C16" i="19"/>
  <c r="F16" i="20"/>
  <c r="C16"/>
  <c r="C16" i="9"/>
  <c r="C16" i="10"/>
  <c r="I16" i="11"/>
  <c r="E16" i="82"/>
  <c r="E16" i="25"/>
  <c r="I16"/>
  <c r="I16" i="26"/>
  <c r="C16" i="28"/>
  <c r="F16" i="29"/>
  <c r="E16" i="34"/>
  <c r="F16" i="28"/>
  <c r="C16" i="36"/>
  <c r="G16"/>
  <c r="E16" i="38"/>
  <c r="C16" i="35"/>
  <c r="C16" i="37"/>
  <c r="I16" i="54"/>
  <c r="F16" i="5"/>
  <c r="F16" i="8"/>
  <c r="F16" i="10"/>
  <c r="F16" i="9"/>
  <c r="H16" i="19"/>
  <c r="I16" i="18"/>
  <c r="E16" i="19"/>
  <c r="C16" i="8"/>
  <c r="I16" i="20"/>
  <c r="I16" i="9"/>
  <c r="C16" i="82"/>
  <c r="F16" i="26"/>
  <c r="C16" i="25"/>
  <c r="G16"/>
  <c r="C16" i="26"/>
  <c r="C16" i="27"/>
  <c r="C16" i="76" s="1"/>
  <c r="I16" i="28"/>
  <c r="C16" i="34"/>
  <c r="G16"/>
  <c r="C16" i="29"/>
  <c r="E16" i="36"/>
  <c r="C16" i="38"/>
  <c r="C16" i="54"/>
  <c r="E16" i="35"/>
  <c r="E16" i="37"/>
  <c r="F16" i="54"/>
  <c r="I45" i="43"/>
  <c r="B45" i="42" s="1"/>
  <c r="E45" i="44"/>
  <c r="D45" i="42" s="1"/>
  <c r="I45" i="44"/>
  <c r="F45" i="42" s="1"/>
  <c r="E45" i="45"/>
  <c r="H45" i="42" s="1"/>
  <c r="C45" i="44"/>
  <c r="C45" i="42" s="1"/>
  <c r="G45" i="44"/>
  <c r="E45" i="42" s="1"/>
  <c r="C45" i="45"/>
  <c r="G45" i="42" s="1"/>
  <c r="G45" i="45"/>
  <c r="C41" i="44"/>
  <c r="C41" i="42" s="1"/>
  <c r="G41" i="44"/>
  <c r="E41" i="42" s="1"/>
  <c r="C41" i="45"/>
  <c r="G41" i="42" s="1"/>
  <c r="G41" i="45"/>
  <c r="I41" i="43"/>
  <c r="B41" i="42" s="1"/>
  <c r="E41" i="44"/>
  <c r="D41" i="42" s="1"/>
  <c r="I41" i="44"/>
  <c r="F41" i="42" s="1"/>
  <c r="E41" i="45"/>
  <c r="H41" i="42" s="1"/>
  <c r="C33" i="44"/>
  <c r="C33" i="42" s="1"/>
  <c r="G33" i="44"/>
  <c r="E33" i="42" s="1"/>
  <c r="C33" i="45"/>
  <c r="G33" i="42" s="1"/>
  <c r="I33" i="43"/>
  <c r="B33" i="42" s="1"/>
  <c r="E33" i="44"/>
  <c r="D33" i="42" s="1"/>
  <c r="I33" i="44"/>
  <c r="F33" i="42" s="1"/>
  <c r="E33" i="45"/>
  <c r="H33" i="42" s="1"/>
  <c r="G33" i="45"/>
  <c r="C29" i="44"/>
  <c r="C29" i="42" s="1"/>
  <c r="G29" i="44"/>
  <c r="E29" i="42" s="1"/>
  <c r="C29" i="45"/>
  <c r="G29" i="42" s="1"/>
  <c r="G29" i="45"/>
  <c r="I29" i="43"/>
  <c r="B29" i="42" s="1"/>
  <c r="E29" i="44"/>
  <c r="D29" i="42" s="1"/>
  <c r="I29" i="44"/>
  <c r="F29" i="42" s="1"/>
  <c r="E29" i="45"/>
  <c r="H29" i="42" s="1"/>
  <c r="C21" i="44"/>
  <c r="C21" i="42" s="1"/>
  <c r="G21" i="44"/>
  <c r="E21" i="42" s="1"/>
  <c r="C21" i="45"/>
  <c r="G21" i="42" s="1"/>
  <c r="G21" i="45"/>
  <c r="I21" i="43"/>
  <c r="B21" i="42" s="1"/>
  <c r="E21" i="44"/>
  <c r="D21" i="42" s="1"/>
  <c r="I21" i="44"/>
  <c r="F21" i="42" s="1"/>
  <c r="E21" i="45"/>
  <c r="H21" i="42" s="1"/>
  <c r="C15" i="44"/>
  <c r="C15" i="42" s="1"/>
  <c r="G15" i="44"/>
  <c r="E15" i="42" s="1"/>
  <c r="C15" i="45"/>
  <c r="G15" i="42" s="1"/>
  <c r="I15" i="43"/>
  <c r="B15" i="42" s="1"/>
  <c r="E15" i="44"/>
  <c r="D15" i="42" s="1"/>
  <c r="I15" i="44"/>
  <c r="F15" i="42" s="1"/>
  <c r="E15" i="45"/>
  <c r="H15" i="42" s="1"/>
  <c r="G15" i="45"/>
  <c r="D12" i="6"/>
  <c r="F12" s="1"/>
  <c r="J13" i="42"/>
  <c r="F33" i="76"/>
  <c r="G15"/>
  <c r="I39" i="45"/>
  <c r="I39" i="43" s="1"/>
  <c r="B39" i="42" s="1"/>
  <c r="I35" i="45"/>
  <c r="I35" i="43" s="1"/>
  <c r="B35" i="42" s="1"/>
  <c r="K29" i="85"/>
  <c r="G51" i="76"/>
  <c r="G45"/>
  <c r="F43"/>
  <c r="G39"/>
  <c r="F37"/>
  <c r="F31"/>
  <c r="G30"/>
  <c r="G24"/>
  <c r="F19"/>
  <c r="G17"/>
  <c r="F14"/>
  <c r="J27" i="42"/>
  <c r="G42" i="76"/>
  <c r="G35"/>
  <c r="F29"/>
  <c r="G22"/>
  <c r="F16"/>
  <c r="F26"/>
  <c r="I50" i="43"/>
  <c r="B50" i="42" s="1"/>
  <c r="C50" i="44"/>
  <c r="C50" i="42" s="1"/>
  <c r="E50" i="44"/>
  <c r="D50" i="42" s="1"/>
  <c r="G50" i="44"/>
  <c r="E50" i="42" s="1"/>
  <c r="I50" i="44"/>
  <c r="F50" i="42" s="1"/>
  <c r="C50" i="45"/>
  <c r="G50" i="42" s="1"/>
  <c r="E50" i="45"/>
  <c r="H50" i="42" s="1"/>
  <c r="I51" i="45"/>
  <c r="I51" i="43" s="1"/>
  <c r="B51" i="42" s="1"/>
  <c r="I46" i="45"/>
  <c r="I46" i="43" s="1"/>
  <c r="B46" i="42" s="1"/>
  <c r="I44" i="45"/>
  <c r="I44" i="43" s="1"/>
  <c r="B44" i="42" s="1"/>
  <c r="I42" i="45"/>
  <c r="I42" i="43" s="1"/>
  <c r="B42" i="42" s="1"/>
  <c r="I38" i="45"/>
  <c r="I38" i="43" s="1"/>
  <c r="B38" i="42" s="1"/>
  <c r="I36" i="45"/>
  <c r="I36" i="43" s="1"/>
  <c r="B36" i="42" s="1"/>
  <c r="I32" i="45"/>
  <c r="I32" i="43" s="1"/>
  <c r="B32" i="42" s="1"/>
  <c r="I28" i="45"/>
  <c r="I28" i="43" s="1"/>
  <c r="B28" i="42" s="1"/>
  <c r="I24" i="45"/>
  <c r="I24" i="43" s="1"/>
  <c r="B24" i="42" s="1"/>
  <c r="B20" i="43"/>
  <c r="I18" i="45"/>
  <c r="I18" i="43" s="1"/>
  <c r="B18" i="42" s="1"/>
  <c r="I17" i="45"/>
  <c r="I17" i="43" s="1"/>
  <c r="B17" i="42" s="1"/>
  <c r="I16" i="45"/>
  <c r="I16" i="43" s="1"/>
  <c r="B16" i="42" s="1"/>
  <c r="H12" i="43"/>
  <c r="E45" i="6"/>
  <c r="C45" i="78" s="1"/>
  <c r="F14" i="5"/>
  <c r="I40" i="45"/>
  <c r="I40" i="43" s="1"/>
  <c r="B40" i="42" s="1"/>
  <c r="I34" i="45"/>
  <c r="I34" i="43" s="1"/>
  <c r="B34" i="42" s="1"/>
  <c r="I30" i="45"/>
  <c r="I30" i="43" s="1"/>
  <c r="B30" i="42" s="1"/>
  <c r="I26" i="45"/>
  <c r="I26" i="43" s="1"/>
  <c r="B26" i="42" s="1"/>
  <c r="I22" i="45"/>
  <c r="I22" i="43" s="1"/>
  <c r="B22" i="42" s="1"/>
  <c r="E12" i="6"/>
  <c r="C12" i="78" s="1"/>
  <c r="G50" i="45"/>
  <c r="F50" i="85"/>
  <c r="F13" i="49"/>
  <c r="G13" s="1"/>
  <c r="F15"/>
  <c r="G15" s="1"/>
  <c r="F16"/>
  <c r="K16" s="1"/>
  <c r="F17"/>
  <c r="K17" s="1"/>
  <c r="F18"/>
  <c r="F19"/>
  <c r="G19" s="1"/>
  <c r="F20"/>
  <c r="K20" s="1"/>
  <c r="F21"/>
  <c r="K21" s="1"/>
  <c r="F22"/>
  <c r="K22" s="1"/>
  <c r="F23"/>
  <c r="G23" s="1"/>
  <c r="F24"/>
  <c r="G24" s="1"/>
  <c r="I24" i="78" s="1"/>
  <c r="F25" i="49"/>
  <c r="G25" s="1"/>
  <c r="F26"/>
  <c r="G26" s="1"/>
  <c r="F27"/>
  <c r="G27" s="1"/>
  <c r="F29"/>
  <c r="G29" s="1"/>
  <c r="I29" i="78" s="1"/>
  <c r="F30" i="49"/>
  <c r="F31"/>
  <c r="G31" s="1"/>
  <c r="F32"/>
  <c r="G32" s="1"/>
  <c r="J31" s="1"/>
  <c r="F33"/>
  <c r="G33" s="1"/>
  <c r="F34"/>
  <c r="G34" s="1"/>
  <c r="F35"/>
  <c r="K35" s="1"/>
  <c r="F37"/>
  <c r="K37" s="1"/>
  <c r="F38"/>
  <c r="G38" s="1"/>
  <c r="F40"/>
  <c r="K40" s="1"/>
  <c r="F41"/>
  <c r="G41" s="1"/>
  <c r="F42"/>
  <c r="G42" s="1"/>
  <c r="I42" i="78" s="1"/>
  <c r="F45" i="49"/>
  <c r="K45" s="1"/>
  <c r="F46"/>
  <c r="G46" s="1"/>
  <c r="I46" i="78" s="1"/>
  <c r="K14" i="49"/>
  <c r="J42"/>
  <c r="G17" i="78"/>
  <c r="G19"/>
  <c r="G13"/>
  <c r="G15"/>
  <c r="G23"/>
  <c r="G18"/>
  <c r="G20"/>
  <c r="G21"/>
  <c r="G25"/>
  <c r="G26"/>
  <c r="G27"/>
  <c r="G29"/>
  <c r="G30"/>
  <c r="G31"/>
  <c r="G32"/>
  <c r="G33"/>
  <c r="G34"/>
  <c r="G35"/>
  <c r="G37"/>
  <c r="G38"/>
  <c r="G40"/>
  <c r="G41"/>
  <c r="G42"/>
  <c r="G46"/>
  <c r="G45"/>
  <c r="E16" i="21"/>
  <c r="F16"/>
  <c r="E18"/>
  <c r="F18"/>
  <c r="E21"/>
  <c r="F21"/>
  <c r="E22"/>
  <c r="F22"/>
  <c r="E23"/>
  <c r="F23"/>
  <c r="I23"/>
  <c r="I27" s="1"/>
  <c r="J51" i="23"/>
  <c r="J52" s="1"/>
  <c r="J54" s="1"/>
  <c r="H54"/>
  <c r="F43" i="6" l="1"/>
  <c r="F51"/>
  <c r="E22" i="90"/>
  <c r="F39" i="6"/>
  <c r="E22"/>
  <c r="C22" i="78" s="1"/>
  <c r="E39" i="90"/>
  <c r="K32" i="49"/>
  <c r="E43" i="90"/>
  <c r="J45" i="42"/>
  <c r="C19" i="45"/>
  <c r="G19" i="42" s="1"/>
  <c r="G19" i="44"/>
  <c r="E19" i="42" s="1"/>
  <c r="K42" i="49"/>
  <c r="J21" i="42"/>
  <c r="J43"/>
  <c r="I27" i="78"/>
  <c r="J26" i="49"/>
  <c r="G37"/>
  <c r="I37" i="78" s="1"/>
  <c r="K27" i="49"/>
  <c r="K15"/>
  <c r="K30"/>
  <c r="G30"/>
  <c r="J29" s="1"/>
  <c r="G21"/>
  <c r="I21" i="78" s="1"/>
  <c r="K18" i="49"/>
  <c r="G18"/>
  <c r="I18" i="78" s="1"/>
  <c r="K38" i="49"/>
  <c r="D32" i="6"/>
  <c r="E32" s="1"/>
  <c r="J41" i="42"/>
  <c r="K46" i="49"/>
  <c r="C19" i="44"/>
  <c r="C19" i="42" s="1"/>
  <c r="E19" i="45"/>
  <c r="H19" i="42" s="1"/>
  <c r="E19" i="44"/>
  <c r="D19" i="42" s="1"/>
  <c r="G19" i="45"/>
  <c r="I19" i="44"/>
  <c r="F19" i="42" s="1"/>
  <c r="E27" i="21"/>
  <c r="F27"/>
  <c r="I32" i="78"/>
  <c r="K34" i="49"/>
  <c r="K31"/>
  <c r="K25"/>
  <c r="G16"/>
  <c r="J15" s="1"/>
  <c r="J33" i="42"/>
  <c r="F50" i="6"/>
  <c r="J33" i="49"/>
  <c r="I34" i="78"/>
  <c r="J24" i="49"/>
  <c r="I25" i="78"/>
  <c r="G40" i="49"/>
  <c r="G20"/>
  <c r="J19" s="1"/>
  <c r="G22"/>
  <c r="G17"/>
  <c r="J41"/>
  <c r="K33"/>
  <c r="I26" i="78"/>
  <c r="J25" i="49"/>
  <c r="J28"/>
  <c r="G45"/>
  <c r="K41"/>
  <c r="G35"/>
  <c r="K26"/>
  <c r="K13"/>
  <c r="J45"/>
  <c r="J15" i="42"/>
  <c r="J23"/>
  <c r="J37"/>
  <c r="J31"/>
  <c r="I41" i="78"/>
  <c r="J40" i="49"/>
  <c r="I38" i="78"/>
  <c r="J37" i="49"/>
  <c r="I33" i="78"/>
  <c r="J32" i="49"/>
  <c r="J30"/>
  <c r="I31" i="78"/>
  <c r="I13"/>
  <c r="J13" i="49"/>
  <c r="D21" i="6"/>
  <c r="E21" i="90"/>
  <c r="D29" i="6"/>
  <c r="E29" i="90"/>
  <c r="D33" i="6"/>
  <c r="E33" i="90"/>
  <c r="D37" i="6"/>
  <c r="E37" i="90"/>
  <c r="D24" i="6"/>
  <c r="E24" i="90"/>
  <c r="D31" i="6"/>
  <c r="E31" i="90"/>
  <c r="D35" i="6"/>
  <c r="E35" i="90"/>
  <c r="K24" i="49"/>
  <c r="D42" i="6"/>
  <c r="E42" i="90"/>
  <c r="D40" i="6"/>
  <c r="E40" i="90"/>
  <c r="D30" i="6"/>
  <c r="E30" i="90"/>
  <c r="D28" i="6"/>
  <c r="E28" i="90"/>
  <c r="K19" i="49"/>
  <c r="K16" i="21"/>
  <c r="I23" i="78"/>
  <c r="J22" i="49"/>
  <c r="J18"/>
  <c r="I19" i="78"/>
  <c r="J14" i="49"/>
  <c r="I15" i="78"/>
  <c r="K21" i="21"/>
  <c r="K18"/>
  <c r="J29" i="42"/>
  <c r="D16" i="6"/>
  <c r="E16" i="90"/>
  <c r="D18" i="6"/>
  <c r="E18" i="90"/>
  <c r="D17" i="6"/>
  <c r="E17" i="90"/>
  <c r="D26" i="6"/>
  <c r="E26" i="90"/>
  <c r="E32"/>
  <c r="D34" i="6"/>
  <c r="E34" i="90"/>
  <c r="D36" i="6"/>
  <c r="E36" i="90"/>
  <c r="D44" i="6"/>
  <c r="E44" i="90"/>
  <c r="D23" i="6"/>
  <c r="E23" i="90"/>
  <c r="D15" i="6"/>
  <c r="E15" i="90"/>
  <c r="D13" i="6"/>
  <c r="E13" i="90"/>
  <c r="D27" i="6"/>
  <c r="E27" i="90"/>
  <c r="D41" i="6"/>
  <c r="E41" i="90"/>
  <c r="D20" i="6"/>
  <c r="E20" i="90"/>
  <c r="D19" i="6"/>
  <c r="E19" i="90"/>
  <c r="D38" i="6"/>
  <c r="E38" i="90"/>
  <c r="D46" i="6"/>
  <c r="E46" i="90"/>
  <c r="F48" i="49"/>
  <c r="G48" s="1"/>
  <c r="I48" i="78" s="1"/>
  <c r="C39" i="44"/>
  <c r="C39" i="42" s="1"/>
  <c r="E39" i="44"/>
  <c r="D39" i="42" s="1"/>
  <c r="G39" i="44"/>
  <c r="E39" i="42" s="1"/>
  <c r="I39" i="44"/>
  <c r="F39" i="42" s="1"/>
  <c r="C39" i="45"/>
  <c r="G39" i="42" s="1"/>
  <c r="E39" i="45"/>
  <c r="H39" i="42" s="1"/>
  <c r="G39" i="45"/>
  <c r="I54" i="23"/>
  <c r="N32" s="1"/>
  <c r="K22" i="21"/>
  <c r="E35" i="44"/>
  <c r="D35" i="42" s="1"/>
  <c r="I35" i="44"/>
  <c r="F35" i="42" s="1"/>
  <c r="E35" i="45"/>
  <c r="H35" i="42" s="1"/>
  <c r="C35" i="44"/>
  <c r="C35" i="42" s="1"/>
  <c r="G35" i="44"/>
  <c r="E35" i="42" s="1"/>
  <c r="C35" i="45"/>
  <c r="G35" i="42" s="1"/>
  <c r="G35" i="45"/>
  <c r="K23" i="21"/>
  <c r="E51" i="22"/>
  <c r="N25" i="23" s="1"/>
  <c r="K22"/>
  <c r="N13" s="1"/>
  <c r="K46"/>
  <c r="N16" s="1"/>
  <c r="K40"/>
  <c r="N15" s="1"/>
  <c r="G54"/>
  <c r="N31" s="1"/>
  <c r="E54"/>
  <c r="N30" s="1"/>
  <c r="C54"/>
  <c r="N29" s="1"/>
  <c r="I51" i="22"/>
  <c r="N27" i="23" s="1"/>
  <c r="K49"/>
  <c r="N17" s="1"/>
  <c r="C51" i="22"/>
  <c r="N24" i="23" s="1"/>
  <c r="K52"/>
  <c r="G51" i="22"/>
  <c r="N26" i="23" s="1"/>
  <c r="K51" i="22"/>
  <c r="N28" i="23" s="1"/>
  <c r="K51"/>
  <c r="K22" i="22"/>
  <c r="K43" i="23"/>
  <c r="K27"/>
  <c r="C40"/>
  <c r="K21"/>
  <c r="K42"/>
  <c r="K18"/>
  <c r="K31"/>
  <c r="C30"/>
  <c r="E25"/>
  <c r="E40"/>
  <c r="G42" i="22"/>
  <c r="K38"/>
  <c r="C30"/>
  <c r="E15"/>
  <c r="K33" i="23"/>
  <c r="G26"/>
  <c r="K19"/>
  <c r="K45"/>
  <c r="G39" i="22"/>
  <c r="K37" i="23"/>
  <c r="E36" i="22"/>
  <c r="K33"/>
  <c r="E20"/>
  <c r="E22"/>
  <c r="E28" i="23"/>
  <c r="G21"/>
  <c r="C22"/>
  <c r="E43" i="22"/>
  <c r="K38" i="23"/>
  <c r="E37" i="22"/>
  <c r="K34"/>
  <c r="E33"/>
  <c r="K20" i="23"/>
  <c r="I18" i="22"/>
  <c r="E16"/>
  <c r="G40"/>
  <c r="C18"/>
  <c r="C31" i="23"/>
  <c r="G25"/>
  <c r="I42" i="22"/>
  <c r="K39"/>
  <c r="G35"/>
  <c r="C15"/>
  <c r="G28" i="23"/>
  <c r="E21"/>
  <c r="G43" i="22"/>
  <c r="C39"/>
  <c r="G37"/>
  <c r="K35" i="23"/>
  <c r="G33" i="22"/>
  <c r="E19"/>
  <c r="I46"/>
  <c r="K34" i="23"/>
  <c r="G27"/>
  <c r="C21"/>
  <c r="I43" i="22"/>
  <c r="E39"/>
  <c r="I37"/>
  <c r="C36"/>
  <c r="I33"/>
  <c r="E40"/>
  <c r="C19"/>
  <c r="I16"/>
  <c r="C22"/>
  <c r="K18"/>
  <c r="K46"/>
  <c r="K14" i="23"/>
  <c r="K17" i="22"/>
  <c r="I27"/>
  <c r="G29"/>
  <c r="I30"/>
  <c r="E35"/>
  <c r="K43"/>
  <c r="E44"/>
  <c r="I44"/>
  <c r="C45"/>
  <c r="G45"/>
  <c r="K45"/>
  <c r="E15" i="23"/>
  <c r="C16"/>
  <c r="C17"/>
  <c r="C19"/>
  <c r="G19"/>
  <c r="C29"/>
  <c r="E30"/>
  <c r="E42"/>
  <c r="C38"/>
  <c r="C43"/>
  <c r="E36"/>
  <c r="E43"/>
  <c r="G36"/>
  <c r="E17" i="22"/>
  <c r="I17"/>
  <c r="E21"/>
  <c r="I21"/>
  <c r="C23"/>
  <c r="G23"/>
  <c r="K23"/>
  <c r="E25"/>
  <c r="I25"/>
  <c r="C26"/>
  <c r="G26"/>
  <c r="K26"/>
  <c r="G27"/>
  <c r="C28"/>
  <c r="G28"/>
  <c r="K28"/>
  <c r="I29"/>
  <c r="G30"/>
  <c r="C31"/>
  <c r="G31"/>
  <c r="K31"/>
  <c r="E32"/>
  <c r="C35"/>
  <c r="E16" i="23"/>
  <c r="E27"/>
  <c r="G30"/>
  <c r="E32"/>
  <c r="C33"/>
  <c r="G33"/>
  <c r="E34"/>
  <c r="G45"/>
  <c r="C42"/>
  <c r="E45"/>
  <c r="C45"/>
  <c r="G39"/>
  <c r="C37"/>
  <c r="E39"/>
  <c r="E46"/>
  <c r="E35"/>
  <c r="K54"/>
  <c r="K23"/>
  <c r="N14" s="1"/>
  <c r="I52"/>
  <c r="K26"/>
  <c r="I51"/>
  <c r="K30"/>
  <c r="G22"/>
  <c r="K25"/>
  <c r="I49"/>
  <c r="K28"/>
  <c r="K16"/>
  <c r="C26"/>
  <c r="C18"/>
  <c r="K42" i="22"/>
  <c r="C42"/>
  <c r="K36"/>
  <c r="I15"/>
  <c r="G40" i="23"/>
  <c r="K29"/>
  <c r="C23"/>
  <c r="E22"/>
  <c r="C43" i="22"/>
  <c r="I38"/>
  <c r="C37"/>
  <c r="I34"/>
  <c r="C33"/>
  <c r="G18"/>
  <c r="K32" i="23"/>
  <c r="E26"/>
  <c r="G18"/>
  <c r="K44"/>
  <c r="I39" i="22"/>
  <c r="C38"/>
  <c r="G36"/>
  <c r="C34"/>
  <c r="I40"/>
  <c r="G19"/>
  <c r="K17" i="23"/>
  <c r="G22" i="22"/>
  <c r="I19"/>
  <c r="I22"/>
  <c r="C28" i="23"/>
  <c r="C25"/>
  <c r="E42" i="22"/>
  <c r="K37"/>
  <c r="G15"/>
  <c r="G31" i="23"/>
  <c r="G23"/>
  <c r="E18"/>
  <c r="K39"/>
  <c r="E38" i="22"/>
  <c r="I36"/>
  <c r="E34"/>
  <c r="K40"/>
  <c r="G16"/>
  <c r="E46"/>
  <c r="E31" i="23"/>
  <c r="E23"/>
  <c r="K15"/>
  <c r="G46" i="22"/>
  <c r="G38"/>
  <c r="K36" i="23"/>
  <c r="G34" i="22"/>
  <c r="K32"/>
  <c r="K19"/>
  <c r="E18"/>
  <c r="K15"/>
  <c r="C40"/>
  <c r="C16"/>
  <c r="C46"/>
  <c r="C17"/>
  <c r="C27"/>
  <c r="C29"/>
  <c r="K29"/>
  <c r="I32"/>
  <c r="K35"/>
  <c r="C44"/>
  <c r="G44"/>
  <c r="K44"/>
  <c r="E45"/>
  <c r="I45"/>
  <c r="C15" i="23"/>
  <c r="G15"/>
  <c r="G16"/>
  <c r="E17"/>
  <c r="E19"/>
  <c r="C27"/>
  <c r="E29"/>
  <c r="E44"/>
  <c r="G37"/>
  <c r="G46"/>
  <c r="C39"/>
  <c r="G44"/>
  <c r="G38"/>
  <c r="K16" i="22"/>
  <c r="G17"/>
  <c r="C21"/>
  <c r="G21"/>
  <c r="K21"/>
  <c r="E23"/>
  <c r="I23"/>
  <c r="C25"/>
  <c r="G25"/>
  <c r="K25"/>
  <c r="E26"/>
  <c r="I26"/>
  <c r="E27"/>
  <c r="K27"/>
  <c r="E28"/>
  <c r="I28"/>
  <c r="E29"/>
  <c r="E30"/>
  <c r="K30"/>
  <c r="E31"/>
  <c r="I31"/>
  <c r="C32"/>
  <c r="G32"/>
  <c r="I35"/>
  <c r="G17" i="23"/>
  <c r="G29"/>
  <c r="C32"/>
  <c r="G32"/>
  <c r="E33"/>
  <c r="C34"/>
  <c r="G34"/>
  <c r="G42"/>
  <c r="G35"/>
  <c r="C36"/>
  <c r="G43"/>
  <c r="E38"/>
  <c r="C44"/>
  <c r="E37"/>
  <c r="C46"/>
  <c r="C35"/>
  <c r="J23" i="49"/>
  <c r="C30" i="44"/>
  <c r="C30" i="42" s="1"/>
  <c r="E30" i="44"/>
  <c r="D30" i="42" s="1"/>
  <c r="G30" i="44"/>
  <c r="E30" i="42" s="1"/>
  <c r="I30" i="44"/>
  <c r="F30" i="42" s="1"/>
  <c r="C30" i="45"/>
  <c r="G30" i="42" s="1"/>
  <c r="E30" i="45"/>
  <c r="H30" i="42" s="1"/>
  <c r="G30" i="45"/>
  <c r="C34" i="44"/>
  <c r="C34" i="42" s="1"/>
  <c r="E34" i="44"/>
  <c r="D34" i="42" s="1"/>
  <c r="G34" i="44"/>
  <c r="E34" i="42" s="1"/>
  <c r="I34" i="44"/>
  <c r="F34" i="42" s="1"/>
  <c r="C34" i="45"/>
  <c r="G34" i="42" s="1"/>
  <c r="E34" i="45"/>
  <c r="H34" i="42" s="1"/>
  <c r="G34" i="45"/>
  <c r="D14" i="6"/>
  <c r="E14" i="90"/>
  <c r="C17" i="44"/>
  <c r="C17" i="42" s="1"/>
  <c r="E17" i="44"/>
  <c r="D17" i="42" s="1"/>
  <c r="G17" i="44"/>
  <c r="E17" i="42" s="1"/>
  <c r="I17" i="44"/>
  <c r="F17" i="42" s="1"/>
  <c r="C17" i="45"/>
  <c r="G17" i="42" s="1"/>
  <c r="E17" i="45"/>
  <c r="H17" i="42" s="1"/>
  <c r="G17" i="45"/>
  <c r="C28" i="44"/>
  <c r="C28" i="42" s="1"/>
  <c r="E28" i="44"/>
  <c r="D28" i="42" s="1"/>
  <c r="G28" i="44"/>
  <c r="E28" i="42" s="1"/>
  <c r="I28" i="44"/>
  <c r="F28" i="42" s="1"/>
  <c r="C28" i="45"/>
  <c r="G28" i="42" s="1"/>
  <c r="E28" i="45"/>
  <c r="H28" i="42" s="1"/>
  <c r="G28" i="45"/>
  <c r="C38" i="44"/>
  <c r="C38" i="42" s="1"/>
  <c r="E38" i="44"/>
  <c r="D38" i="42" s="1"/>
  <c r="G38" i="44"/>
  <c r="E38" i="42" s="1"/>
  <c r="I38" i="44"/>
  <c r="F38" i="42" s="1"/>
  <c r="C38" i="45"/>
  <c r="G38" i="42" s="1"/>
  <c r="E38" i="45"/>
  <c r="H38" i="42" s="1"/>
  <c r="G38" i="45"/>
  <c r="C42" i="44"/>
  <c r="C42" i="42" s="1"/>
  <c r="E42" i="44"/>
  <c r="D42" i="42" s="1"/>
  <c r="G42" i="44"/>
  <c r="E42" i="42" s="1"/>
  <c r="I42" i="44"/>
  <c r="F42" i="42" s="1"/>
  <c r="C42" i="45"/>
  <c r="G42" i="42" s="1"/>
  <c r="E42" i="45"/>
  <c r="H42" i="42" s="1"/>
  <c r="G42" i="45"/>
  <c r="C46" i="44"/>
  <c r="C46" i="42" s="1"/>
  <c r="E46" i="44"/>
  <c r="D46" i="42" s="1"/>
  <c r="I46" i="44"/>
  <c r="F46" i="42" s="1"/>
  <c r="E46" i="45"/>
  <c r="H46" i="42" s="1"/>
  <c r="G46" i="45"/>
  <c r="G46" i="44"/>
  <c r="E46" i="42" s="1"/>
  <c r="C46" i="45"/>
  <c r="G46" i="42" s="1"/>
  <c r="J50"/>
  <c r="C22" i="44"/>
  <c r="C22" i="42" s="1"/>
  <c r="E22" i="44"/>
  <c r="D22" i="42" s="1"/>
  <c r="G22" i="44"/>
  <c r="E22" i="42" s="1"/>
  <c r="I22" i="44"/>
  <c r="F22" i="42" s="1"/>
  <c r="C22" i="45"/>
  <c r="G22" i="42" s="1"/>
  <c r="E22" i="45"/>
  <c r="H22" i="42" s="1"/>
  <c r="G22" i="45"/>
  <c r="C26" i="44"/>
  <c r="C26" i="42" s="1"/>
  <c r="E26" i="44"/>
  <c r="D26" i="42" s="1"/>
  <c r="G26" i="44"/>
  <c r="E26" i="42" s="1"/>
  <c r="I26" i="44"/>
  <c r="F26" i="42" s="1"/>
  <c r="C26" i="45"/>
  <c r="G26" i="42" s="1"/>
  <c r="E26" i="45"/>
  <c r="H26" i="42" s="1"/>
  <c r="G26" i="45"/>
  <c r="C40" i="44"/>
  <c r="C40" i="42" s="1"/>
  <c r="E40" i="44"/>
  <c r="D40" i="42" s="1"/>
  <c r="G40" i="44"/>
  <c r="E40" i="42" s="1"/>
  <c r="I40" i="44"/>
  <c r="F40" i="42" s="1"/>
  <c r="C40" i="45"/>
  <c r="G40" i="42" s="1"/>
  <c r="E40" i="45"/>
  <c r="H40" i="42" s="1"/>
  <c r="G40" i="45"/>
  <c r="I12"/>
  <c r="I12" i="43" s="1"/>
  <c r="B12" i="42" s="1"/>
  <c r="C16" i="44"/>
  <c r="C16" i="42" s="1"/>
  <c r="E16" i="44"/>
  <c r="D16" i="42" s="1"/>
  <c r="G16" i="44"/>
  <c r="E16" i="42" s="1"/>
  <c r="I16" i="44"/>
  <c r="F16" i="42" s="1"/>
  <c r="C16" i="45"/>
  <c r="G16" i="42" s="1"/>
  <c r="E16" i="45"/>
  <c r="H16" i="42" s="1"/>
  <c r="G16" i="45"/>
  <c r="C18" i="44"/>
  <c r="C18" i="42" s="1"/>
  <c r="E18" i="44"/>
  <c r="D18" i="42" s="1"/>
  <c r="G18" i="44"/>
  <c r="E18" i="42" s="1"/>
  <c r="I18" i="44"/>
  <c r="F18" i="42" s="1"/>
  <c r="C18" i="45"/>
  <c r="G18" i="42" s="1"/>
  <c r="E18" i="45"/>
  <c r="H18" i="42" s="1"/>
  <c r="G18" i="45"/>
  <c r="F20" i="43"/>
  <c r="C24" i="44"/>
  <c r="C24" i="42" s="1"/>
  <c r="E24" i="44"/>
  <c r="D24" i="42" s="1"/>
  <c r="G24" i="44"/>
  <c r="E24" i="42" s="1"/>
  <c r="I24" i="44"/>
  <c r="F24" i="42" s="1"/>
  <c r="C24" i="45"/>
  <c r="G24" i="42" s="1"/>
  <c r="E24" i="45"/>
  <c r="H24" i="42" s="1"/>
  <c r="G24" i="45"/>
  <c r="C32" i="44"/>
  <c r="C32" i="42" s="1"/>
  <c r="E32" i="44"/>
  <c r="D32" i="42" s="1"/>
  <c r="G32" i="44"/>
  <c r="E32" i="42" s="1"/>
  <c r="I32" i="44"/>
  <c r="F32" i="42" s="1"/>
  <c r="C32" i="45"/>
  <c r="G32" i="42" s="1"/>
  <c r="E32" i="45"/>
  <c r="H32" i="42" s="1"/>
  <c r="G32" i="45"/>
  <c r="C36" i="44"/>
  <c r="C36" i="42" s="1"/>
  <c r="E36" i="44"/>
  <c r="D36" i="42" s="1"/>
  <c r="G36" i="44"/>
  <c r="E36" i="42" s="1"/>
  <c r="I36" i="44"/>
  <c r="F36" i="42" s="1"/>
  <c r="C36" i="45"/>
  <c r="G36" i="42" s="1"/>
  <c r="E36" i="45"/>
  <c r="H36" i="42" s="1"/>
  <c r="G36" i="45"/>
  <c r="C44" i="44"/>
  <c r="C44" i="42" s="1"/>
  <c r="E44" i="44"/>
  <c r="D44" i="42" s="1"/>
  <c r="G44" i="44"/>
  <c r="E44" i="42" s="1"/>
  <c r="I44" i="44"/>
  <c r="F44" i="42" s="1"/>
  <c r="C44" i="45"/>
  <c r="G44" i="42" s="1"/>
  <c r="E44" i="45"/>
  <c r="H44" i="42" s="1"/>
  <c r="G44" i="45"/>
  <c r="C51" i="44"/>
  <c r="C51" i="42" s="1"/>
  <c r="E51" i="44"/>
  <c r="D51" i="42" s="1"/>
  <c r="G51" i="44"/>
  <c r="E51" i="42" s="1"/>
  <c r="I51" i="44"/>
  <c r="F51" i="42" s="1"/>
  <c r="C51" i="45"/>
  <c r="G51" i="42" s="1"/>
  <c r="E51" i="45"/>
  <c r="H51" i="42" s="1"/>
  <c r="G51" i="45"/>
  <c r="K48" i="49" l="1"/>
  <c r="J38" i="42"/>
  <c r="J36" i="49"/>
  <c r="K27" i="21"/>
  <c r="J20" i="49"/>
  <c r="J17"/>
  <c r="J19" i="42"/>
  <c r="J30"/>
  <c r="I30" i="78"/>
  <c r="I16"/>
  <c r="I40"/>
  <c r="J39" i="49"/>
  <c r="I22" i="78"/>
  <c r="J21" i="49"/>
  <c r="I20" i="78"/>
  <c r="I17"/>
  <c r="J16" i="49"/>
  <c r="N18" i="23"/>
  <c r="N20" s="1"/>
  <c r="I35" i="78"/>
  <c r="J34" i="49"/>
  <c r="J44"/>
  <c r="I45" i="78"/>
  <c r="E35" i="6"/>
  <c r="C35" i="78" s="1"/>
  <c r="F35" i="6"/>
  <c r="E31"/>
  <c r="C31" i="78" s="1"/>
  <c r="F31" i="6"/>
  <c r="F24"/>
  <c r="E24"/>
  <c r="C24" i="78" s="1"/>
  <c r="E37" i="6"/>
  <c r="C37" i="78" s="1"/>
  <c r="F37" i="6"/>
  <c r="E33"/>
  <c r="C33" i="78" s="1"/>
  <c r="F33" i="6"/>
  <c r="F29"/>
  <c r="E29"/>
  <c r="C29" i="78" s="1"/>
  <c r="E21" i="6"/>
  <c r="C21" i="78" s="1"/>
  <c r="F21" i="6"/>
  <c r="J46" i="42"/>
  <c r="J17"/>
  <c r="F28" i="6"/>
  <c r="E28"/>
  <c r="C28" i="78" s="1"/>
  <c r="E30" i="6"/>
  <c r="C30" i="78" s="1"/>
  <c r="F30" i="6"/>
  <c r="F40"/>
  <c r="E40"/>
  <c r="C40" i="78" s="1"/>
  <c r="F42" i="6"/>
  <c r="E42"/>
  <c r="C42" i="78" s="1"/>
  <c r="J42" i="42"/>
  <c r="J28"/>
  <c r="J34"/>
  <c r="F46" i="6"/>
  <c r="E46"/>
  <c r="C46" i="78" s="1"/>
  <c r="E38" i="6"/>
  <c r="C38" i="78" s="1"/>
  <c r="F38" i="6"/>
  <c r="E19"/>
  <c r="C19" i="78" s="1"/>
  <c r="F19" i="6"/>
  <c r="E20"/>
  <c r="C20" i="78" s="1"/>
  <c r="F20" i="6"/>
  <c r="E41"/>
  <c r="C41" i="78" s="1"/>
  <c r="F41" i="6"/>
  <c r="E27"/>
  <c r="C27" i="78" s="1"/>
  <c r="F27" i="6"/>
  <c r="E13"/>
  <c r="C13" i="78" s="1"/>
  <c r="F13" i="6"/>
  <c r="F15"/>
  <c r="E15"/>
  <c r="C15" i="78" s="1"/>
  <c r="E23" i="6"/>
  <c r="C23" i="78" s="1"/>
  <c r="F23" i="6"/>
  <c r="E44"/>
  <c r="C44" i="78" s="1"/>
  <c r="F44" i="6"/>
  <c r="F36"/>
  <c r="E36"/>
  <c r="C36" i="78" s="1"/>
  <c r="F34" i="6"/>
  <c r="E34"/>
  <c r="C34" i="78" s="1"/>
  <c r="F32" i="6"/>
  <c r="C32" i="78"/>
  <c r="E26" i="6"/>
  <c r="C26" i="78" s="1"/>
  <c r="F26" i="6"/>
  <c r="F17"/>
  <c r="E17"/>
  <c r="C17" i="78" s="1"/>
  <c r="E18" i="6"/>
  <c r="C18" i="78" s="1"/>
  <c r="F18" i="6"/>
  <c r="F16"/>
  <c r="E16"/>
  <c r="C16" i="78" s="1"/>
  <c r="J35" i="42"/>
  <c r="J39"/>
  <c r="J36"/>
  <c r="J24"/>
  <c r="J16"/>
  <c r="J40"/>
  <c r="J22"/>
  <c r="J51"/>
  <c r="J44"/>
  <c r="J32"/>
  <c r="J18"/>
  <c r="J26"/>
  <c r="N34" i="23"/>
  <c r="C12" i="44"/>
  <c r="C12" i="42" s="1"/>
  <c r="E12" i="44"/>
  <c r="D12" i="42" s="1"/>
  <c r="G12" i="44"/>
  <c r="E12" i="42" s="1"/>
  <c r="I12" i="44"/>
  <c r="F12" i="42" s="1"/>
  <c r="C12" i="45"/>
  <c r="G12" i="42" s="1"/>
  <c r="E12" i="45"/>
  <c r="H12" i="42" s="1"/>
  <c r="G12" i="45"/>
  <c r="H20" i="43"/>
  <c r="E14" i="6"/>
  <c r="C14" i="78" s="1"/>
  <c r="F14" i="6"/>
  <c r="J12" i="42" l="1"/>
  <c r="I20" i="45"/>
  <c r="C20" i="44" l="1"/>
  <c r="C20" i="42" s="1"/>
  <c r="E20" i="44"/>
  <c r="D20" i="42" s="1"/>
  <c r="G20" i="44"/>
  <c r="E20" i="42" s="1"/>
  <c r="I20" i="44"/>
  <c r="F20" i="42" s="1"/>
  <c r="C20" i="45"/>
  <c r="G20" i="42" s="1"/>
  <c r="E20" i="45"/>
  <c r="H20" i="42" s="1"/>
  <c r="G20" i="45"/>
  <c r="I20" i="43"/>
  <c r="B20" i="42" s="1"/>
  <c r="J20" l="1"/>
  <c r="G25" i="9"/>
  <c r="H48" i="14"/>
  <c r="G48"/>
  <c r="F48"/>
  <c r="C48" i="43"/>
  <c r="A53" i="44" s="1"/>
  <c r="D48" i="52"/>
  <c r="C48"/>
  <c r="B48"/>
  <c r="D48" i="46"/>
  <c r="C48"/>
  <c r="B48"/>
  <c r="F48" i="47"/>
  <c r="E48"/>
  <c r="D48"/>
  <c r="F48" i="81"/>
  <c r="D48"/>
  <c r="B48"/>
  <c r="F48" i="51"/>
  <c r="D48"/>
  <c r="B48" i="33" l="1"/>
  <c r="C48" i="51"/>
  <c r="E48"/>
  <c r="G48"/>
  <c r="C48" i="81"/>
  <c r="E48"/>
  <c r="E25" i="7"/>
  <c r="D25" s="1"/>
  <c r="H25" i="20"/>
  <c r="G25" i="81"/>
  <c r="C25" i="15"/>
  <c r="F25" s="1"/>
  <c r="D25" i="11" s="1"/>
  <c r="B48" i="47"/>
  <c r="D48" i="38"/>
  <c r="C11" i="15"/>
  <c r="B48" i="14"/>
  <c r="J11" i="9"/>
  <c r="D48" i="14"/>
  <c r="C48" i="39"/>
  <c r="E48"/>
  <c r="C48" i="47"/>
  <c r="A54" s="1"/>
  <c r="G11" i="81"/>
  <c r="B48" i="51"/>
  <c r="B48" i="38"/>
  <c r="H11" i="20"/>
  <c r="G11" i="9"/>
  <c r="C48" i="14"/>
  <c r="E11" i="7"/>
  <c r="E48" i="14"/>
  <c r="G11" i="8"/>
  <c r="B48" i="15"/>
  <c r="T13" i="2" s="1"/>
  <c r="C48" i="40"/>
  <c r="G48" i="39"/>
  <c r="H25" i="7" l="1"/>
  <c r="G25"/>
  <c r="I25"/>
  <c r="F25"/>
  <c r="J25" i="20"/>
  <c r="E25" i="41"/>
  <c r="E25" i="16"/>
  <c r="E48" i="7"/>
  <c r="F48" s="1"/>
  <c r="D11"/>
  <c r="G11"/>
  <c r="F11"/>
  <c r="H11"/>
  <c r="I11"/>
  <c r="H48" i="20"/>
  <c r="F11" i="15"/>
  <c r="D11" i="11" s="1"/>
  <c r="C48" i="15"/>
  <c r="G48" i="81"/>
  <c r="H52" i="20" l="1"/>
  <c r="G48" i="7"/>
  <c r="I48"/>
  <c r="H48"/>
  <c r="E11" i="41"/>
  <c r="F48" i="15"/>
  <c r="E11" i="16"/>
  <c r="E48" s="1"/>
  <c r="J11" i="20"/>
  <c r="S14" i="2" l="1"/>
  <c r="E48" i="41"/>
  <c r="J48" i="20"/>
  <c r="F25" i="46" l="1"/>
  <c r="F25" i="52" l="1"/>
  <c r="B25" i="43" s="1"/>
  <c r="D48" i="88"/>
  <c r="J48" i="2"/>
  <c r="E25" i="78"/>
  <c r="E48" i="52"/>
  <c r="G48" i="43"/>
  <c r="U13" i="2"/>
  <c r="C48" i="88"/>
  <c r="K48" i="2"/>
  <c r="D48" l="1"/>
  <c r="F25" i="43"/>
  <c r="H25" s="1"/>
  <c r="J25" i="11"/>
  <c r="B25" i="18"/>
  <c r="D25" i="8"/>
  <c r="G25" i="10"/>
  <c r="J25" i="26"/>
  <c r="G25"/>
  <c r="G48" i="2"/>
  <c r="H48"/>
  <c r="H55" s="1"/>
  <c r="E48"/>
  <c r="F48"/>
  <c r="G25" i="54"/>
  <c r="G25" i="28"/>
  <c r="G25" i="8"/>
  <c r="J25" i="9"/>
  <c r="B25" i="40"/>
  <c r="D25" s="1"/>
  <c r="F25" i="45"/>
  <c r="D25" i="10"/>
  <c r="H25" i="18"/>
  <c r="D25" i="9"/>
  <c r="B25" i="20"/>
  <c r="B25" i="39"/>
  <c r="B25" i="76"/>
  <c r="D25" i="27"/>
  <c r="D25" i="76" s="1"/>
  <c r="B25" i="19"/>
  <c r="G25" i="11"/>
  <c r="B48" i="10"/>
  <c r="D11"/>
  <c r="B11" i="41"/>
  <c r="B48" i="8"/>
  <c r="B11" i="18"/>
  <c r="D11" i="8"/>
  <c r="F48" i="44"/>
  <c r="B48" i="25"/>
  <c r="H48" i="9"/>
  <c r="F48" i="25"/>
  <c r="B48" i="11"/>
  <c r="B48" i="45"/>
  <c r="H48" i="44"/>
  <c r="D48" i="35"/>
  <c r="B11" i="20"/>
  <c r="H48" i="10"/>
  <c r="B11" i="40"/>
  <c r="B48" i="34"/>
  <c r="E48" i="26"/>
  <c r="G11"/>
  <c r="D48" i="25"/>
  <c r="D11" i="19"/>
  <c r="D11" i="26"/>
  <c r="E48" i="46"/>
  <c r="F11"/>
  <c r="E48" i="9"/>
  <c r="B11" i="76"/>
  <c r="B48" i="27"/>
  <c r="D11"/>
  <c r="D11" i="76" s="1"/>
  <c r="F48" i="34"/>
  <c r="D11" i="54"/>
  <c r="H48" i="11"/>
  <c r="J11"/>
  <c r="L11" i="2"/>
  <c r="C48"/>
  <c r="E48" i="8"/>
  <c r="H48" i="26"/>
  <c r="J11"/>
  <c r="B48" i="82"/>
  <c r="E48" i="10"/>
  <c r="G11"/>
  <c r="B48" i="44"/>
  <c r="D48" i="45"/>
  <c r="B11" i="39"/>
  <c r="D48" i="34"/>
  <c r="D48" i="82"/>
  <c r="H11" i="18"/>
  <c r="B48" i="9"/>
  <c r="D11"/>
  <c r="H48" i="25"/>
  <c r="B11" i="19"/>
  <c r="E48" i="11"/>
  <c r="G11"/>
  <c r="B48" i="35"/>
  <c r="B48" i="7"/>
  <c r="E48" i="43"/>
  <c r="F14"/>
  <c r="L25" i="2"/>
  <c r="C25" i="5" s="1"/>
  <c r="D48" i="36"/>
  <c r="J55" i="2"/>
  <c r="F11" i="45"/>
  <c r="E11" i="78"/>
  <c r="B48" i="54"/>
  <c r="D48" i="11" l="1"/>
  <c r="B48" i="76"/>
  <c r="E55" i="2"/>
  <c r="E25" i="20"/>
  <c r="D25" i="29"/>
  <c r="D25" i="19"/>
  <c r="D48" s="1"/>
  <c r="D25" i="26"/>
  <c r="J25" i="54"/>
  <c r="D25" i="18"/>
  <c r="B48" i="88"/>
  <c r="B48" i="26"/>
  <c r="D48" s="1"/>
  <c r="E48" i="18"/>
  <c r="I25" i="45"/>
  <c r="C25" s="1"/>
  <c r="G25" i="42" s="1"/>
  <c r="D25" i="54"/>
  <c r="E25" i="76"/>
  <c r="G25" i="29"/>
  <c r="F25" i="41"/>
  <c r="G25" s="1"/>
  <c r="B25"/>
  <c r="B48" s="1"/>
  <c r="G25" i="19"/>
  <c r="D25" i="28"/>
  <c r="J25"/>
  <c r="F25" i="39"/>
  <c r="H25"/>
  <c r="D25"/>
  <c r="D25" i="20"/>
  <c r="E25" i="5"/>
  <c r="I48" i="2"/>
  <c r="E48" i="29"/>
  <c r="G11"/>
  <c r="B48" i="37"/>
  <c r="B48" i="29"/>
  <c r="D11"/>
  <c r="H48" i="28"/>
  <c r="J11"/>
  <c r="D48" i="7"/>
  <c r="J48" i="26"/>
  <c r="G48" i="8"/>
  <c r="L48" i="2"/>
  <c r="C11" i="5"/>
  <c r="C48" s="1"/>
  <c r="D48" i="54"/>
  <c r="G48" i="9"/>
  <c r="E48" i="28"/>
  <c r="G11"/>
  <c r="B48" i="40"/>
  <c r="D11"/>
  <c r="J48" i="9"/>
  <c r="D48" i="8"/>
  <c r="G11" i="18"/>
  <c r="F11" i="41"/>
  <c r="F48" i="36"/>
  <c r="D48" i="37"/>
  <c r="F55" i="2"/>
  <c r="G48" i="11"/>
  <c r="B48" i="19"/>
  <c r="D48" i="9"/>
  <c r="H48" i="18"/>
  <c r="E11" i="5"/>
  <c r="B48" i="39"/>
  <c r="D11"/>
  <c r="F11"/>
  <c r="H11"/>
  <c r="G48" i="10"/>
  <c r="J48" i="11"/>
  <c r="D48" i="27"/>
  <c r="D48" i="76" s="1"/>
  <c r="F48" i="46"/>
  <c r="F11" i="52"/>
  <c r="F11" i="19"/>
  <c r="G48" i="26"/>
  <c r="B48" i="20"/>
  <c r="D11"/>
  <c r="B48" i="18"/>
  <c r="D11"/>
  <c r="D11" i="41"/>
  <c r="C11"/>
  <c r="D48" i="10"/>
  <c r="D48" i="44"/>
  <c r="F14" i="45"/>
  <c r="H14" i="43"/>
  <c r="D55" i="2"/>
  <c r="K55"/>
  <c r="E48" i="5" l="1"/>
  <c r="G25" i="76"/>
  <c r="G25" i="18"/>
  <c r="F25" i="19"/>
  <c r="G25" i="20"/>
  <c r="D48" i="90"/>
  <c r="I25" i="19"/>
  <c r="G24" i="41"/>
  <c r="D25"/>
  <c r="C25"/>
  <c r="G25" i="44"/>
  <c r="E25" i="42" s="1"/>
  <c r="I25" i="43"/>
  <c r="B25" i="42" s="1"/>
  <c r="C25" i="44"/>
  <c r="C25" i="42" s="1"/>
  <c r="I25" i="44"/>
  <c r="F25" i="42" s="1"/>
  <c r="E25" i="44"/>
  <c r="D25" i="42" s="1"/>
  <c r="E25" i="45"/>
  <c r="H25" i="42" s="1"/>
  <c r="G25" i="45"/>
  <c r="E48" i="54"/>
  <c r="G11"/>
  <c r="E11" i="76"/>
  <c r="H48" i="54"/>
  <c r="J11"/>
  <c r="I55" i="2"/>
  <c r="D48" i="20"/>
  <c r="B53"/>
  <c r="B52"/>
  <c r="B11" i="43"/>
  <c r="F48" i="52"/>
  <c r="G48" i="18"/>
  <c r="D46" i="40"/>
  <c r="D48"/>
  <c r="B48" i="28"/>
  <c r="G11" i="19"/>
  <c r="I11" i="90" s="1"/>
  <c r="D11" i="28"/>
  <c r="J48"/>
  <c r="G48" i="29"/>
  <c r="B48" i="36"/>
  <c r="G11" i="90"/>
  <c r="G55" i="2"/>
  <c r="D48" i="41"/>
  <c r="C48"/>
  <c r="D48" i="18"/>
  <c r="F48" i="19"/>
  <c r="D48" i="39"/>
  <c r="H48"/>
  <c r="F48"/>
  <c r="F48" i="41"/>
  <c r="G48" s="1"/>
  <c r="G11"/>
  <c r="G48" i="28"/>
  <c r="D48" i="29"/>
  <c r="E11" i="20"/>
  <c r="I14" i="45"/>
  <c r="G14" s="1"/>
  <c r="F48"/>
  <c r="U14" i="2"/>
  <c r="B27" i="85" l="1"/>
  <c r="E27" s="1"/>
  <c r="G27" s="1"/>
  <c r="D25" i="5"/>
  <c r="G25" i="90"/>
  <c r="I25"/>
  <c r="J25" i="42"/>
  <c r="E48" i="20"/>
  <c r="G11"/>
  <c r="G48" i="19"/>
  <c r="I48" i="90" s="1"/>
  <c r="I11" i="19"/>
  <c r="L54" i="2"/>
  <c r="L55" s="1"/>
  <c r="C55"/>
  <c r="J48" i="54"/>
  <c r="G48"/>
  <c r="B13" i="85"/>
  <c r="B48" i="5"/>
  <c r="D11"/>
  <c r="G48" i="90"/>
  <c r="D48" i="28"/>
  <c r="F11" i="43"/>
  <c r="B48"/>
  <c r="G11" i="76"/>
  <c r="E48"/>
  <c r="I14" i="43"/>
  <c r="B14" i="42" s="1"/>
  <c r="C14" i="44"/>
  <c r="C14" i="42" s="1"/>
  <c r="G14" i="44"/>
  <c r="E14" i="42" s="1"/>
  <c r="C14" i="45"/>
  <c r="G14" i="42" s="1"/>
  <c r="I14" i="44"/>
  <c r="F14" i="42" s="1"/>
  <c r="E14" i="45"/>
  <c r="H14" i="42" s="1"/>
  <c r="E14" i="44"/>
  <c r="D14" i="42" s="1"/>
  <c r="E48" i="78"/>
  <c r="C25" i="11" l="1"/>
  <c r="I25" i="10"/>
  <c r="F11" i="76"/>
  <c r="I11" i="10"/>
  <c r="C11" i="11"/>
  <c r="K27" i="85"/>
  <c r="F25" i="5"/>
  <c r="C25" i="38"/>
  <c r="E25"/>
  <c r="I25" i="20"/>
  <c r="C25" i="35"/>
  <c r="G25" i="34"/>
  <c r="I25" i="11"/>
  <c r="C25" i="36"/>
  <c r="C25" i="25"/>
  <c r="F25" i="9"/>
  <c r="F25" i="54"/>
  <c r="F25" i="28"/>
  <c r="C25" i="34"/>
  <c r="C25" i="27"/>
  <c r="C25" i="76" s="1"/>
  <c r="I25" i="25"/>
  <c r="F25" i="11"/>
  <c r="G25" i="25"/>
  <c r="C25" i="8"/>
  <c r="F25" i="10"/>
  <c r="I25" i="26"/>
  <c r="F25"/>
  <c r="C25" i="82"/>
  <c r="F25" i="8"/>
  <c r="I25" i="9"/>
  <c r="C25" i="10"/>
  <c r="E25" i="82"/>
  <c r="C25" i="9"/>
  <c r="E25" i="35"/>
  <c r="E25" i="34"/>
  <c r="C25" i="7"/>
  <c r="E25" i="25"/>
  <c r="E25" i="37"/>
  <c r="C25" i="29"/>
  <c r="C25" i="18"/>
  <c r="C25" i="19"/>
  <c r="C25" i="54"/>
  <c r="C25" i="28"/>
  <c r="I25"/>
  <c r="C25" i="26"/>
  <c r="I25" i="54"/>
  <c r="C25" i="37"/>
  <c r="F25" i="29"/>
  <c r="G25" i="36"/>
  <c r="E25"/>
  <c r="C25" i="20"/>
  <c r="I25" i="18"/>
  <c r="F25" i="76"/>
  <c r="F25" i="18"/>
  <c r="E25" i="19"/>
  <c r="F25" i="20"/>
  <c r="H25" i="19"/>
  <c r="F11" i="5"/>
  <c r="D48"/>
  <c r="E11" i="38"/>
  <c r="C11"/>
  <c r="I11" i="20"/>
  <c r="E11" i="36"/>
  <c r="C11" i="8"/>
  <c r="C11" i="25"/>
  <c r="I11" i="9"/>
  <c r="G11" i="25"/>
  <c r="F11" i="26"/>
  <c r="E11" i="25"/>
  <c r="C11" i="26"/>
  <c r="F11" i="9"/>
  <c r="C11" i="27"/>
  <c r="C11" i="76" s="1"/>
  <c r="G11" i="34"/>
  <c r="I11" i="11"/>
  <c r="F11" i="8"/>
  <c r="F11" i="10"/>
  <c r="E11" i="34"/>
  <c r="C11" i="9"/>
  <c r="F11" i="11"/>
  <c r="C11" i="35"/>
  <c r="C11" i="7"/>
  <c r="C11" i="10"/>
  <c r="E11" i="35"/>
  <c r="C11" i="34"/>
  <c r="C11" i="54"/>
  <c r="I11" i="26"/>
  <c r="C11" i="82"/>
  <c r="E11"/>
  <c r="I11" i="25"/>
  <c r="C11" i="29"/>
  <c r="F11" i="28"/>
  <c r="G11" i="36"/>
  <c r="C11" i="19"/>
  <c r="E11"/>
  <c r="C11" i="18"/>
  <c r="F11" i="29"/>
  <c r="C11" i="37"/>
  <c r="I11" i="28"/>
  <c r="F11" i="18"/>
  <c r="E11" i="37"/>
  <c r="I11" i="18"/>
  <c r="C11" i="20"/>
  <c r="F11" i="54"/>
  <c r="I11"/>
  <c r="C11" i="28"/>
  <c r="C11" i="36"/>
  <c r="E13" i="85"/>
  <c r="G13" s="1"/>
  <c r="B50"/>
  <c r="G48" i="20"/>
  <c r="F11"/>
  <c r="G48" i="76"/>
  <c r="H11" i="43"/>
  <c r="F48"/>
  <c r="S11" i="2"/>
  <c r="U11" s="1"/>
  <c r="I48" i="19"/>
  <c r="H11"/>
  <c r="J14" i="42"/>
  <c r="F48" i="76" l="1"/>
  <c r="C48" i="11"/>
  <c r="I48" i="10"/>
  <c r="F48" i="20"/>
  <c r="H48" i="19"/>
  <c r="D25" i="6"/>
  <c r="E25" i="90"/>
  <c r="K13" i="85"/>
  <c r="E50"/>
  <c r="G50" s="1"/>
  <c r="D11" i="6"/>
  <c r="F48" i="5"/>
  <c r="E48" i="90" s="1"/>
  <c r="E11"/>
  <c r="I11" i="45"/>
  <c r="H48" i="43"/>
  <c r="N27" i="21"/>
  <c r="E48" i="38"/>
  <c r="C48"/>
  <c r="I48" i="20"/>
  <c r="F48" i="9"/>
  <c r="C48" i="8"/>
  <c r="F48" i="11"/>
  <c r="F48" i="26"/>
  <c r="C48" i="35"/>
  <c r="E48" i="82"/>
  <c r="E48" i="25"/>
  <c r="C48"/>
  <c r="C48" i="7"/>
  <c r="I48" i="26"/>
  <c r="F48" i="8"/>
  <c r="C48" i="54"/>
  <c r="C48" i="26"/>
  <c r="I48" i="9"/>
  <c r="C48"/>
  <c r="F48" i="10"/>
  <c r="I48" i="11"/>
  <c r="C48" i="27"/>
  <c r="C48" i="76" s="1"/>
  <c r="C48" i="10"/>
  <c r="I48" i="25"/>
  <c r="E48" i="34"/>
  <c r="G48"/>
  <c r="E48" i="35"/>
  <c r="G48" i="25"/>
  <c r="E48" i="36"/>
  <c r="C48" i="82"/>
  <c r="C48" i="34"/>
  <c r="I48" i="18"/>
  <c r="E48" i="37"/>
  <c r="F48" i="28"/>
  <c r="C48" i="29"/>
  <c r="C48" i="20"/>
  <c r="F48" i="18"/>
  <c r="I48" i="28"/>
  <c r="F48" i="29"/>
  <c r="C48" i="19"/>
  <c r="G48" i="36"/>
  <c r="C48" i="18"/>
  <c r="E48" i="19"/>
  <c r="C48" i="37"/>
  <c r="I48" i="54"/>
  <c r="F48"/>
  <c r="C48" i="28"/>
  <c r="C48" i="36"/>
  <c r="E25" i="6" l="1"/>
  <c r="C25" i="78" s="1"/>
  <c r="F25" i="6"/>
  <c r="N17" i="21"/>
  <c r="N19"/>
  <c r="N21"/>
  <c r="N13"/>
  <c r="N16"/>
  <c r="N22"/>
  <c r="N23"/>
  <c r="N15"/>
  <c r="N18"/>
  <c r="N24"/>
  <c r="I11" i="43"/>
  <c r="B11" i="42" s="1"/>
  <c r="G11" i="44"/>
  <c r="E11" i="42" s="1"/>
  <c r="C11" i="45"/>
  <c r="G11" i="42" s="1"/>
  <c r="I11" i="44"/>
  <c r="F11" i="42" s="1"/>
  <c r="C11" i="44"/>
  <c r="C11" i="42" s="1"/>
  <c r="E11" i="45"/>
  <c r="H11" i="42" s="1"/>
  <c r="G11" i="45"/>
  <c r="E11" i="44"/>
  <c r="D11" i="42" s="1"/>
  <c r="I48" i="45"/>
  <c r="K50" i="85"/>
  <c r="E11" i="6"/>
  <c r="C11" i="78" s="1"/>
  <c r="F11" i="6"/>
  <c r="D48"/>
  <c r="I48" i="43" l="1"/>
  <c r="B48" i="42" s="1"/>
  <c r="L11" s="1"/>
  <c r="F48" i="6"/>
  <c r="E48"/>
  <c r="C48" i="78" s="1"/>
  <c r="G48" i="45"/>
  <c r="E48"/>
  <c r="H48" i="42" s="1"/>
  <c r="L17" s="1"/>
  <c r="S12" i="2"/>
  <c r="U12" s="1"/>
  <c r="I48" i="44"/>
  <c r="F48" i="42" s="1"/>
  <c r="L15" s="1"/>
  <c r="C48" i="45"/>
  <c r="G48" i="42" s="1"/>
  <c r="L16" s="1"/>
  <c r="G48" i="44"/>
  <c r="E48" i="42" s="1"/>
  <c r="L14" s="1"/>
  <c r="C48" i="44"/>
  <c r="C48" i="42" s="1"/>
  <c r="L12" s="1"/>
  <c r="E48" i="44"/>
  <c r="D48" i="42" s="1"/>
  <c r="L13" s="1"/>
  <c r="J11"/>
  <c r="L19" l="1"/>
  <c r="J48"/>
</calcChain>
</file>

<file path=xl/comments1.xml><?xml version="1.0" encoding="utf-8"?>
<comments xmlns="http://schemas.openxmlformats.org/spreadsheetml/2006/main">
  <authors>
    <author>GPizzaro</author>
  </authors>
  <commentList>
    <comment ref="J8" authorId="0">
      <text>
        <r>
          <rPr>
            <b/>
            <sz val="8"/>
            <color indexed="81"/>
            <rFont val="Tahoma"/>
            <family val="2"/>
          </rPr>
          <t>GPizzaro:</t>
        </r>
        <r>
          <rPr>
            <sz val="8"/>
            <color indexed="81"/>
            <rFont val="Tahoma"/>
            <family val="2"/>
          </rPr>
          <t xml:space="preserve">
Portioned assessment come from W:\Edusfb\Total School Assessment\YYYY F assessment.</t>
        </r>
      </text>
    </comment>
    <comment ref="H16" authorId="0">
      <text>
        <r>
          <rPr>
            <b/>
            <sz val="8"/>
            <color indexed="81"/>
            <rFont val="Tahoma"/>
            <family val="2"/>
          </rPr>
          <t>GPizzaro:</t>
        </r>
        <r>
          <rPr>
            <sz val="8"/>
            <color indexed="81"/>
            <rFont val="Tahoma"/>
            <family val="2"/>
          </rPr>
          <t xml:space="preserve">
Take it from the folder</t>
        </r>
      </text>
    </comment>
  </commentList>
</comments>
</file>

<file path=xl/comments2.xml><?xml version="1.0" encoding="utf-8"?>
<comments xmlns="http://schemas.openxmlformats.org/spreadsheetml/2006/main">
  <authors>
    <author>GPizzaro</author>
  </authors>
  <commentList>
    <comment ref="P6" authorId="0">
      <text/>
    </comment>
    <comment ref="Q6" authorId="0">
      <text>
        <r>
          <rPr>
            <sz val="8"/>
            <color indexed="81"/>
            <rFont val="Tahoma"/>
            <family val="2"/>
          </rPr>
          <t xml:space="preserve">
ASSESSMENT POR RESIDENT PUPIL
W:\Edusfb\Support\2009-10\Support Files Frozen\DSFYY
PAGE Scdatabase COLUMN AC</t>
        </r>
      </text>
    </comment>
  </commentList>
</comments>
</file>

<file path=xl/sharedStrings.xml><?xml version="1.0" encoding="utf-8"?>
<sst xmlns="http://schemas.openxmlformats.org/spreadsheetml/2006/main" count="2904" uniqueCount="602">
  <si>
    <t>PAGE 1 OF 3</t>
  </si>
  <si>
    <t xml:space="preserve"> </t>
  </si>
  <si>
    <t>PAGE 2 OF 3</t>
  </si>
  <si>
    <t>PAGE 3 OF 3</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</si>
  <si>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</si>
  <si>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</si>
  <si>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</si>
  <si>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</si>
  <si>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</si>
  <si>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</si>
  <si>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</si>
  <si>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</si>
  <si>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 REGULAR AND OTHER</t>
  </si>
  <si>
    <t xml:space="preserve">TOTAL </t>
  </si>
  <si>
    <t>ADMINISTRATION</t>
  </si>
  <si>
    <t>ENGLISH LANGUAGE</t>
  </si>
  <si>
    <t>FRANÇAIS</t>
  </si>
  <si>
    <t>FRENCH IMMERSION</t>
  </si>
  <si>
    <t>BOARD OF TRUSTEES</t>
  </si>
  <si>
    <t>OTHER</t>
  </si>
  <si>
    <t>SCHOOL BUILDINGS</t>
  </si>
  <si>
    <t>REGULAR INSTRUCTION</t>
  </si>
  <si>
    <t>COMMUNITY EDUCATION</t>
  </si>
  <si>
    <t>MAINTENANCE</t>
  </si>
  <si>
    <t>FISCAL</t>
  </si>
  <si>
    <t>TOTAL</t>
  </si>
  <si>
    <t>(PROGRAM 720)</t>
  </si>
  <si>
    <t>(PROGRAMS 710, 720 AND 790)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</si>
  <si>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</si>
  <si>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</si>
  <si>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</si>
  <si>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</si>
  <si>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</si>
  <si>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</si>
  <si>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</si>
  <si>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</si>
  <si>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</si>
  <si>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</si>
  <si>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</si>
  <si>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</si>
  <si>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</si>
  <si>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</si>
  <si>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</si>
  <si>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</si>
  <si>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</si>
  <si>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</si>
  <si>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</si>
  <si>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</si>
  <si>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</si>
  <si>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</si>
  <si>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FEDERAL</t>
  </si>
  <si>
    <t>MUNICIPAL</t>
  </si>
  <si>
    <t>GOVERNMENTS</t>
  </si>
  <si>
    <t>SPECIAL</t>
  </si>
  <si>
    <t>PROVINCIAL</t>
  </si>
  <si>
    <t>FIRST NATIONS</t>
  </si>
  <si>
    <t>REVENUE</t>
  </si>
  <si>
    <t>MINING</t>
  </si>
  <si>
    <t>OCCUPANCY</t>
  </si>
  <si>
    <t>SERVICES</t>
  </si>
  <si>
    <t>EQUIPMENT</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</si>
  <si>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</si>
  <si>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</si>
  <si>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</si>
  <si>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</si>
  <si>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</si>
  <si>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</si>
  <si>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</si>
  <si>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</si>
  <si>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</si>
  <si>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</si>
  <si>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</si>
  <si>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</si>
  <si>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</si>
  <si>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</si>
  <si>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</si>
  <si>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</si>
  <si>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</si>
  <si>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</si>
  <si>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</si>
  <si>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FRAME PUPIL / TEACHER RATIOS</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</si>
  <si>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</si>
  <si>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</si>
  <si>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</si>
  <si>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</si>
  <si>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</si>
  <si>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</si>
  <si>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</si>
  <si>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</si>
  <si>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</si>
  <si>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</si>
  <si>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</si>
  <si>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STATISTICAL SUMMARY</t>
  </si>
  <si>
    <t>PAGE 1 OF 5</t>
  </si>
  <si>
    <t>PAGE 2 OF 5</t>
  </si>
  <si>
    <t>PAGE 3 OF 5</t>
  </si>
  <si>
    <t>PAGE 4 OF 5</t>
  </si>
  <si>
    <t>PAGE 5 OF 5</t>
  </si>
  <si>
    <t>PROGRAMS</t>
  </si>
  <si>
    <t>YEAR</t>
  </si>
  <si>
    <t>(Grants-</t>
  </si>
  <si>
    <t>in-Lieu)</t>
  </si>
  <si>
    <t>ADULT LEARNING CENTRES</t>
  </si>
  <si>
    <t>- 13 -</t>
  </si>
  <si>
    <t>- 12 -</t>
  </si>
  <si>
    <t>INSTRUCTIONAL</t>
  </si>
  <si>
    <t>FUNDING OF SCHOOLS PROGRAM (CONT'D)</t>
  </si>
  <si>
    <t>FUNDING OF SCHOOLS PROGRAM</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</si>
  <si>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</si>
  <si>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</si>
  <si>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</si>
  <si>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</si>
  <si>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</si>
  <si>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</si>
  <si>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</si>
  <si>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</si>
  <si>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</si>
  <si>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</si>
  <si>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</si>
  <si>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</si>
  <si>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</si>
  <si>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</si>
  <si>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</si>
  <si>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</si>
  <si>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</si>
  <si>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</si>
  <si>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</si>
  <si>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</si>
  <si>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</si>
  <si>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</si>
  <si>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</si>
  <si>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</si>
  <si>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</si>
  <si>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</si>
  <si>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</si>
  <si>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</si>
  <si>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</si>
  <si>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</si>
  <si>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</si>
  <si>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</si>
  <si>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</si>
  <si>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</si>
  <si>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</si>
  <si>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</si>
  <si>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</si>
  <si>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</si>
  <si>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L.G.D. OF PINAWA</t>
  </si>
  <si>
    <t xml:space="preserve"> NOT IN ANY DIVISION</t>
  </si>
  <si>
    <t xml:space="preserve"> DIVISION/DISTRICT TOTAL</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</si>
  <si>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</si>
  <si>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</si>
  <si>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</si>
  <si>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</si>
  <si>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</si>
  <si>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</si>
  <si>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</si>
  <si>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</si>
  <si>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</si>
  <si>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</si>
  <si>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</si>
  <si>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</si>
  <si>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</si>
  <si>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</si>
  <si>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</si>
  <si>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</si>
  <si>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</si>
  <si>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</si>
  <si>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</si>
  <si>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</si>
  <si>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</si>
  <si>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</si>
  <si>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</si>
  <si>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</si>
  <si>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</si>
  <si>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</si>
  <si>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</si>
  <si>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</si>
  <si>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</si>
  <si>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</si>
  <si>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</si>
  <si>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</si>
  <si>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</si>
  <si>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</si>
  <si>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</si>
  <si>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</si>
  <si>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</si>
  <si>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</si>
  <si>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</si>
  <si>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</si>
  <si>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LIABILITY</t>
  </si>
  <si>
    <t>SELF-FUNDED</t>
  </si>
  <si>
    <t xml:space="preserve"> FUNCTION 300: ADULT LEARNING CENTRES</t>
  </si>
  <si>
    <t>LOCAL TAXATION AND ASSESSMENT PER RESIDENT PUPIL</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</si>
  <si>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</si>
  <si>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</si>
  <si>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</si>
  <si>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</si>
  <si>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</si>
  <si>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</si>
  <si>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</si>
  <si>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</si>
  <si>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</si>
  <si>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</si>
  <si>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</si>
  <si>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</si>
  <si>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</si>
  <si>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</si>
  <si>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</si>
  <si>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</si>
  <si>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</si>
  <si>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</si>
  <si>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</si>
  <si>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</si>
  <si>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</si>
  <si>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</si>
  <si>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</si>
  <si>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</si>
  <si>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</si>
  <si>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</si>
  <si>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</si>
  <si>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</si>
  <si>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</si>
  <si>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</si>
  <si>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</si>
  <si>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</si>
  <si>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</si>
  <si>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ADMIN. COSTS</t>
  </si>
  <si>
    <t>PAGE 1 0F 2</t>
  </si>
  <si>
    <t>PAGE 2 0F 2</t>
  </si>
  <si>
    <t>CALCULATION OF EXPENDITURE BASE AND ADMINISTRATION PERCENTAGE</t>
  </si>
  <si>
    <t>ACTUAL AND ESTIMATES AS OF SEPTEMBER 30</t>
  </si>
  <si>
    <t>(2)</t>
  </si>
  <si>
    <t>Health and Education Support Levy.</t>
  </si>
  <si>
    <r>
      <t xml:space="preserve">SINGLE TRACK </t>
    </r>
    <r>
      <rPr>
        <b/>
        <vertAlign val="superscript"/>
        <sz val="9"/>
        <rFont val="Arial"/>
        <family val="2"/>
      </rPr>
      <t>(1)</t>
    </r>
  </si>
  <si>
    <r>
      <t xml:space="preserve">DUAL TRACK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</si>
  <si>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</si>
  <si>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</si>
  <si>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</si>
  <si>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t xml:space="preserve"> FUNCTION 800: (CONT'D)</t>
  </si>
  <si>
    <t xml:space="preserve"> FUNCTION 700: TRANSPORTATION (CONT'D)</t>
  </si>
  <si>
    <t xml:space="preserve"> FUNCTION 500: (CONT'D)</t>
  </si>
  <si>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</si>
  <si>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</si>
  <si>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</si>
  <si>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t xml:space="preserve">  TRAVEL AND MEETINGS</t>
  </si>
  <si>
    <t xml:space="preserve"> FUNCTION 200: STUDENT SUPPORT SERVICES</t>
  </si>
  <si>
    <t xml:space="preserve"> FUNCTION 200: STUDENT SUPPORT SERVICES (CONT'D)</t>
  </si>
  <si>
    <t>STUDENT SUPPORT SERVICES</t>
  </si>
  <si>
    <t>STUDENT SUPPORT</t>
  </si>
  <si>
    <r>
      <t xml:space="preserve">  RECHARGE </t>
    </r>
    <r>
      <rPr>
        <vertAlign val="superscript"/>
        <sz val="9"/>
        <rFont val="Arial"/>
        <family val="2"/>
      </rPr>
      <t>(1)</t>
    </r>
  </si>
  <si>
    <t>Reallocation of school building costs associated with Adult Learning Centre operations to Function 300</t>
  </si>
  <si>
    <t>PLACEMENT</t>
  </si>
  <si>
    <t xml:space="preserve">  PROPERTY TAXES</t>
  </si>
  <si>
    <t>INSTRUCTIONAL AND OTHER SUPPORT SERVICES</t>
  </si>
  <si>
    <t xml:space="preserve"> FUNCTION 600: INSTRUCTIONAL &amp; OTHER SUPPORT SERVICES</t>
  </si>
  <si>
    <t xml:space="preserve"> FUNCTION 600: INSTRUCTIONAL &amp; OTHER SUPPORT SERVICES (CONT'D)</t>
  </si>
  <si>
    <t>OPERATING FUND EXPENSE PER PUPIL</t>
  </si>
  <si>
    <r>
      <t xml:space="preserve">EXPENSES </t>
    </r>
    <r>
      <rPr>
        <b/>
        <vertAlign val="superscript"/>
        <sz val="10"/>
        <rFont val="Arial"/>
        <family val="2"/>
      </rPr>
      <t xml:space="preserve">(1)    </t>
    </r>
    <r>
      <rPr>
        <b/>
        <sz val="9"/>
        <rFont val="Arial"/>
        <family val="2"/>
      </rPr>
      <t xml:space="preserve">                                               </t>
    </r>
  </si>
  <si>
    <t>RECONCILIATION  OF  EXPENSES</t>
  </si>
  <si>
    <t>EXPENSE BY FUNCTION AND OBJECT</t>
  </si>
  <si>
    <t xml:space="preserve">  BAD DEBT EXPENSE</t>
  </si>
  <si>
    <r>
      <t xml:space="preserve"> INFORMATION TECHNOLOGY EXPENSES  </t>
    </r>
    <r>
      <rPr>
        <b/>
        <vertAlign val="superscript"/>
        <sz val="9"/>
        <rFont val="Arial"/>
        <family val="2"/>
      </rPr>
      <t>(1)</t>
    </r>
  </si>
  <si>
    <t>ANALYSIS OF EXPENSE BY PROGRAM</t>
  </si>
  <si>
    <t>ANALYSIS OF  TRANSPORTATION EXPENSES</t>
  </si>
  <si>
    <t>ANALYSIS OF  TRANSPORTATION EXPENSES (CONT'D)</t>
  </si>
  <si>
    <t xml:space="preserve"> ANALYSIS OF OPERATIONS AND MAINTENANCE EXPENSES FOR SCHOOL BUILDINGS</t>
  </si>
  <si>
    <t>ANALYSIS OF EXPENSE BY FUNCTION</t>
  </si>
  <si>
    <t>EXPENSE BY 2ND LEVEL OBJECT</t>
  </si>
  <si>
    <t>AS A PERCENTAGE OF TOTAL OPERATING FUND EXPENSES</t>
  </si>
  <si>
    <t xml:space="preserve"> DIVISION/DISTRICT</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</si>
  <si>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</si>
  <si>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</si>
  <si>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</si>
  <si>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</si>
  <si>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</si>
  <si>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</si>
  <si>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</si>
  <si>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</si>
  <si>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</si>
  <si>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</si>
  <si>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</si>
  <si>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</si>
  <si>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</si>
  <si>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</si>
  <si>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</si>
  <si>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</si>
  <si>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</si>
  <si>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</si>
  <si>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</si>
  <si>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</si>
  <si>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</si>
  <si>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</si>
  <si>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</si>
  <si>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</si>
  <si>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</si>
  <si>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</si>
  <si>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</si>
  <si>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</si>
  <si>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</si>
  <si>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</si>
  <si>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</si>
  <si>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(1)  Support for Function 200 Student Support Services expenses less Counselling and Guidance and Categorical support for Special Needs.</t>
  </si>
  <si>
    <t xml:space="preserve">  RECHARGE</t>
  </si>
  <si>
    <r>
      <t xml:space="preserve">OTHER </t>
    </r>
    <r>
      <rPr>
        <b/>
        <vertAlign val="superscript"/>
        <sz val="9"/>
        <rFont val="Arial"/>
        <family val="2"/>
      </rPr>
      <t>(1)</t>
    </r>
  </si>
  <si>
    <t>TOTAL PORTIONED ASSESSMENT</t>
  </si>
  <si>
    <t>NET SPECIAL LEVY</t>
  </si>
  <si>
    <t xml:space="preserve">  EXECUTIVE, MANAGERIAL
 AND SUPERVISORY</t>
  </si>
  <si>
    <t xml:space="preserve"> TECHNICAL, 
SPECIALIZED AND SERVICE</t>
  </si>
  <si>
    <t>SECRETARIAL 
CLERICAL
 AND OTHER</t>
  </si>
  <si>
    <r>
      <t xml:space="preserve">  
  IT  </t>
    </r>
    <r>
      <rPr>
        <b/>
        <vertAlign val="superscript"/>
        <sz val="11"/>
        <rFont val="Arial"/>
        <family val="2"/>
      </rPr>
      <t>(3)</t>
    </r>
  </si>
  <si>
    <t>ANALYSIS OF INFORMATION TECHNOLOGY EXPENSES</t>
  </si>
  <si>
    <r>
      <t>PROVINCIAL</t>
    </r>
    <r>
      <rPr>
        <vertAlign val="superscript"/>
        <sz val="9"/>
        <rFont val="Arial"/>
        <family val="2"/>
      </rPr>
      <t>(1)</t>
    </r>
  </si>
  <si>
    <t>DIRECT SUPPORT TO PUPILS</t>
  </si>
  <si>
    <t>PER PUPIL</t>
  </si>
  <si>
    <t xml:space="preserve">% of Total Expense </t>
  </si>
  <si>
    <t>Control</t>
  </si>
  <si>
    <t>Total expenses</t>
  </si>
  <si>
    <t>Frame</t>
  </si>
  <si>
    <t>tables budget</t>
  </si>
  <si>
    <t>Variance</t>
  </si>
  <si>
    <t>Budget Table</t>
  </si>
  <si>
    <t>Total Revenues</t>
  </si>
  <si>
    <t>SENIOR YEARS tech</t>
  </si>
  <si>
    <t>Total Reg. Instruct..</t>
  </si>
  <si>
    <t xml:space="preserve"> DSFM</t>
  </si>
  <si>
    <t>NET TRANSFERS TO/(FROM) CAPITAL FUND</t>
  </si>
  <si>
    <t>(2)  Provided in recognition of the higher costs associated with sparsely populated rural and northern divisions.</t>
  </si>
  <si>
    <t>(1)  Includes vehicle support for school buses.</t>
  </si>
  <si>
    <t>(2)  For a definition of Divisional Administration, see expense definitions, page iii.</t>
  </si>
  <si>
    <t>(3)  Information Technology.</t>
  </si>
  <si>
    <t>(1)  From page 4 (for more information, see page 4).</t>
  </si>
  <si>
    <t>(2)  From page 9 (for more information, see page 9).</t>
  </si>
  <si>
    <t>(1)  Total operating expenses as reported on the Schedule of Revenues and Expenses in each school division's budget.</t>
  </si>
  <si>
    <t>(2)  Operating fund transfers are payments to other school divisions, organizations and individuals.  These are removed to provide more accurate</t>
  </si>
  <si>
    <t>(3)  As reported on pages 10 and 13 (on a provincial basis).</t>
  </si>
  <si>
    <t>(4)  Expenses for Adult Learning Centres and Community Education and Services (Functions 300 and 400).</t>
  </si>
  <si>
    <t>(5)  As reported on page 4.</t>
  </si>
  <si>
    <t>(2)  Mill rates for Flin Flon and Mystery Lake are adjusted for mining revenue.</t>
  </si>
  <si>
    <t>(1)  Includes transfers to bus reserves and other capital reserves.</t>
  </si>
  <si>
    <t>(1)  See appendix for more detail.</t>
  </si>
  <si>
    <t>(5)  Includes revenue from other provincial government departments.</t>
  </si>
  <si>
    <t>(1)  Excludes information technology expenses in Function 300 (Adult Learning Centres) and Function 400 (Community Education and Services).</t>
  </si>
  <si>
    <t>(2)  Square footage (as per note above) divided by total F.T.E. enrolment (from page 7).</t>
  </si>
  <si>
    <t>(1)  No one language program comprises 90% or more of Regular Instruction enrolment.</t>
  </si>
  <si>
    <t>(1)  90% or more of Regular Instruction enrolment is in one language.</t>
  </si>
  <si>
    <t>(1)  Pupils taught in schools, whether or not they are counted for grant purposes.</t>
  </si>
  <si>
    <t>(1)  90% or more of Regular Instruction enrolment is in one language program.</t>
  </si>
  <si>
    <t>(2)  No one language program comprises 90% or more of Regular Instruction enrolment.</t>
  </si>
  <si>
    <r>
      <t xml:space="preserve"> 
 CLINICIAN</t>
    </r>
    <r>
      <rPr>
        <b/>
        <vertAlign val="superscript"/>
        <sz val="11"/>
        <rFont val="Arial"/>
        <family val="2"/>
      </rPr>
      <t xml:space="preserve"> (2)</t>
    </r>
  </si>
  <si>
    <t xml:space="preserve"> TEACHING</t>
  </si>
  <si>
    <r>
      <t xml:space="preserve">REGULAR INSTRUCTION </t>
    </r>
    <r>
      <rPr>
        <b/>
        <vertAlign val="superscript"/>
        <sz val="9"/>
        <rFont val="Arial"/>
        <family val="2"/>
      </rPr>
      <t>(1)</t>
    </r>
  </si>
  <si>
    <t>Replace</t>
  </si>
  <si>
    <t>Before click replace select the range you want.</t>
  </si>
  <si>
    <t>This</t>
  </si>
  <si>
    <t>into</t>
  </si>
  <si>
    <t>Per Funded</t>
  </si>
  <si>
    <t>Resident</t>
  </si>
  <si>
    <t>Pupil &lt; 21</t>
  </si>
  <si>
    <t>N/A</t>
  </si>
  <si>
    <t>(4)  Includes School Buildings "D" Support, Technology Education Equipment and other minor capital support.</t>
  </si>
  <si>
    <t>(2)  Includes clinicians contracted/outsourced/private or employed by other divisions on a full time equivalent basis.</t>
  </si>
  <si>
    <t xml:space="preserve">      </t>
  </si>
  <si>
    <t>(1)  All other categorical support not shown elsewhere (eg. Aboriginal and International Languages, Northern Allowance, etc.).</t>
  </si>
  <si>
    <t>Prev. Year</t>
  </si>
  <si>
    <t>14b_PROV.xlsm</t>
  </si>
  <si>
    <t>2014/2015 BUDGET</t>
  </si>
  <si>
    <t>2014/15</t>
  </si>
  <si>
    <t>(4)  Includes other miscellaneous support (Institutional Programs, Nursing Supports, General Support Grant, Smaller Classes Initiative, etc.).</t>
  </si>
  <si>
    <t>2014 TSA</t>
  </si>
  <si>
    <t>+</t>
  </si>
  <si>
    <t xml:space="preserve">       per pupil costs.</t>
  </si>
  <si>
    <t xml:space="preserve"> MITT</t>
  </si>
  <si>
    <t>Reallocation of administration costs associated with Adult Learning Centre operations from Function 500 to Function 300.</t>
  </si>
  <si>
    <r>
      <t>(1)</t>
    </r>
    <r>
      <rPr>
        <sz val="9"/>
        <rFont val="Arial"/>
        <family val="2"/>
      </rPr>
      <t xml:space="preserve"> Reallocation of administration costs associated with Adult Learning Centre operations from Function 500 to Function 300.</t>
    </r>
  </si>
  <si>
    <t>Select Language</t>
  </si>
  <si>
    <t>English</t>
  </si>
  <si>
    <t>French</t>
  </si>
  <si>
    <r>
      <t xml:space="preserve">LESS 
OPERATING FUND TRANSFERS </t>
    </r>
    <r>
      <rPr>
        <b/>
        <vertAlign val="superscript"/>
        <sz val="9"/>
        <rFont val="Arial"/>
        <family val="2"/>
      </rPr>
      <t>(2)</t>
    </r>
  </si>
  <si>
    <r>
      <t xml:space="preserve">EXPENSES NET OF TRANSFERS </t>
    </r>
    <r>
      <rPr>
        <b/>
        <vertAlign val="superscript"/>
        <sz val="9"/>
        <rFont val="Arial"/>
        <family val="2"/>
      </rPr>
      <t>(3)</t>
    </r>
  </si>
  <si>
    <r>
      <t xml:space="preserve">LESS
 NON K-12 EDUCATION &amp; SERVICES </t>
    </r>
    <r>
      <rPr>
        <b/>
        <vertAlign val="superscript"/>
        <sz val="9"/>
        <rFont val="Arial"/>
        <family val="2"/>
      </rPr>
      <t>(4)</t>
    </r>
  </si>
  <si>
    <r>
      <t xml:space="preserve">TOTAL EXPENSES FOR PER PUPIL COSTS </t>
    </r>
    <r>
      <rPr>
        <b/>
        <vertAlign val="superscript"/>
        <sz val="9"/>
        <rFont val="Arial"/>
        <family val="2"/>
      </rPr>
      <t>(5)</t>
    </r>
  </si>
  <si>
    <r>
      <t xml:space="preserve">TOTAL 
 EXPENSES </t>
    </r>
    <r>
      <rPr>
        <b/>
        <vertAlign val="superscript"/>
        <sz val="9"/>
        <rFont val="Arial"/>
        <family val="2"/>
      </rPr>
      <t>(1)</t>
    </r>
  </si>
  <si>
    <t>CONCILIATION DES DÉPENSES</t>
  </si>
  <si>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</si>
  <si>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DÉPENSES DU FONDS DE FONCTIONNEMENT PAR ÉLÈVE</t>
  </si>
  <si>
    <t/>
  </si>
  <si>
    <t xml:space="preserve"> FRANÇAIS</t>
  </si>
  <si>
    <t>OTHER BILINGUAL</t>
  </si>
  <si>
    <t xml:space="preserve"> STATISTIQUES SUR LES ÉLÈVES (SYSTÈME COMPTABLE FRAME)</t>
  </si>
  <si>
    <t>SENIOR YEARS TECHNOLOGY</t>
  </si>
  <si>
    <t>K-12  F.T.E. ENROLMENT</t>
  </si>
  <si>
    <t>(2)  The total number of pupils enrolled in schools adjusted for full time equivalence (F.T.E.). Full time equivalent means pupils are counted on the
       basis of time attending school - eg. Kindergarten as 1/2.  This total is the same as reported on page 7.</t>
  </si>
  <si>
    <t>N-12 ENROLMENT</t>
  </si>
  <si>
    <t>NURSERY ENROLMENT</t>
  </si>
  <si>
    <t>K-12 ENROLMENT</t>
  </si>
  <si>
    <t>INSCRIPTIONS – ÉLÈVES PRÉSENTS, SELON LE SYSTÈME COMPTABLE FRAME, ET ADMISSIBLES</t>
  </si>
  <si>
    <t>CHIFFRES RÉELS ET PRÉVISIONS AU 30 SEPTEMBRE</t>
  </si>
  <si>
    <t>RAPPORTS ÉLÈVES-ENSEIGNANT</t>
  </si>
  <si>
    <r>
      <t xml:space="preserve">REGULAR 
 INSTRUCTION </t>
    </r>
    <r>
      <rPr>
        <b/>
        <vertAlign val="superscript"/>
        <sz val="9"/>
        <rFont val="Arial"/>
        <family val="2"/>
      </rPr>
      <t>(1)</t>
    </r>
  </si>
  <si>
    <r>
      <t>EDUCATOR</t>
    </r>
    <r>
      <rPr>
        <b/>
        <vertAlign val="superscript"/>
        <sz val="9"/>
        <rFont val="Arial"/>
        <family val="2"/>
      </rPr>
      <t xml:space="preserve"> (2)</t>
    </r>
  </si>
  <si>
    <t>(1)  Based on object code 330 instructional-teaching personnel and F.T.E. students in Function 100. Included are teachers in physical education, 
       music, EAL, etc. in addition to regular classroom teachers. School-based administrative personnel and Special Placement classroom 
       teachers are excluded.</t>
  </si>
  <si>
    <t>DÉPENSES PAR FONCTION ET PAR OBJET</t>
  </si>
  <si>
    <t>SUPPLIES AND MATERIALS</t>
  </si>
  <si>
    <t>BAD DEBT EXPENSE</t>
  </si>
  <si>
    <t>DÉPENSES PAR OBJET DE DEUXIÈME CATÉGORIE EXPRIMÉES</t>
  </si>
  <si>
    <t xml:space="preserve"> EN POURCENTAGE DU TOTAL DES DÉPENSES DU FONDS DE FONCTIONNEMENT</t>
  </si>
  <si>
    <t>REGULAR
 INSTRUCTION</t>
  </si>
  <si>
    <t>STUDENT SUPPORTSERVICES</t>
  </si>
  <si>
    <t>COMMUNITY 
EDUCATION</t>
  </si>
  <si>
    <t>INSTRUCTIONAL &amp; OTHER SUPPORT SERVICES</t>
  </si>
  <si>
    <t>PER 
PUPIL</t>
  </si>
  <si>
    <t>STUDENT SUPPORT 
SERVICES</t>
  </si>
  <si>
    <t>ANALYSE DES DÉPENSES PAR FONCTION</t>
  </si>
  <si>
    <t>COMMUNITY EDUCATION AND SERVICES</t>
  </si>
  <si>
    <t>DIVISIONAL
 ADMINISTRATION</t>
  </si>
  <si>
    <t>TRANSPORTATION 
OF PUPILS</t>
  </si>
  <si>
    <t>ANALYSE DES DÉPENSES PAR PROGRAMME</t>
  </si>
  <si>
    <t>SENIOR YEARS 
TECHNOLOGY EDUCATION</t>
  </si>
  <si>
    <t>NO. OF F.T.E. PUPILS</t>
  </si>
  <si>
    <t>ADMINISTRATION / COORDINATION</t>
  </si>
  <si>
    <t>CLINICAL AND RELATED
 SERVICES</t>
  </si>
  <si>
    <t>(1)  Expenses shown are extra costs associated with special needs students in regular classes, not the total cost of educating 
       those students.</t>
  </si>
  <si>
    <t>SPECIAL 
PLACEMENT</t>
  </si>
  <si>
    <r>
      <t xml:space="preserve">REGULAR 
PLACEMENT </t>
    </r>
    <r>
      <rPr>
        <b/>
        <vertAlign val="superscript"/>
        <sz val="9"/>
        <rFont val="Arial"/>
        <family val="2"/>
      </rPr>
      <t>(1)</t>
    </r>
  </si>
  <si>
    <t>OTHER RESOURCE
 SERVICES</t>
  </si>
  <si>
    <t>COUNSELLING AND GUIDANCE</t>
  </si>
  <si>
    <t>COUNSELLING 
AND GUIDANCE</t>
  </si>
  <si>
    <t>ADMINISTRATION
 AND OTHER</t>
  </si>
  <si>
    <t>CONTINUING EDUCATION</t>
  </si>
  <si>
    <t>ENGLISH AS AN ADDITIONAL LANGUAGE</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</si>
  <si>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</si>
  <si>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</si>
  <si>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</si>
  <si>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</si>
  <si>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</si>
  <si>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</si>
  <si>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ADMINISTRATION</t>
  </si>
  <si>
    <t>CURRICULUM CONSULTING AND DEVELOPMENT</t>
  </si>
  <si>
    <t>LIBRARY /
 MEDIA CENTRE</t>
  </si>
  <si>
    <t>PROFESSIONAL AND 
STAFF DEVELOPMENT</t>
  </si>
  <si>
    <t>(1)  Includes food services, health services, and other activities related to instructional and other support not included
       in previous programs.</t>
  </si>
  <si>
    <t>ALLOWANCES IN LIEU 
OF TRANSPORTATION</t>
  </si>
  <si>
    <t>BOARDING OF
 STUDENTS</t>
  </si>
  <si>
    <t>FIELD TRIPS
 AND OTHER</t>
  </si>
  <si>
    <t>HEALTH AND 
EDUCATION LEVY</t>
  </si>
  <si>
    <t>TRANSPORTED PUPILS</t>
  </si>
  <si>
    <t>TOTAL KM. (ROUTES)</t>
  </si>
  <si>
    <t>LOADED
 KM.</t>
  </si>
  <si>
    <t>COST 
PER KM.</t>
  </si>
  <si>
    <t>TOTAL KM. 
(LOG BOOK)</t>
  </si>
  <si>
    <t>ANALYSE DES DÉPENSES DE TRANSPORT</t>
  </si>
  <si>
    <t>ANALYSE DES DÉPENSES DE TRANSPORT (SUITE)</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</si>
  <si>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</si>
  <si>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</si>
  <si>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</si>
  <si>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</si>
  <si>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t xml:space="preserve"> ANALYSE DES DÉPENSES DE FONCTIONNEMENT ET D'ENTRETIEN DES BÂTIMENTS SCOLAIRES</t>
  </si>
  <si>
    <t>ANALYSE DES DÉPENSES DE TECHNOLOGIE DE L'INFORMATION</t>
  </si>
  <si>
    <r>
      <t>MANAGEMENT
 INFORMATION SERVICES</t>
    </r>
    <r>
      <rPr>
        <b/>
        <vertAlign val="superscript"/>
        <sz val="9"/>
        <rFont val="Arial"/>
        <family val="2"/>
      </rPr>
      <t xml:space="preserve"> (2)</t>
    </r>
  </si>
  <si>
    <t>OTHER SCHOOL DIVISIONS</t>
  </si>
  <si>
    <t>PRIVATE ORG.'S &amp; INDIVIDUALS</t>
  </si>
  <si>
    <r>
      <t xml:space="preserve">FUNDING OF SCHOOLS PROGRAM </t>
    </r>
    <r>
      <rPr>
        <b/>
        <vertAlign val="superscript"/>
        <sz val="9"/>
        <rFont val="Arial"/>
        <family val="2"/>
      </rPr>
      <t>(1)</t>
    </r>
  </si>
  <si>
    <r>
      <t xml:space="preserve">EDUCATION PROPERTY TAX CREDIT </t>
    </r>
    <r>
      <rPr>
        <b/>
        <vertAlign val="superscript"/>
        <sz val="9"/>
        <rFont val="Arial"/>
        <family val="2"/>
      </rPr>
      <t>(2)</t>
    </r>
  </si>
  <si>
    <r>
      <t>TAX  INCENTIVE GRANT</t>
    </r>
    <r>
      <rPr>
        <b/>
        <vertAlign val="superscript"/>
        <sz val="9"/>
        <rFont val="Arial"/>
        <family val="2"/>
      </rPr>
      <t>(3)</t>
    </r>
  </si>
  <si>
    <r>
      <t xml:space="preserve">OTHER REVENUE </t>
    </r>
    <r>
      <rPr>
        <b/>
        <vertAlign val="superscript"/>
        <sz val="9"/>
        <rFont val="Arial"/>
        <family val="2"/>
      </rPr>
      <t>(4)</t>
    </r>
  </si>
  <si>
    <r>
      <t xml:space="preserve">OTHER PROVINCIAL REVENUE </t>
    </r>
    <r>
      <rPr>
        <b/>
        <vertAlign val="superscript"/>
        <sz val="9"/>
        <rFont val="Arial"/>
        <family val="2"/>
      </rPr>
      <t>(5)</t>
    </r>
  </si>
  <si>
    <t>TOTAL PROVINCIAL REVENUE</t>
  </si>
  <si>
    <r>
      <t>% OPERATING FUND REVENUE</t>
    </r>
    <r>
      <rPr>
        <b/>
        <vertAlign val="superscript"/>
        <sz val="9"/>
        <rFont val="Arial"/>
        <family val="2"/>
      </rPr>
      <t xml:space="preserve"> (6)</t>
    </r>
  </si>
  <si>
    <t>(3)  Although the Tax Incentive Grant was discontinued in 2012, the funding provided in 2011 continues to be provided. Amounts shown here are the portions
       by division after the allocation to the DSFM.</t>
  </si>
  <si>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Farmland School Tax Rebate nor the income tax portion of the EPTC nor the School Tax Assistance for Tenants
       and Homeowners (55+) because these are not quantifiable on a school division basis.  For these amounts shown on a provincial basis, see page i.</t>
  </si>
  <si>
    <t>FEDERAL
 GOVERNMENT</t>
  </si>
  <si>
    <r>
      <t>MUNICIPAL GOVERNMENT</t>
    </r>
    <r>
      <rPr>
        <b/>
        <vertAlign val="superscript"/>
        <sz val="9"/>
        <rFont val="Arial"/>
        <family val="2"/>
      </rPr>
      <t xml:space="preserve"> (1)</t>
    </r>
  </si>
  <si>
    <t xml:space="preserve"> PRIVATE 
ORGANIZATIONS &amp; INDIVIDUALS</t>
  </si>
  <si>
    <t>TOTAL 
NON-PROVINCIAL REVENUE</t>
  </si>
  <si>
    <t>TOTAL 
OPERATING 
FUND</t>
  </si>
  <si>
    <t>TRANSFERTS NETS AU (DU) FONDS DE CAPITAL ET D'EMPRUNT</t>
  </si>
  <si>
    <r>
      <t xml:space="preserve">NET TRANSFERS
 TO/(FROM) 
CAPITAL FUND </t>
    </r>
    <r>
      <rPr>
        <b/>
        <vertAlign val="superscript"/>
        <sz val="9"/>
        <rFont val="Arial"/>
        <family val="2"/>
      </rPr>
      <t>(1)</t>
    </r>
  </si>
  <si>
    <t xml:space="preserve">PORTIONED
 ASSESSMENT
 OTHER  </t>
  </si>
  <si>
    <t>EDUCATION 
 SUPPORT LEVY</t>
  </si>
  <si>
    <r>
      <t xml:space="preserve">PORTIONED ASSESSMENT - OTHER AND EDUCATION SUPPORT LEVY   </t>
    </r>
    <r>
      <rPr>
        <vertAlign val="superscript"/>
        <sz val="9"/>
        <rFont val="Arial"/>
        <family val="2"/>
      </rPr>
      <t>(1)</t>
    </r>
  </si>
  <si>
    <t>URBAN 
AND FARM RESIDENTIAL</t>
  </si>
  <si>
    <t>FARM 
LAND AND 
BUILDINGS</t>
  </si>
  <si>
    <r>
      <t xml:space="preserve">SPECIAL
 LEVY </t>
    </r>
    <r>
      <rPr>
        <b/>
        <vertAlign val="superscript"/>
        <sz val="9"/>
        <rFont val="Arial"/>
        <family val="2"/>
      </rPr>
      <t>(1)</t>
    </r>
  </si>
  <si>
    <r>
      <t>SPECIAL 
LEVY 
MILL RATE</t>
    </r>
    <r>
      <rPr>
        <b/>
        <vertAlign val="superscript"/>
        <sz val="9"/>
        <rFont val="Arial"/>
        <family val="2"/>
      </rPr>
      <t xml:space="preserve"> (2)</t>
    </r>
  </si>
  <si>
    <t>TOTAL DE LA VALEUR FRACTIONNÉE, TAXE SPÉCIALE ET TAUX EN MILLIÈMES DE DOLLAR</t>
  </si>
  <si>
    <t>GROSS SPECIAL
 LEVY</t>
  </si>
  <si>
    <r>
      <t xml:space="preserve">TAX INCENTIVE GRANT </t>
    </r>
    <r>
      <rPr>
        <b/>
        <vertAlign val="superscript"/>
        <sz val="9"/>
        <rFont val="Arial"/>
        <family val="2"/>
      </rPr>
      <t>(1)</t>
    </r>
  </si>
  <si>
    <t>NET SPECIAL
 LEVY</t>
  </si>
  <si>
    <t>TAXE SPÉCIALE NETTE</t>
  </si>
  <si>
    <t>IMPÔTS LOCAUX ET ÉVALUATION EN FONCTION DU NOMBRE D'ÉLÈVES RÉSIDENTS</t>
  </si>
  <si>
    <r>
      <t xml:space="preserve">ASSESSMENT
 PER
 RESIDENT PUPIL </t>
    </r>
    <r>
      <rPr>
        <b/>
        <vertAlign val="superscript"/>
        <sz val="9"/>
        <rFont val="Arial"/>
        <family val="2"/>
      </rPr>
      <t>(1)</t>
    </r>
  </si>
  <si>
    <t>EDUCATION
 SUPPORT
 LEVY</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</si>
  <si>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</si>
  <si>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</si>
  <si>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ADD'N  INST. SUPPORT FOR SMALL SCHOOLS</t>
  </si>
  <si>
    <r>
      <t xml:space="preserve">SPARSITY SUPPORT </t>
    </r>
    <r>
      <rPr>
        <b/>
        <vertAlign val="superscript"/>
        <sz val="9"/>
        <rFont val="Arial"/>
        <family val="2"/>
      </rPr>
      <t>(2)</t>
    </r>
  </si>
  <si>
    <t>CURRICULAR MATERIALS</t>
  </si>
  <si>
    <t>INFORMATION TECHNOLOGY</t>
  </si>
  <si>
    <t>LIBRARY SERVICES</t>
  </si>
  <si>
    <r>
      <t xml:space="preserve">STUDENT SERVICES </t>
    </r>
    <r>
      <rPr>
        <b/>
        <vertAlign val="superscript"/>
        <sz val="9"/>
        <rFont val="Arial"/>
        <family val="2"/>
      </rPr>
      <t>(1)</t>
    </r>
  </si>
  <si>
    <t>PROFESSIONAL DEVELOPMENT</t>
  </si>
  <si>
    <t>PHYSICAL EDUCATION</t>
  </si>
  <si>
    <t>TOTAL
BASE
 SUPPORT</t>
  </si>
  <si>
    <r>
      <t xml:space="preserve">TRANSPORTATION </t>
    </r>
    <r>
      <rPr>
        <b/>
        <vertAlign val="superscript"/>
        <sz val="9"/>
        <rFont val="Arial"/>
        <family val="2"/>
      </rPr>
      <t>(1)</t>
    </r>
  </si>
  <si>
    <r>
      <t>SPECIAL
 NEEDS</t>
    </r>
    <r>
      <rPr>
        <b/>
        <vertAlign val="superscript"/>
        <sz val="9"/>
        <rFont val="Arial"/>
        <family val="2"/>
      </rPr>
      <t xml:space="preserve"> (2)</t>
    </r>
  </si>
  <si>
    <t>SENIOR YEARS TECHNOLOGY EDUCATION</t>
  </si>
  <si>
    <t>ABORIGINAL ACADEMIC ACHIEVEMENT</t>
  </si>
  <si>
    <t>FRENCH LANGUAGE PROGRAMS</t>
  </si>
  <si>
    <r>
      <t xml:space="preserve">OTHER CATEGORICAL </t>
    </r>
    <r>
      <rPr>
        <b/>
        <vertAlign val="superscript"/>
        <sz val="9"/>
        <rFont val="Arial"/>
        <family val="2"/>
      </rPr>
      <t>(1)</t>
    </r>
  </si>
  <si>
    <t>TOTAL CATEGORICAL SUPPORT</t>
  </si>
  <si>
    <r>
      <t>EQUALIZATION SUPPORT</t>
    </r>
    <r>
      <rPr>
        <b/>
        <vertAlign val="superscript"/>
        <sz val="9"/>
        <rFont val="Arial"/>
        <family val="2"/>
      </rPr>
      <t xml:space="preserve"> (1)</t>
    </r>
  </si>
  <si>
    <r>
      <t xml:space="preserve">ADDITIONAL EQUALIZATION SUPPORT </t>
    </r>
    <r>
      <rPr>
        <b/>
        <vertAlign val="superscript"/>
        <sz val="9"/>
        <rFont val="Arial"/>
        <family val="2"/>
      </rPr>
      <t>(2)</t>
    </r>
  </si>
  <si>
    <r>
      <t xml:space="preserve">FORMULA GUARANTEE </t>
    </r>
    <r>
      <rPr>
        <b/>
        <vertAlign val="superscript"/>
        <sz val="9"/>
        <rFont val="Arial"/>
        <family val="2"/>
      </rPr>
      <t>(3)</t>
    </r>
  </si>
  <si>
    <r>
      <t xml:space="preserve">OTHER 
PROGRAM 
SUPPORT </t>
    </r>
    <r>
      <rPr>
        <b/>
        <vertAlign val="superscript"/>
        <sz val="9"/>
        <rFont val="Arial"/>
        <family val="2"/>
      </rPr>
      <t>(4)</t>
    </r>
  </si>
  <si>
    <t>TOTAL FUNDING
 OF SCHOOLS
 PROGRAM</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</si>
  <si>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</si>
  <si>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Expenditures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</si>
  <si>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</si>
  <si>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</si>
  <si>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</si>
  <si>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</si>
  <si>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(1)  Excludes personnel in Function 300 (Adult Learning Centres) and Function 400 (Community Education and Services) who do not provide 
       educational services to K-12 pupils.</t>
  </si>
  <si>
    <t>FULL TIME EQUIVALENT (FTE) PERSONNEL EMPLOYED (1)</t>
  </si>
  <si>
    <t>PERSONNEL EMPLOYÉ – ÉQUIVALENT TEMPS PLEIN (ETP) (1)</t>
  </si>
  <si>
    <t>(1) Total of Regular Instruction, Student Support Services and Instructional and Other Support Services. See pages 15 and
      16 for details.</t>
  </si>
  <si>
    <r>
      <t xml:space="preserve">DIRECT SUPPORT
 TO PUPILS
 FUNCTIONS 100 + 200 + 600 </t>
    </r>
    <r>
      <rPr>
        <b/>
        <vertAlign val="superscript"/>
        <sz val="9"/>
        <rFont val="Arial"/>
        <family val="2"/>
      </rPr>
      <t>(1)</t>
    </r>
  </si>
  <si>
    <t>DIRECT SUPPORT
 TO PUPILS
 PER PUPIL</t>
  </si>
  <si>
    <t>SOUTIEN DIRECT AUX ÉLÈVES</t>
  </si>
  <si>
    <t>SOMMAIRE STATISTIQUE</t>
  </si>
  <si>
    <t>SPECIAL LEVY
 MILL RATE</t>
  </si>
  <si>
    <t>ASSESSMENT 
PER RESIDENT 
PUPIL</t>
  </si>
  <si>
    <t>PUPIL / EDUCATOR
 RATIO</t>
  </si>
  <si>
    <r>
      <t>OPERATING
 EXPENDITURE 
PER PUPIL</t>
    </r>
    <r>
      <rPr>
        <b/>
        <vertAlign val="superscript"/>
        <sz val="9"/>
        <rFont val="Arial"/>
        <family val="2"/>
      </rPr>
      <t xml:space="preserve"> (1)</t>
    </r>
  </si>
  <si>
    <t>2015/2016 BUDGET</t>
  </si>
  <si>
    <t>(3)  Provincially supported pupils (actual September 30, 2014 for 2015/16 and actual September 30, 2013 for 2014/15).</t>
  </si>
  <si>
    <t>2015/16</t>
  </si>
  <si>
    <r>
      <t xml:space="preserve">2015/16 </t>
    </r>
    <r>
      <rPr>
        <b/>
        <vertAlign val="superscript"/>
        <sz val="9"/>
        <rFont val="Arial"/>
        <family val="2"/>
      </rPr>
      <t>(2)</t>
    </r>
  </si>
  <si>
    <t>2014</t>
  </si>
  <si>
    <r>
      <t xml:space="preserve">2015 </t>
    </r>
    <r>
      <rPr>
        <b/>
        <vertAlign val="superscript"/>
        <sz val="9"/>
        <rFont val="Arial"/>
        <family val="2"/>
      </rPr>
      <t>(3)</t>
    </r>
  </si>
  <si>
    <r>
      <t xml:space="preserve">2015 </t>
    </r>
    <r>
      <rPr>
        <b/>
        <vertAlign val="superscript"/>
        <sz val="9"/>
        <rFont val="Arial"/>
        <family val="2"/>
      </rPr>
      <t>(4)</t>
    </r>
  </si>
  <si>
    <t xml:space="preserve"> MITT </t>
  </si>
  <si>
    <t>ACTUAL
 SEP. 30, 2014</t>
  </si>
  <si>
    <t>ACTUAL 
SEP. 30, 2013</t>
  </si>
  <si>
    <t>ESTIMATE 
SEP. 30, 2015</t>
  </si>
  <si>
    <t>ACTUAL 
SEP. 30, 2014</t>
  </si>
  <si>
    <t>Waywayseecapo Included</t>
  </si>
  <si>
    <t>Sep 30, 14</t>
  </si>
  <si>
    <t>(1)  Based on area (square footage) of active school buildings as at September 30, 2014. Includes rented and leased space.</t>
  </si>
  <si>
    <t>(1) Effective 2006, the Education Support Levy is no longer raised on residential property. The mill rate for other property in 2015 is 11.61.</t>
  </si>
  <si>
    <t>(1)  The Tax Incentive Grant was offered to school divisions that maintained their prior year Special Levy amount adjusted for real growth in
       property assessment. The 2015 grant is unchanged from the amount provided in 2011. Amounts shown here are the portions by 
       division before the allocation to the DSFM.</t>
  </si>
  <si>
    <t>EARLY
 CHILDHOOD
 DEVELOPMENT INITIATIVE</t>
  </si>
  <si>
    <t xml:space="preserve"> LITERACY
AND
 NUMERACY</t>
  </si>
  <si>
    <t>(2)  Additional Equalization is provided to specifically assist school divisions or districts that have both higher than average tax effort and lower
       than average assessment per pupil. Please see 2015/16 Funding of Schools Booklet for more information.</t>
  </si>
  <si>
    <t>(3)  Formula Guarantee is provided to ensure that every school division receives at least the same level of funding as provided in 2014/15.</t>
  </si>
  <si>
    <t>2015 TSA</t>
  </si>
  <si>
    <t>ASSESSMENT POR RESIDENT PUPIL</t>
  </si>
  <si>
    <t>PAGE Scdatabase COLUMN AC</t>
  </si>
  <si>
    <t>W:\Edusfb\Support\YYYY-YY\Support Files Frozen\DSFYY</t>
  </si>
  <si>
    <t>(1)  Based on a grant per eligible pupil at September 30, 2014.</t>
  </si>
  <si>
    <t>(1) Special Placement students are not reported separately. They are included in Regular Instruction Enrolment. 
      As a result, total enrolment in Regular Instruction is equal to Total K-12 F.T.E. enrolment.</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</si>
  <si>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</si>
  <si>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PAGE 1 OF 16</t>
  </si>
  <si>
    <t>PAGE 2 OF 16</t>
  </si>
  <si>
    <t>PAGE 3 OF 16</t>
  </si>
  <si>
    <t>PAGE 4 OF 16</t>
  </si>
  <si>
    <t>PAGE 5 OF 16</t>
  </si>
  <si>
    <t>PAGE 7 OF 16</t>
  </si>
  <si>
    <t>PAGE 8 OF 16</t>
  </si>
  <si>
    <t>PAGE 9 OF 16</t>
  </si>
  <si>
    <t>PAGE 10 OF 16</t>
  </si>
  <si>
    <t>PAGE 11 OF 16</t>
  </si>
  <si>
    <t>PAGE 12 OF 16</t>
  </si>
  <si>
    <t>PAGE 13 OF 16</t>
  </si>
  <si>
    <t>PAGE 14 OF 16</t>
  </si>
  <si>
    <t>PAGE 15 OF 16</t>
  </si>
  <si>
    <t>PAGE 16 OF 16</t>
  </si>
  <si>
    <t>PAGE 6 OF 16</t>
  </si>
  <si>
    <t>(1)  Excludes information technology expenses in Function 300 (Adult Learning Centres) and Function 400 (Community Education and Services)
       and Management Information Services in Function 500. Total expenses for Management Information Services are included on page 38 and
       form part of total Information Technology Expenses.</t>
  </si>
  <si>
    <t>(2)  Total Management Information Services expenses in Function 500 (from page 26).</t>
  </si>
  <si>
    <t>(1)  Special levy requisitioned by school divisions for the 2015 tax year. Actual remittance to school divisions by municipalities is reduced by the
       Education Property Tax Credit. See pages 41 and 42 for more detail.</t>
  </si>
  <si>
    <r>
      <t xml:space="preserve">ADMINISTRATION EXPENSES </t>
    </r>
    <r>
      <rPr>
        <b/>
        <vertAlign val="superscript"/>
        <sz val="9"/>
        <rFont val="Arial"/>
        <family val="2"/>
      </rPr>
      <t>(1)</t>
    </r>
    <r>
      <rPr>
        <b/>
        <sz val="9"/>
        <rFont val="Arial"/>
        <family val="2"/>
      </rPr>
      <t xml:space="preserve"> 2015/2016 BUDGET</t>
    </r>
  </si>
  <si>
    <t>ADMINISTRATION EXPENSES 2015/2016 BUDGET</t>
  </si>
  <si>
    <r>
      <t xml:space="preserve">FULL TIME EQUIVALENT (FTE) PERSONNEL EMPLOYED </t>
    </r>
    <r>
      <rPr>
        <b/>
        <vertAlign val="superscript"/>
        <sz val="9"/>
        <rFont val="Arial"/>
        <family val="2"/>
      </rPr>
      <t>(1)</t>
    </r>
  </si>
  <si>
    <t>(3)  From page 50 (for more information, see page 50).</t>
  </si>
  <si>
    <t>(4)  From page 47 (for more information, see page 47).</t>
  </si>
  <si>
    <t>Incremental administration costs related to Waywayseecappo</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</si>
  <si>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</si>
  <si>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</si>
  <si>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</si>
  <si>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DEFINED
ADMINISTRATION
EXPENSES</t>
  </si>
  <si>
    <t>DEFINED 
ADMIN.
EXPENSES 
AS % OF
 EXPENDITURE
 BASE</t>
  </si>
  <si>
    <t xml:space="preserve">
ADMIN.
LIMIT</t>
  </si>
  <si>
    <r>
      <t xml:space="preserve">PORTIONED ASSESSMENT - OTHER AND EDUCATION SUPPORT LEVY  </t>
    </r>
    <r>
      <rPr>
        <b/>
        <vertAlign val="superscript"/>
        <sz val="9"/>
        <rFont val="Arial"/>
        <family val="2"/>
      </rPr>
      <t xml:space="preserve"> (1)</t>
    </r>
  </si>
  <si>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 budget spent 
        on divisional administration to 3.5% (for school divisions with F.T.E enrolment of 5,000 of greater), 4.25% ( for school divisions with F.T.E enrolment of
       1,000 or less) and between 3.5% and 4.25% for school divisions with F.T.E enrolment between 1,000 and 5,000. Northern school divisions are subject
        to a 5% limit.</t>
  </si>
  <si>
    <t>FRAME Report: 2015/16 Budget</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</si>
  <si>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</si>
  <si>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</si>
  <si>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click the worksheet tab  - 15 - .</t>
  </si>
  <si>
    <t>This file is unprotected for data analysis by the user.  Data can also be copied to other files or additional data copied to this one.  In cases of dispute however, the published FRAME reports and the corresponding files located on the Manitoba Govenment web site remain the final authority.</t>
  </si>
  <si>
    <t>The cover page, table of contents, forward and introduction as well as the graphs (pie charts, bar charts) are not included in this file. The full report is available in a PDF version on the same site as this file at:</t>
  </si>
  <si>
    <t>http://www.edu.gov.mb.ca/k12/finance/frame_report/index.html</t>
  </si>
  <si>
    <t>DEFINED
 ADMIN.
EXPENSES
 (from page 56)</t>
  </si>
</sst>
</file>

<file path=xl/styles.xml><?xml version="1.0" encoding="utf-8"?>
<styleSheet xmlns="http://schemas.openxmlformats.org/spreadsheetml/2006/main">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0;\-#,##0.0000"/>
    <numFmt numFmtId="173" formatCode="#,##0.0_ ;\(#,##0.0\)"/>
    <numFmt numFmtId="174" formatCode="#,##0.0_);[Red]\(#,##0.0\)"/>
    <numFmt numFmtId="175" formatCode="dd\-mmm\-yy_)"/>
    <numFmt numFmtId="176" formatCode="#,##0;\(#,##0\)"/>
    <numFmt numFmtId="177" formatCode="0_)"/>
  </numFmts>
  <fonts count="37">
    <font>
      <sz val="9"/>
      <name val="Times New Roman"/>
    </font>
    <font>
      <sz val="10"/>
      <name val="Times New Roman"/>
      <family val="1"/>
    </font>
    <font>
      <sz val="10"/>
      <name val="Courier"/>
      <family val="3"/>
    </font>
    <font>
      <b/>
      <sz val="9"/>
      <name val="Arial"/>
      <family val="2"/>
    </font>
    <font>
      <sz val="8"/>
      <color indexed="81"/>
      <name val="Tahoma"/>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sz val="9"/>
      <name val="Arial"/>
      <family val="2"/>
    </font>
    <font>
      <b/>
      <sz val="12"/>
      <name val="Arial"/>
      <family val="2"/>
    </font>
    <font>
      <sz val="10"/>
      <name val="Arial"/>
      <family val="2"/>
    </font>
    <font>
      <b/>
      <vertAlign val="superscript"/>
      <sz val="10"/>
      <name val="Arial"/>
      <family val="2"/>
    </font>
    <font>
      <sz val="10"/>
      <name val="Arial"/>
      <family val="2"/>
    </font>
    <font>
      <sz val="8"/>
      <name val="Arial"/>
      <family val="2"/>
    </font>
    <font>
      <sz val="11"/>
      <name val="Arial"/>
      <family val="2"/>
    </font>
    <font>
      <sz val="12"/>
      <name val="Arial"/>
      <family val="2"/>
    </font>
    <font>
      <b/>
      <sz val="8"/>
      <color indexed="81"/>
      <name val="Tahoma"/>
      <family val="2"/>
    </font>
    <font>
      <sz val="9"/>
      <name val="Times New Roman"/>
      <family val="1"/>
    </font>
    <font>
      <sz val="8"/>
      <name val="Times New Roman"/>
      <family val="1"/>
    </font>
    <font>
      <b/>
      <sz val="16"/>
      <name val="Arial"/>
      <family val="2"/>
    </font>
    <font>
      <b/>
      <sz val="9"/>
      <color indexed="10"/>
      <name val="Arial"/>
      <family val="2"/>
    </font>
    <font>
      <b/>
      <vertAlign val="superscript"/>
      <sz val="11"/>
      <name val="Arial"/>
      <family val="2"/>
    </font>
    <font>
      <sz val="9"/>
      <color indexed="10"/>
      <name val="Arial"/>
      <family val="2"/>
    </font>
    <font>
      <b/>
      <sz val="9"/>
      <color rgb="FFFF0000"/>
      <name val="Arial"/>
      <family val="2"/>
    </font>
    <font>
      <sz val="9"/>
      <color rgb="FFFF0000"/>
      <name val="Arial"/>
      <family val="2"/>
    </font>
    <font>
      <sz val="9"/>
      <color rgb="FF0070C0"/>
      <name val="Arial"/>
      <family val="2"/>
    </font>
    <font>
      <sz val="10"/>
      <color rgb="FF000000"/>
      <name val="Tahoma"/>
      <family val="2"/>
    </font>
    <font>
      <b/>
      <sz val="12"/>
      <color theme="0"/>
      <name val="Arial"/>
      <family val="2"/>
    </font>
    <font>
      <sz val="9"/>
      <color theme="0"/>
      <name val="Arial"/>
      <family val="2"/>
    </font>
    <font>
      <b/>
      <sz val="9"/>
      <color theme="0"/>
      <name val="Arial"/>
      <family val="2"/>
    </font>
    <font>
      <b/>
      <sz val="12"/>
      <color indexed="9"/>
      <name val="Arial"/>
      <family val="2"/>
    </font>
    <font>
      <sz val="12"/>
      <color indexed="9"/>
      <name val="Arial"/>
      <family val="2"/>
    </font>
    <font>
      <u/>
      <sz val="9"/>
      <color theme="10"/>
      <name val="Times New Roman"/>
      <family val="1"/>
    </font>
    <font>
      <u/>
      <sz val="12"/>
      <color theme="0"/>
      <name val="Arial"/>
      <family val="2"/>
    </font>
  </fonts>
  <fills count="14">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42"/>
        <bgColor indexed="42"/>
      </patternFill>
    </fill>
    <fill>
      <patternFill patternType="solid">
        <fgColor indexed="42"/>
        <bgColor indexed="9"/>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indexed="57"/>
        <bgColor indexed="64"/>
      </patternFill>
    </fill>
  </fills>
  <borders count="64">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double">
        <color indexed="8"/>
      </right>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style="thin">
        <color indexed="64"/>
      </top>
      <bottom style="thin">
        <color indexed="64"/>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style="double">
        <color indexed="8"/>
      </left>
      <right style="thin">
        <color indexed="8"/>
      </right>
      <top style="thin">
        <color indexed="8"/>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diagonal/>
    </border>
    <border>
      <left style="thick">
        <color theme="0"/>
      </left>
      <right style="thick">
        <color theme="0"/>
      </right>
      <top style="thick">
        <color theme="0"/>
      </top>
      <bottom style="thick">
        <color theme="0"/>
      </bottom>
      <diagonal/>
    </border>
  </borders>
  <cellStyleXfs count="9">
    <xf numFmtId="37" fontId="0" fillId="0" borderId="0"/>
    <xf numFmtId="0" fontId="2" fillId="2" borderId="1"/>
    <xf numFmtId="164" fontId="1" fillId="0" borderId="0" applyFont="0" applyFill="0" applyBorder="0" applyAlignment="0" applyProtection="0"/>
    <xf numFmtId="164" fontId="15" fillId="0" borderId="0" applyFont="0" applyFill="0" applyBorder="0" applyAlignment="0" applyProtection="0"/>
    <xf numFmtId="0" fontId="15" fillId="0" borderId="0"/>
    <xf numFmtId="39" fontId="20" fillId="0" borderId="0"/>
    <xf numFmtId="9" fontId="1" fillId="0" borderId="0" applyFont="0" applyFill="0" applyBorder="0" applyAlignment="0" applyProtection="0"/>
    <xf numFmtId="37" fontId="20" fillId="0" borderId="0"/>
    <xf numFmtId="0" fontId="35" fillId="0" borderId="0" applyNumberFormat="0" applyFill="0" applyBorder="0" applyAlignment="0" applyProtection="0">
      <alignment vertical="top"/>
      <protection locked="0"/>
    </xf>
  </cellStyleXfs>
  <cellXfs count="831">
    <xf numFmtId="37" fontId="0" fillId="0" borderId="0" xfId="0"/>
    <xf numFmtId="37" fontId="5" fillId="0" borderId="0" xfId="0" applyFont="1"/>
    <xf numFmtId="49" fontId="5" fillId="0" borderId="0" xfId="0" applyNumberFormat="1" applyFont="1" applyAlignment="1"/>
    <xf numFmtId="165" fontId="5" fillId="0" borderId="0" xfId="0" applyNumberFormat="1" applyFont="1" applyProtection="1"/>
    <xf numFmtId="37" fontId="5" fillId="3" borderId="0" xfId="0" applyFont="1" applyFill="1"/>
    <xf numFmtId="37" fontId="3" fillId="3" borderId="2" xfId="0" applyFont="1" applyFill="1" applyBorder="1" applyAlignment="1">
      <alignment horizontal="centerContinuous" vertical="center"/>
    </xf>
    <xf numFmtId="37" fontId="5"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5" fillId="3" borderId="3" xfId="0" applyFont="1" applyFill="1" applyBorder="1" applyAlignment="1">
      <alignment horizontal="centerContinuous"/>
    </xf>
    <xf numFmtId="37" fontId="6" fillId="3" borderId="3" xfId="0" applyFont="1" applyFill="1" applyBorder="1" applyAlignment="1">
      <alignment horizontal="centerContinuous"/>
    </xf>
    <xf numFmtId="37" fontId="5" fillId="3" borderId="0" xfId="0" applyFont="1" applyFill="1" applyAlignment="1">
      <alignment horizontal="center"/>
    </xf>
    <xf numFmtId="37" fontId="3" fillId="3" borderId="4" xfId="0" applyFont="1" applyFill="1" applyBorder="1" applyAlignment="1">
      <alignment horizontal="center"/>
    </xf>
    <xf numFmtId="37" fontId="3" fillId="3" borderId="1" xfId="0" applyFont="1" applyFill="1" applyBorder="1" applyAlignment="1">
      <alignment horizontal="center"/>
    </xf>
    <xf numFmtId="49" fontId="3" fillId="0" borderId="7" xfId="0" applyNumberFormat="1" applyFont="1" applyBorder="1"/>
    <xf numFmtId="49" fontId="3" fillId="0" borderId="8" xfId="0" applyNumberFormat="1" applyFont="1" applyBorder="1"/>
    <xf numFmtId="49" fontId="3" fillId="0" borderId="0" xfId="0" applyNumberFormat="1" applyFont="1"/>
    <xf numFmtId="49" fontId="5" fillId="0" borderId="1" xfId="0" applyNumberFormat="1" applyFont="1" applyBorder="1" applyAlignment="1">
      <alignment vertical="center"/>
    </xf>
    <xf numFmtId="170" fontId="5" fillId="0" borderId="1" xfId="0" applyNumberFormat="1" applyFont="1" applyBorder="1" applyAlignment="1">
      <alignment vertical="center"/>
    </xf>
    <xf numFmtId="49" fontId="5" fillId="0" borderId="0" xfId="0" applyNumberFormat="1" applyFont="1" applyAlignment="1">
      <alignment vertical="center"/>
    </xf>
    <xf numFmtId="171" fontId="5" fillId="0" borderId="0" xfId="0" applyNumberFormat="1" applyFont="1" applyAlignment="1">
      <alignment vertical="center"/>
    </xf>
    <xf numFmtId="37" fontId="5" fillId="0" borderId="11" xfId="0" applyFont="1" applyBorder="1"/>
    <xf numFmtId="37" fontId="5" fillId="0" borderId="0" xfId="0" applyFont="1" applyAlignment="1">
      <alignment horizontal="left"/>
    </xf>
    <xf numFmtId="49" fontId="5" fillId="0" borderId="0" xfId="0" applyNumberFormat="1" applyFont="1" applyAlignment="1">
      <alignment horizontal="left"/>
    </xf>
    <xf numFmtId="37" fontId="5" fillId="3" borderId="0" xfId="0" applyFont="1" applyFill="1" applyBorder="1"/>
    <xf numFmtId="37" fontId="5" fillId="0" borderId="0" xfId="0" applyNumberFormat="1" applyFont="1" applyBorder="1" applyProtection="1"/>
    <xf numFmtId="37" fontId="3" fillId="0" borderId="4" xfId="0" applyFont="1" applyBorder="1"/>
    <xf numFmtId="37" fontId="3" fillId="3" borderId="5" xfId="0" applyFont="1" applyFill="1" applyBorder="1" applyAlignment="1">
      <alignment horizontal="right"/>
    </xf>
    <xf numFmtId="37" fontId="3" fillId="3" borderId="5" xfId="0" applyFont="1" applyFill="1" applyBorder="1"/>
    <xf numFmtId="37" fontId="3" fillId="0" borderId="8" xfId="0" applyFont="1" applyBorder="1"/>
    <xf numFmtId="37" fontId="3" fillId="0" borderId="10" xfId="0" applyFont="1" applyBorder="1" applyAlignment="1">
      <alignment horizontal="right"/>
    </xf>
    <xf numFmtId="37" fontId="3" fillId="0" borderId="0" xfId="0" applyFont="1"/>
    <xf numFmtId="170" fontId="5" fillId="0" borderId="1" xfId="0" applyNumberFormat="1" applyFont="1" applyBorder="1" applyAlignment="1">
      <alignment horizontal="right" vertical="center"/>
    </xf>
    <xf numFmtId="37" fontId="5" fillId="0" borderId="0" xfId="0" applyFont="1" applyAlignment="1"/>
    <xf numFmtId="37" fontId="5" fillId="3" borderId="0" xfId="0" applyFont="1" applyFill="1" applyProtection="1"/>
    <xf numFmtId="165" fontId="5" fillId="0" borderId="2" xfId="0" applyNumberFormat="1" applyFont="1" applyBorder="1" applyProtection="1"/>
    <xf numFmtId="37" fontId="3" fillId="3" borderId="2" xfId="0" applyFont="1" applyFill="1" applyBorder="1" applyAlignment="1" applyProtection="1">
      <alignment horizontal="centerContinuous" vertical="center"/>
    </xf>
    <xf numFmtId="37" fontId="5" fillId="3" borderId="2" xfId="0" applyFont="1" applyFill="1" applyBorder="1" applyAlignment="1" applyProtection="1">
      <alignment horizontal="centerContinuous"/>
    </xf>
    <xf numFmtId="37" fontId="5" fillId="3" borderId="2" xfId="0" applyFont="1" applyFill="1" applyBorder="1" applyAlignment="1" applyProtection="1">
      <alignment horizontal="right"/>
    </xf>
    <xf numFmtId="165" fontId="5" fillId="0" borderId="3" xfId="0" applyNumberFormat="1" applyFont="1" applyBorder="1" applyProtection="1"/>
    <xf numFmtId="37" fontId="3" fillId="3" borderId="3" xfId="0" quotePrefix="1" applyFont="1" applyFill="1" applyBorder="1" applyAlignment="1" applyProtection="1">
      <alignment horizontal="centerContinuous" vertical="center"/>
    </xf>
    <xf numFmtId="37" fontId="5" fillId="3" borderId="3" xfId="0" applyFont="1" applyFill="1" applyBorder="1" applyAlignment="1" applyProtection="1">
      <alignment horizontal="centerContinuous"/>
    </xf>
    <xf numFmtId="37" fontId="5" fillId="3" borderId="3" xfId="0" quotePrefix="1" applyFont="1" applyFill="1" applyBorder="1" applyAlignment="1" applyProtection="1">
      <alignment horizontal="centerContinuous"/>
    </xf>
    <xf numFmtId="37" fontId="5" fillId="3" borderId="3" xfId="0" applyFont="1" applyFill="1" applyBorder="1" applyProtection="1"/>
    <xf numFmtId="169" fontId="5" fillId="3" borderId="0" xfId="0" applyNumberFormat="1" applyFont="1" applyFill="1" applyProtection="1"/>
    <xf numFmtId="37" fontId="3" fillId="0" borderId="10" xfId="0" applyFont="1" applyBorder="1" applyAlignment="1" applyProtection="1">
      <alignment horizontal="centerContinuous"/>
    </xf>
    <xf numFmtId="37" fontId="3" fillId="0" borderId="7" xfId="0" applyFont="1" applyBorder="1" applyAlignment="1">
      <alignment vertical="center"/>
    </xf>
    <xf numFmtId="37" fontId="3" fillId="0" borderId="8" xfId="0" applyFont="1" applyBorder="1" applyAlignment="1">
      <alignment vertical="center"/>
    </xf>
    <xf numFmtId="37" fontId="5" fillId="0" borderId="0" xfId="0" applyFont="1" applyProtection="1"/>
    <xf numFmtId="173" fontId="5" fillId="0" borderId="1" xfId="0" applyNumberFormat="1" applyFont="1" applyBorder="1" applyAlignment="1">
      <alignment vertical="center"/>
    </xf>
    <xf numFmtId="173" fontId="5" fillId="0" borderId="14" xfId="0" applyNumberFormat="1" applyFont="1" applyBorder="1" applyAlignment="1">
      <alignment vertical="center"/>
    </xf>
    <xf numFmtId="173" fontId="5" fillId="0" borderId="6" xfId="0" applyNumberFormat="1" applyFont="1" applyBorder="1" applyAlignment="1">
      <alignment vertical="center"/>
    </xf>
    <xf numFmtId="173" fontId="5" fillId="0" borderId="0" xfId="0" applyNumberFormat="1" applyFont="1" applyAlignment="1">
      <alignment vertical="center"/>
    </xf>
    <xf numFmtId="37" fontId="5" fillId="0" borderId="11" xfId="0" applyFont="1" applyBorder="1" applyProtection="1"/>
    <xf numFmtId="37" fontId="5" fillId="0" borderId="15" xfId="0" applyFont="1" applyBorder="1"/>
    <xf numFmtId="37" fontId="3" fillId="0" borderId="15" xfId="0" applyFont="1" applyBorder="1" applyAlignment="1">
      <alignment horizontal="centerContinuous" vertical="center"/>
    </xf>
    <xf numFmtId="37" fontId="3" fillId="3" borderId="0" xfId="0" applyFont="1" applyFill="1" applyAlignment="1">
      <alignment horizontal="centerContinuous"/>
    </xf>
    <xf numFmtId="37" fontId="5" fillId="3" borderId="0" xfId="0" applyFont="1" applyFill="1" applyAlignment="1">
      <alignment horizontal="centerContinuous"/>
    </xf>
    <xf numFmtId="37" fontId="5" fillId="0" borderId="16" xfId="0" applyFont="1" applyBorder="1"/>
    <xf numFmtId="37" fontId="5" fillId="0" borderId="5" xfId="0" applyFont="1" applyBorder="1"/>
    <xf numFmtId="37" fontId="3" fillId="0" borderId="17" xfId="0" applyFont="1" applyBorder="1"/>
    <xf numFmtId="170" fontId="5" fillId="0" borderId="1" xfId="0" applyNumberFormat="1" applyFont="1" applyBorder="1" applyProtection="1"/>
    <xf numFmtId="170" fontId="5" fillId="0" borderId="6" xfId="0" applyNumberFormat="1" applyFont="1" applyBorder="1" applyProtection="1"/>
    <xf numFmtId="37" fontId="5" fillId="0" borderId="6" xfId="0" applyFont="1" applyBorder="1"/>
    <xf numFmtId="165" fontId="5" fillId="0" borderId="13" xfId="0" applyNumberFormat="1" applyFont="1" applyBorder="1" applyProtection="1"/>
    <xf numFmtId="170" fontId="5" fillId="0" borderId="13" xfId="0" applyNumberFormat="1" applyFont="1" applyBorder="1" applyProtection="1"/>
    <xf numFmtId="49" fontId="9" fillId="0" borderId="6" xfId="0" applyNumberFormat="1" applyFont="1" applyBorder="1"/>
    <xf numFmtId="37" fontId="5" fillId="0" borderId="1" xfId="0" applyNumberFormat="1" applyFont="1" applyBorder="1" applyProtection="1"/>
    <xf numFmtId="37" fontId="5" fillId="0" borderId="6" xfId="0" applyNumberFormat="1" applyFont="1" applyBorder="1" applyProtection="1"/>
    <xf numFmtId="37" fontId="3" fillId="0" borderId="17" xfId="0" applyFont="1" applyBorder="1" applyAlignment="1">
      <alignment vertical="top"/>
    </xf>
    <xf numFmtId="37" fontId="5" fillId="0" borderId="13" xfId="0" applyFont="1" applyBorder="1" applyAlignment="1">
      <alignment horizontal="right" textRotation="180"/>
    </xf>
    <xf numFmtId="170" fontId="5" fillId="0" borderId="0" xfId="0" applyNumberFormat="1" applyFont="1" applyProtection="1"/>
    <xf numFmtId="49" fontId="9" fillId="0" borderId="0" xfId="0" applyNumberFormat="1" applyFont="1"/>
    <xf numFmtId="37" fontId="5" fillId="0" borderId="13" xfId="0" applyNumberFormat="1" applyFont="1" applyBorder="1" applyProtection="1"/>
    <xf numFmtId="37" fontId="5" fillId="0" borderId="0" xfId="0" applyNumberFormat="1" applyFont="1" applyProtection="1"/>
    <xf numFmtId="37" fontId="5" fillId="0" borderId="18" xfId="0" applyFont="1" applyBorder="1"/>
    <xf numFmtId="37" fontId="3" fillId="0" borderId="19" xfId="0" applyFont="1" applyBorder="1"/>
    <xf numFmtId="170" fontId="3" fillId="0" borderId="20" xfId="0" applyNumberFormat="1" applyFont="1" applyBorder="1" applyProtection="1"/>
    <xf numFmtId="170" fontId="3" fillId="0" borderId="19" xfId="0" applyNumberFormat="1" applyFont="1" applyBorder="1" applyProtection="1"/>
    <xf numFmtId="170" fontId="3" fillId="0" borderId="15" xfId="0" applyNumberFormat="1" applyFont="1" applyBorder="1" applyProtection="1"/>
    <xf numFmtId="170" fontId="5" fillId="0" borderId="15" xfId="0" applyNumberFormat="1" applyFont="1" applyBorder="1"/>
    <xf numFmtId="39" fontId="5" fillId="0" borderId="0" xfId="0" applyNumberFormat="1" applyFont="1"/>
    <xf numFmtId="37" fontId="5" fillId="3" borderId="2" xfId="0" applyFont="1" applyFill="1" applyBorder="1" applyAlignment="1">
      <alignment horizontal="center"/>
    </xf>
    <xf numFmtId="37" fontId="5" fillId="3" borderId="3" xfId="0" applyFont="1" applyFill="1" applyBorder="1"/>
    <xf numFmtId="37" fontId="3" fillId="0" borderId="7" xfId="0" applyFont="1" applyBorder="1"/>
    <xf numFmtId="37" fontId="3" fillId="3" borderId="1" xfId="0" applyFont="1" applyFill="1" applyBorder="1"/>
    <xf numFmtId="37" fontId="3" fillId="3" borderId="0" xfId="0" applyFont="1" applyFill="1"/>
    <xf numFmtId="37" fontId="5" fillId="3" borderId="2" xfId="0" applyFont="1" applyFill="1" applyBorder="1" applyAlignment="1"/>
    <xf numFmtId="37" fontId="3" fillId="3" borderId="3" xfId="0" applyFont="1" applyFill="1" applyBorder="1" applyAlignment="1" applyProtection="1">
      <alignment horizontal="centerContinuous" vertical="center"/>
    </xf>
    <xf numFmtId="37" fontId="5" fillId="3" borderId="3" xfId="0" applyFont="1" applyFill="1" applyBorder="1" applyAlignment="1"/>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5" fillId="0" borderId="0" xfId="0" applyFont="1" applyAlignment="1">
      <alignment horizontal="centerContinuous"/>
    </xf>
    <xf numFmtId="167" fontId="5" fillId="0" borderId="0" xfId="0" applyNumberFormat="1" applyFont="1" applyAlignment="1" applyProtection="1">
      <alignment horizontal="centerContinuous"/>
    </xf>
    <xf numFmtId="37" fontId="5" fillId="3" borderId="2" xfId="0" applyFont="1" applyFill="1" applyBorder="1" applyAlignment="1">
      <alignment horizontal="right"/>
    </xf>
    <xf numFmtId="37" fontId="3" fillId="0" borderId="9" xfId="0" applyFont="1" applyBorder="1"/>
    <xf numFmtId="37" fontId="3" fillId="0" borderId="9" xfId="0" applyFont="1" applyBorder="1" applyAlignment="1">
      <alignment horizontal="center"/>
    </xf>
    <xf numFmtId="37" fontId="3" fillId="4" borderId="1" xfId="0" applyFont="1" applyFill="1" applyBorder="1" applyAlignment="1">
      <alignment horizontal="center"/>
    </xf>
    <xf numFmtId="37" fontId="5" fillId="4" borderId="0" xfId="0" applyFont="1" applyFill="1" applyBorder="1"/>
    <xf numFmtId="167" fontId="5" fillId="5" borderId="0" xfId="0" applyNumberFormat="1" applyFont="1" applyFill="1" applyBorder="1" applyProtection="1"/>
    <xf numFmtId="167" fontId="3" fillId="5" borderId="0" xfId="0" applyNumberFormat="1" applyFont="1" applyFill="1" applyBorder="1" applyProtection="1"/>
    <xf numFmtId="167" fontId="5" fillId="0" borderId="11" xfId="0" applyNumberFormat="1" applyFont="1" applyBorder="1" applyAlignment="1" applyProtection="1">
      <alignment horizontal="right"/>
    </xf>
    <xf numFmtId="37" fontId="3" fillId="0" borderId="15" xfId="0" applyFont="1" applyBorder="1" applyAlignment="1">
      <alignment horizontal="centerContinuous"/>
    </xf>
    <xf numFmtId="37" fontId="5" fillId="0" borderId="15" xfId="0" applyFont="1" applyBorder="1" applyAlignment="1">
      <alignment horizontal="centerContinuous"/>
    </xf>
    <xf numFmtId="37" fontId="5" fillId="0" borderId="15" xfId="0" applyFont="1" applyBorder="1" applyAlignment="1"/>
    <xf numFmtId="37" fontId="5" fillId="0" borderId="15" xfId="0" applyFont="1" applyBorder="1" applyAlignment="1">
      <alignment horizontal="right"/>
    </xf>
    <xf numFmtId="37" fontId="3" fillId="0" borderId="0" xfId="0" applyFont="1" applyAlignment="1">
      <alignment horizontal="centerContinuous"/>
    </xf>
    <xf numFmtId="37" fontId="3" fillId="0" borderId="18" xfId="0" applyFont="1" applyBorder="1" applyAlignment="1">
      <alignment horizontal="centerContinuous"/>
    </xf>
    <xf numFmtId="37" fontId="5" fillId="0" borderId="19" xfId="0" applyFont="1" applyBorder="1" applyAlignment="1">
      <alignment horizontal="centerContinuous"/>
    </xf>
    <xf numFmtId="37" fontId="3" fillId="3" borderId="23"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5" fillId="0" borderId="2" xfId="0" applyFont="1" applyBorder="1"/>
    <xf numFmtId="170" fontId="5" fillId="3" borderId="7" xfId="0" applyNumberFormat="1" applyFont="1" applyFill="1" applyBorder="1" applyProtection="1"/>
    <xf numFmtId="37" fontId="5" fillId="3" borderId="21" xfId="0" applyFont="1" applyFill="1" applyBorder="1"/>
    <xf numFmtId="170" fontId="5" fillId="3" borderId="21" xfId="0" applyNumberFormat="1" applyFont="1" applyFill="1" applyBorder="1" applyProtection="1"/>
    <xf numFmtId="37" fontId="5" fillId="0" borderId="21" xfId="0" applyFont="1" applyBorder="1"/>
    <xf numFmtId="170" fontId="5" fillId="0" borderId="21" xfId="0" applyNumberFormat="1" applyFont="1" applyBorder="1" applyProtection="1"/>
    <xf numFmtId="170" fontId="5" fillId="0" borderId="21" xfId="0" applyNumberFormat="1" applyFont="1" applyBorder="1"/>
    <xf numFmtId="37" fontId="5" fillId="0" borderId="8" xfId="0" applyFont="1" applyBorder="1" applyAlignment="1">
      <alignment horizontal="left"/>
    </xf>
    <xf numFmtId="170" fontId="5" fillId="0" borderId="8" xfId="0" applyNumberFormat="1" applyFont="1" applyBorder="1" applyProtection="1"/>
    <xf numFmtId="37" fontId="3" fillId="0" borderId="23" xfId="0" applyFont="1" applyFill="1" applyBorder="1"/>
    <xf numFmtId="37" fontId="5" fillId="0" borderId="21" xfId="0" applyNumberFormat="1" applyFont="1" applyBorder="1" applyProtection="1"/>
    <xf numFmtId="37" fontId="5" fillId="0" borderId="21" xfId="0" quotePrefix="1" applyFont="1" applyBorder="1" applyAlignment="1">
      <alignment horizontal="left"/>
    </xf>
    <xf numFmtId="37" fontId="5" fillId="0" borderId="8" xfId="0" applyFont="1" applyBorder="1"/>
    <xf numFmtId="37" fontId="3" fillId="0" borderId="7" xfId="0" applyFont="1" applyFill="1" applyBorder="1"/>
    <xf numFmtId="37" fontId="5" fillId="0" borderId="8" xfId="0" applyNumberFormat="1" applyFont="1" applyBorder="1" applyProtection="1"/>
    <xf numFmtId="170" fontId="3" fillId="0" borderId="23" xfId="0" applyNumberFormat="1" applyFont="1" applyFill="1" applyBorder="1"/>
    <xf numFmtId="166" fontId="5" fillId="0" borderId="0" xfId="0" applyNumberFormat="1" applyFont="1" applyProtection="1"/>
    <xf numFmtId="49" fontId="5" fillId="0" borderId="0" xfId="0" applyNumberFormat="1" applyFont="1"/>
    <xf numFmtId="37" fontId="5" fillId="0" borderId="0" xfId="0" applyFont="1" applyAlignment="1">
      <alignment horizontal="right"/>
    </xf>
    <xf numFmtId="37" fontId="5" fillId="0" borderId="0" xfId="0" applyNumberFormat="1" applyFont="1" applyAlignment="1" applyProtection="1">
      <alignment horizontal="right"/>
    </xf>
    <xf numFmtId="49" fontId="5" fillId="0" borderId="0" xfId="0" quotePrefix="1" applyNumberFormat="1" applyFont="1" applyBorder="1" applyAlignment="1">
      <alignment horizontal="left"/>
    </xf>
    <xf numFmtId="37" fontId="5" fillId="0" borderId="0" xfId="0" quotePrefix="1" applyFont="1" applyAlignment="1">
      <alignment horizontal="left"/>
    </xf>
    <xf numFmtId="165" fontId="5" fillId="0" borderId="2" xfId="0" applyNumberFormat="1" applyFont="1" applyBorder="1" applyAlignment="1" applyProtection="1">
      <alignment vertical="center"/>
    </xf>
    <xf numFmtId="37" fontId="5" fillId="0" borderId="24" xfId="0" applyFont="1" applyBorder="1" applyAlignment="1">
      <alignment horizontal="centerContinuous"/>
    </xf>
    <xf numFmtId="37" fontId="6" fillId="0" borderId="2" xfId="0" applyFont="1" applyBorder="1" applyProtection="1">
      <protection locked="0"/>
    </xf>
    <xf numFmtId="165" fontId="5" fillId="0" borderId="3" xfId="0" applyNumberFormat="1" applyFont="1" applyBorder="1" applyAlignment="1" applyProtection="1">
      <alignment vertical="center"/>
    </xf>
    <xf numFmtId="37" fontId="6" fillId="0" borderId="3" xfId="0" applyFont="1" applyBorder="1" applyProtection="1">
      <protection locked="0"/>
    </xf>
    <xf numFmtId="37" fontId="3" fillId="3" borderId="6" xfId="0" applyFont="1" applyFill="1" applyBorder="1" applyAlignment="1">
      <alignment horizontal="centerContinuous"/>
    </xf>
    <xf numFmtId="37" fontId="3" fillId="3" borderId="6" xfId="0" applyFont="1" applyFill="1" applyBorder="1"/>
    <xf numFmtId="170" fontId="5" fillId="0" borderId="1" xfId="0" applyNumberFormat="1" applyFont="1" applyBorder="1"/>
    <xf numFmtId="170" fontId="5" fillId="0" borderId="0" xfId="0" applyNumberFormat="1" applyFont="1"/>
    <xf numFmtId="37" fontId="5" fillId="0" borderId="24" xfId="0" applyFont="1" applyBorder="1" applyAlignment="1"/>
    <xf numFmtId="37" fontId="5" fillId="3" borderId="2" xfId="0" applyFont="1" applyFill="1" applyBorder="1" applyAlignment="1">
      <alignment horizontal="centerContinuous" vertical="center"/>
    </xf>
    <xf numFmtId="37" fontId="5" fillId="3" borderId="3" xfId="0" applyFont="1" applyFill="1" applyBorder="1" applyAlignment="1">
      <alignment horizontal="centerContinuous" vertical="center"/>
    </xf>
    <xf numFmtId="37" fontId="5" fillId="0" borderId="11" xfId="0" applyFont="1" applyBorder="1" applyAlignment="1">
      <alignment horizontal="centerContinuous"/>
    </xf>
    <xf numFmtId="39" fontId="5" fillId="0" borderId="1" xfId="0" applyNumberFormat="1" applyFont="1" applyBorder="1"/>
    <xf numFmtId="0" fontId="5" fillId="3" borderId="2" xfId="0" applyNumberFormat="1" applyFont="1" applyFill="1" applyBorder="1" applyAlignment="1"/>
    <xf numFmtId="0" fontId="5" fillId="3" borderId="3" xfId="0" applyNumberFormat="1" applyFont="1" applyFill="1" applyBorder="1" applyAlignment="1"/>
    <xf numFmtId="37" fontId="5" fillId="3" borderId="6" xfId="0" applyFont="1" applyFill="1" applyBorder="1"/>
    <xf numFmtId="39" fontId="5" fillId="0" borderId="0" xfId="0" applyNumberFormat="1" applyFont="1" applyProtection="1"/>
    <xf numFmtId="37" fontId="5" fillId="3" borderId="2" xfId="0" applyFont="1" applyFill="1" applyBorder="1" applyAlignment="1">
      <alignment horizontal="right" vertical="center"/>
    </xf>
    <xf numFmtId="37" fontId="3" fillId="0" borderId="19" xfId="0" applyFont="1" applyBorder="1" applyAlignment="1">
      <alignment horizontal="centerContinuous"/>
    </xf>
    <xf numFmtId="165" fontId="5" fillId="0" borderId="2" xfId="0" applyNumberFormat="1" applyFont="1" applyBorder="1" applyAlignment="1" applyProtection="1">
      <alignment horizontal="centerContinuous"/>
    </xf>
    <xf numFmtId="165" fontId="5" fillId="0" borderId="3" xfId="0" applyNumberFormat="1" applyFont="1" applyBorder="1" applyAlignment="1" applyProtection="1">
      <alignment horizontal="centerContinuous"/>
    </xf>
    <xf numFmtId="37" fontId="3" fillId="0" borderId="20" xfId="0" applyFont="1" applyBorder="1" applyAlignment="1">
      <alignment horizontal="centerContinuous"/>
    </xf>
    <xf numFmtId="10" fontId="5" fillId="3" borderId="2" xfId="0" applyNumberFormat="1" applyFont="1" applyFill="1" applyBorder="1" applyAlignment="1" applyProtection="1">
      <alignment horizontal="centerContinuous"/>
    </xf>
    <xf numFmtId="37" fontId="5" fillId="3" borderId="3" xfId="0" applyFont="1" applyFill="1" applyBorder="1" applyAlignment="1" applyProtection="1">
      <alignment horizontal="centerContinuous"/>
      <protection locked="0"/>
    </xf>
    <xf numFmtId="37" fontId="3" fillId="3" borderId="15" xfId="0" applyFont="1" applyFill="1" applyBorder="1" applyProtection="1"/>
    <xf numFmtId="37" fontId="5" fillId="3" borderId="15" xfId="0" applyFont="1" applyFill="1" applyBorder="1" applyProtection="1"/>
    <xf numFmtId="37" fontId="5" fillId="3" borderId="19" xfId="0" applyFont="1" applyFill="1" applyBorder="1" applyProtection="1"/>
    <xf numFmtId="37" fontId="3" fillId="3" borderId="5" xfId="0" applyFont="1" applyFill="1" applyBorder="1" applyProtection="1"/>
    <xf numFmtId="37" fontId="3" fillId="3" borderId="1" xfId="0" applyFont="1" applyFill="1" applyBorder="1" applyProtection="1"/>
    <xf numFmtId="37" fontId="3" fillId="3" borderId="1" xfId="0" applyFont="1" applyFill="1" applyBorder="1" applyAlignment="1" applyProtection="1">
      <alignment horizontal="centerContinuous"/>
    </xf>
    <xf numFmtId="37" fontId="3" fillId="0" borderId="9" xfId="0" applyFont="1" applyBorder="1" applyAlignment="1" applyProtection="1">
      <alignment horizontal="centerContinuous"/>
    </xf>
    <xf numFmtId="37" fontId="5" fillId="0" borderId="0" xfId="0" applyFont="1" applyBorder="1"/>
    <xf numFmtId="37" fontId="5" fillId="0" borderId="0" xfId="0" applyNumberFormat="1" applyFont="1" applyAlignment="1" applyProtection="1">
      <alignment horizontal="centerContinuous"/>
    </xf>
    <xf numFmtId="37" fontId="5" fillId="3" borderId="2" xfId="0" applyFont="1" applyFill="1" applyBorder="1" applyAlignment="1" applyProtection="1"/>
    <xf numFmtId="37" fontId="5" fillId="3" borderId="3" xfId="0" applyFont="1" applyFill="1" applyBorder="1" applyAlignment="1" applyProtection="1"/>
    <xf numFmtId="37" fontId="5" fillId="3" borderId="3" xfId="0" applyFont="1" applyFill="1" applyBorder="1" applyAlignment="1" applyProtection="1">
      <alignment horizontal="center"/>
    </xf>
    <xf numFmtId="37" fontId="3" fillId="3" borderId="6" xfId="0" applyFont="1" applyFill="1" applyBorder="1" applyProtection="1"/>
    <xf numFmtId="37" fontId="5" fillId="0" borderId="6" xfId="0" applyFont="1" applyBorder="1" applyProtection="1"/>
    <xf numFmtId="170" fontId="5" fillId="0" borderId="13" xfId="0" applyNumberFormat="1" applyFont="1" applyBorder="1" applyAlignment="1">
      <alignment vertical="center"/>
    </xf>
    <xf numFmtId="174" fontId="5" fillId="0" borderId="25" xfId="0" applyNumberFormat="1" applyFont="1" applyBorder="1" applyAlignment="1">
      <alignment vertical="center"/>
    </xf>
    <xf numFmtId="174" fontId="5" fillId="0" borderId="0" xfId="0" applyNumberFormat="1" applyFont="1" applyAlignment="1">
      <alignment vertical="center"/>
    </xf>
    <xf numFmtId="37" fontId="3" fillId="3" borderId="6" xfId="0" applyFont="1" applyFill="1" applyBorder="1" applyAlignment="1" applyProtection="1">
      <alignment horizontal="centerContinuous"/>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165" fontId="5" fillId="0" borderId="2" xfId="0" applyNumberFormat="1" applyFont="1" applyBorder="1" applyAlignment="1" applyProtection="1">
      <alignment horizontal="centerContinuous" vertical="center"/>
    </xf>
    <xf numFmtId="37" fontId="5" fillId="0" borderId="24" xfId="0" applyFont="1" applyBorder="1" applyAlignment="1">
      <alignment horizontal="centerContinuous" vertical="center"/>
    </xf>
    <xf numFmtId="165" fontId="5" fillId="0" borderId="3" xfId="0" applyNumberFormat="1" applyFont="1" applyBorder="1" applyAlignment="1" applyProtection="1">
      <alignment horizontal="centerContinuous" vertical="center"/>
    </xf>
    <xf numFmtId="165" fontId="5" fillId="0" borderId="0" xfId="0" applyNumberFormat="1" applyFont="1" applyBorder="1" applyProtection="1"/>
    <xf numFmtId="37" fontId="3" fillId="3" borderId="18" xfId="0" applyFont="1" applyFill="1" applyBorder="1" applyAlignment="1">
      <alignment horizontal="centerContinuous"/>
    </xf>
    <xf numFmtId="165" fontId="6" fillId="0" borderId="0" xfId="0" applyNumberFormat="1" applyFont="1" applyProtection="1">
      <protection locked="0"/>
    </xf>
    <xf numFmtId="165" fontId="5" fillId="0" borderId="15" xfId="0" applyNumberFormat="1" applyFont="1" applyBorder="1" applyAlignment="1" applyProtection="1">
      <alignment vertical="center"/>
    </xf>
    <xf numFmtId="37" fontId="3" fillId="3" borderId="15" xfId="0" quotePrefix="1" applyFont="1" applyFill="1" applyBorder="1" applyAlignment="1" applyProtection="1">
      <alignment horizontal="centerContinuous" vertical="center"/>
    </xf>
    <xf numFmtId="37" fontId="5" fillId="0" borderId="15" xfId="0" applyFont="1" applyBorder="1" applyAlignment="1">
      <alignment horizontal="right" vertical="center"/>
    </xf>
    <xf numFmtId="37" fontId="3" fillId="0" borderId="4" xfId="0" applyFont="1" applyBorder="1" applyAlignment="1">
      <alignment horizontal="center"/>
    </xf>
    <xf numFmtId="37" fontId="5" fillId="0" borderId="0" xfId="0" applyFont="1" applyAlignment="1">
      <alignment wrapText="1"/>
    </xf>
    <xf numFmtId="37" fontId="5" fillId="0" borderId="15" xfId="0" applyFont="1" applyBorder="1" applyAlignment="1">
      <alignment vertical="center"/>
    </xf>
    <xf numFmtId="37" fontId="3" fillId="3" borderId="20" xfId="0" applyFont="1" applyFill="1" applyBorder="1" applyAlignment="1">
      <alignment horizontal="centerContinuous"/>
    </xf>
    <xf numFmtId="37" fontId="5" fillId="0" borderId="15" xfId="0" applyFont="1" applyBorder="1" applyAlignment="1">
      <alignment horizontal="left" vertical="center"/>
    </xf>
    <xf numFmtId="37" fontId="5" fillId="0" borderId="15" xfId="0" applyFont="1" applyBorder="1" applyAlignment="1">
      <alignment horizontal="left"/>
    </xf>
    <xf numFmtId="49" fontId="5" fillId="0" borderId="0" xfId="2" applyNumberFormat="1" applyFont="1"/>
    <xf numFmtId="37" fontId="3" fillId="0" borderId="2" xfId="0" applyFont="1" applyBorder="1" applyAlignment="1">
      <alignment horizontal="centerContinuous" vertical="center"/>
    </xf>
    <xf numFmtId="37" fontId="5"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5" fillId="0" borderId="3" xfId="0" applyFont="1" applyBorder="1" applyAlignment="1">
      <alignment horizontal="centerContinuous" vertical="center"/>
    </xf>
    <xf numFmtId="37" fontId="11" fillId="0" borderId="3" xfId="0" applyFont="1" applyBorder="1" applyAlignment="1">
      <alignment horizontal="centerContinuous" vertical="center"/>
    </xf>
    <xf numFmtId="49" fontId="3" fillId="0" borderId="9" xfId="0" applyNumberFormat="1" applyFont="1" applyBorder="1"/>
    <xf numFmtId="167" fontId="5" fillId="0" borderId="0" xfId="0" applyNumberFormat="1" applyFont="1"/>
    <xf numFmtId="173" fontId="5" fillId="0" borderId="1" xfId="0" applyNumberFormat="1" applyFont="1" applyBorder="1"/>
    <xf numFmtId="172" fontId="5" fillId="0" borderId="0" xfId="0" applyNumberFormat="1" applyFont="1"/>
    <xf numFmtId="173" fontId="5" fillId="0" borderId="0" xfId="0" applyNumberFormat="1" applyFont="1"/>
    <xf numFmtId="165" fontId="5" fillId="0" borderId="0" xfId="0" applyNumberFormat="1" applyFont="1" applyAlignment="1" applyProtection="1">
      <alignment horizontal="right"/>
    </xf>
    <xf numFmtId="37" fontId="5" fillId="0" borderId="0" xfId="0" applyFont="1" applyAlignment="1">
      <alignment horizontal="center"/>
    </xf>
    <xf numFmtId="37" fontId="5" fillId="0" borderId="30" xfId="0" applyFont="1" applyBorder="1"/>
    <xf numFmtId="37" fontId="5" fillId="0" borderId="27" xfId="0" applyFont="1" applyBorder="1"/>
    <xf numFmtId="0" fontId="5" fillId="0" borderId="0" xfId="0" applyNumberFormat="1" applyFont="1" applyAlignment="1">
      <alignment horizontal="center"/>
    </xf>
    <xf numFmtId="37" fontId="5" fillId="3" borderId="0" xfId="0" applyFont="1" applyFill="1" applyAlignment="1">
      <alignment horizontal="left"/>
    </xf>
    <xf numFmtId="37" fontId="5" fillId="0" borderId="0" xfId="0" quotePrefix="1" applyFont="1" applyAlignment="1">
      <alignment horizontal="center"/>
    </xf>
    <xf numFmtId="37" fontId="3" fillId="0" borderId="21" xfId="0" applyFont="1" applyBorder="1" applyAlignment="1">
      <alignment horizontal="center" vertical="center"/>
    </xf>
    <xf numFmtId="164" fontId="5" fillId="0" borderId="0" xfId="2" applyFont="1" applyAlignment="1">
      <alignment horizontal="left"/>
    </xf>
    <xf numFmtId="37" fontId="5" fillId="0" borderId="2" xfId="0" applyFont="1" applyBorder="1" applyAlignment="1">
      <alignment horizontal="centerContinuous"/>
    </xf>
    <xf numFmtId="37" fontId="5" fillId="0" borderId="2" xfId="0" applyFont="1" applyBorder="1" applyAlignment="1"/>
    <xf numFmtId="37" fontId="5" fillId="0" borderId="3" xfId="0" applyFont="1" applyBorder="1" applyAlignment="1">
      <alignment horizontal="centerContinuous"/>
    </xf>
    <xf numFmtId="37" fontId="5" fillId="0" borderId="3" xfId="0" applyFont="1" applyBorder="1" applyAlignment="1"/>
    <xf numFmtId="37" fontId="5" fillId="0" borderId="11" xfId="0" applyFont="1" applyBorder="1" applyAlignment="1">
      <alignment vertical="center"/>
    </xf>
    <xf numFmtId="37" fontId="5" fillId="0" borderId="0" xfId="0" quotePrefix="1" applyFont="1" applyBorder="1" applyAlignment="1">
      <alignment horizontal="centerContinuous"/>
    </xf>
    <xf numFmtId="49" fontId="3" fillId="5" borderId="20" xfId="0" applyNumberFormat="1" applyFont="1" applyFill="1" applyBorder="1" applyAlignment="1">
      <alignment horizontal="center"/>
    </xf>
    <xf numFmtId="37" fontId="3" fillId="3" borderId="15" xfId="0" applyFont="1" applyFill="1" applyBorder="1" applyAlignment="1">
      <alignment horizontal="centerContinuous" vertical="center"/>
    </xf>
    <xf numFmtId="37" fontId="3" fillId="3" borderId="0" xfId="0" applyFont="1" applyFill="1" applyBorder="1" applyAlignment="1">
      <alignment horizontal="centerContinuous" vertical="center"/>
    </xf>
    <xf numFmtId="37" fontId="5" fillId="3" borderId="0" xfId="0" applyFont="1" applyFill="1" applyBorder="1" applyAlignment="1">
      <alignment horizontal="centerContinuous"/>
    </xf>
    <xf numFmtId="37" fontId="5" fillId="3" borderId="0" xfId="0" quotePrefix="1" applyFont="1" applyFill="1" applyBorder="1" applyAlignment="1">
      <alignment horizontal="right"/>
    </xf>
    <xf numFmtId="37" fontId="5" fillId="0" borderId="0" xfId="0" applyFont="1" applyBorder="1" applyAlignment="1">
      <alignment vertical="center"/>
    </xf>
    <xf numFmtId="37" fontId="3" fillId="0" borderId="31" xfId="0" applyFont="1" applyBorder="1" applyAlignment="1">
      <alignment horizontal="center"/>
    </xf>
    <xf numFmtId="37" fontId="5" fillId="0" borderId="7" xfId="0" applyFont="1" applyBorder="1"/>
    <xf numFmtId="37" fontId="3" fillId="0" borderId="21" xfId="0" applyFont="1" applyBorder="1" applyAlignment="1">
      <alignment horizontal="center"/>
    </xf>
    <xf numFmtId="49" fontId="5" fillId="0" borderId="0" xfId="0" applyNumberFormat="1" applyFont="1" applyBorder="1" applyAlignment="1">
      <alignment horizontal="left"/>
    </xf>
    <xf numFmtId="37" fontId="5" fillId="3" borderId="0" xfId="0" applyFont="1" applyFill="1" applyBorder="1" applyAlignment="1">
      <alignment horizontal="right"/>
    </xf>
    <xf numFmtId="165" fontId="5" fillId="0" borderId="15" xfId="0" applyNumberFormat="1" applyFont="1" applyBorder="1" applyProtection="1"/>
    <xf numFmtId="37" fontId="5" fillId="0" borderId="15" xfId="0" applyFont="1" applyBorder="1" applyAlignment="1">
      <alignment horizontal="centerContinuous" vertical="center"/>
    </xf>
    <xf numFmtId="165" fontId="5" fillId="0" borderId="0" xfId="0" applyNumberFormat="1" applyFont="1" applyAlignment="1" applyProtection="1">
      <alignment horizontal="centerContinuous"/>
    </xf>
    <xf numFmtId="37" fontId="6" fillId="0" borderId="15" xfId="0" applyFont="1" applyBorder="1" applyAlignment="1" applyProtection="1">
      <alignment horizontal="centerContinuous" vertical="center"/>
      <protection locked="0"/>
    </xf>
    <xf numFmtId="0" fontId="5" fillId="0" borderId="0" xfId="2" applyNumberFormat="1" applyFont="1" applyAlignment="1"/>
    <xf numFmtId="37" fontId="5" fillId="0" borderId="0" xfId="0" quotePrefix="1" applyFont="1" applyAlignment="1"/>
    <xf numFmtId="37" fontId="3" fillId="0" borderId="27" xfId="0" applyFont="1" applyBorder="1" applyAlignment="1">
      <alignment horizontal="centerContinuous" vertical="center"/>
    </xf>
    <xf numFmtId="37" fontId="5" fillId="0" borderId="27" xfId="0" applyFont="1" applyBorder="1" applyAlignment="1">
      <alignment horizontal="centerContinuous" vertical="center"/>
    </xf>
    <xf numFmtId="37" fontId="6" fillId="0" borderId="15" xfId="0" applyFont="1" applyBorder="1" applyAlignment="1" applyProtection="1">
      <alignment vertical="center"/>
      <protection locked="0"/>
    </xf>
    <xf numFmtId="37" fontId="3" fillId="0" borderId="1" xfId="0" applyFont="1" applyBorder="1"/>
    <xf numFmtId="49" fontId="5" fillId="0" borderId="0" xfId="0" applyNumberFormat="1" applyFont="1" applyBorder="1" applyAlignment="1">
      <alignment vertical="center"/>
    </xf>
    <xf numFmtId="170" fontId="5" fillId="0" borderId="0" xfId="0" applyNumberFormat="1" applyFont="1" applyBorder="1"/>
    <xf numFmtId="165" fontId="5" fillId="0" borderId="24" xfId="0" applyNumberFormat="1" applyFont="1" applyBorder="1" applyAlignment="1" applyProtection="1">
      <alignment vertical="center"/>
    </xf>
    <xf numFmtId="37" fontId="3" fillId="0" borderId="24" xfId="0" applyFont="1" applyBorder="1" applyAlignment="1">
      <alignment horizontal="centerContinuous" vertical="center"/>
    </xf>
    <xf numFmtId="165" fontId="5" fillId="0" borderId="11" xfId="0" applyNumberFormat="1" applyFont="1" applyBorder="1" applyAlignment="1" applyProtection="1">
      <alignment vertical="center"/>
    </xf>
    <xf numFmtId="37" fontId="5" fillId="0" borderId="11" xfId="0" applyFont="1" applyBorder="1" applyAlignment="1"/>
    <xf numFmtId="37" fontId="5" fillId="0" borderId="32" xfId="0" applyFont="1" applyBorder="1"/>
    <xf numFmtId="166" fontId="5" fillId="0" borderId="0" xfId="6" applyNumberFormat="1" applyFont="1" applyBorder="1"/>
    <xf numFmtId="37" fontId="5" fillId="0" borderId="0" xfId="0" applyNumberFormat="1" applyFont="1"/>
    <xf numFmtId="170" fontId="5" fillId="0" borderId="1" xfId="0" applyNumberFormat="1" applyFont="1" applyBorder="1" applyAlignment="1">
      <alignment horizontal="right"/>
    </xf>
    <xf numFmtId="37" fontId="3" fillId="0" borderId="33" xfId="0" applyFont="1" applyBorder="1"/>
    <xf numFmtId="37" fontId="3" fillId="0" borderId="34" xfId="0" applyFont="1" applyBorder="1"/>
    <xf numFmtId="37" fontId="3" fillId="0" borderId="7" xfId="0" applyFont="1" applyFill="1" applyBorder="1" applyAlignment="1">
      <alignment horizontal="centerContinuous" vertical="center"/>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1" xfId="0" applyFont="1" applyFill="1" applyBorder="1" applyAlignment="1"/>
    <xf numFmtId="37" fontId="12" fillId="3" borderId="0" xfId="0" applyFont="1" applyFill="1" applyAlignment="1">
      <alignment horizontal="centerContinuous"/>
    </xf>
    <xf numFmtId="49" fontId="8" fillId="0" borderId="0" xfId="0" applyNumberFormat="1" applyFont="1" applyAlignment="1">
      <alignment horizontal="right"/>
    </xf>
    <xf numFmtId="37" fontId="12" fillId="0" borderId="0" xfId="0" applyFont="1" applyAlignment="1">
      <alignment horizontal="centerContinuous"/>
    </xf>
    <xf numFmtId="37" fontId="13" fillId="0" borderId="17" xfId="0" applyFont="1" applyBorder="1" applyAlignment="1">
      <alignment horizontal="right" vertical="top" textRotation="180"/>
    </xf>
    <xf numFmtId="168" fontId="5" fillId="3" borderId="21" xfId="0" applyNumberFormat="1" applyFont="1" applyFill="1" applyBorder="1" applyProtection="1"/>
    <xf numFmtId="168" fontId="5" fillId="0" borderId="21" xfId="0" applyNumberFormat="1" applyFont="1" applyBorder="1" applyProtection="1"/>
    <xf numFmtId="168" fontId="5" fillId="0" borderId="8" xfId="0" applyNumberFormat="1" applyFont="1" applyBorder="1" applyProtection="1"/>
    <xf numFmtId="168" fontId="5" fillId="3" borderId="7" xfId="0" applyNumberFormat="1" applyFont="1" applyFill="1" applyBorder="1" applyProtection="1"/>
    <xf numFmtId="168" fontId="3" fillId="0" borderId="23" xfId="6" applyNumberFormat="1" applyFont="1" applyFill="1" applyBorder="1"/>
    <xf numFmtId="168" fontId="3" fillId="0" borderId="7" xfId="6" applyNumberFormat="1" applyFont="1" applyFill="1" applyBorder="1"/>
    <xf numFmtId="168" fontId="5" fillId="0" borderId="0" xfId="0" applyNumberFormat="1" applyFont="1" applyProtection="1"/>
    <xf numFmtId="168" fontId="5" fillId="0" borderId="0" xfId="6" applyNumberFormat="1" applyFont="1"/>
    <xf numFmtId="168" fontId="5" fillId="0" borderId="1" xfId="6" applyNumberFormat="1" applyFont="1" applyBorder="1"/>
    <xf numFmtId="37" fontId="3" fillId="6" borderId="16" xfId="0" applyFont="1" applyFill="1" applyBorder="1" applyAlignment="1">
      <alignment horizontal="centerContinuous"/>
    </xf>
    <xf numFmtId="37" fontId="3" fillId="6" borderId="2" xfId="0" applyFont="1" applyFill="1" applyBorder="1" applyAlignment="1">
      <alignment horizontal="centerContinuous"/>
    </xf>
    <xf numFmtId="37" fontId="3" fillId="6" borderId="5" xfId="0" applyFont="1" applyFill="1" applyBorder="1" applyAlignment="1">
      <alignment horizontal="centerContinuous"/>
    </xf>
    <xf numFmtId="49" fontId="5" fillId="6" borderId="1" xfId="0" applyNumberFormat="1" applyFont="1" applyFill="1" applyBorder="1" applyAlignment="1">
      <alignment vertical="center"/>
    </xf>
    <xf numFmtId="170" fontId="5" fillId="6" borderId="1" xfId="0" applyNumberFormat="1" applyFont="1" applyFill="1" applyBorder="1" applyAlignment="1">
      <alignment vertical="center"/>
    </xf>
    <xf numFmtId="168" fontId="5" fillId="6" borderId="1" xfId="6" applyNumberFormat="1" applyFont="1" applyFill="1" applyBorder="1"/>
    <xf numFmtId="49" fontId="3" fillId="6" borderId="20" xfId="2" applyNumberFormat="1" applyFont="1" applyFill="1" applyBorder="1" applyAlignment="1">
      <alignment vertical="center"/>
    </xf>
    <xf numFmtId="170" fontId="3" fillId="6" borderId="20" xfId="0" applyNumberFormat="1" applyFont="1" applyFill="1" applyBorder="1" applyAlignment="1">
      <alignment vertical="center"/>
    </xf>
    <xf numFmtId="168" fontId="3" fillId="6" borderId="20" xfId="6" applyNumberFormat="1" applyFont="1" applyFill="1" applyBorder="1"/>
    <xf numFmtId="37" fontId="5" fillId="6" borderId="16" xfId="0" applyFont="1" applyFill="1" applyBorder="1"/>
    <xf numFmtId="37" fontId="3" fillId="6" borderId="2" xfId="0" applyFont="1" applyFill="1" applyBorder="1"/>
    <xf numFmtId="37" fontId="5" fillId="6" borderId="5" xfId="0" applyFont="1" applyFill="1" applyBorder="1" applyAlignment="1">
      <alignment horizontal="centerContinuous"/>
    </xf>
    <xf numFmtId="37" fontId="5" fillId="6" borderId="2" xfId="0" applyFont="1" applyFill="1" applyBorder="1" applyAlignment="1">
      <alignment horizontal="centerContinuous"/>
    </xf>
    <xf numFmtId="37" fontId="3" fillId="7" borderId="23" xfId="0" applyFont="1" applyFill="1" applyBorder="1"/>
    <xf numFmtId="37" fontId="3" fillId="7" borderId="35" xfId="0" applyFont="1" applyFill="1" applyBorder="1"/>
    <xf numFmtId="37" fontId="3" fillId="6" borderId="18" xfId="0" applyFont="1" applyFill="1" applyBorder="1" applyAlignment="1">
      <alignment horizontal="centerContinuous"/>
    </xf>
    <xf numFmtId="37" fontId="3" fillId="6" borderId="4" xfId="0" applyFont="1" applyFill="1" applyBorder="1" applyAlignment="1">
      <alignment horizontal="centerContinuous"/>
    </xf>
    <xf numFmtId="37" fontId="3" fillId="6" borderId="9" xfId="0" applyFont="1" applyFill="1" applyBorder="1" applyAlignment="1">
      <alignment horizontal="centerContinuous"/>
    </xf>
    <xf numFmtId="37" fontId="3" fillId="6" borderId="30" xfId="0" applyFont="1" applyFill="1" applyBorder="1" applyAlignment="1">
      <alignment horizontal="centerContinuous"/>
    </xf>
    <xf numFmtId="37" fontId="3" fillId="6" borderId="27" xfId="0" applyFont="1" applyFill="1" applyBorder="1" applyAlignment="1">
      <alignment horizontal="centerContinuous"/>
    </xf>
    <xf numFmtId="37" fontId="3" fillId="6" borderId="28" xfId="0" applyFont="1" applyFill="1" applyBorder="1" applyAlignment="1">
      <alignment horizontal="centerContinuous"/>
    </xf>
    <xf numFmtId="37" fontId="3" fillId="6" borderId="36" xfId="0" applyFont="1" applyFill="1" applyBorder="1" applyAlignment="1">
      <alignment horizontal="center"/>
    </xf>
    <xf numFmtId="37" fontId="3" fillId="6" borderId="19" xfId="0" applyFont="1" applyFill="1" applyBorder="1" applyAlignment="1">
      <alignment horizontal="center"/>
    </xf>
    <xf numFmtId="37" fontId="3" fillId="6" borderId="20" xfId="0" applyFont="1" applyFill="1" applyBorder="1" applyAlignment="1">
      <alignment horizontal="center"/>
    </xf>
    <xf numFmtId="173" fontId="5" fillId="6" borderId="1" xfId="0" applyNumberFormat="1" applyFont="1" applyFill="1" applyBorder="1" applyAlignment="1">
      <alignment vertical="center"/>
    </xf>
    <xf numFmtId="173" fontId="3" fillId="6" borderId="20" xfId="0" applyNumberFormat="1" applyFont="1" applyFill="1" applyBorder="1" applyAlignment="1">
      <alignment vertical="center"/>
    </xf>
    <xf numFmtId="37" fontId="3" fillId="6" borderId="19" xfId="0" applyFont="1" applyFill="1" applyBorder="1" applyAlignment="1">
      <alignment horizontal="centerContinuous"/>
    </xf>
    <xf numFmtId="173" fontId="5" fillId="6" borderId="14" xfId="0" applyNumberFormat="1" applyFont="1" applyFill="1" applyBorder="1" applyAlignment="1">
      <alignment vertical="center"/>
    </xf>
    <xf numFmtId="173" fontId="5" fillId="6" borderId="6" xfId="0" applyNumberFormat="1" applyFont="1" applyFill="1" applyBorder="1" applyAlignment="1">
      <alignment vertical="center"/>
    </xf>
    <xf numFmtId="37" fontId="3" fillId="6" borderId="19" xfId="0" applyFont="1" applyFill="1" applyBorder="1" applyAlignment="1">
      <alignment horizontal="centerContinuous" vertical="center"/>
    </xf>
    <xf numFmtId="170" fontId="5" fillId="6" borderId="13" xfId="0" applyNumberFormat="1" applyFont="1" applyFill="1" applyBorder="1" applyAlignment="1">
      <alignment vertical="center"/>
    </xf>
    <xf numFmtId="174" fontId="5" fillId="6" borderId="25" xfId="0" applyNumberFormat="1" applyFont="1" applyFill="1" applyBorder="1" applyAlignment="1">
      <alignment vertical="center"/>
    </xf>
    <xf numFmtId="168" fontId="3" fillId="6" borderId="19" xfId="6" applyNumberFormat="1" applyFont="1" applyFill="1" applyBorder="1"/>
    <xf numFmtId="37" fontId="3" fillId="6" borderId="16" xfId="0" applyFont="1" applyFill="1" applyBorder="1" applyAlignment="1"/>
    <xf numFmtId="37" fontId="3" fillId="6" borderId="5" xfId="0" applyFont="1" applyFill="1" applyBorder="1" applyAlignment="1"/>
    <xf numFmtId="170" fontId="5" fillId="6" borderId="1" xfId="0" applyNumberFormat="1" applyFont="1" applyFill="1" applyBorder="1"/>
    <xf numFmtId="39" fontId="5" fillId="6" borderId="1" xfId="0" applyNumberFormat="1" applyFont="1" applyFill="1" applyBorder="1"/>
    <xf numFmtId="170" fontId="3" fillId="6" borderId="20" xfId="0" applyNumberFormat="1" applyFont="1" applyFill="1" applyBorder="1"/>
    <xf numFmtId="39" fontId="3" fillId="6" borderId="20" xfId="0" applyNumberFormat="1" applyFont="1" applyFill="1" applyBorder="1"/>
    <xf numFmtId="170" fontId="5" fillId="6" borderId="1" xfId="0" applyNumberFormat="1" applyFont="1" applyFill="1" applyBorder="1" applyAlignment="1">
      <alignment horizontal="right"/>
    </xf>
    <xf numFmtId="39" fontId="5" fillId="6" borderId="1" xfId="0" applyNumberFormat="1" applyFont="1" applyFill="1" applyBorder="1" applyAlignment="1">
      <alignment horizontal="right"/>
    </xf>
    <xf numFmtId="37" fontId="5" fillId="6" borderId="2" xfId="0" applyFont="1" applyFill="1" applyBorder="1"/>
    <xf numFmtId="37" fontId="3" fillId="6" borderId="33" xfId="0" applyFont="1" applyFill="1" applyBorder="1" applyAlignment="1">
      <alignment horizontal="left"/>
    </xf>
    <xf numFmtId="37" fontId="3" fillId="6" borderId="24" xfId="0" applyFont="1" applyFill="1" applyBorder="1" applyAlignment="1">
      <alignment horizontal="left"/>
    </xf>
    <xf numFmtId="37" fontId="3" fillId="6" borderId="38" xfId="0" applyFont="1" applyFill="1" applyBorder="1" applyAlignment="1">
      <alignment horizontal="left"/>
    </xf>
    <xf numFmtId="37" fontId="3" fillId="6" borderId="1" xfId="0" applyFont="1" applyFill="1" applyBorder="1" applyAlignment="1">
      <alignment horizontal="centerContinuous"/>
    </xf>
    <xf numFmtId="37" fontId="3" fillId="6" borderId="16" xfId="0" applyFont="1" applyFill="1" applyBorder="1"/>
    <xf numFmtId="37" fontId="3" fillId="6" borderId="0" xfId="0" applyFont="1" applyFill="1"/>
    <xf numFmtId="37" fontId="3" fillId="6" borderId="4" xfId="0" applyFont="1" applyFill="1" applyBorder="1" applyAlignment="1">
      <alignment horizontal="center"/>
    </xf>
    <xf numFmtId="37" fontId="3" fillId="6" borderId="4" xfId="0" applyFont="1" applyFill="1" applyBorder="1"/>
    <xf numFmtId="37" fontId="3" fillId="6" borderId="4"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Continuous"/>
    </xf>
    <xf numFmtId="37" fontId="3" fillId="6" borderId="1" xfId="0" applyNumberFormat="1" applyFont="1" applyFill="1" applyBorder="1" applyAlignment="1" applyProtection="1"/>
    <xf numFmtId="37" fontId="3" fillId="6" borderId="1" xfId="0" applyFont="1" applyFill="1" applyBorder="1" applyAlignment="1"/>
    <xf numFmtId="37" fontId="3" fillId="8" borderId="4" xfId="0" applyFont="1" applyFill="1" applyBorder="1" applyAlignment="1">
      <alignment horizontal="centerContinuous"/>
    </xf>
    <xf numFmtId="37" fontId="3" fillId="8" borderId="4" xfId="0" applyFont="1" applyFill="1" applyBorder="1" applyAlignment="1">
      <alignment horizontal="center"/>
    </xf>
    <xf numFmtId="37" fontId="3" fillId="8" borderId="1" xfId="0" applyFont="1" applyFill="1" applyBorder="1" applyAlignment="1">
      <alignment horizontal="center"/>
    </xf>
    <xf numFmtId="37" fontId="3" fillId="8" borderId="10" xfId="0" applyFont="1" applyFill="1" applyBorder="1" applyAlignment="1">
      <alignment horizontal="centerContinuous"/>
    </xf>
    <xf numFmtId="37" fontId="3" fillId="8" borderId="9" xfId="0" applyFont="1" applyFill="1" applyBorder="1" applyAlignment="1">
      <alignment horizontal="centerContinuous"/>
    </xf>
    <xf numFmtId="37" fontId="3" fillId="7" borderId="16" xfId="0" applyFont="1" applyFill="1" applyBorder="1" applyAlignment="1"/>
    <xf numFmtId="37" fontId="3" fillId="7" borderId="5" xfId="0" applyFont="1" applyFill="1" applyBorder="1" applyAlignment="1"/>
    <xf numFmtId="170" fontId="5" fillId="5" borderId="1" xfId="0" applyNumberFormat="1" applyFont="1" applyFill="1" applyBorder="1"/>
    <xf numFmtId="170" fontId="5" fillId="4" borderId="1" xfId="0" applyNumberFormat="1" applyFont="1" applyFill="1" applyBorder="1"/>
    <xf numFmtId="37" fontId="5" fillId="4" borderId="0" xfId="0" applyFont="1" applyFill="1"/>
    <xf numFmtId="170" fontId="3" fillId="5" borderId="20" xfId="0" applyNumberFormat="1" applyFont="1" applyFill="1" applyBorder="1"/>
    <xf numFmtId="170" fontId="5" fillId="4" borderId="0" xfId="0" applyNumberFormat="1" applyFont="1" applyFill="1"/>
    <xf numFmtId="168" fontId="5" fillId="0" borderId="1" xfId="6" applyNumberFormat="1" applyFont="1" applyBorder="1" applyAlignment="1">
      <alignment horizontal="right"/>
    </xf>
    <xf numFmtId="168" fontId="5" fillId="6" borderId="1" xfId="6" applyNumberFormat="1" applyFont="1" applyFill="1" applyBorder="1" applyAlignment="1">
      <alignment horizontal="right"/>
    </xf>
    <xf numFmtId="173" fontId="3" fillId="6" borderId="23" xfId="0" applyNumberFormat="1" applyFont="1" applyFill="1" applyBorder="1"/>
    <xf numFmtId="168" fontId="5" fillId="0" borderId="0" xfId="6" applyNumberFormat="1" applyFont="1" applyBorder="1"/>
    <xf numFmtId="166" fontId="5" fillId="5" borderId="1" xfId="6" applyNumberFormat="1" applyFont="1" applyFill="1" applyBorder="1"/>
    <xf numFmtId="166" fontId="5" fillId="4" borderId="1" xfId="6" applyNumberFormat="1" applyFont="1" applyFill="1" applyBorder="1"/>
    <xf numFmtId="166" fontId="5" fillId="4" borderId="1" xfId="6" quotePrefix="1" applyNumberFormat="1" applyFont="1" applyFill="1" applyBorder="1" applyAlignment="1">
      <alignment horizontal="right"/>
    </xf>
    <xf numFmtId="166" fontId="5" fillId="4" borderId="0" xfId="6" applyNumberFormat="1" applyFont="1" applyFill="1"/>
    <xf numFmtId="166" fontId="3" fillId="5" borderId="23" xfId="6" applyNumberFormat="1" applyFont="1" applyFill="1" applyBorder="1"/>
    <xf numFmtId="170" fontId="5" fillId="5" borderId="20" xfId="0" applyNumberFormat="1" applyFont="1" applyFill="1" applyBorder="1"/>
    <xf numFmtId="170" fontId="3" fillId="7" borderId="23" xfId="0" applyNumberFormat="1" applyFont="1" applyFill="1" applyBorder="1"/>
    <xf numFmtId="168" fontId="3" fillId="7" borderId="23" xfId="6" applyNumberFormat="1" applyFont="1" applyFill="1" applyBorder="1"/>
    <xf numFmtId="37" fontId="3" fillId="6" borderId="16" xfId="0" applyFont="1" applyFill="1" applyBorder="1" applyAlignment="1" applyProtection="1"/>
    <xf numFmtId="37" fontId="5" fillId="6" borderId="2" xfId="0" applyFont="1" applyFill="1" applyBorder="1" applyAlignment="1" applyProtection="1"/>
    <xf numFmtId="37" fontId="5" fillId="6" borderId="5" xfId="0" applyFont="1" applyFill="1" applyBorder="1" applyAlignment="1" applyProtection="1"/>
    <xf numFmtId="170" fontId="5" fillId="6" borderId="1" xfId="0" applyNumberFormat="1" applyFont="1" applyFill="1" applyBorder="1" applyAlignment="1"/>
    <xf numFmtId="49" fontId="3" fillId="6" borderId="18" xfId="2" applyNumberFormat="1" applyFont="1" applyFill="1" applyBorder="1" applyAlignment="1">
      <alignment vertical="center"/>
    </xf>
    <xf numFmtId="173" fontId="3" fillId="6" borderId="40" xfId="0" applyNumberFormat="1" applyFont="1" applyFill="1" applyBorder="1" applyAlignment="1">
      <alignment vertical="center"/>
    </xf>
    <xf numFmtId="173" fontId="3" fillId="6" borderId="36" xfId="0" applyNumberFormat="1" applyFont="1" applyFill="1" applyBorder="1" applyAlignment="1">
      <alignment vertical="center"/>
    </xf>
    <xf numFmtId="170" fontId="5" fillId="6" borderId="1" xfId="0" applyNumberFormat="1" applyFont="1" applyFill="1" applyBorder="1" applyAlignment="1">
      <alignment horizontal="right" vertical="center"/>
    </xf>
    <xf numFmtId="37" fontId="3" fillId="6" borderId="41" xfId="0" applyFont="1" applyFill="1" applyBorder="1" applyAlignment="1" applyProtection="1">
      <alignment horizontal="center"/>
    </xf>
    <xf numFmtId="37" fontId="3" fillId="0" borderId="21" xfId="0" applyFont="1" applyFill="1" applyBorder="1"/>
    <xf numFmtId="168" fontId="3" fillId="0" borderId="21" xfId="6" applyNumberFormat="1" applyFont="1" applyFill="1" applyBorder="1"/>
    <xf numFmtId="49" fontId="5" fillId="0" borderId="0" xfId="0" quotePrefix="1" applyNumberFormat="1" applyFont="1" applyAlignment="1">
      <alignment horizontal="left"/>
    </xf>
    <xf numFmtId="173" fontId="3" fillId="6" borderId="19" xfId="0" applyNumberFormat="1" applyFont="1" applyFill="1" applyBorder="1" applyAlignment="1">
      <alignment vertical="center"/>
    </xf>
    <xf numFmtId="173" fontId="3" fillId="6" borderId="42" xfId="0" applyNumberFormat="1" applyFont="1" applyFill="1" applyBorder="1" applyAlignment="1">
      <alignment vertical="center"/>
    </xf>
    <xf numFmtId="37" fontId="3" fillId="0" borderId="9" xfId="0" quotePrefix="1" applyFont="1" applyBorder="1" applyAlignment="1">
      <alignment horizontal="center"/>
    </xf>
    <xf numFmtId="37" fontId="3" fillId="6" borderId="43" xfId="0" quotePrefix="1" applyFont="1" applyFill="1" applyBorder="1" applyAlignment="1" applyProtection="1">
      <alignment horizontal="center"/>
    </xf>
    <xf numFmtId="37" fontId="5" fillId="0" borderId="0" xfId="0" quotePrefix="1" applyFont="1" applyAlignment="1">
      <alignment horizontal="right"/>
    </xf>
    <xf numFmtId="49" fontId="5" fillId="6" borderId="1" xfId="0" quotePrefix="1" applyNumberFormat="1" applyFont="1" applyFill="1" applyBorder="1" applyAlignment="1">
      <alignment horizontal="left" vertical="center"/>
    </xf>
    <xf numFmtId="170" fontId="5" fillId="0" borderId="1" xfId="0" quotePrefix="1" applyNumberFormat="1" applyFont="1" applyBorder="1" applyAlignment="1">
      <alignment horizontal="right"/>
    </xf>
    <xf numFmtId="37" fontId="5" fillId="0" borderId="21" xfId="0" quotePrefix="1" applyNumberFormat="1" applyFont="1" applyBorder="1" applyAlignment="1" applyProtection="1">
      <alignment horizontal="left"/>
    </xf>
    <xf numFmtId="37" fontId="5" fillId="3" borderId="15" xfId="0" applyFont="1" applyFill="1" applyBorder="1" applyAlignment="1">
      <alignment horizontal="centerContinuous" vertical="center"/>
    </xf>
    <xf numFmtId="37" fontId="5" fillId="3" borderId="15" xfId="0" applyFont="1" applyFill="1" applyBorder="1" applyAlignment="1">
      <alignment horizontal="right" vertical="center"/>
    </xf>
    <xf numFmtId="37" fontId="5" fillId="3" borderId="15" xfId="0" quotePrefix="1" applyFont="1" applyFill="1" applyBorder="1" applyAlignment="1">
      <alignment horizontal="right" vertical="center"/>
    </xf>
    <xf numFmtId="37" fontId="3" fillId="0" borderId="0" xfId="0" quotePrefix="1" applyFont="1" applyAlignment="1">
      <alignment horizontal="left" wrapText="1"/>
    </xf>
    <xf numFmtId="37" fontId="3" fillId="3" borderId="18" xfId="0" quotePrefix="1" applyFont="1" applyFill="1" applyBorder="1" applyAlignment="1" applyProtection="1">
      <alignment horizontal="left"/>
    </xf>
    <xf numFmtId="37" fontId="0" fillId="0" borderId="0" xfId="0" applyAlignment="1">
      <alignment horizontal="right" indent="1"/>
    </xf>
    <xf numFmtId="171" fontId="5" fillId="0" borderId="0" xfId="0" applyNumberFormat="1" applyFont="1" applyAlignment="1">
      <alignment horizontal="right" indent="1"/>
    </xf>
    <xf numFmtId="37" fontId="0" fillId="0" borderId="11" xfId="0" applyBorder="1"/>
    <xf numFmtId="37" fontId="3" fillId="6" borderId="4" xfId="0" quotePrefix="1" applyFont="1" applyFill="1" applyBorder="1" applyAlignment="1">
      <alignment horizontal="center"/>
    </xf>
    <xf numFmtId="49" fontId="5" fillId="0" borderId="11" xfId="0" applyNumberFormat="1" applyFont="1" applyBorder="1"/>
    <xf numFmtId="37" fontId="5" fillId="0" borderId="0" xfId="0" applyFont="1" applyFill="1"/>
    <xf numFmtId="170" fontId="5" fillId="0" borderId="1" xfId="0" applyNumberFormat="1" applyFont="1" applyFill="1" applyBorder="1" applyAlignment="1">
      <alignment vertical="center"/>
    </xf>
    <xf numFmtId="168" fontId="5" fillId="0" borderId="1" xfId="6" applyNumberFormat="1" applyFont="1" applyFill="1" applyBorder="1"/>
    <xf numFmtId="37" fontId="5" fillId="0" borderId="0" xfId="0" applyFont="1" applyFill="1" applyAlignment="1">
      <alignment horizontal="right"/>
    </xf>
    <xf numFmtId="175" fontId="5" fillId="0" borderId="0" xfId="5" applyNumberFormat="1" applyFont="1" applyBorder="1" applyProtection="1"/>
    <xf numFmtId="37" fontId="22" fillId="0" borderId="0" xfId="5" applyNumberFormat="1" applyFont="1" applyBorder="1" applyAlignment="1" applyProtection="1">
      <alignment horizontal="centerContinuous"/>
    </xf>
    <xf numFmtId="39" fontId="5" fillId="0" borderId="0" xfId="5" applyFont="1"/>
    <xf numFmtId="165" fontId="5" fillId="0" borderId="2" xfId="5" applyNumberFormat="1" applyFont="1" applyBorder="1" applyAlignment="1" applyProtection="1">
      <alignment horizontal="left"/>
    </xf>
    <xf numFmtId="39" fontId="5" fillId="0" borderId="0" xfId="5" applyFont="1" applyAlignment="1">
      <alignment horizontal="left"/>
    </xf>
    <xf numFmtId="165" fontId="5" fillId="0" borderId="3" xfId="5" applyNumberFormat="1" applyFont="1" applyBorder="1" applyAlignment="1" applyProtection="1">
      <alignment horizontal="left"/>
    </xf>
    <xf numFmtId="37" fontId="5" fillId="0" borderId="0" xfId="5" applyNumberFormat="1" applyFont="1" applyProtection="1"/>
    <xf numFmtId="39" fontId="3" fillId="0" borderId="16" xfId="5" applyFont="1" applyBorder="1" applyProtection="1"/>
    <xf numFmtId="39" fontId="3" fillId="3" borderId="12" xfId="5" applyFont="1" applyFill="1" applyBorder="1" applyProtection="1"/>
    <xf numFmtId="39" fontId="5" fillId="3" borderId="0" xfId="5" applyFont="1" applyFill="1" applyProtection="1"/>
    <xf numFmtId="39" fontId="5" fillId="6" borderId="1" xfId="5" applyFont="1" applyFill="1" applyBorder="1" applyProtection="1"/>
    <xf numFmtId="167" fontId="5" fillId="6" borderId="1" xfId="5" applyNumberFormat="1" applyFont="1" applyFill="1" applyBorder="1"/>
    <xf numFmtId="39" fontId="5" fillId="0" borderId="1" xfId="5" applyFont="1" applyBorder="1" applyProtection="1"/>
    <xf numFmtId="167" fontId="5" fillId="3" borderId="1" xfId="5" applyNumberFormat="1" applyFont="1" applyFill="1" applyBorder="1"/>
    <xf numFmtId="39" fontId="3" fillId="6" borderId="20" xfId="5" applyFont="1" applyFill="1" applyBorder="1" applyProtection="1"/>
    <xf numFmtId="167" fontId="3" fillId="6" borderId="20" xfId="5" applyNumberFormat="1" applyFont="1" applyFill="1" applyBorder="1"/>
    <xf numFmtId="167" fontId="5" fillId="0" borderId="0" xfId="5" applyNumberFormat="1" applyFont="1"/>
    <xf numFmtId="39" fontId="5" fillId="0" borderId="3" xfId="5" applyFont="1" applyBorder="1"/>
    <xf numFmtId="174" fontId="8" fillId="0" borderId="3" xfId="5" applyNumberFormat="1" applyFont="1" applyBorder="1" applyProtection="1"/>
    <xf numFmtId="37" fontId="5" fillId="0" borderId="0" xfId="5" applyNumberFormat="1" applyFont="1"/>
    <xf numFmtId="37" fontId="23" fillId="0" borderId="0" xfId="0" applyFont="1"/>
    <xf numFmtId="165" fontId="5" fillId="0" borderId="0" xfId="4" applyNumberFormat="1" applyFont="1" applyProtection="1"/>
    <xf numFmtId="0" fontId="5" fillId="3" borderId="0" xfId="4" applyFont="1" applyFill="1"/>
    <xf numFmtId="0" fontId="5" fillId="0" borderId="0" xfId="4" applyFont="1"/>
    <xf numFmtId="0" fontId="3" fillId="0" borderId="2" xfId="4" applyFont="1" applyFill="1" applyBorder="1" applyAlignment="1">
      <alignment horizontal="centerContinuous"/>
    </xf>
    <xf numFmtId="0" fontId="5" fillId="3" borderId="2" xfId="4" applyFont="1" applyFill="1" applyBorder="1" applyAlignment="1">
      <alignment horizontal="centerContinuous"/>
    </xf>
    <xf numFmtId="0" fontId="5" fillId="3" borderId="3" xfId="4" applyFont="1" applyFill="1" applyBorder="1" applyAlignment="1">
      <alignment horizontal="centerContinuous"/>
    </xf>
    <xf numFmtId="0" fontId="3" fillId="0" borderId="8" xfId="4" applyFont="1" applyBorder="1"/>
    <xf numFmtId="49" fontId="3" fillId="5" borderId="20" xfId="4" applyNumberFormat="1" applyFont="1" applyFill="1" applyBorder="1" applyAlignment="1">
      <alignment horizontal="center"/>
    </xf>
    <xf numFmtId="0" fontId="3" fillId="0" borderId="0" xfId="4" applyFont="1"/>
    <xf numFmtId="165" fontId="6" fillId="0" borderId="0" xfId="4" applyNumberFormat="1" applyFont="1" applyProtection="1">
      <protection locked="0"/>
    </xf>
    <xf numFmtId="49" fontId="5" fillId="6" borderId="1" xfId="4" applyNumberFormat="1" applyFont="1" applyFill="1" applyBorder="1" applyAlignment="1">
      <alignment vertical="center"/>
    </xf>
    <xf numFmtId="170" fontId="5" fillId="6" borderId="1" xfId="4" applyNumberFormat="1" applyFont="1" applyFill="1" applyBorder="1" applyAlignment="1">
      <alignment vertical="center"/>
    </xf>
    <xf numFmtId="173" fontId="5" fillId="6" borderId="1" xfId="4" applyNumberFormat="1" applyFont="1" applyFill="1" applyBorder="1" applyAlignment="1">
      <alignment vertical="center"/>
    </xf>
    <xf numFmtId="49" fontId="5" fillId="0" borderId="1" xfId="4" applyNumberFormat="1" applyFont="1" applyBorder="1" applyAlignment="1">
      <alignment vertical="center"/>
    </xf>
    <xf numFmtId="170" fontId="5" fillId="0" borderId="1" xfId="4" applyNumberFormat="1" applyFont="1" applyBorder="1" applyAlignment="1">
      <alignment vertical="center"/>
    </xf>
    <xf numFmtId="173" fontId="5" fillId="0" borderId="1" xfId="4" applyNumberFormat="1" applyFont="1" applyBorder="1" applyAlignment="1">
      <alignment vertical="center"/>
    </xf>
    <xf numFmtId="170" fontId="5" fillId="0" borderId="0" xfId="4" applyNumberFormat="1" applyFont="1"/>
    <xf numFmtId="49" fontId="3" fillId="6" borderId="20" xfId="3" applyNumberFormat="1" applyFont="1" applyFill="1" applyBorder="1" applyAlignment="1">
      <alignment vertical="center"/>
    </xf>
    <xf numFmtId="170" fontId="3" fillId="6" borderId="23" xfId="4" applyNumberFormat="1" applyFont="1" applyFill="1" applyBorder="1"/>
    <xf numFmtId="173" fontId="3" fillId="6" borderId="23" xfId="4" applyNumberFormat="1" applyFont="1" applyFill="1" applyBorder="1"/>
    <xf numFmtId="0" fontId="5" fillId="0" borderId="0" xfId="4" applyFont="1" applyAlignment="1"/>
    <xf numFmtId="37" fontId="3" fillId="3" borderId="3" xfId="4" quotePrefix="1" applyNumberFormat="1" applyFont="1" applyFill="1" applyBorder="1" applyAlignment="1" applyProtection="1">
      <alignment horizontal="centerContinuous" vertical="center"/>
    </xf>
    <xf numFmtId="0" fontId="5" fillId="0" borderId="11" xfId="4" applyFont="1" applyBorder="1"/>
    <xf numFmtId="170" fontId="5" fillId="0" borderId="11" xfId="4" applyNumberFormat="1" applyFont="1" applyBorder="1"/>
    <xf numFmtId="0" fontId="25" fillId="0" borderId="0" xfId="4" applyFont="1"/>
    <xf numFmtId="170" fontId="25" fillId="0" borderId="0" xfId="4" applyNumberFormat="1" applyFont="1"/>
    <xf numFmtId="165" fontId="5" fillId="0" borderId="0" xfId="0" applyNumberFormat="1" applyFont="1" applyFill="1"/>
    <xf numFmtId="37" fontId="26" fillId="0" borderId="0" xfId="0" applyFont="1"/>
    <xf numFmtId="37" fontId="5" fillId="0" borderId="23" xfId="0" applyFont="1" applyBorder="1"/>
    <xf numFmtId="37" fontId="26" fillId="0" borderId="23" xfId="0" applyFont="1" applyBorder="1"/>
    <xf numFmtId="37" fontId="3" fillId="7" borderId="9" xfId="0" applyFont="1" applyFill="1" applyBorder="1" applyAlignment="1">
      <alignment horizontal="center" wrapText="1"/>
    </xf>
    <xf numFmtId="49" fontId="5" fillId="0" borderId="0" xfId="0" quotePrefix="1" applyNumberFormat="1" applyFont="1" applyAlignment="1"/>
    <xf numFmtId="37" fontId="20" fillId="0" borderId="0" xfId="0" applyFont="1"/>
    <xf numFmtId="37" fontId="20" fillId="0" borderId="11" xfId="0" applyFont="1" applyBorder="1"/>
    <xf numFmtId="37" fontId="5" fillId="9" borderId="23" xfId="0" applyNumberFormat="1" applyFont="1" applyFill="1" applyBorder="1" applyProtection="1"/>
    <xf numFmtId="37" fontId="27" fillId="0" borderId="0" xfId="0" applyNumberFormat="1" applyFont="1"/>
    <xf numFmtId="37" fontId="5" fillId="0" borderId="0" xfId="0" applyNumberFormat="1" applyFont="1" applyAlignment="1">
      <alignment horizontal="right"/>
    </xf>
    <xf numFmtId="176" fontId="0" fillId="0" borderId="0" xfId="0" quotePrefix="1" applyNumberFormat="1" applyBorder="1" applyAlignment="1" applyProtection="1">
      <alignment horizontal="right"/>
    </xf>
    <xf numFmtId="176" fontId="0" fillId="0" borderId="0" xfId="0" applyNumberFormat="1" applyBorder="1" applyAlignment="1" applyProtection="1">
      <alignment horizontal="right"/>
    </xf>
    <xf numFmtId="176" fontId="0" fillId="0" borderId="3" xfId="0" quotePrefix="1" applyNumberFormat="1" applyBorder="1" applyAlignment="1" applyProtection="1">
      <alignment horizontal="right"/>
    </xf>
    <xf numFmtId="37" fontId="0" fillId="0" borderId="0" xfId="0" applyNumberFormat="1" applyProtection="1"/>
    <xf numFmtId="176" fontId="0" fillId="0" borderId="0" xfId="0" applyNumberFormat="1" applyAlignment="1" applyProtection="1">
      <alignment horizontal="right"/>
    </xf>
    <xf numFmtId="176" fontId="20" fillId="0" borderId="0" xfId="0" quotePrefix="1" applyNumberFormat="1" applyFont="1" applyBorder="1" applyAlignment="1" applyProtection="1">
      <alignment horizontal="right"/>
    </xf>
    <xf numFmtId="168" fontId="3" fillId="6" borderId="18" xfId="6" applyNumberFormat="1" applyFont="1" applyFill="1" applyBorder="1"/>
    <xf numFmtId="170" fontId="3" fillId="6" borderId="30" xfId="0" applyNumberFormat="1" applyFont="1" applyFill="1" applyBorder="1" applyAlignment="1">
      <alignment vertical="center"/>
    </xf>
    <xf numFmtId="174" fontId="3" fillId="6" borderId="48" xfId="0" applyNumberFormat="1" applyFont="1" applyFill="1" applyBorder="1" applyAlignment="1">
      <alignment vertical="center"/>
    </xf>
    <xf numFmtId="37" fontId="29" fillId="0" borderId="0" xfId="0" applyFont="1"/>
    <xf numFmtId="0" fontId="5" fillId="0" borderId="0" xfId="0" applyNumberFormat="1" applyFont="1" applyAlignment="1">
      <alignment horizontal="left"/>
    </xf>
    <xf numFmtId="37" fontId="28" fillId="0" borderId="23" xfId="0" quotePrefix="1" applyNumberFormat="1" applyFont="1" applyBorder="1" applyAlignment="1">
      <alignment horizontal="left"/>
    </xf>
    <xf numFmtId="0" fontId="26" fillId="0" borderId="0" xfId="0" applyNumberFormat="1" applyFont="1" applyAlignment="1">
      <alignment horizontal="center"/>
    </xf>
    <xf numFmtId="37" fontId="5" fillId="10" borderId="0" xfId="0" applyFont="1" applyFill="1"/>
    <xf numFmtId="49" fontId="3" fillId="5" borderId="20" xfId="0" quotePrefix="1" applyNumberFormat="1" applyFont="1" applyFill="1" applyBorder="1" applyAlignment="1">
      <alignment horizontal="center"/>
    </xf>
    <xf numFmtId="0" fontId="3" fillId="5" borderId="20" xfId="0" quotePrefix="1" applyNumberFormat="1" applyFont="1" applyFill="1" applyBorder="1" applyAlignment="1">
      <alignment horizontal="center"/>
    </xf>
    <xf numFmtId="49" fontId="8" fillId="0" borderId="0" xfId="0" quotePrefix="1" applyNumberFormat="1" applyFont="1" applyAlignment="1">
      <alignment horizontal="left"/>
    </xf>
    <xf numFmtId="169" fontId="5" fillId="0" borderId="0" xfId="6" applyNumberFormat="1" applyFont="1"/>
    <xf numFmtId="169" fontId="5" fillId="0" borderId="0" xfId="0" applyNumberFormat="1" applyFont="1"/>
    <xf numFmtId="37" fontId="3" fillId="0" borderId="10" xfId="0" applyFont="1" applyBorder="1" applyAlignment="1">
      <alignment horizontal="center"/>
    </xf>
    <xf numFmtId="37" fontId="3" fillId="11" borderId="7" xfId="0" applyFont="1" applyFill="1" applyBorder="1"/>
    <xf numFmtId="37" fontId="3" fillId="11" borderId="21" xfId="0" applyFont="1" applyFill="1" applyBorder="1"/>
    <xf numFmtId="37" fontId="3" fillId="11" borderId="8" xfId="0" applyFont="1" applyFill="1" applyBorder="1"/>
    <xf numFmtId="37" fontId="31" fillId="0" borderId="0" xfId="0" applyFont="1"/>
    <xf numFmtId="37" fontId="31" fillId="0" borderId="0" xfId="0" applyFont="1" applyBorder="1"/>
    <xf numFmtId="37" fontId="32" fillId="3" borderId="0" xfId="0" applyFont="1" applyFill="1" applyBorder="1" applyAlignment="1">
      <alignment horizontal="centerContinuous" vertical="center"/>
    </xf>
    <xf numFmtId="37" fontId="31" fillId="0" borderId="0" xfId="0" quotePrefix="1" applyFont="1" applyAlignment="1">
      <alignment horizontal="center"/>
    </xf>
    <xf numFmtId="37" fontId="31" fillId="0" borderId="0" xfId="0" applyFont="1" applyAlignment="1">
      <alignment horizontal="center"/>
    </xf>
    <xf numFmtId="37" fontId="32" fillId="3" borderId="0" xfId="0" applyFont="1" applyFill="1" applyBorder="1" applyAlignment="1" applyProtection="1">
      <alignment horizontal="centerContinuous" vertical="center"/>
    </xf>
    <xf numFmtId="37" fontId="32" fillId="3" borderId="0" xfId="0" quotePrefix="1" applyFont="1" applyFill="1" applyBorder="1" applyAlignment="1" applyProtection="1">
      <alignment horizontal="centerContinuous" vertical="center"/>
    </xf>
    <xf numFmtId="37" fontId="32" fillId="3" borderId="0" xfId="0" applyFont="1" applyFill="1" applyBorder="1" applyAlignment="1">
      <alignment horizontal="centerContinuous"/>
    </xf>
    <xf numFmtId="37" fontId="3" fillId="6" borderId="4" xfId="0" applyFont="1" applyFill="1" applyBorder="1" applyAlignment="1">
      <alignment horizontal="center"/>
    </xf>
    <xf numFmtId="37" fontId="30" fillId="0" borderId="0" xfId="0" applyFont="1" applyAlignment="1">
      <alignment horizontal="centerContinuous"/>
    </xf>
    <xf numFmtId="37" fontId="3" fillId="3" borderId="18" xfId="0" applyFont="1" applyFill="1" applyBorder="1" applyAlignment="1" applyProtection="1">
      <alignment horizontal="left"/>
    </xf>
    <xf numFmtId="0" fontId="3" fillId="3" borderId="15" xfId="0" applyNumberFormat="1" applyFont="1" applyFill="1" applyBorder="1" applyAlignment="1" applyProtection="1">
      <alignment horizontal="left"/>
    </xf>
    <xf numFmtId="0" fontId="5" fillId="3" borderId="19" xfId="0" applyNumberFormat="1" applyFont="1" applyFill="1" applyBorder="1" applyAlignment="1" applyProtection="1">
      <alignment horizontal="left"/>
    </xf>
    <xf numFmtId="37" fontId="3" fillId="0" borderId="16" xfId="0" applyFont="1" applyBorder="1"/>
    <xf numFmtId="37" fontId="3" fillId="0" borderId="33" xfId="0" applyFont="1" applyFill="1" applyBorder="1" applyAlignment="1">
      <alignment horizontal="centerContinuous" vertical="center"/>
    </xf>
    <xf numFmtId="37" fontId="31" fillId="0" borderId="15" xfId="0" applyFont="1" applyBorder="1" applyAlignment="1">
      <alignment horizontal="centerContinuous" vertical="center"/>
    </xf>
    <xf numFmtId="37" fontId="31" fillId="3" borderId="0" xfId="0" quotePrefix="1" applyFont="1" applyFill="1" applyBorder="1" applyAlignment="1" applyProtection="1">
      <alignment horizontal="centerContinuous" vertical="center"/>
    </xf>
    <xf numFmtId="37" fontId="3" fillId="3" borderId="3" xfId="0" applyFont="1" applyFill="1" applyBorder="1" applyAlignment="1">
      <alignment horizontal="centerContinuous"/>
    </xf>
    <xf numFmtId="37" fontId="31" fillId="12" borderId="0" xfId="0" applyFont="1" applyFill="1" applyBorder="1" applyAlignment="1">
      <alignment horizontal="centerContinuous" vertical="center"/>
    </xf>
    <xf numFmtId="37" fontId="31" fillId="0" borderId="0" xfId="0" applyFont="1" applyBorder="1" applyAlignment="1">
      <alignment horizontal="left" vertical="center"/>
    </xf>
    <xf numFmtId="37" fontId="3" fillId="6" borderId="5" xfId="0" applyNumberFormat="1" applyFont="1" applyFill="1" applyBorder="1" applyAlignment="1" applyProtection="1">
      <alignment horizontal="center"/>
    </xf>
    <xf numFmtId="37" fontId="3" fillId="8" borderId="6" xfId="0" applyFont="1" applyFill="1" applyBorder="1" applyAlignment="1">
      <alignment horizontal="center"/>
    </xf>
    <xf numFmtId="37" fontId="5" fillId="0" borderId="0" xfId="0" applyFont="1" applyAlignment="1">
      <alignment vertical="center"/>
    </xf>
    <xf numFmtId="49" fontId="3" fillId="0" borderId="33" xfId="0" applyNumberFormat="1" applyFont="1" applyBorder="1"/>
    <xf numFmtId="49" fontId="3" fillId="0" borderId="34" xfId="0" applyNumberFormat="1" applyFont="1" applyBorder="1"/>
    <xf numFmtId="37" fontId="3" fillId="8" borderId="5" xfId="0" applyFont="1" applyFill="1" applyBorder="1" applyAlignment="1">
      <alignment horizontal="center"/>
    </xf>
    <xf numFmtId="37" fontId="31" fillId="0" borderId="0" xfId="0" quotePrefix="1" applyFont="1" applyAlignment="1">
      <alignment horizontal="left"/>
    </xf>
    <xf numFmtId="39" fontId="31" fillId="0" borderId="0" xfId="5" applyFont="1" applyAlignment="1">
      <alignment horizontal="left"/>
    </xf>
    <xf numFmtId="0" fontId="31" fillId="0" borderId="0" xfId="5" applyNumberFormat="1" applyFont="1" applyAlignment="1">
      <alignment horizontal="left"/>
    </xf>
    <xf numFmtId="0" fontId="3" fillId="0" borderId="33" xfId="4" applyFont="1" applyBorder="1"/>
    <xf numFmtId="49" fontId="3" fillId="5" borderId="9" xfId="4" applyNumberFormat="1" applyFont="1" applyFill="1" applyBorder="1" applyAlignment="1">
      <alignment horizontal="center"/>
    </xf>
    <xf numFmtId="0" fontId="3" fillId="5" borderId="9" xfId="4" applyNumberFormat="1" applyFont="1" applyFill="1" applyBorder="1" applyAlignment="1">
      <alignment horizontal="center" wrapText="1"/>
    </xf>
    <xf numFmtId="0" fontId="31" fillId="0" borderId="0" xfId="4" applyFont="1"/>
    <xf numFmtId="37" fontId="3" fillId="7" borderId="2" xfId="0" applyFont="1" applyFill="1" applyBorder="1" applyAlignment="1"/>
    <xf numFmtId="49" fontId="3" fillId="5" borderId="9" xfId="0" quotePrefix="1" applyNumberFormat="1" applyFont="1" applyFill="1" applyBorder="1" applyAlignment="1">
      <alignment horizontal="center" wrapText="1"/>
    </xf>
    <xf numFmtId="49" fontId="3" fillId="5" borderId="9" xfId="0" quotePrefix="1" applyNumberFormat="1" applyFont="1" applyFill="1" applyBorder="1" applyAlignment="1">
      <alignment horizontal="center"/>
    </xf>
    <xf numFmtId="173" fontId="5" fillId="0" borderId="1" xfId="0" applyNumberFormat="1" applyFont="1" applyFill="1" applyBorder="1" applyAlignment="1">
      <alignment vertical="center"/>
    </xf>
    <xf numFmtId="168" fontId="5" fillId="0" borderId="1" xfId="0" applyNumberFormat="1" applyFont="1" applyBorder="1" applyAlignment="1">
      <alignment vertical="center"/>
    </xf>
    <xf numFmtId="168" fontId="5" fillId="6" borderId="1" xfId="0" applyNumberFormat="1" applyFont="1" applyFill="1" applyBorder="1" applyAlignment="1">
      <alignment vertical="center"/>
    </xf>
    <xf numFmtId="177" fontId="5" fillId="6" borderId="1" xfId="0" applyNumberFormat="1" applyFont="1" applyFill="1" applyBorder="1" applyAlignment="1">
      <alignment vertical="center"/>
    </xf>
    <xf numFmtId="177" fontId="5" fillId="0" borderId="1" xfId="6" applyNumberFormat="1" applyFont="1" applyBorder="1"/>
    <xf numFmtId="177" fontId="5" fillId="6" borderId="1" xfId="6" applyNumberFormat="1" applyFont="1" applyFill="1" applyBorder="1"/>
    <xf numFmtId="177" fontId="0" fillId="0" borderId="0" xfId="0" applyNumberFormat="1"/>
    <xf numFmtId="177" fontId="3" fillId="6" borderId="20" xfId="6" applyNumberFormat="1" applyFont="1" applyFill="1" applyBorder="1"/>
    <xf numFmtId="177" fontId="5" fillId="0" borderId="0" xfId="6" applyNumberFormat="1" applyFont="1"/>
    <xf numFmtId="168" fontId="0" fillId="0" borderId="0" xfId="0" applyNumberFormat="1"/>
    <xf numFmtId="168" fontId="3" fillId="6" borderId="20" xfId="0" applyNumberFormat="1" applyFont="1" applyFill="1" applyBorder="1" applyAlignment="1">
      <alignment vertical="center"/>
    </xf>
    <xf numFmtId="168" fontId="5" fillId="0" borderId="0" xfId="0" applyNumberFormat="1" applyFont="1" applyAlignment="1">
      <alignment vertical="center"/>
    </xf>
    <xf numFmtId="37" fontId="5" fillId="3" borderId="2" xfId="0" quotePrefix="1" applyFont="1" applyFill="1" applyBorder="1" applyAlignment="1">
      <alignment horizontal="right" vertical="center"/>
    </xf>
    <xf numFmtId="37" fontId="3" fillId="6" borderId="33" xfId="0" applyFont="1" applyFill="1" applyBorder="1" applyAlignment="1">
      <alignment horizontal="centerContinuous"/>
    </xf>
    <xf numFmtId="37" fontId="3" fillId="6" borderId="38" xfId="0" applyFont="1" applyFill="1" applyBorder="1" applyAlignment="1">
      <alignment horizontal="centerContinuous"/>
    </xf>
    <xf numFmtId="37" fontId="0" fillId="0" borderId="0" xfId="0"/>
    <xf numFmtId="168" fontId="3" fillId="6" borderId="20" xfId="6" applyNumberFormat="1" applyFont="1" applyFill="1" applyBorder="1" applyAlignment="1">
      <alignment horizontal="right"/>
    </xf>
    <xf numFmtId="37" fontId="17" fillId="13" borderId="0" xfId="7" applyFont="1" applyFill="1"/>
    <xf numFmtId="37" fontId="17" fillId="0" borderId="0" xfId="7" applyFont="1"/>
    <xf numFmtId="37" fontId="33" fillId="13" borderId="63" xfId="7" quotePrefix="1" applyFont="1" applyFill="1" applyBorder="1" applyAlignment="1">
      <alignment horizontal="center"/>
    </xf>
    <xf numFmtId="37" fontId="18" fillId="13" borderId="0" xfId="7" applyFont="1" applyFill="1"/>
    <xf numFmtId="37" fontId="34" fillId="13" borderId="0" xfId="7" applyFont="1" applyFill="1" applyAlignment="1"/>
    <xf numFmtId="37" fontId="17" fillId="13" borderId="0" xfId="7" applyFont="1" applyFill="1" applyAlignment="1"/>
    <xf numFmtId="37" fontId="34" fillId="13" borderId="0" xfId="7" applyFont="1" applyFill="1" applyAlignment="1">
      <alignment wrapText="1"/>
    </xf>
    <xf numFmtId="37" fontId="36" fillId="13" borderId="0" xfId="8" applyNumberFormat="1" applyFont="1" applyFill="1" applyAlignment="1" applyProtection="1">
      <alignment horizontal="center" wrapText="1"/>
    </xf>
    <xf numFmtId="37" fontId="34" fillId="13" borderId="0" xfId="7" applyFont="1" applyFill="1" applyAlignment="1">
      <alignment wrapText="1"/>
    </xf>
    <xf numFmtId="37" fontId="34" fillId="13" borderId="0" xfId="7" quotePrefix="1" applyFont="1" applyFill="1" applyAlignment="1">
      <alignment horizontal="left" wrapText="1"/>
    </xf>
    <xf numFmtId="37" fontId="3" fillId="3" borderId="4" xfId="0" quotePrefix="1" applyFont="1" applyFill="1" applyBorder="1" applyAlignment="1">
      <alignment horizontal="center" wrapText="1"/>
    </xf>
    <xf numFmtId="37" fontId="3" fillId="3" borderId="1" xfId="0" quotePrefix="1" applyFont="1" applyFill="1" applyBorder="1" applyAlignment="1">
      <alignment horizontal="center" wrapText="1"/>
    </xf>
    <xf numFmtId="37" fontId="3" fillId="3" borderId="9" xfId="0" quotePrefix="1" applyFont="1" applyFill="1" applyBorder="1" applyAlignment="1">
      <alignment horizontal="center" wrapText="1"/>
    </xf>
    <xf numFmtId="0" fontId="3" fillId="3" borderId="4" xfId="0" quotePrefix="1" applyNumberFormat="1" applyFont="1" applyFill="1" applyBorder="1" applyAlignment="1">
      <alignment horizontal="center" wrapText="1"/>
    </xf>
    <xf numFmtId="0" fontId="3" fillId="3" borderId="1" xfId="0" quotePrefix="1" applyNumberFormat="1" applyFont="1" applyFill="1" applyBorder="1" applyAlignment="1">
      <alignment horizontal="center" wrapText="1"/>
    </xf>
    <xf numFmtId="0" fontId="3" fillId="3" borderId="9" xfId="0" quotePrefix="1" applyNumberFormat="1" applyFont="1" applyFill="1" applyBorder="1" applyAlignment="1">
      <alignment horizontal="center" wrapText="1"/>
    </xf>
    <xf numFmtId="37" fontId="3" fillId="3" borderId="41" xfId="0" quotePrefix="1" applyFont="1" applyFill="1" applyBorder="1" applyAlignment="1">
      <alignment horizontal="center" vertical="center" wrapText="1"/>
    </xf>
    <xf numFmtId="37" fontId="3" fillId="3" borderId="43" xfId="0" quotePrefix="1" applyFont="1" applyFill="1" applyBorder="1" applyAlignment="1">
      <alignment horizontal="center" vertical="center" wrapText="1"/>
    </xf>
    <xf numFmtId="37" fontId="3" fillId="3" borderId="24" xfId="0" applyFont="1" applyFill="1" applyBorder="1" applyAlignment="1">
      <alignment horizontal="center" vertical="center"/>
    </xf>
    <xf numFmtId="37" fontId="3" fillId="3" borderId="11" xfId="0" applyFont="1" applyFill="1" applyBorder="1" applyAlignment="1">
      <alignment horizontal="center" vertical="center"/>
    </xf>
    <xf numFmtId="0" fontId="5" fillId="0" borderId="24" xfId="0" quotePrefix="1" applyNumberFormat="1" applyFont="1" applyBorder="1" applyAlignment="1">
      <alignment horizontal="left" vertical="top" wrapText="1"/>
    </xf>
    <xf numFmtId="0" fontId="5" fillId="0" borderId="0" xfId="0" quotePrefix="1" applyNumberFormat="1" applyFont="1" applyAlignment="1">
      <alignment horizontal="left" vertical="top" wrapText="1"/>
    </xf>
    <xf numFmtId="37" fontId="3" fillId="0" borderId="4" xfId="0" quotePrefix="1" applyFont="1" applyBorder="1" applyAlignment="1" applyProtection="1">
      <alignment horizontal="center" wrapText="1"/>
    </xf>
    <xf numFmtId="37" fontId="3" fillId="0" borderId="9" xfId="0" quotePrefix="1" applyFont="1" applyBorder="1" applyAlignment="1" applyProtection="1">
      <alignment horizontal="center" wrapText="1"/>
    </xf>
    <xf numFmtId="37" fontId="3" fillId="0" borderId="52" xfId="0" applyFont="1" applyBorder="1" applyAlignment="1" applyProtection="1">
      <alignment horizontal="center" vertical="center"/>
    </xf>
    <xf numFmtId="37" fontId="3" fillId="0" borderId="15" xfId="0" applyFont="1" applyBorder="1" applyAlignment="1" applyProtection="1">
      <alignment horizontal="center" vertical="center"/>
    </xf>
    <xf numFmtId="37" fontId="3" fillId="0" borderId="19" xfId="0" applyFont="1" applyBorder="1" applyAlignment="1" applyProtection="1">
      <alignment horizontal="center" vertical="center"/>
    </xf>
    <xf numFmtId="37" fontId="3" fillId="0" borderId="18" xfId="0" applyFont="1" applyBorder="1" applyAlignment="1" applyProtection="1">
      <alignment horizontal="center" vertical="center"/>
    </xf>
    <xf numFmtId="37" fontId="3" fillId="0" borderId="53" xfId="0" applyFont="1" applyBorder="1" applyAlignment="1" applyProtection="1">
      <alignment horizontal="center" vertical="center"/>
    </xf>
    <xf numFmtId="37" fontId="3" fillId="6" borderId="18" xfId="0" applyFont="1" applyFill="1" applyBorder="1" applyAlignment="1" applyProtection="1">
      <alignment horizontal="center" vertical="center"/>
    </xf>
    <xf numFmtId="37" fontId="3" fillId="6" borderId="15" xfId="0" applyFont="1" applyFill="1" applyBorder="1" applyAlignment="1" applyProtection="1">
      <alignment horizontal="center" vertical="center"/>
    </xf>
    <xf numFmtId="37" fontId="3" fillId="6" borderId="19" xfId="0" applyFont="1" applyFill="1" applyBorder="1" applyAlignment="1" applyProtection="1">
      <alignment horizontal="center" vertical="center"/>
    </xf>
    <xf numFmtId="37" fontId="3" fillId="0" borderId="41" xfId="0" quotePrefix="1" applyFont="1" applyBorder="1" applyAlignment="1" applyProtection="1">
      <alignment horizontal="center" wrapText="1"/>
    </xf>
    <xf numFmtId="37" fontId="3" fillId="0" borderId="43" xfId="0" quotePrefix="1" applyFont="1" applyBorder="1" applyAlignment="1" applyProtection="1">
      <alignment horizontal="center" wrapText="1"/>
    </xf>
    <xf numFmtId="37" fontId="3" fillId="0" borderId="49" xfId="0" quotePrefix="1" applyFont="1" applyBorder="1" applyAlignment="1" applyProtection="1">
      <alignment horizontal="center" wrapText="1"/>
    </xf>
    <xf numFmtId="37" fontId="3" fillId="0" borderId="50" xfId="0" quotePrefix="1" applyFont="1" applyBorder="1" applyAlignment="1" applyProtection="1">
      <alignment horizontal="center" wrapText="1"/>
    </xf>
    <xf numFmtId="37" fontId="3" fillId="0" borderId="51" xfId="0" quotePrefix="1" applyFont="1" applyBorder="1" applyAlignment="1" applyProtection="1">
      <alignment horizontal="center" wrapText="1"/>
    </xf>
    <xf numFmtId="37" fontId="3" fillId="0" borderId="26" xfId="0" quotePrefix="1" applyFont="1" applyBorder="1" applyAlignment="1" applyProtection="1">
      <alignment horizontal="center" wrapText="1"/>
    </xf>
    <xf numFmtId="37" fontId="5" fillId="0" borderId="24" xfId="0" quotePrefix="1" applyFont="1" applyBorder="1" applyAlignment="1">
      <alignment horizontal="left" vertical="top" wrapText="1"/>
    </xf>
    <xf numFmtId="37" fontId="5" fillId="0" borderId="0" xfId="0" quotePrefix="1" applyFont="1" applyAlignment="1">
      <alignment horizontal="left" vertical="top" wrapText="1"/>
    </xf>
    <xf numFmtId="37" fontId="3" fillId="6" borderId="4" xfId="0" applyFont="1" applyFill="1" applyBorder="1" applyAlignment="1" applyProtection="1">
      <alignment horizontal="center"/>
    </xf>
    <xf numFmtId="37" fontId="3" fillId="6" borderId="9" xfId="0" applyFont="1" applyFill="1" applyBorder="1" applyAlignment="1" applyProtection="1">
      <alignment horizontal="center"/>
    </xf>
    <xf numFmtId="37" fontId="3" fillId="6" borderId="33" xfId="0" applyFont="1" applyFill="1" applyBorder="1" applyAlignment="1" applyProtection="1">
      <alignment horizontal="center"/>
    </xf>
    <xf numFmtId="37" fontId="3" fillId="6" borderId="38" xfId="0" applyFont="1" applyFill="1" applyBorder="1" applyAlignment="1" applyProtection="1">
      <alignment horizontal="center"/>
    </xf>
    <xf numFmtId="37" fontId="3" fillId="6" borderId="34" xfId="0" applyFont="1" applyFill="1" applyBorder="1" applyAlignment="1" applyProtection="1">
      <alignment horizontal="center"/>
    </xf>
    <xf numFmtId="37" fontId="3" fillId="6" borderId="39" xfId="0" applyFont="1" applyFill="1" applyBorder="1" applyAlignment="1" applyProtection="1">
      <alignment horizontal="center"/>
    </xf>
    <xf numFmtId="37" fontId="3" fillId="3" borderId="54" xfId="0" quotePrefix="1" applyFont="1" applyFill="1" applyBorder="1" applyAlignment="1">
      <alignment horizontal="center" wrapText="1"/>
    </xf>
    <xf numFmtId="37" fontId="3" fillId="3" borderId="54" xfId="0" applyFont="1" applyFill="1" applyBorder="1" applyAlignment="1">
      <alignment horizontal="center"/>
    </xf>
    <xf numFmtId="37" fontId="3" fillId="3" borderId="9" xfId="0" applyFont="1" applyFill="1" applyBorder="1" applyAlignment="1">
      <alignment horizontal="center"/>
    </xf>
    <xf numFmtId="37" fontId="3" fillId="3" borderId="4" xfId="0" applyFont="1" applyFill="1" applyBorder="1" applyAlignment="1">
      <alignment horizontal="center" wrapText="1"/>
    </xf>
    <xf numFmtId="37" fontId="3" fillId="3" borderId="9" xfId="0" applyFont="1" applyFill="1" applyBorder="1" applyAlignment="1">
      <alignment horizontal="center" wrapText="1"/>
    </xf>
    <xf numFmtId="49" fontId="3" fillId="0" borderId="33" xfId="0" quotePrefix="1" applyNumberFormat="1" applyFont="1" applyFill="1" applyBorder="1" applyAlignment="1">
      <alignment horizontal="center" wrapText="1"/>
    </xf>
    <xf numFmtId="49" fontId="3" fillId="0" borderId="24" xfId="0" quotePrefix="1" applyNumberFormat="1" applyFont="1" applyFill="1" applyBorder="1" applyAlignment="1">
      <alignment horizontal="center" wrapText="1"/>
    </xf>
    <xf numFmtId="49" fontId="3" fillId="0" borderId="38" xfId="0" quotePrefix="1" applyNumberFormat="1" applyFont="1" applyFill="1" applyBorder="1" applyAlignment="1">
      <alignment horizontal="center" wrapText="1"/>
    </xf>
    <xf numFmtId="49" fontId="3" fillId="0" borderId="44" xfId="0" quotePrefix="1" applyNumberFormat="1" applyFont="1" applyFill="1" applyBorder="1" applyAlignment="1">
      <alignment horizontal="center" wrapText="1"/>
    </xf>
    <xf numFmtId="49" fontId="3" fillId="0" borderId="3" xfId="0" quotePrefix="1" applyNumberFormat="1" applyFont="1" applyFill="1" applyBorder="1" applyAlignment="1">
      <alignment horizontal="center" wrapText="1"/>
    </xf>
    <xf numFmtId="49" fontId="3" fillId="0" borderId="45" xfId="0" quotePrefix="1" applyNumberFormat="1" applyFont="1" applyFill="1" applyBorder="1" applyAlignment="1">
      <alignment horizontal="center" wrapText="1"/>
    </xf>
    <xf numFmtId="49" fontId="3" fillId="0" borderId="7" xfId="0" quotePrefix="1" applyNumberFormat="1" applyFont="1" applyFill="1" applyBorder="1" applyAlignment="1">
      <alignment horizontal="center" wrapText="1"/>
    </xf>
    <xf numFmtId="49" fontId="3" fillId="0" borderId="22" xfId="0" quotePrefix="1" applyNumberFormat="1" applyFont="1" applyFill="1" applyBorder="1" applyAlignment="1">
      <alignment horizontal="center" wrapText="1"/>
    </xf>
    <xf numFmtId="37" fontId="5" fillId="0" borderId="0" xfId="0" quotePrefix="1" applyFont="1" applyAlignment="1">
      <alignment horizontal="left" vertical="top"/>
    </xf>
    <xf numFmtId="37" fontId="3" fillId="0" borderId="41" xfId="0" quotePrefix="1" applyFont="1" applyFill="1" applyBorder="1" applyAlignment="1">
      <alignment horizontal="center" wrapText="1"/>
    </xf>
    <xf numFmtId="37" fontId="3" fillId="0" borderId="43" xfId="0" quotePrefix="1" applyFont="1" applyFill="1" applyBorder="1" applyAlignment="1">
      <alignment horizontal="center" wrapText="1"/>
    </xf>
    <xf numFmtId="37" fontId="3" fillId="0" borderId="4" xfId="0" quotePrefix="1" applyFont="1" applyFill="1" applyBorder="1" applyAlignment="1">
      <alignment horizontal="center" wrapText="1"/>
    </xf>
    <xf numFmtId="37" fontId="3" fillId="0" borderId="9" xfId="0" quotePrefix="1" applyFont="1" applyFill="1" applyBorder="1" applyAlignment="1">
      <alignment horizontal="center" wrapText="1"/>
    </xf>
    <xf numFmtId="37" fontId="3" fillId="3" borderId="41" xfId="0" quotePrefix="1" applyFont="1" applyFill="1" applyBorder="1" applyAlignment="1">
      <alignment horizontal="center" wrapText="1"/>
    </xf>
    <xf numFmtId="37" fontId="3" fillId="3" borderId="43" xfId="0" quotePrefix="1" applyFont="1" applyFill="1" applyBorder="1" applyAlignment="1">
      <alignment horizontal="center"/>
    </xf>
    <xf numFmtId="37" fontId="3" fillId="3" borderId="4" xfId="0" quotePrefix="1" applyFont="1" applyFill="1" applyBorder="1" applyAlignment="1">
      <alignment horizontal="center"/>
    </xf>
    <xf numFmtId="37" fontId="3" fillId="6" borderId="18" xfId="0" applyFont="1" applyFill="1" applyBorder="1" applyAlignment="1">
      <alignment horizontal="center" vertical="center"/>
    </xf>
    <xf numFmtId="37" fontId="3" fillId="6" borderId="19" xfId="0" applyFont="1" applyFill="1" applyBorder="1" applyAlignment="1">
      <alignment horizontal="center" vertical="center"/>
    </xf>
    <xf numFmtId="37" fontId="5" fillId="0" borderId="24" xfId="0" quotePrefix="1" applyFont="1" applyBorder="1" applyAlignment="1">
      <alignment horizontal="left" vertical="top"/>
    </xf>
    <xf numFmtId="49" fontId="10" fillId="0" borderId="13" xfId="0" applyNumberFormat="1" applyFont="1" applyBorder="1" applyAlignment="1">
      <alignment horizontal="right" vertical="center" textRotation="180"/>
    </xf>
    <xf numFmtId="37" fontId="3" fillId="0" borderId="12" xfId="0" applyFont="1" applyBorder="1" applyAlignment="1">
      <alignment horizontal="center"/>
    </xf>
    <xf numFmtId="37" fontId="3" fillId="0" borderId="10" xfId="0" applyFont="1" applyBorder="1" applyAlignment="1">
      <alignment horizontal="center"/>
    </xf>
    <xf numFmtId="37" fontId="3" fillId="6" borderId="18" xfId="0" applyFont="1" applyFill="1" applyBorder="1" applyAlignment="1">
      <alignment horizontal="center"/>
    </xf>
    <xf numFmtId="37" fontId="3" fillId="6" borderId="15" xfId="0" applyFont="1" applyFill="1" applyBorder="1" applyAlignment="1">
      <alignment horizontal="center"/>
    </xf>
    <xf numFmtId="37" fontId="3" fillId="6" borderId="19" xfId="0" applyFont="1" applyFill="1" applyBorder="1" applyAlignment="1">
      <alignment horizontal="center"/>
    </xf>
    <xf numFmtId="37" fontId="3" fillId="6" borderId="4" xfId="0" applyFont="1" applyFill="1" applyBorder="1" applyAlignment="1">
      <alignment horizontal="center"/>
    </xf>
    <xf numFmtId="37" fontId="3" fillId="6" borderId="9" xfId="0" applyFont="1" applyFill="1" applyBorder="1" applyAlignment="1">
      <alignment horizontal="center"/>
    </xf>
    <xf numFmtId="37" fontId="3" fillId="6" borderId="4" xfId="0" applyFont="1" applyFill="1" applyBorder="1" applyAlignment="1">
      <alignment horizontal="center" wrapText="1"/>
    </xf>
    <xf numFmtId="37" fontId="3" fillId="6" borderId="9" xfId="0" applyFont="1" applyFill="1" applyBorder="1" applyAlignment="1">
      <alignment horizontal="center" wrapText="1"/>
    </xf>
    <xf numFmtId="37" fontId="3" fillId="6" borderId="55" xfId="0" applyFont="1" applyFill="1" applyBorder="1" applyAlignment="1">
      <alignment horizontal="center" wrapText="1"/>
    </xf>
    <xf numFmtId="37" fontId="3" fillId="6" borderId="56" xfId="0" applyFont="1" applyFill="1" applyBorder="1" applyAlignment="1">
      <alignment horizontal="center" wrapText="1"/>
    </xf>
    <xf numFmtId="37" fontId="3" fillId="6" borderId="7" xfId="0" applyFont="1" applyFill="1" applyBorder="1" applyAlignment="1">
      <alignment horizontal="center" wrapText="1"/>
    </xf>
    <xf numFmtId="37" fontId="3" fillId="6" borderId="8" xfId="0" applyFont="1" applyFill="1" applyBorder="1" applyAlignment="1">
      <alignment horizontal="center" wrapText="1"/>
    </xf>
    <xf numFmtId="37" fontId="3" fillId="6" borderId="57" xfId="0" applyFont="1" applyFill="1" applyBorder="1" applyAlignment="1">
      <alignment horizontal="center"/>
    </xf>
    <xf numFmtId="37" fontId="3" fillId="6" borderId="5" xfId="0" applyFont="1" applyFill="1" applyBorder="1" applyAlignment="1">
      <alignment horizontal="center"/>
    </xf>
    <xf numFmtId="37" fontId="3" fillId="6" borderId="44" xfId="0" applyFont="1" applyFill="1" applyBorder="1" applyAlignment="1">
      <alignment horizontal="center"/>
    </xf>
    <xf numFmtId="37" fontId="3" fillId="6" borderId="10" xfId="0" applyFont="1" applyFill="1" applyBorder="1" applyAlignment="1">
      <alignment horizontal="center"/>
    </xf>
    <xf numFmtId="37" fontId="3" fillId="0" borderId="18" xfId="0" applyFont="1" applyBorder="1" applyAlignment="1">
      <alignment horizontal="center"/>
    </xf>
    <xf numFmtId="37" fontId="3" fillId="0" borderId="15" xfId="0" applyFont="1" applyBorder="1" applyAlignment="1">
      <alignment horizontal="center"/>
    </xf>
    <xf numFmtId="37" fontId="3" fillId="0" borderId="19" xfId="0" applyFont="1" applyBorder="1" applyAlignment="1">
      <alignment horizontal="center"/>
    </xf>
    <xf numFmtId="49" fontId="10" fillId="0" borderId="17" xfId="0" applyNumberFormat="1" applyFont="1" applyBorder="1" applyAlignment="1">
      <alignment horizontal="right" vertical="center" textRotation="180"/>
    </xf>
    <xf numFmtId="37" fontId="3" fillId="6" borderId="16" xfId="0" quotePrefix="1" applyFont="1" applyFill="1" applyBorder="1" applyAlignment="1">
      <alignment horizontal="center" wrapText="1"/>
    </xf>
    <xf numFmtId="37" fontId="3" fillId="6" borderId="5" xfId="0" applyFont="1" applyFill="1" applyBorder="1" applyAlignment="1">
      <alignment horizontal="center" wrapText="1"/>
    </xf>
    <xf numFmtId="37" fontId="3" fillId="6" borderId="12" xfId="0" applyFont="1" applyFill="1" applyBorder="1" applyAlignment="1">
      <alignment horizontal="center" wrapText="1"/>
    </xf>
    <xf numFmtId="37" fontId="3" fillId="6" borderId="10" xfId="0" applyFont="1" applyFill="1" applyBorder="1" applyAlignment="1">
      <alignment horizontal="center" wrapText="1"/>
    </xf>
    <xf numFmtId="37" fontId="3" fillId="6" borderId="16" xfId="0" applyFont="1" applyFill="1" applyBorder="1" applyAlignment="1">
      <alignment horizontal="center" wrapText="1"/>
    </xf>
    <xf numFmtId="37" fontId="0" fillId="0" borderId="17" xfId="0" applyBorder="1" applyAlignment="1">
      <alignment horizontal="right" vertical="center" textRotation="180"/>
    </xf>
    <xf numFmtId="37" fontId="3" fillId="6" borderId="16" xfId="0" applyFont="1" applyFill="1" applyBorder="1" applyAlignment="1">
      <alignment horizontal="center"/>
    </xf>
    <xf numFmtId="37" fontId="3" fillId="6" borderId="12" xfId="0" applyFont="1" applyFill="1" applyBorder="1" applyAlignment="1">
      <alignment horizontal="center"/>
    </xf>
    <xf numFmtId="37" fontId="3" fillId="6" borderId="2" xfId="0" applyFont="1" applyFill="1" applyBorder="1" applyAlignment="1">
      <alignment horizontal="center"/>
    </xf>
    <xf numFmtId="37" fontId="3" fillId="6" borderId="3" xfId="0" applyFont="1" applyFill="1" applyBorder="1" applyAlignment="1">
      <alignment horizontal="center"/>
    </xf>
    <xf numFmtId="37" fontId="3" fillId="6" borderId="2" xfId="0" applyFont="1" applyFill="1" applyBorder="1" applyAlignment="1">
      <alignment horizontal="center" wrapText="1"/>
    </xf>
    <xf numFmtId="37" fontId="3" fillId="6" borderId="3" xfId="0" applyFont="1" applyFill="1" applyBorder="1" applyAlignment="1">
      <alignment horizontal="center" wrapText="1"/>
    </xf>
    <xf numFmtId="37" fontId="3" fillId="6" borderId="2" xfId="0" quotePrefix="1" applyFont="1" applyFill="1" applyBorder="1" applyAlignment="1">
      <alignment horizontal="center"/>
    </xf>
    <xf numFmtId="37" fontId="3" fillId="6" borderId="5" xfId="0" quotePrefix="1" applyFont="1" applyFill="1" applyBorder="1" applyAlignment="1">
      <alignment horizontal="center"/>
    </xf>
    <xf numFmtId="37" fontId="3" fillId="6" borderId="12" xfId="0" quotePrefix="1" applyFont="1" applyFill="1" applyBorder="1" applyAlignment="1">
      <alignment horizontal="center"/>
    </xf>
    <xf numFmtId="37" fontId="3" fillId="6" borderId="3" xfId="0" quotePrefix="1" applyFont="1" applyFill="1" applyBorder="1" applyAlignment="1">
      <alignment horizontal="center"/>
    </xf>
    <xf numFmtId="37" fontId="3" fillId="6" borderId="10" xfId="0" quotePrefix="1" applyFont="1" applyFill="1" applyBorder="1" applyAlignment="1">
      <alignment horizontal="center"/>
    </xf>
    <xf numFmtId="37" fontId="3" fillId="3" borderId="18" xfId="0" applyFont="1" applyFill="1" applyBorder="1" applyAlignment="1" applyProtection="1">
      <alignment horizontal="left"/>
    </xf>
    <xf numFmtId="37" fontId="3" fillId="3" borderId="15" xfId="0" applyFont="1" applyFill="1" applyBorder="1" applyAlignment="1" applyProtection="1">
      <alignment horizontal="left"/>
    </xf>
    <xf numFmtId="37" fontId="3" fillId="3" borderId="19" xfId="0" applyFont="1" applyFill="1" applyBorder="1" applyAlignment="1" applyProtection="1">
      <alignment horizontal="left"/>
    </xf>
    <xf numFmtId="37" fontId="3" fillId="6" borderId="16" xfId="0" applyFont="1" applyFill="1" applyBorder="1" applyAlignment="1" applyProtection="1">
      <alignment horizontal="center"/>
    </xf>
    <xf numFmtId="37" fontId="3" fillId="6" borderId="2" xfId="0" applyFont="1" applyFill="1" applyBorder="1" applyAlignment="1" applyProtection="1">
      <alignment horizontal="center"/>
    </xf>
    <xf numFmtId="37" fontId="3" fillId="6" borderId="5" xfId="0" applyFont="1" applyFill="1" applyBorder="1" applyAlignment="1" applyProtection="1">
      <alignment horizontal="center"/>
    </xf>
    <xf numFmtId="37" fontId="3" fillId="6" borderId="12" xfId="0" applyFont="1" applyFill="1" applyBorder="1" applyAlignment="1" applyProtection="1">
      <alignment horizontal="center"/>
    </xf>
    <xf numFmtId="37" fontId="3" fillId="6" borderId="3" xfId="0" applyFont="1" applyFill="1" applyBorder="1" applyAlignment="1" applyProtection="1">
      <alignment horizontal="center"/>
    </xf>
    <xf numFmtId="37" fontId="3" fillId="6" borderId="10" xfId="0" applyFont="1" applyFill="1" applyBorder="1" applyAlignment="1" applyProtection="1">
      <alignment horizontal="center"/>
    </xf>
    <xf numFmtId="37" fontId="3" fillId="6" borderId="16" xfId="0" quotePrefix="1" applyFont="1" applyFill="1" applyBorder="1" applyAlignment="1" applyProtection="1">
      <alignment horizontal="center" wrapText="1"/>
    </xf>
    <xf numFmtId="37" fontId="3" fillId="6" borderId="2" xfId="0" applyFont="1" applyFill="1" applyBorder="1" applyAlignment="1" applyProtection="1">
      <alignment horizontal="center" wrapText="1"/>
    </xf>
    <xf numFmtId="37" fontId="3" fillId="6" borderId="5" xfId="0" applyFont="1" applyFill="1" applyBorder="1" applyAlignment="1" applyProtection="1">
      <alignment horizontal="center" wrapText="1"/>
    </xf>
    <xf numFmtId="37" fontId="3" fillId="6" borderId="12" xfId="0" applyFont="1" applyFill="1" applyBorder="1" applyAlignment="1" applyProtection="1">
      <alignment horizontal="center" wrapText="1"/>
    </xf>
    <xf numFmtId="37" fontId="3" fillId="6" borderId="3" xfId="0" applyFont="1" applyFill="1" applyBorder="1" applyAlignment="1" applyProtection="1">
      <alignment horizontal="center" wrapText="1"/>
    </xf>
    <xf numFmtId="37" fontId="3" fillId="6" borderId="10" xfId="0" applyFont="1" applyFill="1" applyBorder="1" applyAlignment="1" applyProtection="1">
      <alignment horizontal="center" wrapText="1"/>
    </xf>
    <xf numFmtId="37" fontId="3" fillId="6" borderId="37" xfId="0" applyFont="1" applyFill="1" applyBorder="1" applyAlignment="1" applyProtection="1">
      <alignment horizontal="center"/>
    </xf>
    <xf numFmtId="37" fontId="3" fillId="6" borderId="15" xfId="0" applyFont="1" applyFill="1" applyBorder="1" applyAlignment="1" applyProtection="1">
      <alignment horizontal="center"/>
    </xf>
    <xf numFmtId="37" fontId="3" fillId="6" borderId="19" xfId="0" applyFont="1" applyFill="1" applyBorder="1" applyAlignment="1" applyProtection="1">
      <alignment horizontal="center"/>
    </xf>
    <xf numFmtId="37" fontId="3" fillId="6" borderId="18" xfId="0" applyFont="1" applyFill="1" applyBorder="1" applyAlignment="1" applyProtection="1">
      <alignment horizontal="center"/>
    </xf>
    <xf numFmtId="37" fontId="3" fillId="3" borderId="49" xfId="0" quotePrefix="1" applyFont="1" applyFill="1" applyBorder="1" applyAlignment="1">
      <alignment horizontal="center" wrapText="1"/>
    </xf>
    <xf numFmtId="37" fontId="3" fillId="3" borderId="14" xfId="0" quotePrefix="1" applyFont="1" applyFill="1" applyBorder="1" applyAlignment="1">
      <alignment horizontal="center" wrapText="1"/>
    </xf>
    <xf numFmtId="37" fontId="3" fillId="3" borderId="50" xfId="0" quotePrefix="1" applyFont="1" applyFill="1" applyBorder="1" applyAlignment="1">
      <alignment horizontal="center" wrapText="1"/>
    </xf>
    <xf numFmtId="37" fontId="3" fillId="3" borderId="51" xfId="0" quotePrefix="1" applyFont="1" applyFill="1" applyBorder="1" applyAlignment="1" applyProtection="1">
      <alignment horizontal="center" wrapText="1"/>
    </xf>
    <xf numFmtId="37" fontId="3" fillId="3" borderId="25" xfId="0" quotePrefix="1" applyFont="1" applyFill="1" applyBorder="1" applyAlignment="1" applyProtection="1">
      <alignment horizontal="center" wrapText="1"/>
    </xf>
    <xf numFmtId="37" fontId="3" fillId="3" borderId="26" xfId="0" quotePrefix="1" applyFont="1" applyFill="1" applyBorder="1" applyAlignment="1" applyProtection="1">
      <alignment horizontal="center" wrapText="1"/>
    </xf>
    <xf numFmtId="37" fontId="3" fillId="0" borderId="4" xfId="0" applyFont="1" applyBorder="1" applyAlignment="1" applyProtection="1">
      <alignment horizontal="center"/>
    </xf>
    <xf numFmtId="37" fontId="3" fillId="0" borderId="9" xfId="0" applyFont="1" applyBorder="1" applyAlignment="1" applyProtection="1">
      <alignment horizontal="center"/>
    </xf>
    <xf numFmtId="37" fontId="3" fillId="3" borderId="18" xfId="0" applyFont="1" applyFill="1" applyBorder="1" applyAlignment="1" applyProtection="1">
      <alignment horizontal="center"/>
    </xf>
    <xf numFmtId="37" fontId="3" fillId="3" borderId="15" xfId="0" applyFont="1" applyFill="1" applyBorder="1" applyAlignment="1" applyProtection="1">
      <alignment horizontal="center"/>
    </xf>
    <xf numFmtId="37" fontId="3" fillId="3" borderId="19" xfId="0" applyFont="1" applyFill="1" applyBorder="1" applyAlignment="1" applyProtection="1">
      <alignment horizontal="center"/>
    </xf>
    <xf numFmtId="37" fontId="5" fillId="0" borderId="0" xfId="0" quotePrefix="1" applyFont="1" applyFill="1" applyBorder="1" applyAlignment="1">
      <alignment horizontal="left" vertical="top" wrapText="1"/>
    </xf>
    <xf numFmtId="37" fontId="3" fillId="3" borderId="18" xfId="0" applyFont="1" applyFill="1" applyBorder="1" applyAlignment="1">
      <alignment horizontal="left"/>
    </xf>
    <xf numFmtId="37" fontId="3" fillId="3" borderId="15" xfId="0" applyFont="1" applyFill="1" applyBorder="1" applyAlignment="1">
      <alignment horizontal="left"/>
    </xf>
    <xf numFmtId="37" fontId="3" fillId="3" borderId="19" xfId="0" applyFont="1" applyFill="1" applyBorder="1" applyAlignment="1">
      <alignment horizontal="left"/>
    </xf>
    <xf numFmtId="49" fontId="5" fillId="0" borderId="24" xfId="0" quotePrefix="1" applyNumberFormat="1" applyFont="1" applyBorder="1" applyAlignment="1">
      <alignment horizontal="left" vertical="top" wrapText="1"/>
    </xf>
    <xf numFmtId="49" fontId="5" fillId="0" borderId="24" xfId="0" quotePrefix="1" applyNumberFormat="1" applyFont="1" applyBorder="1" applyAlignment="1">
      <alignment horizontal="left" vertical="top"/>
    </xf>
    <xf numFmtId="49" fontId="5" fillId="0" borderId="0" xfId="0" quotePrefix="1" applyNumberFormat="1" applyFont="1" applyAlignment="1">
      <alignment horizontal="left" vertical="top"/>
    </xf>
    <xf numFmtId="37" fontId="3" fillId="6" borderId="2" xfId="0" quotePrefix="1" applyFont="1" applyFill="1" applyBorder="1" applyAlignment="1">
      <alignment horizontal="center" wrapText="1"/>
    </xf>
    <xf numFmtId="37" fontId="3" fillId="6" borderId="5" xfId="0" quotePrefix="1" applyFont="1" applyFill="1" applyBorder="1" applyAlignment="1">
      <alignment horizontal="center" wrapText="1"/>
    </xf>
    <xf numFmtId="37" fontId="3" fillId="6" borderId="12" xfId="0" quotePrefix="1" applyFont="1" applyFill="1" applyBorder="1" applyAlignment="1">
      <alignment horizontal="center" wrapText="1"/>
    </xf>
    <xf numFmtId="37" fontId="3" fillId="6" borderId="3" xfId="0" quotePrefix="1" applyFont="1" applyFill="1" applyBorder="1" applyAlignment="1">
      <alignment horizontal="center" wrapText="1"/>
    </xf>
    <xf numFmtId="37" fontId="3" fillId="6" borderId="10" xfId="0" quotePrefix="1" applyFont="1" applyFill="1" applyBorder="1" applyAlignment="1">
      <alignment horizontal="center" wrapText="1"/>
    </xf>
    <xf numFmtId="37" fontId="3" fillId="3" borderId="16" xfId="0" applyFont="1" applyFill="1" applyBorder="1" applyAlignment="1">
      <alignment horizontal="left"/>
    </xf>
    <xf numFmtId="37" fontId="3" fillId="3" borderId="2" xfId="0" applyFont="1" applyFill="1" applyBorder="1" applyAlignment="1">
      <alignment horizontal="left"/>
    </xf>
    <xf numFmtId="37" fontId="3" fillId="6" borderId="17" xfId="0" applyFont="1" applyFill="1" applyBorder="1" applyAlignment="1">
      <alignment horizontal="center" wrapText="1"/>
    </xf>
    <xf numFmtId="37" fontId="3" fillId="6" borderId="31" xfId="0" applyFont="1" applyFill="1" applyBorder="1" applyAlignment="1">
      <alignment horizontal="center" wrapText="1"/>
    </xf>
    <xf numFmtId="37" fontId="3" fillId="6" borderId="34" xfId="0" applyFont="1" applyFill="1" applyBorder="1" applyAlignment="1">
      <alignment horizontal="center" wrapText="1"/>
    </xf>
    <xf numFmtId="37" fontId="3" fillId="6" borderId="39" xfId="0" applyFont="1" applyFill="1" applyBorder="1" applyAlignment="1">
      <alignment horizontal="center" wrapText="1"/>
    </xf>
    <xf numFmtId="37" fontId="3" fillId="6" borderId="0" xfId="0" applyFont="1" applyFill="1" applyBorder="1" applyAlignment="1">
      <alignment horizontal="center" wrapText="1"/>
    </xf>
    <xf numFmtId="37" fontId="3" fillId="6" borderId="6" xfId="0" applyFont="1" applyFill="1" applyBorder="1" applyAlignment="1">
      <alignment horizontal="center" wrapText="1"/>
    </xf>
    <xf numFmtId="37" fontId="3" fillId="6" borderId="13" xfId="0" applyFont="1" applyFill="1" applyBorder="1" applyAlignment="1">
      <alignment horizontal="center" wrapText="1"/>
    </xf>
    <xf numFmtId="37" fontId="3" fillId="3" borderId="18" xfId="0" quotePrefix="1" applyFont="1" applyFill="1" applyBorder="1" applyAlignment="1">
      <alignment horizontal="left"/>
    </xf>
    <xf numFmtId="37" fontId="3" fillId="3" borderId="15" xfId="0" quotePrefix="1" applyFont="1" applyFill="1" applyBorder="1" applyAlignment="1">
      <alignment horizontal="left"/>
    </xf>
    <xf numFmtId="37" fontId="3" fillId="3" borderId="19" xfId="0" quotePrefix="1" applyFont="1" applyFill="1" applyBorder="1" applyAlignment="1">
      <alignment horizontal="left"/>
    </xf>
    <xf numFmtId="37" fontId="3" fillId="6" borderId="33" xfId="0" quotePrefix="1" applyFont="1" applyFill="1" applyBorder="1" applyAlignment="1">
      <alignment horizontal="center" wrapText="1"/>
    </xf>
    <xf numFmtId="37" fontId="3" fillId="6" borderId="38" xfId="0" applyFont="1" applyFill="1" applyBorder="1" applyAlignment="1">
      <alignment horizontal="center"/>
    </xf>
    <xf numFmtId="37" fontId="3" fillId="6" borderId="34" xfId="0" applyFont="1" applyFill="1" applyBorder="1" applyAlignment="1">
      <alignment horizontal="center"/>
    </xf>
    <xf numFmtId="37" fontId="3" fillId="6" borderId="39" xfId="0" applyFont="1" applyFill="1" applyBorder="1" applyAlignment="1">
      <alignment horizontal="center"/>
    </xf>
    <xf numFmtId="37" fontId="3" fillId="6" borderId="58" xfId="0" applyFont="1" applyFill="1" applyBorder="1" applyAlignment="1">
      <alignment horizontal="center"/>
    </xf>
    <xf numFmtId="37" fontId="3" fillId="6" borderId="32" xfId="0" applyFont="1" applyFill="1" applyBorder="1" applyAlignment="1">
      <alignment horizontal="center"/>
    </xf>
    <xf numFmtId="37" fontId="3" fillId="6" borderId="59" xfId="0" applyFont="1" applyFill="1" applyBorder="1" applyAlignment="1">
      <alignment horizontal="center"/>
    </xf>
    <xf numFmtId="37" fontId="3" fillId="6" borderId="60" xfId="0" applyFont="1" applyFill="1" applyBorder="1" applyAlignment="1">
      <alignment horizontal="center"/>
    </xf>
    <xf numFmtId="37" fontId="3" fillId="6" borderId="61" xfId="0" applyFont="1" applyFill="1" applyBorder="1" applyAlignment="1">
      <alignment horizontal="center"/>
    </xf>
    <xf numFmtId="37" fontId="3" fillId="0" borderId="4" xfId="0" applyFont="1" applyBorder="1" applyAlignment="1">
      <alignment horizontal="center" wrapText="1"/>
    </xf>
    <xf numFmtId="37" fontId="3" fillId="0" borderId="9" xfId="0" applyFont="1" applyBorder="1" applyAlignment="1">
      <alignment horizontal="center" wrapText="1"/>
    </xf>
    <xf numFmtId="37" fontId="3" fillId="0" borderId="4" xfId="0" quotePrefix="1" applyFont="1" applyBorder="1" applyAlignment="1">
      <alignment horizontal="center" wrapText="1"/>
    </xf>
    <xf numFmtId="37" fontId="3" fillId="0" borderId="9" xfId="0" applyFont="1" applyBorder="1" applyAlignment="1">
      <alignment horizontal="center"/>
    </xf>
    <xf numFmtId="37" fontId="3" fillId="3" borderId="30" xfId="0" applyFont="1" applyFill="1" applyBorder="1" applyAlignment="1">
      <alignment horizontal="left"/>
    </xf>
    <xf numFmtId="37" fontId="3" fillId="3" borderId="27" xfId="0" applyFont="1" applyFill="1" applyBorder="1" applyAlignment="1">
      <alignment horizontal="left"/>
    </xf>
    <xf numFmtId="37" fontId="3" fillId="3" borderId="29" xfId="0" applyFont="1" applyFill="1" applyBorder="1" applyAlignment="1">
      <alignment horizontal="left"/>
    </xf>
    <xf numFmtId="37" fontId="3" fillId="6" borderId="11" xfId="0" applyFont="1" applyFill="1" applyBorder="1" applyAlignment="1">
      <alignment horizontal="center"/>
    </xf>
    <xf numFmtId="37" fontId="3" fillId="6" borderId="24" xfId="0" applyFont="1" applyFill="1" applyBorder="1" applyAlignment="1">
      <alignment horizontal="center" wrapText="1"/>
    </xf>
    <xf numFmtId="37" fontId="3" fillId="6" borderId="38" xfId="0" applyFont="1" applyFill="1" applyBorder="1" applyAlignment="1">
      <alignment horizontal="center" wrapText="1"/>
    </xf>
    <xf numFmtId="37" fontId="3" fillId="6" borderId="11" xfId="0" applyFont="1" applyFill="1" applyBorder="1" applyAlignment="1">
      <alignment horizontal="center" wrapText="1"/>
    </xf>
    <xf numFmtId="37" fontId="5" fillId="0" borderId="24" xfId="0" applyFont="1" applyBorder="1" applyAlignment="1">
      <alignment horizontal="left" vertical="top" wrapText="1"/>
    </xf>
    <xf numFmtId="37" fontId="5" fillId="0" borderId="0" xfId="0" applyFont="1" applyAlignment="1">
      <alignment horizontal="left" vertical="top" wrapText="1"/>
    </xf>
    <xf numFmtId="37" fontId="3" fillId="3" borderId="16" xfId="0" applyFont="1" applyFill="1" applyBorder="1" applyAlignment="1">
      <alignment horizontal="center"/>
    </xf>
    <xf numFmtId="37" fontId="3" fillId="3" borderId="2" xfId="0" applyFont="1" applyFill="1" applyBorder="1" applyAlignment="1">
      <alignment horizontal="center"/>
    </xf>
    <xf numFmtId="37" fontId="3" fillId="3" borderId="15" xfId="0" applyFont="1" applyFill="1" applyBorder="1" applyAlignment="1">
      <alignment horizontal="center"/>
    </xf>
    <xf numFmtId="37" fontId="3" fillId="3" borderId="19" xfId="0" applyFont="1" applyFill="1" applyBorder="1" applyAlignment="1">
      <alignment horizontal="center"/>
    </xf>
    <xf numFmtId="37" fontId="3" fillId="6" borderId="33" xfId="0" applyFont="1" applyFill="1" applyBorder="1" applyAlignment="1">
      <alignment horizontal="center" vertical="center"/>
    </xf>
    <xf numFmtId="37" fontId="3" fillId="6" borderId="24" xfId="0" applyFont="1" applyFill="1" applyBorder="1" applyAlignment="1">
      <alignment horizontal="center" vertical="center"/>
    </xf>
    <xf numFmtId="37" fontId="3" fillId="6" borderId="38" xfId="0" applyFont="1" applyFill="1" applyBorder="1" applyAlignment="1">
      <alignment horizontal="center" vertical="center"/>
    </xf>
    <xf numFmtId="37" fontId="3" fillId="6" borderId="34" xfId="0" applyFont="1" applyFill="1" applyBorder="1" applyAlignment="1">
      <alignment horizontal="center" vertical="center"/>
    </xf>
    <xf numFmtId="37" fontId="3" fillId="6" borderId="11" xfId="0" applyFont="1" applyFill="1" applyBorder="1" applyAlignment="1">
      <alignment horizontal="center" vertical="center"/>
    </xf>
    <xf numFmtId="37" fontId="3" fillId="6" borderId="39" xfId="0" applyFont="1" applyFill="1" applyBorder="1" applyAlignment="1">
      <alignment horizontal="center" vertical="center"/>
    </xf>
    <xf numFmtId="37" fontId="3" fillId="6" borderId="1" xfId="0" applyFont="1" applyFill="1" applyBorder="1" applyAlignment="1">
      <alignment horizontal="center" wrapText="1"/>
    </xf>
    <xf numFmtId="37" fontId="0" fillId="0" borderId="9" xfId="0" applyBorder="1"/>
    <xf numFmtId="49" fontId="5" fillId="0" borderId="0" xfId="0" quotePrefix="1" applyNumberFormat="1" applyFont="1" applyFill="1" applyAlignment="1">
      <alignment horizontal="left" vertical="top" wrapText="1"/>
    </xf>
    <xf numFmtId="37" fontId="3" fillId="6" borderId="58" xfId="0" applyFont="1" applyFill="1" applyBorder="1" applyAlignment="1">
      <alignment horizontal="center" vertical="center"/>
    </xf>
    <xf numFmtId="37" fontId="3" fillId="6" borderId="32" xfId="0" applyFont="1" applyFill="1" applyBorder="1" applyAlignment="1">
      <alignment horizontal="center" vertical="center"/>
    </xf>
    <xf numFmtId="37" fontId="3" fillId="6" borderId="59" xfId="0" applyFont="1" applyFill="1" applyBorder="1" applyAlignment="1">
      <alignment horizontal="center" vertical="center"/>
    </xf>
    <xf numFmtId="37" fontId="3" fillId="6" borderId="15" xfId="0" applyFont="1" applyFill="1" applyBorder="1" applyAlignment="1">
      <alignment horizontal="center" vertical="center"/>
    </xf>
    <xf numFmtId="37" fontId="3" fillId="0" borderId="21" xfId="0" quotePrefix="1" applyFont="1" applyFill="1" applyBorder="1" applyAlignment="1">
      <alignment horizontal="center" wrapText="1"/>
    </xf>
    <xf numFmtId="37" fontId="3" fillId="0" borderId="21" xfId="0" applyFont="1" applyFill="1" applyBorder="1" applyAlignment="1">
      <alignment horizontal="center" wrapText="1"/>
    </xf>
    <xf numFmtId="37" fontId="3" fillId="0" borderId="8" xfId="0" applyFont="1" applyFill="1" applyBorder="1" applyAlignment="1">
      <alignment horizontal="center" wrapText="1"/>
    </xf>
    <xf numFmtId="37" fontId="3" fillId="0" borderId="8" xfId="0" quotePrefix="1" applyFont="1" applyFill="1" applyBorder="1" applyAlignment="1">
      <alignment horizontal="center" wrapText="1"/>
    </xf>
    <xf numFmtId="37" fontId="3" fillId="0" borderId="17" xfId="0" applyFont="1" applyFill="1" applyBorder="1" applyAlignment="1">
      <alignment horizontal="center" wrapText="1"/>
    </xf>
    <xf numFmtId="37" fontId="3" fillId="0" borderId="34" xfId="0" applyFont="1" applyFill="1" applyBorder="1" applyAlignment="1">
      <alignment horizontal="center" wrapText="1"/>
    </xf>
    <xf numFmtId="37" fontId="3" fillId="0" borderId="7" xfId="0" quotePrefix="1" applyFont="1" applyBorder="1" applyAlignment="1">
      <alignment horizontal="center" wrapText="1"/>
    </xf>
    <xf numFmtId="37" fontId="3" fillId="0" borderId="21" xfId="0" applyFont="1" applyBorder="1" applyAlignment="1">
      <alignment horizontal="center" wrapText="1"/>
    </xf>
    <xf numFmtId="37" fontId="3" fillId="0" borderId="8" xfId="0" applyFont="1" applyBorder="1" applyAlignment="1">
      <alignment horizontal="center" wrapText="1"/>
    </xf>
    <xf numFmtId="37" fontId="3" fillId="6" borderId="57" xfId="0" quotePrefix="1" applyFont="1" applyFill="1" applyBorder="1" applyAlignment="1">
      <alignment horizontal="center" wrapText="1"/>
    </xf>
    <xf numFmtId="37" fontId="3" fillId="6" borderId="44" xfId="0" applyFont="1" applyFill="1" applyBorder="1" applyAlignment="1">
      <alignment horizontal="center" wrapText="1"/>
    </xf>
    <xf numFmtId="0" fontId="5" fillId="0" borderId="24" xfId="0" applyNumberFormat="1" applyFont="1" applyBorder="1" applyAlignment="1">
      <alignment horizontal="left" vertical="top" wrapText="1"/>
    </xf>
    <xf numFmtId="0" fontId="5" fillId="0" borderId="0" xfId="0" applyNumberFormat="1" applyFont="1" applyAlignment="1">
      <alignment horizontal="left" vertical="top" wrapText="1"/>
    </xf>
    <xf numFmtId="37" fontId="3" fillId="6" borderId="4" xfId="0" quotePrefix="1" applyFont="1" applyFill="1" applyBorder="1" applyAlignment="1">
      <alignment horizontal="center" wrapText="1"/>
    </xf>
    <xf numFmtId="37" fontId="3" fillId="6" borderId="1" xfId="0" quotePrefix="1" applyFont="1" applyFill="1" applyBorder="1" applyAlignment="1">
      <alignment horizontal="center" wrapText="1"/>
    </xf>
    <xf numFmtId="37" fontId="3" fillId="6" borderId="9" xfId="0" quotePrefix="1" applyFont="1" applyFill="1" applyBorder="1" applyAlignment="1">
      <alignment horizontal="center" wrapText="1"/>
    </xf>
    <xf numFmtId="37" fontId="3" fillId="6" borderId="7" xfId="0" quotePrefix="1" applyNumberFormat="1" applyFont="1" applyFill="1" applyBorder="1" applyAlignment="1" applyProtection="1">
      <alignment horizontal="center" wrapText="1"/>
    </xf>
    <xf numFmtId="37" fontId="3" fillId="6" borderId="21" xfId="0" quotePrefix="1" applyNumberFormat="1" applyFont="1" applyFill="1" applyBorder="1" applyAlignment="1" applyProtection="1">
      <alignment horizontal="center" wrapText="1"/>
    </xf>
    <xf numFmtId="37" fontId="3" fillId="6" borderId="8" xfId="0" quotePrefix="1" applyNumberFormat="1" applyFont="1" applyFill="1" applyBorder="1" applyAlignment="1" applyProtection="1">
      <alignment horizontal="center" wrapText="1"/>
    </xf>
    <xf numFmtId="37" fontId="3" fillId="6" borderId="62" xfId="0" quotePrefix="1" applyNumberFormat="1" applyFont="1" applyFill="1" applyBorder="1" applyAlignment="1" applyProtection="1">
      <alignment horizontal="center" wrapText="1"/>
    </xf>
    <xf numFmtId="37" fontId="3" fillId="6" borderId="43" xfId="0" quotePrefix="1" applyNumberFormat="1" applyFont="1" applyFill="1" applyBorder="1" applyAlignment="1" applyProtection="1">
      <alignment horizontal="center" wrapText="1"/>
    </xf>
    <xf numFmtId="37" fontId="5" fillId="0" borderId="24" xfId="0" quotePrefix="1" applyFont="1" applyBorder="1" applyAlignment="1">
      <alignment horizontal="left" wrapText="1"/>
    </xf>
    <xf numFmtId="37" fontId="0" fillId="0" borderId="24" xfId="0" applyBorder="1"/>
    <xf numFmtId="37" fontId="0" fillId="0" borderId="0" xfId="0"/>
    <xf numFmtId="37" fontId="3" fillId="3" borderId="18" xfId="0" applyFont="1" applyFill="1" applyBorder="1" applyAlignment="1">
      <alignment horizontal="center"/>
    </xf>
    <xf numFmtId="37" fontId="3" fillId="6" borderId="4" xfId="0" quotePrefix="1"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wrapText="1"/>
    </xf>
    <xf numFmtId="37" fontId="3" fillId="6" borderId="9" xfId="0" applyNumberFormat="1" applyFont="1" applyFill="1" applyBorder="1" applyAlignment="1" applyProtection="1">
      <alignment horizontal="center" wrapText="1"/>
    </xf>
    <xf numFmtId="37" fontId="3" fillId="6" borderId="1" xfId="0" applyNumberFormat="1" applyFont="1" applyFill="1" applyBorder="1" applyAlignment="1" applyProtection="1">
      <alignment horizontal="center"/>
    </xf>
    <xf numFmtId="37" fontId="3" fillId="6" borderId="9" xfId="0" applyNumberFormat="1" applyFont="1" applyFill="1" applyBorder="1" applyAlignment="1" applyProtection="1">
      <alignment horizontal="center"/>
    </xf>
    <xf numFmtId="0" fontId="5" fillId="0" borderId="24" xfId="0" quotePrefix="1" applyNumberFormat="1" applyFont="1" applyBorder="1" applyAlignment="1">
      <alignment horizontal="left" vertical="center" wrapText="1"/>
    </xf>
    <xf numFmtId="0" fontId="5" fillId="0" borderId="0" xfId="0" quotePrefix="1" applyNumberFormat="1" applyFont="1" applyAlignment="1">
      <alignment horizontal="left" vertical="center" wrapText="1"/>
    </xf>
    <xf numFmtId="37" fontId="3" fillId="0" borderId="24" xfId="0" applyFont="1" applyBorder="1" applyAlignment="1">
      <alignment horizontal="center" vertical="center"/>
    </xf>
    <xf numFmtId="37" fontId="3" fillId="0" borderId="11" xfId="0" applyFont="1" applyBorder="1" applyAlignment="1">
      <alignment horizontal="center" vertical="center"/>
    </xf>
    <xf numFmtId="37" fontId="3" fillId="8" borderId="62" xfId="0" quotePrefix="1" applyFont="1" applyFill="1" applyBorder="1" applyAlignment="1">
      <alignment horizontal="center" wrapText="1"/>
    </xf>
    <xf numFmtId="37" fontId="3" fillId="8" borderId="43" xfId="0" applyFont="1" applyFill="1" applyBorder="1" applyAlignment="1">
      <alignment horizontal="center" wrapText="1"/>
    </xf>
    <xf numFmtId="37" fontId="3" fillId="8" borderId="7" xfId="0" quotePrefix="1" applyFont="1" applyFill="1" applyBorder="1" applyAlignment="1">
      <alignment horizontal="center" wrapText="1"/>
    </xf>
    <xf numFmtId="37" fontId="3" fillId="8" borderId="21" xfId="0" applyFont="1" applyFill="1" applyBorder="1" applyAlignment="1">
      <alignment horizontal="center" wrapText="1"/>
    </xf>
    <xf numFmtId="37" fontId="3" fillId="8" borderId="8" xfId="0" applyFont="1" applyFill="1" applyBorder="1" applyAlignment="1">
      <alignment horizontal="center" wrapText="1"/>
    </xf>
    <xf numFmtId="37" fontId="3" fillId="6" borderId="16" xfId="0" applyFont="1" applyFill="1" applyBorder="1" applyAlignment="1">
      <alignment horizontal="center" vertical="center"/>
    </xf>
    <xf numFmtId="37" fontId="3" fillId="6" borderId="2" xfId="0" applyFont="1" applyFill="1" applyBorder="1" applyAlignment="1">
      <alignment horizontal="center" vertical="center"/>
    </xf>
    <xf numFmtId="37" fontId="3" fillId="6" borderId="5" xfId="0" applyFont="1" applyFill="1" applyBorder="1" applyAlignment="1">
      <alignment horizontal="center" vertical="center"/>
    </xf>
    <xf numFmtId="37" fontId="3" fillId="6" borderId="12" xfId="0" applyFont="1" applyFill="1" applyBorder="1" applyAlignment="1">
      <alignment horizontal="center" vertical="center"/>
    </xf>
    <xf numFmtId="37" fontId="3" fillId="6" borderId="3" xfId="0" applyFont="1" applyFill="1" applyBorder="1" applyAlignment="1">
      <alignment horizontal="center" vertical="center"/>
    </xf>
    <xf numFmtId="37" fontId="3" fillId="6" borderId="10" xfId="0" applyFont="1" applyFill="1" applyBorder="1" applyAlignment="1">
      <alignment horizontal="center" vertical="center"/>
    </xf>
    <xf numFmtId="37" fontId="3" fillId="0" borderId="62" xfId="0" quotePrefix="1" applyFont="1" applyBorder="1" applyAlignment="1">
      <alignment horizontal="center" wrapText="1"/>
    </xf>
    <xf numFmtId="37" fontId="3" fillId="0" borderId="43" xfId="0" quotePrefix="1" applyFont="1" applyBorder="1" applyAlignment="1">
      <alignment horizontal="center" wrapText="1"/>
    </xf>
    <xf numFmtId="37" fontId="3" fillId="0" borderId="1" xfId="0" quotePrefix="1" applyFont="1" applyBorder="1" applyAlignment="1">
      <alignment horizontal="center" wrapText="1"/>
    </xf>
    <xf numFmtId="37" fontId="3" fillId="0" borderId="9" xfId="0" quotePrefix="1" applyFont="1" applyBorder="1" applyAlignment="1">
      <alignment horizontal="center" wrapText="1"/>
    </xf>
    <xf numFmtId="37" fontId="3" fillId="0" borderId="18" xfId="0" applyFont="1" applyBorder="1" applyAlignment="1">
      <alignment horizontal="center" vertical="center"/>
    </xf>
    <xf numFmtId="37" fontId="3" fillId="0" borderId="15" xfId="0" applyFont="1" applyBorder="1" applyAlignment="1">
      <alignment horizontal="center" vertical="center"/>
    </xf>
    <xf numFmtId="37" fontId="3" fillId="0" borderId="19" xfId="0" applyFont="1" applyBorder="1" applyAlignment="1">
      <alignment horizontal="center" vertical="center"/>
    </xf>
    <xf numFmtId="37" fontId="5" fillId="0" borderId="0" xfId="0" applyFont="1" applyAlignment="1">
      <alignment horizontal="left" wrapText="1"/>
    </xf>
    <xf numFmtId="37" fontId="3" fillId="0" borderId="16" xfId="0" applyFont="1" applyBorder="1" applyAlignment="1">
      <alignment horizontal="center" vertical="center"/>
    </xf>
    <xf numFmtId="37" fontId="3" fillId="0" borderId="21" xfId="0" quotePrefix="1" applyFont="1" applyBorder="1" applyAlignment="1">
      <alignment horizontal="center" wrapText="1"/>
    </xf>
    <xf numFmtId="37" fontId="3" fillId="0" borderId="8" xfId="0" quotePrefix="1" applyFont="1" applyBorder="1" applyAlignment="1">
      <alignment horizontal="center" wrapText="1"/>
    </xf>
    <xf numFmtId="37" fontId="3" fillId="0" borderId="5" xfId="0" quotePrefix="1" applyFont="1" applyBorder="1" applyAlignment="1">
      <alignment horizontal="center" wrapText="1"/>
    </xf>
    <xf numFmtId="37" fontId="3" fillId="0" borderId="6" xfId="0" quotePrefix="1" applyFont="1" applyBorder="1" applyAlignment="1">
      <alignment horizontal="center" wrapText="1"/>
    </xf>
    <xf numFmtId="37" fontId="3" fillId="0" borderId="10" xfId="0" quotePrefix="1" applyFont="1" applyBorder="1" applyAlignment="1">
      <alignment horizontal="center" wrapText="1"/>
    </xf>
    <xf numFmtId="49" fontId="5" fillId="0" borderId="24" xfId="0" quotePrefix="1" applyNumberFormat="1" applyFont="1" applyBorder="1" applyAlignment="1">
      <alignment horizontal="left" wrapText="1"/>
    </xf>
    <xf numFmtId="49" fontId="5" fillId="0" borderId="0" xfId="0" quotePrefix="1" applyNumberFormat="1" applyFont="1" applyAlignment="1">
      <alignment horizontal="left" wrapText="1"/>
    </xf>
    <xf numFmtId="0" fontId="5" fillId="0" borderId="0" xfId="0" quotePrefix="1" applyNumberFormat="1" applyFont="1" applyAlignment="1">
      <alignment horizontal="left" wrapText="1"/>
    </xf>
    <xf numFmtId="37" fontId="3" fillId="0" borderId="1" xfId="0" applyFont="1" applyBorder="1" applyAlignment="1">
      <alignment horizontal="center" wrapText="1"/>
    </xf>
    <xf numFmtId="0" fontId="5" fillId="0" borderId="0" xfId="0" quotePrefix="1" applyNumberFormat="1" applyFont="1" applyBorder="1" applyAlignment="1">
      <alignment horizontal="left" vertical="center" wrapText="1"/>
    </xf>
    <xf numFmtId="37" fontId="3" fillId="3" borderId="15" xfId="0" applyFont="1" applyFill="1" applyBorder="1" applyAlignment="1">
      <alignment horizontal="center" vertical="center"/>
    </xf>
    <xf numFmtId="37" fontId="3" fillId="6" borderId="30" xfId="6" quotePrefix="1" applyNumberFormat="1" applyFont="1" applyFill="1" applyBorder="1" applyAlignment="1">
      <alignment horizontal="center" vertical="center"/>
    </xf>
    <xf numFmtId="37" fontId="3" fillId="6" borderId="27" xfId="6" applyNumberFormat="1" applyFont="1" applyFill="1" applyBorder="1" applyAlignment="1">
      <alignment horizontal="center" vertical="center"/>
    </xf>
    <xf numFmtId="37" fontId="3" fillId="6" borderId="29" xfId="6" applyNumberFormat="1" applyFont="1" applyFill="1" applyBorder="1" applyAlignment="1">
      <alignment horizontal="center" vertical="center"/>
    </xf>
    <xf numFmtId="37" fontId="3" fillId="3" borderId="30" xfId="0" quotePrefix="1" applyFont="1" applyFill="1" applyBorder="1" applyAlignment="1">
      <alignment horizontal="center" vertical="center"/>
    </xf>
    <xf numFmtId="37" fontId="3" fillId="3" borderId="27" xfId="0" quotePrefix="1" applyFont="1" applyFill="1" applyBorder="1" applyAlignment="1">
      <alignment horizontal="center" vertical="center"/>
    </xf>
    <xf numFmtId="37" fontId="3" fillId="3" borderId="29" xfId="0" quotePrefix="1" applyFont="1" applyFill="1" applyBorder="1" applyAlignment="1">
      <alignment horizontal="center" vertical="center"/>
    </xf>
    <xf numFmtId="37" fontId="5" fillId="0" borderId="2" xfId="7" quotePrefix="1" applyFont="1" applyBorder="1" applyAlignment="1">
      <alignment horizontal="left" vertical="center" wrapText="1"/>
    </xf>
    <xf numFmtId="37" fontId="5" fillId="0" borderId="0" xfId="7" quotePrefix="1" applyFont="1" applyAlignment="1">
      <alignment horizontal="left" vertical="center" wrapText="1"/>
    </xf>
    <xf numFmtId="37" fontId="3" fillId="7" borderId="46" xfId="0" applyFont="1" applyFill="1" applyBorder="1" applyAlignment="1">
      <alignment horizontal="center" vertical="center" wrapText="1"/>
    </xf>
    <xf numFmtId="37" fontId="3" fillId="7" borderId="47" xfId="0" applyFont="1" applyFill="1" applyBorder="1" applyAlignment="1">
      <alignment horizontal="center" vertical="center" wrapText="1"/>
    </xf>
    <xf numFmtId="37" fontId="3" fillId="7" borderId="4" xfId="0" applyFont="1" applyFill="1" applyBorder="1" applyAlignment="1">
      <alignment horizontal="center" wrapText="1"/>
    </xf>
    <xf numFmtId="37" fontId="3" fillId="7" borderId="9" xfId="0" applyFont="1" applyFill="1" applyBorder="1" applyAlignment="1">
      <alignment horizontal="center" wrapText="1"/>
    </xf>
    <xf numFmtId="49" fontId="3" fillId="0" borderId="0" xfId="5" applyNumberFormat="1" applyFont="1" applyFill="1" applyBorder="1" applyAlignment="1" applyProtection="1">
      <alignment horizontal="center"/>
    </xf>
    <xf numFmtId="39" fontId="3" fillId="0" borderId="2" xfId="5" quotePrefix="1" applyFont="1" applyBorder="1" applyAlignment="1">
      <alignment horizontal="center" vertical="center"/>
    </xf>
    <xf numFmtId="39" fontId="3" fillId="0" borderId="2" xfId="5" applyFont="1" applyBorder="1" applyAlignment="1">
      <alignment horizontal="center" vertical="center"/>
    </xf>
    <xf numFmtId="0" fontId="3" fillId="0" borderId="3" xfId="5" quotePrefix="1" applyNumberFormat="1" applyFont="1" applyBorder="1" applyAlignment="1">
      <alignment horizontal="center" vertical="center"/>
    </xf>
    <xf numFmtId="0" fontId="3" fillId="0" borderId="3" xfId="5" applyNumberFormat="1" applyFont="1" applyBorder="1" applyAlignment="1">
      <alignment horizontal="center" vertical="center"/>
    </xf>
    <xf numFmtId="37" fontId="3" fillId="7" borderId="16" xfId="0" quotePrefix="1" applyFont="1" applyFill="1" applyBorder="1" applyAlignment="1">
      <alignment horizontal="center" wrapText="1"/>
    </xf>
    <xf numFmtId="37" fontId="3" fillId="7" borderId="5" xfId="0" applyFont="1" applyFill="1" applyBorder="1" applyAlignment="1">
      <alignment horizontal="center" wrapText="1"/>
    </xf>
    <xf numFmtId="0" fontId="5" fillId="0" borderId="24" xfId="4" quotePrefix="1" applyFont="1" applyBorder="1" applyAlignment="1">
      <alignment horizontal="left" vertical="center" wrapText="1"/>
    </xf>
    <xf numFmtId="0" fontId="5" fillId="0" borderId="0" xfId="4" quotePrefix="1" applyFont="1" applyAlignment="1">
      <alignment horizontal="left" vertical="center" wrapText="1"/>
    </xf>
    <xf numFmtId="0" fontId="3" fillId="7" borderId="33" xfId="4" quotePrefix="1" applyFont="1" applyFill="1" applyBorder="1" applyAlignment="1">
      <alignment horizontal="center" wrapText="1"/>
    </xf>
    <xf numFmtId="0" fontId="3" fillId="7" borderId="24" xfId="4" applyFont="1" applyFill="1" applyBorder="1" applyAlignment="1">
      <alignment horizontal="center" wrapText="1"/>
    </xf>
    <xf numFmtId="0" fontId="3" fillId="7" borderId="38" xfId="4" applyFont="1" applyFill="1" applyBorder="1" applyAlignment="1">
      <alignment horizontal="center" wrapText="1"/>
    </xf>
    <xf numFmtId="0" fontId="3" fillId="7" borderId="17" xfId="4" applyFont="1" applyFill="1" applyBorder="1" applyAlignment="1">
      <alignment horizontal="center" wrapText="1"/>
    </xf>
    <xf numFmtId="0" fontId="3" fillId="7" borderId="0" xfId="4" applyFont="1" applyFill="1" applyBorder="1" applyAlignment="1">
      <alignment horizontal="center" wrapText="1"/>
    </xf>
    <xf numFmtId="0" fontId="3" fillId="7" borderId="31" xfId="4" applyFont="1" applyFill="1" applyBorder="1" applyAlignment="1">
      <alignment horizontal="center" wrapText="1"/>
    </xf>
    <xf numFmtId="0" fontId="3" fillId="7" borderId="34" xfId="4" applyFont="1" applyFill="1" applyBorder="1" applyAlignment="1">
      <alignment horizontal="center" wrapText="1"/>
    </xf>
    <xf numFmtId="0" fontId="3" fillId="7" borderId="11" xfId="4" applyFont="1" applyFill="1" applyBorder="1" applyAlignment="1">
      <alignment horizontal="center" wrapText="1"/>
    </xf>
    <xf numFmtId="0" fontId="3" fillId="7" borderId="39" xfId="4" applyFont="1" applyFill="1" applyBorder="1" applyAlignment="1">
      <alignment horizontal="center" wrapText="1"/>
    </xf>
    <xf numFmtId="0" fontId="3" fillId="7" borderId="57" xfId="4" quotePrefix="1" applyFont="1" applyFill="1" applyBorder="1" applyAlignment="1">
      <alignment horizontal="center" wrapText="1"/>
    </xf>
    <xf numFmtId="0" fontId="3" fillId="7" borderId="5" xfId="4" applyFont="1" applyFill="1" applyBorder="1" applyAlignment="1">
      <alignment horizontal="center" wrapText="1"/>
    </xf>
    <xf numFmtId="0" fontId="3" fillId="7" borderId="6" xfId="4" applyFont="1" applyFill="1" applyBorder="1" applyAlignment="1">
      <alignment horizontal="center" wrapText="1"/>
    </xf>
    <xf numFmtId="0" fontId="3" fillId="7" borderId="44" xfId="4" applyFont="1" applyFill="1" applyBorder="1" applyAlignment="1">
      <alignment horizontal="center" wrapText="1"/>
    </xf>
    <xf numFmtId="0" fontId="3" fillId="7" borderId="10" xfId="4" applyFont="1" applyFill="1" applyBorder="1" applyAlignment="1">
      <alignment horizontal="center" wrapText="1"/>
    </xf>
    <xf numFmtId="37" fontId="3" fillId="7" borderId="13" xfId="0" quotePrefix="1" applyFont="1" applyFill="1" applyBorder="1" applyAlignment="1">
      <alignment horizontal="center" wrapText="1"/>
    </xf>
    <xf numFmtId="37" fontId="3" fillId="7" borderId="6" xfId="0" applyFont="1" applyFill="1" applyBorder="1" applyAlignment="1">
      <alignment horizontal="center" wrapText="1"/>
    </xf>
    <xf numFmtId="37" fontId="3" fillId="7" borderId="12" xfId="0" applyFont="1" applyFill="1" applyBorder="1" applyAlignment="1">
      <alignment horizontal="center" wrapText="1"/>
    </xf>
    <xf numFmtId="37" fontId="3" fillId="7" borderId="10" xfId="0" applyFont="1" applyFill="1" applyBorder="1" applyAlignment="1">
      <alignment horizontal="center" wrapText="1"/>
    </xf>
    <xf numFmtId="37" fontId="3" fillId="7" borderId="13" xfId="0" applyFont="1" applyFill="1" applyBorder="1" applyAlignment="1">
      <alignment horizontal="center" wrapText="1"/>
    </xf>
    <xf numFmtId="37" fontId="3" fillId="7" borderId="0" xfId="0" quotePrefix="1" applyFont="1" applyFill="1" applyBorder="1" applyAlignment="1">
      <alignment horizontal="center" wrapText="1"/>
    </xf>
    <xf numFmtId="37" fontId="3" fillId="7" borderId="3" xfId="0" applyFont="1" applyFill="1" applyBorder="1" applyAlignment="1">
      <alignment horizontal="center" wrapText="1"/>
    </xf>
    <xf numFmtId="37" fontId="3" fillId="7" borderId="33" xfId="0" quotePrefix="1" applyFont="1" applyFill="1" applyBorder="1" applyAlignment="1">
      <alignment horizontal="center" wrapText="1"/>
    </xf>
    <xf numFmtId="37" fontId="3" fillId="7" borderId="38" xfId="0" applyFont="1" applyFill="1" applyBorder="1" applyAlignment="1">
      <alignment horizontal="center" wrapText="1"/>
    </xf>
    <xf numFmtId="37" fontId="3" fillId="7" borderId="17" xfId="0" applyFont="1" applyFill="1" applyBorder="1" applyAlignment="1">
      <alignment horizontal="center" wrapText="1"/>
    </xf>
    <xf numFmtId="37" fontId="3" fillId="7" borderId="31" xfId="0" applyFont="1" applyFill="1" applyBorder="1" applyAlignment="1">
      <alignment horizontal="center" wrapText="1"/>
    </xf>
    <xf numFmtId="37" fontId="3" fillId="7" borderId="34" xfId="0" applyFont="1" applyFill="1" applyBorder="1" applyAlignment="1">
      <alignment horizontal="center" wrapText="1"/>
    </xf>
    <xf numFmtId="37" fontId="3" fillId="7" borderId="39" xfId="0" applyFont="1" applyFill="1" applyBorder="1" applyAlignment="1">
      <alignment horizontal="center" wrapText="1"/>
    </xf>
    <xf numFmtId="37" fontId="5" fillId="0" borderId="0" xfId="0" applyFont="1" applyAlignment="1">
      <alignment horizontal="center" wrapText="1"/>
    </xf>
  </cellXfs>
  <cellStyles count="9">
    <cellStyle name="BODY" xfId="1"/>
    <cellStyle name="Comma" xfId="2" builtinId="3"/>
    <cellStyle name="Comma_Direct Support" xfId="3"/>
    <cellStyle name="Hyperlink" xfId="8" builtinId="8"/>
    <cellStyle name="Normal" xfId="0" builtinId="0"/>
    <cellStyle name="Normal 2" xfId="7"/>
    <cellStyle name="Normal_Direct Support" xfId="4"/>
    <cellStyle name="Normal_Draft Personnel_ 10B" xfId="5"/>
    <cellStyle name="Percent"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onzalo\financial%20report%20French%20Dept\13-14-257%20-%202013-14%20FRAME%20Budget_FR(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7">
          <cell r="A87"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5">
          <cell r="A595"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row r="695">
          <cell r="A695" t="str">
            <v>WI</v>
          </cell>
        </row>
        <row r="696">
          <cell r="A696" t="str">
            <v>PS</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8 -"/>
      <sheetName val="- 50 - "/>
      <sheetName val="- 51 -"/>
      <sheetName val="- 52 -"/>
      <sheetName val="- 53 -"/>
      <sheetName val="- 54 -"/>
      <sheetName val="- 55 -"/>
      <sheetName val="- 56 -"/>
      <sheetName val="- 57 -"/>
      <sheetName val="- 58 -"/>
      <sheetName val="- 59 -"/>
      <sheetName val="i"/>
      <sheetName val="- 1 -"/>
      <sheetName val="- 2 -"/>
      <sheetName val="- 5 -"/>
      <sheetName val="- 11 -"/>
      <sheetName val="- 14 -"/>
      <sheetName val="- 40 -"/>
      <sheetName val="- 47 -"/>
      <sheetName val="- 49 -"/>
      <sheetName val="Data"/>
    </sheetNames>
    <sheetDataSet>
      <sheetData sheetId="0"/>
      <sheetData sheetId="1">
        <row r="3">
          <cell r="A3" t="str">
            <v>OPERATING FUND 2008/2009 BUDGET</v>
          </cell>
        </row>
      </sheetData>
      <sheetData sheetId="2"/>
      <sheetData sheetId="3">
        <row r="3">
          <cell r="B3" t="str">
            <v>ESTIMATE SEPTEMBER 30,2008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 xml:space="preserve"> ANALYSIS OF OPERATING FUND REVENUE: 2008/2009 BUDGET</v>
          </cell>
        </row>
      </sheetData>
      <sheetData sheetId="37"/>
      <sheetData sheetId="38"/>
      <sheetData sheetId="39"/>
      <sheetData sheetId="40">
        <row r="3">
          <cell r="B3" t="str">
            <v>FOR THE 2008 TAXATION YEAR</v>
          </cell>
        </row>
      </sheetData>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
      <sheetName val="- 50 -"/>
      <sheetName val="- 51 -"/>
      <sheetName val="- 52 -"/>
      <sheetName val="- 53 -"/>
      <sheetName val="- 54 -"/>
      <sheetName val="- 55 -"/>
      <sheetName val="- 56 -"/>
      <sheetName val="- 57 -"/>
      <sheetName val="- 58 -"/>
      <sheetName val="- 59 -"/>
      <sheetName val="- 60 -"/>
      <sheetName val="- 61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B1" t="str">
            <v>ANALYSE DES RECETTES DU FONDS DE FONCTIONNEMENT : BUDGET 2013 - 2014</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gov.mb.ca/k12/finance/frame_report/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autoPageBreaks="0"/>
  </sheetPr>
  <dimension ref="A1:C25"/>
  <sheetViews>
    <sheetView showGridLines="0" showRowColHeaders="0" tabSelected="1" workbookViewId="0"/>
  </sheetViews>
  <sheetFormatPr defaultColWidth="0" defaultRowHeight="14.25" customHeight="1" zeroHeight="1"/>
  <cols>
    <col min="1" max="1" width="15.83203125" style="516" customWidth="1"/>
    <col min="2" max="2" width="120.83203125" style="516" customWidth="1"/>
    <col min="3" max="3" width="80.83203125" style="516" customWidth="1"/>
    <col min="4" max="16384" width="9.33203125" style="516" hidden="1"/>
  </cols>
  <sheetData>
    <row r="1" spans="1:3" ht="0.95" customHeight="1">
      <c r="A1" s="515"/>
      <c r="B1" s="515"/>
      <c r="C1" s="515"/>
    </row>
    <row r="2" spans="1:3" ht="24.95" customHeight="1" thickBot="1">
      <c r="A2" s="515"/>
      <c r="B2" s="515"/>
      <c r="C2" s="515"/>
    </row>
    <row r="3" spans="1:3" ht="17.25" thickTop="1" thickBot="1">
      <c r="A3" s="515"/>
      <c r="B3" s="517" t="s">
        <v>594</v>
      </c>
      <c r="C3" s="515"/>
    </row>
    <row r="4" spans="1:3" ht="15.75" thickTop="1">
      <c r="A4" s="515"/>
      <c r="B4" s="518"/>
      <c r="C4" s="515"/>
    </row>
    <row r="5" spans="1:3" ht="15">
      <c r="A5" s="515"/>
      <c r="B5" s="519" t="s">
        <v>595</v>
      </c>
      <c r="C5" s="520"/>
    </row>
    <row r="6" spans="1:3" ht="15">
      <c r="A6" s="515"/>
      <c r="B6" s="518"/>
      <c r="C6" s="515"/>
    </row>
    <row r="7" spans="1:3">
      <c r="A7" s="515"/>
      <c r="B7" s="523" t="s">
        <v>596</v>
      </c>
      <c r="C7" s="515"/>
    </row>
    <row r="8" spans="1:3">
      <c r="A8" s="515"/>
      <c r="B8" s="523"/>
      <c r="C8" s="515"/>
    </row>
    <row r="9" spans="1:3" ht="15">
      <c r="A9" s="515"/>
      <c r="B9" s="518"/>
      <c r="C9" s="515"/>
    </row>
    <row r="10" spans="1:3">
      <c r="A10" s="515"/>
      <c r="B10" s="523" t="s">
        <v>597</v>
      </c>
      <c r="C10" s="515"/>
    </row>
    <row r="11" spans="1:3">
      <c r="A11" s="515"/>
      <c r="B11" s="523"/>
      <c r="C11" s="515"/>
    </row>
    <row r="12" spans="1:3" ht="15">
      <c r="A12" s="515"/>
      <c r="B12" s="518"/>
      <c r="C12" s="515"/>
    </row>
    <row r="13" spans="1:3" ht="14.25" customHeight="1">
      <c r="A13" s="515"/>
      <c r="B13" s="524" t="s">
        <v>598</v>
      </c>
      <c r="C13" s="515"/>
    </row>
    <row r="14" spans="1:3">
      <c r="A14" s="515"/>
      <c r="B14" s="523"/>
      <c r="C14" s="515"/>
    </row>
    <row r="15" spans="1:3">
      <c r="A15" s="515"/>
      <c r="B15" s="523"/>
      <c r="C15" s="515"/>
    </row>
    <row r="16" spans="1:3" ht="15">
      <c r="A16" s="515"/>
      <c r="B16" s="521"/>
      <c r="C16" s="515"/>
    </row>
    <row r="17" spans="1:3">
      <c r="A17" s="515"/>
      <c r="B17" s="523" t="s">
        <v>599</v>
      </c>
      <c r="C17" s="515"/>
    </row>
    <row r="18" spans="1:3">
      <c r="A18" s="515"/>
      <c r="B18" s="523"/>
      <c r="C18" s="515"/>
    </row>
    <row r="19" spans="1:3" ht="15">
      <c r="A19" s="515"/>
      <c r="B19" s="521"/>
      <c r="C19" s="515"/>
    </row>
    <row r="20" spans="1:3" ht="15">
      <c r="A20" s="515"/>
      <c r="B20" s="522" t="s">
        <v>600</v>
      </c>
      <c r="C20" s="515"/>
    </row>
    <row r="21" spans="1:3" ht="15">
      <c r="A21" s="515"/>
      <c r="B21" s="521"/>
      <c r="C21" s="515"/>
    </row>
    <row r="22" spans="1:3" ht="15">
      <c r="A22" s="515"/>
      <c r="B22" s="521"/>
      <c r="C22" s="515"/>
    </row>
    <row r="23" spans="1:3" ht="15">
      <c r="A23" s="515"/>
      <c r="B23" s="521"/>
      <c r="C23" s="515"/>
    </row>
    <row r="24" spans="1:3">
      <c r="A24" s="515"/>
      <c r="B24" s="520"/>
      <c r="C24" s="515"/>
    </row>
    <row r="25" spans="1:3" ht="200.1" customHeight="1">
      <c r="A25" s="515"/>
      <c r="B25" s="520"/>
      <c r="C25" s="515"/>
    </row>
  </sheetData>
  <mergeCells count="4">
    <mergeCell ref="B7:B8"/>
    <mergeCell ref="B10:B11"/>
    <mergeCell ref="B13:B15"/>
    <mergeCell ref="B17:B18"/>
  </mergeCells>
  <hyperlinks>
    <hyperlink ref="B20" r:id="rId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9">
    <pageSetUpPr fitToPage="1"/>
  </sheetPr>
  <dimension ref="A2:N55"/>
  <sheetViews>
    <sheetView showGridLines="0" showZeros="0" workbookViewId="0"/>
  </sheetViews>
  <sheetFormatPr defaultColWidth="14.83203125" defaultRowHeight="12"/>
  <cols>
    <col min="1" max="1" width="46.16406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3" width="45.6640625" style="1" bestFit="1" customWidth="1"/>
    <col min="14" max="16384" width="14.83203125" style="1"/>
  </cols>
  <sheetData>
    <row r="2" spans="1:14">
      <c r="A2" s="53"/>
      <c r="B2" s="53"/>
      <c r="C2" s="101" t="str">
        <f>OPYEAR</f>
        <v>OPERATING FUND 2015/2016 BUDGET</v>
      </c>
      <c r="D2" s="101"/>
      <c r="E2" s="101"/>
      <c r="F2" s="102"/>
      <c r="G2" s="102"/>
      <c r="H2" s="102"/>
      <c r="I2" s="102"/>
      <c r="J2" s="103"/>
      <c r="K2" s="104" t="s">
        <v>70</v>
      </c>
    </row>
    <row r="3" spans="1:14" ht="9.9499999999999993" customHeight="1">
      <c r="J3" s="91"/>
      <c r="K3" s="91"/>
    </row>
    <row r="4" spans="1:14" ht="15.75">
      <c r="B4" s="258" t="str">
        <f>+'- 12 -'!B4</f>
        <v>EXPENSE BY 2ND LEVEL OBJECT</v>
      </c>
      <c r="C4" s="91"/>
      <c r="D4" s="91"/>
      <c r="E4" s="91"/>
      <c r="F4" s="91"/>
      <c r="G4" s="91"/>
      <c r="H4" s="91"/>
      <c r="I4" s="91"/>
      <c r="J4" s="91"/>
      <c r="K4" s="91"/>
    </row>
    <row r="5" spans="1:14" ht="15.75">
      <c r="B5" s="258" t="str">
        <f>+'- 12 -'!B5</f>
        <v>AS A PERCENTAGE OF TOTAL OPERATING FUND EXPENSES</v>
      </c>
      <c r="C5" s="91"/>
      <c r="D5" s="91"/>
      <c r="E5" s="91"/>
      <c r="F5" s="91"/>
      <c r="G5" s="91"/>
      <c r="H5" s="91"/>
      <c r="I5" s="91"/>
      <c r="J5" s="91"/>
      <c r="K5" s="91"/>
    </row>
    <row r="6" spans="1:14" ht="9.9499999999999993" customHeight="1"/>
    <row r="7" spans="1:14">
      <c r="B7" s="106" t="s">
        <v>71</v>
      </c>
      <c r="C7" s="102"/>
      <c r="D7" s="102"/>
      <c r="E7" s="102"/>
      <c r="F7" s="102"/>
      <c r="G7" s="102"/>
      <c r="H7" s="102"/>
      <c r="I7" s="107"/>
    </row>
    <row r="8" spans="1:14" ht="6" customHeight="1">
      <c r="B8" s="105"/>
    </row>
    <row r="9" spans="1:14">
      <c r="A9" s="4"/>
      <c r="B9" s="611" t="s">
        <v>409</v>
      </c>
      <c r="C9" s="608"/>
      <c r="D9" s="611" t="s">
        <v>68</v>
      </c>
      <c r="E9" s="608"/>
      <c r="F9" s="611" t="s">
        <v>69</v>
      </c>
      <c r="G9" s="608"/>
      <c r="H9" s="613" t="s">
        <v>24</v>
      </c>
      <c r="I9" s="600"/>
      <c r="J9" s="613" t="s">
        <v>25</v>
      </c>
      <c r="K9" s="600"/>
    </row>
    <row r="10" spans="1:14">
      <c r="A10" s="4"/>
      <c r="B10" s="609"/>
      <c r="C10" s="610"/>
      <c r="D10" s="609"/>
      <c r="E10" s="610"/>
      <c r="F10" s="609"/>
      <c r="G10" s="610"/>
      <c r="H10" s="614"/>
      <c r="I10" s="602"/>
      <c r="J10" s="614"/>
      <c r="K10" s="602"/>
    </row>
    <row r="11" spans="1:14">
      <c r="A11" s="108" t="s">
        <v>64</v>
      </c>
      <c r="B11" s="109" t="s">
        <v>38</v>
      </c>
      <c r="C11" s="109" t="s">
        <v>39</v>
      </c>
      <c r="D11" s="109" t="s">
        <v>38</v>
      </c>
      <c r="E11" s="109" t="s">
        <v>39</v>
      </c>
      <c r="F11" s="109" t="s">
        <v>38</v>
      </c>
      <c r="G11" s="109" t="s">
        <v>39</v>
      </c>
      <c r="H11" s="109" t="s">
        <v>38</v>
      </c>
      <c r="I11" s="110" t="s">
        <v>39</v>
      </c>
      <c r="J11" s="109" t="s">
        <v>38</v>
      </c>
      <c r="K11" s="110" t="s">
        <v>39</v>
      </c>
    </row>
    <row r="12" spans="1:14" ht="5.0999999999999996" customHeight="1"/>
    <row r="13" spans="1:14">
      <c r="A13" s="282" t="s">
        <v>65</v>
      </c>
      <c r="B13" s="112"/>
      <c r="C13" s="263"/>
      <c r="D13" s="112"/>
      <c r="E13" s="263"/>
      <c r="F13" s="112"/>
      <c r="G13" s="263"/>
      <c r="H13" s="112"/>
      <c r="I13" s="263"/>
      <c r="J13" s="112"/>
      <c r="K13" s="263"/>
      <c r="M13" s="1" t="s">
        <v>65</v>
      </c>
      <c r="N13" s="456">
        <f>K22</f>
        <v>76.202535983208918</v>
      </c>
    </row>
    <row r="14" spans="1:14">
      <c r="A14" s="113" t="s">
        <v>193</v>
      </c>
      <c r="B14" s="114"/>
      <c r="C14" s="260"/>
      <c r="D14" s="114"/>
      <c r="E14" s="260"/>
      <c r="F14" s="114"/>
      <c r="G14" s="260"/>
      <c r="H14" s="114"/>
      <c r="I14" s="260"/>
      <c r="J14" s="114">
        <f>SUM(F14,D14,B14,'- 12 -'!J14,'- 12 -'!H14,'- 12 -'!F14,'- 12 -'!D14,'- 12 -'!B14)</f>
        <v>4085182</v>
      </c>
      <c r="K14" s="260">
        <f t="shared" ref="K14:K23" si="0">J14/$J$54*100</f>
        <v>0.1830200336012858</v>
      </c>
      <c r="M14" s="1" t="s">
        <v>83</v>
      </c>
      <c r="N14" s="456">
        <f>K23</f>
        <v>6.4744903463666086</v>
      </c>
    </row>
    <row r="15" spans="1:14">
      <c r="A15" s="113" t="s">
        <v>194</v>
      </c>
      <c r="B15" s="114">
        <v>3257232</v>
      </c>
      <c r="C15" s="260">
        <f>B15/$J$54*100</f>
        <v>0.14592708723557074</v>
      </c>
      <c r="D15" s="114">
        <v>2761835</v>
      </c>
      <c r="E15" s="260">
        <f>D15/$J$54*100</f>
        <v>0.12373283112018195</v>
      </c>
      <c r="F15" s="114">
        <v>4788905</v>
      </c>
      <c r="G15" s="260">
        <f>F15/$J$54*100</f>
        <v>0.21454749237937637</v>
      </c>
      <c r="H15" s="114"/>
      <c r="I15" s="260"/>
      <c r="J15" s="114">
        <f>SUM(F15,D15,B15,'- 12 -'!J15,'- 12 -'!H15,'- 12 -'!F15,'- 12 -'!D15,'- 12 -'!B15)</f>
        <v>130006034</v>
      </c>
      <c r="K15" s="260">
        <f t="shared" si="0"/>
        <v>5.8243937996030288</v>
      </c>
      <c r="M15" s="1" t="s">
        <v>59</v>
      </c>
      <c r="N15" s="456">
        <f>K40</f>
        <v>9.319842257862927</v>
      </c>
    </row>
    <row r="16" spans="1:14">
      <c r="A16" s="113" t="s">
        <v>195</v>
      </c>
      <c r="B16" s="114">
        <v>26801804</v>
      </c>
      <c r="C16" s="260">
        <f>B16/$J$54*100</f>
        <v>1.2007462748673317</v>
      </c>
      <c r="D16" s="114"/>
      <c r="E16" s="260">
        <f>D16/$J$54*100</f>
        <v>0</v>
      </c>
      <c r="F16" s="114"/>
      <c r="G16" s="260">
        <f>F16/$J$54*100</f>
        <v>0</v>
      </c>
      <c r="H16" s="114"/>
      <c r="I16" s="260"/>
      <c r="J16" s="114">
        <f>SUM(F16,D16,B16,'- 12 -'!J16,'- 12 -'!H16,'- 12 -'!F16,'- 12 -'!D16,'- 12 -'!B16)</f>
        <v>1088517183</v>
      </c>
      <c r="K16" s="260">
        <f t="shared" si="0"/>
        <v>48.766603644155133</v>
      </c>
      <c r="M16" s="1" t="s">
        <v>84</v>
      </c>
      <c r="N16" s="456">
        <f>K46</f>
        <v>6.2598620330738388</v>
      </c>
    </row>
    <row r="17" spans="1:14">
      <c r="A17" s="113" t="s">
        <v>196</v>
      </c>
      <c r="B17" s="114">
        <v>14641822</v>
      </c>
      <c r="C17" s="260">
        <f>B17/$J$54*100</f>
        <v>0.65596753202771507</v>
      </c>
      <c r="D17" s="114">
        <v>315433</v>
      </c>
      <c r="E17" s="260">
        <f>D17/$J$54*100</f>
        <v>1.4131697990188536E-2</v>
      </c>
      <c r="F17" s="114"/>
      <c r="G17" s="260">
        <f>F17/$J$54*100</f>
        <v>0</v>
      </c>
      <c r="H17" s="114"/>
      <c r="I17" s="260"/>
      <c r="J17" s="114">
        <f>SUM(F17,D17,B17,'- 12 -'!J17,'- 12 -'!H17,'- 12 -'!F17,'- 12 -'!D17,'- 12 -'!B17)</f>
        <v>200704079</v>
      </c>
      <c r="K17" s="260">
        <f t="shared" si="0"/>
        <v>8.9917333627963494</v>
      </c>
      <c r="M17" s="1" t="s">
        <v>32</v>
      </c>
      <c r="N17" s="456">
        <f>K49</f>
        <v>0.12396951453784011</v>
      </c>
    </row>
    <row r="18" spans="1:14">
      <c r="A18" s="113" t="s">
        <v>197</v>
      </c>
      <c r="B18" s="114">
        <v>3717538</v>
      </c>
      <c r="C18" s="260">
        <f>B18/$J$54*100</f>
        <v>0.16654923322242601</v>
      </c>
      <c r="D18" s="114">
        <v>40062757</v>
      </c>
      <c r="E18" s="260">
        <f>D18/$J$54*100</f>
        <v>1.79484956418102</v>
      </c>
      <c r="F18" s="114">
        <v>105915101</v>
      </c>
      <c r="G18" s="260">
        <f>F18/$J$54*100</f>
        <v>4.745097120251577</v>
      </c>
      <c r="H18" s="114"/>
      <c r="I18" s="260"/>
      <c r="J18" s="114">
        <f>SUM(F18,D18,B18,'- 12 -'!J18,'- 12 -'!H18,'- 12 -'!F18,'- 12 -'!D18,'- 12 -'!B18)</f>
        <v>163794695</v>
      </c>
      <c r="K18" s="260">
        <f t="shared" si="0"/>
        <v>7.3381579040082814</v>
      </c>
      <c r="M18" s="1" t="s">
        <v>42</v>
      </c>
      <c r="N18" s="456">
        <f>K52-N17</f>
        <v>1.6192998649498664</v>
      </c>
    </row>
    <row r="19" spans="1:14">
      <c r="A19" s="115" t="s">
        <v>198</v>
      </c>
      <c r="B19" s="116">
        <v>2184288</v>
      </c>
      <c r="C19" s="261">
        <f>B19/$J$54*100</f>
        <v>9.7858176980826148E-2</v>
      </c>
      <c r="D19" s="116">
        <v>1605088</v>
      </c>
      <c r="E19" s="261">
        <f>D19/$J$54*100</f>
        <v>7.1909466871493258E-2</v>
      </c>
      <c r="F19" s="116">
        <v>1687798</v>
      </c>
      <c r="G19" s="261">
        <f>F19/$J$54*100</f>
        <v>7.5614953427333945E-2</v>
      </c>
      <c r="H19" s="116"/>
      <c r="I19" s="261"/>
      <c r="J19" s="116">
        <f>SUM(F19,D19,B19,'- 12 -'!J19,'- 12 -'!H19,'- 12 -'!F19,'- 12 -'!D19,'- 12 -'!B19)</f>
        <v>64146092</v>
      </c>
      <c r="K19" s="261">
        <f t="shared" si="0"/>
        <v>2.8738058459160865</v>
      </c>
      <c r="N19" s="456"/>
    </row>
    <row r="20" spans="1:14">
      <c r="A20" s="115" t="s">
        <v>199</v>
      </c>
      <c r="B20" s="117"/>
      <c r="C20" s="261"/>
      <c r="D20" s="117"/>
      <c r="E20" s="261"/>
      <c r="F20" s="117"/>
      <c r="G20" s="261"/>
      <c r="H20" s="117"/>
      <c r="I20" s="261"/>
      <c r="J20" s="117">
        <f>SUM(F20,D20,B20,'- 12 -'!J20,'- 12 -'!H20,'- 12 -'!F20,'- 12 -'!D20,'- 12 -'!B20)</f>
        <v>34655610</v>
      </c>
      <c r="K20" s="261">
        <f t="shared" si="0"/>
        <v>1.5526042430112186</v>
      </c>
      <c r="N20" s="456">
        <f>SUM(N13:N18)</f>
        <v>100</v>
      </c>
    </row>
    <row r="21" spans="1:14">
      <c r="A21" s="118" t="s">
        <v>200</v>
      </c>
      <c r="B21" s="119">
        <v>415197</v>
      </c>
      <c r="C21" s="262">
        <f>B21/'- 13 -'!$J$54*100</f>
        <v>1.8601219943481847E-2</v>
      </c>
      <c r="D21" s="119">
        <v>0</v>
      </c>
      <c r="E21" s="262">
        <f>D21/'- 13 -'!$J$54*100</f>
        <v>0</v>
      </c>
      <c r="F21" s="119">
        <v>0</v>
      </c>
      <c r="G21" s="262">
        <f>F21/'- 13 -'!$J$54*100</f>
        <v>0</v>
      </c>
      <c r="H21" s="119"/>
      <c r="I21" s="262"/>
      <c r="J21" s="119">
        <f>SUM(F21,D21,B21,'- 12 -'!J21,'- 12 -'!H21,'- 12 -'!F21,'- 12 -'!D21,'- 12 -'!B21)</f>
        <v>15004529</v>
      </c>
      <c r="K21" s="262">
        <f t="shared" si="0"/>
        <v>0.67221715011753869</v>
      </c>
      <c r="N21" s="456"/>
    </row>
    <row r="22" spans="1:14">
      <c r="A22" s="120" t="s">
        <v>201</v>
      </c>
      <c r="B22" s="126">
        <f>SUM(B14:B21)</f>
        <v>51017881</v>
      </c>
      <c r="C22" s="264">
        <f>B22/$J$54*100</f>
        <v>2.2856495242773516</v>
      </c>
      <c r="D22" s="126">
        <f>SUM(D14:D21)</f>
        <v>44745113</v>
      </c>
      <c r="E22" s="264">
        <f>D22/$J$54*100</f>
        <v>2.0046235601628837</v>
      </c>
      <c r="F22" s="126">
        <f>SUM(F14:F21)</f>
        <v>112391804</v>
      </c>
      <c r="G22" s="264">
        <f>F22/$J$54*100</f>
        <v>5.0352595660582873</v>
      </c>
      <c r="H22" s="126"/>
      <c r="I22" s="264"/>
      <c r="J22" s="126">
        <f>SUM(F22,D22,B22,'- 12 -'!J22,'- 12 -'!H22,'- 12 -'!F22,'- 12 -'!D22,'- 12 -'!B22)</f>
        <v>1700913404</v>
      </c>
      <c r="K22" s="264">
        <f t="shared" si="0"/>
        <v>76.202535983208918</v>
      </c>
      <c r="N22" s="456"/>
    </row>
    <row r="23" spans="1:14">
      <c r="A23" s="282" t="s">
        <v>73</v>
      </c>
      <c r="B23" s="126">
        <v>4927798</v>
      </c>
      <c r="C23" s="264">
        <f>B23/$J$54*100</f>
        <v>0.2207700306963922</v>
      </c>
      <c r="D23" s="126">
        <v>6946727</v>
      </c>
      <c r="E23" s="264">
        <f>D23/$J$54*100</f>
        <v>0.31121996742347324</v>
      </c>
      <c r="F23" s="126">
        <v>18927978</v>
      </c>
      <c r="G23" s="264">
        <f>F23/$J$54*100</f>
        <v>0.84799139170896132</v>
      </c>
      <c r="H23" s="126"/>
      <c r="I23" s="264"/>
      <c r="J23" s="126">
        <f>SUM(F23,D23,B23,'- 12 -'!J23,'- 12 -'!H23,'- 12 -'!F23,'- 12 -'!D23,'- 12 -'!B23)</f>
        <v>144516810</v>
      </c>
      <c r="K23" s="264">
        <f t="shared" si="0"/>
        <v>6.4744903463666086</v>
      </c>
      <c r="N23" s="457"/>
    </row>
    <row r="24" spans="1:14">
      <c r="A24" s="282" t="s">
        <v>59</v>
      </c>
      <c r="B24" s="114"/>
      <c r="C24" s="260"/>
      <c r="D24" s="114"/>
      <c r="E24" s="260"/>
      <c r="F24" s="114"/>
      <c r="G24" s="260"/>
      <c r="H24" s="114"/>
      <c r="I24" s="260"/>
      <c r="J24" s="114"/>
      <c r="K24" s="260"/>
      <c r="M24" s="1" t="s">
        <v>21</v>
      </c>
      <c r="N24" s="456">
        <f>'- 12 -'!C51</f>
        <v>55.535403973855715</v>
      </c>
    </row>
    <row r="25" spans="1:14">
      <c r="A25" s="115" t="s">
        <v>202</v>
      </c>
      <c r="B25" s="116">
        <v>1886437</v>
      </c>
      <c r="C25" s="261">
        <f t="shared" ref="C25:C35" si="1">B25/$J$54*100</f>
        <v>8.4514169289571131E-2</v>
      </c>
      <c r="D25" s="116">
        <v>288778</v>
      </c>
      <c r="E25" s="261">
        <f t="shared" ref="E25:E35" si="2">D25/$J$54*100</f>
        <v>1.2937528673951884E-2</v>
      </c>
      <c r="F25" s="116">
        <v>5474090</v>
      </c>
      <c r="G25" s="261">
        <f t="shared" ref="G25:G35" si="3">F25/$J$54*100</f>
        <v>0.24524443115054909</v>
      </c>
      <c r="H25" s="116"/>
      <c r="I25" s="261"/>
      <c r="J25" s="116">
        <f>SUM(F25,D25,B25,'- 12 -'!J25,'- 12 -'!H25,'- 12 -'!F25,'- 12 -'!D25,'- 12 -'!B25)</f>
        <v>27087119</v>
      </c>
      <c r="K25" s="261">
        <f t="shared" ref="K25:K40" si="4">J25/$J$54*100</f>
        <v>1.2135286578522146</v>
      </c>
      <c r="L25" s="606" t="s">
        <v>103</v>
      </c>
      <c r="M25" s="1" t="s">
        <v>247</v>
      </c>
      <c r="N25" s="456">
        <f>'- 12 -'!E51</f>
        <v>18.388490115236717</v>
      </c>
    </row>
    <row r="26" spans="1:14">
      <c r="A26" s="115" t="s">
        <v>203</v>
      </c>
      <c r="B26" s="116">
        <v>137728</v>
      </c>
      <c r="C26" s="261">
        <f t="shared" si="1"/>
        <v>6.1703452105286586E-3</v>
      </c>
      <c r="D26" s="116">
        <v>320860</v>
      </c>
      <c r="E26" s="261">
        <f t="shared" si="2"/>
        <v>1.4374832744614208E-2</v>
      </c>
      <c r="F26" s="116">
        <v>758417</v>
      </c>
      <c r="G26" s="261">
        <f t="shared" si="3"/>
        <v>3.3977801925051655E-2</v>
      </c>
      <c r="H26" s="116"/>
      <c r="I26" s="261"/>
      <c r="J26" s="116">
        <f>SUM(F26,D26,B26,'- 12 -'!J26,'- 12 -'!H26,'- 12 -'!F26,'- 12 -'!D26,'- 12 -'!B26)</f>
        <v>6892743</v>
      </c>
      <c r="K26" s="261">
        <f t="shared" si="4"/>
        <v>0.308801432950852</v>
      </c>
      <c r="L26" s="612"/>
      <c r="M26" s="1" t="s">
        <v>102</v>
      </c>
      <c r="N26" s="456">
        <f>'- 12 -'!G51</f>
        <v>0.34885321324346757</v>
      </c>
    </row>
    <row r="27" spans="1:14">
      <c r="A27" s="115" t="s">
        <v>204</v>
      </c>
      <c r="B27" s="116"/>
      <c r="C27" s="261">
        <f t="shared" si="1"/>
        <v>0</v>
      </c>
      <c r="D27" s="116"/>
      <c r="E27" s="261">
        <f t="shared" si="2"/>
        <v>0</v>
      </c>
      <c r="F27" s="116">
        <v>46892545</v>
      </c>
      <c r="G27" s="261">
        <f t="shared" si="3"/>
        <v>2.1008305533388243</v>
      </c>
      <c r="H27" s="116"/>
      <c r="I27" s="261"/>
      <c r="J27" s="116">
        <f>SUM(F27,D27,B27,'- 12 -'!J27,'- 12 -'!H27,'- 12 -'!F27,'- 12 -'!D27,'- 12 -'!B27)</f>
        <v>46935030</v>
      </c>
      <c r="K27" s="261">
        <f t="shared" si="4"/>
        <v>2.1027339216899898</v>
      </c>
      <c r="L27" s="612"/>
      <c r="M27" s="1" t="s">
        <v>22</v>
      </c>
      <c r="N27" s="456">
        <f>'- 12 -'!I51</f>
        <v>1.0089066366915578</v>
      </c>
    </row>
    <row r="28" spans="1:14" ht="12.75" customHeight="1">
      <c r="A28" s="115" t="s">
        <v>244</v>
      </c>
      <c r="B28" s="116">
        <v>905680</v>
      </c>
      <c r="C28" s="261">
        <f t="shared" si="1"/>
        <v>4.0575324191679224E-2</v>
      </c>
      <c r="D28" s="116">
        <v>1244466</v>
      </c>
      <c r="E28" s="261">
        <f t="shared" si="2"/>
        <v>5.5753258761949337E-2</v>
      </c>
      <c r="F28" s="116">
        <v>900890</v>
      </c>
      <c r="G28" s="261">
        <f t="shared" si="3"/>
        <v>4.0360727642259842E-2</v>
      </c>
      <c r="H28" s="116"/>
      <c r="I28" s="261"/>
      <c r="J28" s="116">
        <f>SUM(F28,D28,B28,'- 12 -'!J28,'- 12 -'!H28,'- 12 -'!F28,'- 12 -'!D28,'- 12 -'!B28)</f>
        <v>11344567</v>
      </c>
      <c r="K28" s="261">
        <f t="shared" si="4"/>
        <v>0.5082473763793236</v>
      </c>
      <c r="L28" s="612"/>
      <c r="M28" s="1" t="s">
        <v>87</v>
      </c>
      <c r="N28" s="456">
        <f>'- 12 -'!K51</f>
        <v>3.4555419674474006</v>
      </c>
    </row>
    <row r="29" spans="1:14" ht="12.75" customHeight="1">
      <c r="A29" s="115" t="s">
        <v>205</v>
      </c>
      <c r="B29" s="116"/>
      <c r="C29" s="261">
        <f t="shared" si="1"/>
        <v>0</v>
      </c>
      <c r="D29" s="116">
        <v>20056568</v>
      </c>
      <c r="E29" s="261">
        <f t="shared" si="2"/>
        <v>0.8985532956148522</v>
      </c>
      <c r="F29" s="116"/>
      <c r="G29" s="261">
        <f t="shared" si="3"/>
        <v>0</v>
      </c>
      <c r="H29" s="116"/>
      <c r="I29" s="261"/>
      <c r="J29" s="116">
        <f>SUM(F29,D29,B29,'- 12 -'!J29,'- 12 -'!H29,'- 12 -'!F29,'- 12 -'!D29,'- 12 -'!B29)</f>
        <v>20056568</v>
      </c>
      <c r="K29" s="261">
        <f t="shared" si="4"/>
        <v>0.8985532956148522</v>
      </c>
      <c r="L29" s="612"/>
      <c r="M29" s="1" t="s">
        <v>86</v>
      </c>
      <c r="N29" s="456">
        <f>C54</f>
        <v>3.5022470919900628</v>
      </c>
    </row>
    <row r="30" spans="1:14" ht="12.75" customHeight="1">
      <c r="A30" s="115" t="s">
        <v>206</v>
      </c>
      <c r="B30" s="116">
        <v>1600</v>
      </c>
      <c r="C30" s="261">
        <f t="shared" si="1"/>
        <v>7.1681519639041114E-5</v>
      </c>
      <c r="D30" s="116"/>
      <c r="E30" s="261">
        <f t="shared" si="2"/>
        <v>0</v>
      </c>
      <c r="F30" s="116"/>
      <c r="G30" s="261">
        <f t="shared" si="3"/>
        <v>0</v>
      </c>
      <c r="H30" s="116"/>
      <c r="I30" s="261"/>
      <c r="J30" s="116">
        <f>SUM(F30,D30,B30,'- 12 -'!J30,'- 12 -'!H30,'- 12 -'!F30,'- 12 -'!D30,'- 12 -'!B30)</f>
        <v>1470615</v>
      </c>
      <c r="K30" s="261">
        <f t="shared" si="4"/>
        <v>6.5884948752480285E-2</v>
      </c>
      <c r="M30" s="1" t="s">
        <v>68</v>
      </c>
      <c r="N30" s="456">
        <f>E54</f>
        <v>4.3526890508507341</v>
      </c>
    </row>
    <row r="31" spans="1:14" ht="12.75" customHeight="1">
      <c r="A31" s="115" t="s">
        <v>207</v>
      </c>
      <c r="B31" s="116">
        <v>45735</v>
      </c>
      <c r="C31" s="261">
        <f t="shared" si="1"/>
        <v>2.0489714379322158E-3</v>
      </c>
      <c r="D31" s="116">
        <v>8850</v>
      </c>
      <c r="E31" s="261">
        <f t="shared" si="2"/>
        <v>3.9648840550344616E-4</v>
      </c>
      <c r="F31" s="116">
        <v>4100</v>
      </c>
      <c r="G31" s="261">
        <f t="shared" si="3"/>
        <v>1.8368389407504287E-4</v>
      </c>
      <c r="H31" s="116"/>
      <c r="I31" s="261"/>
      <c r="J31" s="116">
        <f>SUM(F31,D31,B31,'- 12 -'!J31,'- 12 -'!H31,'- 12 -'!F31,'- 12 -'!D31,'- 12 -'!B31)</f>
        <v>1076265</v>
      </c>
      <c r="K31" s="261">
        <f t="shared" si="4"/>
        <v>4.8217694208945366E-2</v>
      </c>
      <c r="M31" s="1" t="s">
        <v>85</v>
      </c>
      <c r="N31" s="456">
        <f>G54</f>
        <v>11.664598571196642</v>
      </c>
    </row>
    <row r="32" spans="1:14" ht="12.75" customHeight="1">
      <c r="A32" s="115" t="s">
        <v>208</v>
      </c>
      <c r="B32" s="116">
        <v>90887</v>
      </c>
      <c r="C32" s="261">
        <f t="shared" si="1"/>
        <v>4.0718239221459564E-3</v>
      </c>
      <c r="D32" s="116">
        <v>1104991</v>
      </c>
      <c r="E32" s="261">
        <f t="shared" si="2"/>
        <v>4.9504646292164806E-2</v>
      </c>
      <c r="F32" s="116">
        <v>7714534</v>
      </c>
      <c r="G32" s="261">
        <f t="shared" si="3"/>
        <v>0.34561845026690652</v>
      </c>
      <c r="H32" s="116"/>
      <c r="I32" s="261"/>
      <c r="J32" s="116">
        <f>SUM(F32,D32,B32,'- 12 -'!J32,'- 12 -'!H32,'- 12 -'!F32,'- 12 -'!D32,'- 12 -'!B32)</f>
        <v>10447354</v>
      </c>
      <c r="K32" s="261">
        <f t="shared" si="4"/>
        <v>0.46805138182938422</v>
      </c>
      <c r="M32" s="1" t="s">
        <v>24</v>
      </c>
      <c r="N32" s="456">
        <f>I54</f>
        <v>1.7432693794877065</v>
      </c>
    </row>
    <row r="33" spans="1:14">
      <c r="A33" s="115" t="s">
        <v>209</v>
      </c>
      <c r="B33" s="116">
        <v>160715</v>
      </c>
      <c r="C33" s="261">
        <f t="shared" si="1"/>
        <v>7.2001846429928075E-3</v>
      </c>
      <c r="D33" s="116">
        <v>2184901</v>
      </c>
      <c r="E33" s="261">
        <f t="shared" si="2"/>
        <v>9.788563996303784E-2</v>
      </c>
      <c r="F33" s="116">
        <v>32006314</v>
      </c>
      <c r="G33" s="261">
        <f t="shared" si="3"/>
        <v>1.4339132659776979</v>
      </c>
      <c r="H33" s="116"/>
      <c r="I33" s="261"/>
      <c r="J33" s="116">
        <f>SUM(F33,D33,B33,'- 12 -'!J33,'- 12 -'!H33,'- 12 -'!F33,'- 12 -'!D33,'- 12 -'!B33)</f>
        <v>37833175</v>
      </c>
      <c r="K33" s="261">
        <f t="shared" si="4"/>
        <v>1.694962172981112</v>
      </c>
      <c r="N33" s="456"/>
    </row>
    <row r="34" spans="1:14">
      <c r="A34" s="115" t="s">
        <v>210</v>
      </c>
      <c r="B34" s="116">
        <v>302825</v>
      </c>
      <c r="C34" s="261">
        <f t="shared" si="1"/>
        <v>1.3566847615432892E-2</v>
      </c>
      <c r="D34" s="116">
        <v>939551</v>
      </c>
      <c r="E34" s="261">
        <f t="shared" si="2"/>
        <v>4.2092777161487953E-2</v>
      </c>
      <c r="F34" s="116">
        <v>2620271</v>
      </c>
      <c r="G34" s="261">
        <f t="shared" si="3"/>
        <v>0.11739062946631867</v>
      </c>
      <c r="H34" s="116"/>
      <c r="I34" s="261"/>
      <c r="J34" s="116">
        <f>SUM(F34,D34,B34,'- 12 -'!J34,'- 12 -'!H34,'- 12 -'!F34,'- 12 -'!D34,'- 12 -'!B34)</f>
        <v>8296830</v>
      </c>
      <c r="K34" s="261">
        <f t="shared" si="4"/>
        <v>0.37170586411674089</v>
      </c>
      <c r="N34" s="456">
        <f>SUM(N24:N32)</f>
        <v>99.999999999999986</v>
      </c>
    </row>
    <row r="35" spans="1:14">
      <c r="A35" s="366" t="s">
        <v>252</v>
      </c>
      <c r="B35" s="116"/>
      <c r="C35" s="261">
        <f t="shared" si="1"/>
        <v>0</v>
      </c>
      <c r="D35" s="116"/>
      <c r="E35" s="261">
        <f t="shared" si="2"/>
        <v>0</v>
      </c>
      <c r="F35" s="116">
        <v>5419058</v>
      </c>
      <c r="G35" s="261">
        <f t="shared" si="3"/>
        <v>0.2427789452825643</v>
      </c>
      <c r="H35" s="116"/>
      <c r="I35" s="261"/>
      <c r="J35" s="116">
        <f>SUM(F35,D35,B35,'- 12 -'!J35,'- 12 -'!H35,'- 12 -'!F35,'- 12 -'!D35,'- 12 -'!B35)</f>
        <v>5421723</v>
      </c>
      <c r="K35" s="261">
        <f t="shared" si="4"/>
        <v>0.24289833981371306</v>
      </c>
    </row>
    <row r="36" spans="1:14">
      <c r="A36" s="115" t="s">
        <v>211</v>
      </c>
      <c r="B36" s="116">
        <v>471520</v>
      </c>
      <c r="C36" s="261">
        <f>B36/J54</f>
        <v>2.1124543837625415E-4</v>
      </c>
      <c r="D36" s="116">
        <v>39550</v>
      </c>
      <c r="E36" s="261">
        <f>D36/J54</f>
        <v>1.7718775635775475E-5</v>
      </c>
      <c r="F36" s="116">
        <v>80150</v>
      </c>
      <c r="G36" s="261">
        <f>F36/J54</f>
        <v>3.5907961244182159E-5</v>
      </c>
      <c r="H36" s="116"/>
      <c r="I36" s="261"/>
      <c r="J36" s="116">
        <f>SUM(F36,D36,B36,'- 12 -'!J36,'- 12 -'!H36,'- 12 -'!F36,'- 12 -'!D36,'- 12 -'!B36)</f>
        <v>1914074</v>
      </c>
      <c r="K36" s="261">
        <f t="shared" si="4"/>
        <v>8.5752333138486236E-2</v>
      </c>
    </row>
    <row r="37" spans="1:14">
      <c r="A37" s="115" t="s">
        <v>212</v>
      </c>
      <c r="B37" s="116">
        <v>134900</v>
      </c>
      <c r="C37" s="261">
        <f>B37/$J$54*100</f>
        <v>6.0436481245666534E-3</v>
      </c>
      <c r="D37" s="116">
        <v>64480</v>
      </c>
      <c r="E37" s="261">
        <f>D37/$J$54*100</f>
        <v>2.8887652414533566E-3</v>
      </c>
      <c r="F37" s="116">
        <v>89263</v>
      </c>
      <c r="G37" s="261">
        <f>F37/$J$54*100</f>
        <v>3.9990671797123286E-3</v>
      </c>
      <c r="H37" s="116"/>
      <c r="I37" s="261"/>
      <c r="J37" s="116">
        <f>SUM(F37,D37,B37,'- 12 -'!J37,'- 12 -'!H37,'- 12 -'!F37,'- 12 -'!D37,'- 12 -'!B37)</f>
        <v>4062602</v>
      </c>
      <c r="K37" s="261">
        <f t="shared" si="4"/>
        <v>0.18200842815537982</v>
      </c>
    </row>
    <row r="38" spans="1:14">
      <c r="A38" s="122" t="s">
        <v>213</v>
      </c>
      <c r="B38" s="116">
        <v>9770009</v>
      </c>
      <c r="C38" s="261">
        <f>B38/'- 13 -'!$J$54*100</f>
        <v>0.43770568250444275</v>
      </c>
      <c r="D38" s="116">
        <v>252996</v>
      </c>
      <c r="E38" s="261">
        <f>D38/'- 13 -'!$J$54*100</f>
        <v>1.1334461089124278E-2</v>
      </c>
      <c r="F38" s="116">
        <v>453053</v>
      </c>
      <c r="G38" s="261">
        <f>F38/'- 13 -'!$J$54*100</f>
        <v>2.0297204698141558E-2</v>
      </c>
      <c r="H38" s="116"/>
      <c r="I38" s="261"/>
      <c r="J38" s="116">
        <f>SUM(F38,D38,B38,'- 12 -'!J38,'- 12 -'!H38,'- 12 -'!F38,'- 12 -'!D38,'- 12 -'!B38)</f>
        <v>12907531</v>
      </c>
      <c r="K38" s="261">
        <f t="shared" si="4"/>
        <v>0.57826964804252001</v>
      </c>
    </row>
    <row r="39" spans="1:14">
      <c r="A39" s="123" t="s">
        <v>214</v>
      </c>
      <c r="B39" s="119">
        <v>617976</v>
      </c>
      <c r="C39" s="262">
        <f>B39/$J$54*100</f>
        <v>2.7685911737785045E-2</v>
      </c>
      <c r="D39" s="119">
        <v>93703</v>
      </c>
      <c r="E39" s="262">
        <f>D39/$J$54*100</f>
        <v>4.1979833967106684E-3</v>
      </c>
      <c r="F39" s="119">
        <v>200063</v>
      </c>
      <c r="G39" s="262">
        <f>F39/$J$54*100</f>
        <v>8.9630124147159259E-3</v>
      </c>
      <c r="H39" s="119"/>
      <c r="I39" s="262"/>
      <c r="J39" s="119">
        <f>SUM(F39,D39,B39,'- 12 -'!J39,'- 12 -'!H39,'- 12 -'!F39,'- 12 -'!D39,'- 12 -'!B39)</f>
        <v>12281587</v>
      </c>
      <c r="K39" s="262">
        <f t="shared" si="4"/>
        <v>0.55022676233693246</v>
      </c>
    </row>
    <row r="40" spans="1:14">
      <c r="A40" s="120" t="s">
        <v>215</v>
      </c>
      <c r="B40" s="126">
        <f>SUM(B25:B39)</f>
        <v>14526012</v>
      </c>
      <c r="C40" s="264">
        <f>B40/$J$54*100</f>
        <v>0.65077913403434184</v>
      </c>
      <c r="D40" s="126">
        <f>SUM(D25:D39)</f>
        <v>26599694</v>
      </c>
      <c r="E40" s="264">
        <f>D40/$J$54*100</f>
        <v>1.1916915549084275</v>
      </c>
      <c r="F40" s="126">
        <f>SUM(F25:F39)</f>
        <v>102612748</v>
      </c>
      <c r="G40" s="264">
        <f>F40/$J$54*100</f>
        <v>4.5971485693612353</v>
      </c>
      <c r="H40" s="126"/>
      <c r="I40" s="264"/>
      <c r="J40" s="126">
        <f>SUM(F40,D40,B40,'- 12 -'!J40,'- 12 -'!H40,'- 12 -'!F40,'- 12 -'!D40,'- 12 -'!B40)</f>
        <v>208027783</v>
      </c>
      <c r="K40" s="264">
        <f t="shared" si="4"/>
        <v>9.319842257862927</v>
      </c>
    </row>
    <row r="41" spans="1:14">
      <c r="A41" s="282" t="s">
        <v>216</v>
      </c>
      <c r="B41" s="124"/>
      <c r="C41" s="265"/>
      <c r="D41" s="124"/>
      <c r="E41" s="265"/>
      <c r="F41" s="124"/>
      <c r="G41" s="265"/>
      <c r="H41" s="124"/>
      <c r="I41" s="265"/>
      <c r="J41" s="124"/>
      <c r="K41" s="265"/>
    </row>
    <row r="42" spans="1:14">
      <c r="A42" s="115" t="s">
        <v>217</v>
      </c>
      <c r="B42" s="116">
        <v>3950856</v>
      </c>
      <c r="C42" s="261">
        <f>B42/$J$54*100</f>
        <v>0.17700210122188964</v>
      </c>
      <c r="D42" s="116">
        <v>18472605</v>
      </c>
      <c r="E42" s="261">
        <f>D42/$J$54*100</f>
        <v>0.82759024880734322</v>
      </c>
      <c r="F42" s="116">
        <v>23166736</v>
      </c>
      <c r="G42" s="261">
        <f>F42/$J$54*100</f>
        <v>1.0378917759728004</v>
      </c>
      <c r="H42" s="116"/>
      <c r="I42" s="261"/>
      <c r="J42" s="116">
        <f>SUM(F42,D42,B42,'- 12 -'!J42,'- 12 -'!H42,'- 12 -'!F42,'- 12 -'!D42,'- 12 -'!B42)</f>
        <v>87006924</v>
      </c>
      <c r="K42" s="261">
        <f>J42/$J$54*100</f>
        <v>3.8979928321490984</v>
      </c>
    </row>
    <row r="43" spans="1:14">
      <c r="A43" s="115" t="s">
        <v>218</v>
      </c>
      <c r="B43" s="116">
        <v>3146705</v>
      </c>
      <c r="C43" s="261">
        <f>B43/$J$54*100</f>
        <v>0.14097537265985555</v>
      </c>
      <c r="D43" s="116">
        <v>18200</v>
      </c>
      <c r="E43" s="261">
        <f>D43/$J$54*100</f>
        <v>8.1537728589409263E-4</v>
      </c>
      <c r="F43" s="116">
        <v>231322</v>
      </c>
      <c r="G43" s="261">
        <f>F43/$J$54*100</f>
        <v>1.0363445303713918E-2</v>
      </c>
      <c r="H43" s="116"/>
      <c r="I43" s="261"/>
      <c r="J43" s="116">
        <f>SUM(F43,D43,B43,'- 12 -'!J43,'- 12 -'!H43,'- 12 -'!F43,'- 12 -'!D43,'- 12 -'!B43)</f>
        <v>16669535</v>
      </c>
      <c r="K43" s="261">
        <f>J43/$J$54*100</f>
        <v>0.74681100029761449</v>
      </c>
    </row>
    <row r="44" spans="1:14">
      <c r="A44" s="115" t="s">
        <v>219</v>
      </c>
      <c r="B44" s="116">
        <v>212353</v>
      </c>
      <c r="C44" s="261">
        <f>B44/$J$54*100</f>
        <v>9.5136160874433103E-3</v>
      </c>
      <c r="D44" s="116">
        <v>318989</v>
      </c>
      <c r="E44" s="261">
        <f>D44/$J$54*100</f>
        <v>1.4291010167586304E-2</v>
      </c>
      <c r="F44" s="116">
        <v>2948996</v>
      </c>
      <c r="G44" s="261">
        <f>F44/$J$54*100</f>
        <v>0.13211782168090855</v>
      </c>
      <c r="H44" s="116"/>
      <c r="I44" s="261"/>
      <c r="J44" s="116">
        <f>SUM(F44,D44,B44,'- 12 -'!J44,'- 12 -'!H44,'- 12 -'!F44,'- 12 -'!D44,'- 12 -'!B44)</f>
        <v>14716660</v>
      </c>
      <c r="K44" s="261">
        <f>J44/$J$54*100</f>
        <v>0.65932034550693175</v>
      </c>
    </row>
    <row r="45" spans="1:14">
      <c r="A45" s="123" t="s">
        <v>220</v>
      </c>
      <c r="B45" s="119">
        <v>391896</v>
      </c>
      <c r="C45" s="262">
        <f>B45/$J$54*100</f>
        <v>1.7557313012788536E-2</v>
      </c>
      <c r="D45" s="119">
        <v>54850</v>
      </c>
      <c r="E45" s="262">
        <f>D45/$J$54*100</f>
        <v>2.4573320951258781E-3</v>
      </c>
      <c r="F45" s="119">
        <v>85400</v>
      </c>
      <c r="G45" s="262">
        <f>F45/$J$54*100</f>
        <v>3.8260011107338196E-3</v>
      </c>
      <c r="H45" s="119"/>
      <c r="I45" s="262"/>
      <c r="J45" s="119">
        <f>SUM(F45,D45,B45,'- 12 -'!J45,'- 12 -'!H45,'- 12 -'!F45,'- 12 -'!D45,'- 12 -'!B45)</f>
        <v>21332982</v>
      </c>
      <c r="K45" s="262">
        <f>J45/$J$54*100</f>
        <v>0.95573785512019416</v>
      </c>
    </row>
    <row r="46" spans="1:14">
      <c r="A46" s="120" t="s">
        <v>221</v>
      </c>
      <c r="B46" s="126">
        <f>SUM(B42:B45)</f>
        <v>7701810</v>
      </c>
      <c r="C46" s="264">
        <f>B46/$J$54*100</f>
        <v>0.34504840298197703</v>
      </c>
      <c r="D46" s="126">
        <f>SUM(D42:D45)</f>
        <v>18864644</v>
      </c>
      <c r="E46" s="264">
        <f>D46/$J$54*100</f>
        <v>0.84515396835594947</v>
      </c>
      <c r="F46" s="126">
        <f>SUM(F42:F45)</f>
        <v>26432454</v>
      </c>
      <c r="G46" s="264">
        <f>F46/$J$54*100</f>
        <v>1.1841990440681567</v>
      </c>
      <c r="H46" s="126"/>
      <c r="I46" s="264"/>
      <c r="J46" s="126">
        <f>SUM(F46,D46,B46,'- 12 -'!J46,'- 12 -'!H46,'- 12 -'!F46,'- 12 -'!D46,'- 12 -'!B46)</f>
        <v>139726101</v>
      </c>
      <c r="K46" s="264">
        <f>J46/$J$54*100</f>
        <v>6.2598620330738388</v>
      </c>
    </row>
    <row r="47" spans="1:14">
      <c r="A47" s="282" t="s">
        <v>42</v>
      </c>
      <c r="B47" s="124"/>
      <c r="C47" s="265"/>
      <c r="D47" s="124"/>
      <c r="E47" s="265"/>
      <c r="F47" s="124"/>
      <c r="G47" s="265"/>
      <c r="H47" s="124"/>
      <c r="I47" s="265"/>
      <c r="J47" s="124"/>
      <c r="K47" s="265"/>
    </row>
    <row r="48" spans="1:14" hidden="1">
      <c r="A48" s="226" t="s">
        <v>302</v>
      </c>
      <c r="B48" s="356"/>
      <c r="C48" s="357"/>
      <c r="D48" s="356"/>
      <c r="E48" s="357"/>
      <c r="F48" s="116">
        <v>0</v>
      </c>
      <c r="G48" s="357"/>
      <c r="H48" s="356"/>
      <c r="I48" s="357"/>
      <c r="J48" s="356">
        <f>'- 12 -'!F48+'- 12 -'!J48+'- 13 -'!F48</f>
        <v>0</v>
      </c>
      <c r="K48" s="357"/>
    </row>
    <row r="49" spans="1:11">
      <c r="A49" s="115" t="s">
        <v>222</v>
      </c>
      <c r="B49" s="121"/>
      <c r="C49" s="261"/>
      <c r="D49" s="121"/>
      <c r="E49" s="261"/>
      <c r="F49" s="121"/>
      <c r="G49" s="261"/>
      <c r="H49" s="116">
        <f>'- 10 -'!G24</f>
        <v>2767118</v>
      </c>
      <c r="I49" s="261">
        <f>H49/$J$54*100</f>
        <v>0.12396951453784011</v>
      </c>
      <c r="J49" s="116">
        <f>H49</f>
        <v>2767118</v>
      </c>
      <c r="K49" s="261">
        <f>J49/$J$54*100</f>
        <v>0.12396951453784011</v>
      </c>
    </row>
    <row r="50" spans="1:11">
      <c r="A50" s="115" t="s">
        <v>260</v>
      </c>
      <c r="B50" s="121"/>
      <c r="C50" s="261"/>
      <c r="D50" s="121"/>
      <c r="E50" s="261"/>
      <c r="F50" s="121"/>
      <c r="G50" s="261"/>
      <c r="H50" s="116">
        <f>'- 10 -'!H24</f>
        <v>8000</v>
      </c>
      <c r="I50" s="261"/>
      <c r="J50" s="116">
        <f>H50</f>
        <v>8000</v>
      </c>
      <c r="K50" s="261"/>
    </row>
    <row r="51" spans="1:11">
      <c r="A51" s="115" t="s">
        <v>223</v>
      </c>
      <c r="B51" s="121"/>
      <c r="C51" s="261"/>
      <c r="D51" s="121"/>
      <c r="E51" s="261"/>
      <c r="F51" s="121"/>
      <c r="G51" s="261"/>
      <c r="H51" s="119">
        <f>'- 10 -'!I24</f>
        <v>36136320</v>
      </c>
      <c r="I51" s="262">
        <f>H51/$J$54*100</f>
        <v>1.6189414573516712</v>
      </c>
      <c r="J51" s="119">
        <f>H51</f>
        <v>36136320</v>
      </c>
      <c r="K51" s="262">
        <f>J51/$J$54*100</f>
        <v>1.6189414573516712</v>
      </c>
    </row>
    <row r="52" spans="1:11">
      <c r="A52" s="120" t="s">
        <v>224</v>
      </c>
      <c r="B52" s="120"/>
      <c r="C52" s="264"/>
      <c r="D52" s="120"/>
      <c r="E52" s="264"/>
      <c r="F52" s="126">
        <f>F48</f>
        <v>0</v>
      </c>
      <c r="G52" s="264"/>
      <c r="H52" s="126">
        <f>SUM(H49:H51)</f>
        <v>38911438</v>
      </c>
      <c r="I52" s="264">
        <f>H52/$J$54*100</f>
        <v>1.7432693794877065</v>
      </c>
      <c r="J52" s="126">
        <f>SUM(J48:J51)</f>
        <v>38911438</v>
      </c>
      <c r="K52" s="264">
        <f>J52/$J$54*100</f>
        <v>1.7432693794877065</v>
      </c>
    </row>
    <row r="53" spans="1:11" ht="5.0999999999999996" customHeight="1">
      <c r="A53" s="20"/>
      <c r="B53" s="24"/>
      <c r="C53" s="266"/>
      <c r="D53" s="73"/>
      <c r="E53" s="266"/>
      <c r="F53" s="73"/>
      <c r="G53" s="266"/>
      <c r="H53" s="73"/>
      <c r="I53" s="266"/>
      <c r="J53" s="73"/>
      <c r="K53" s="266"/>
    </row>
    <row r="54" spans="1:11">
      <c r="A54" s="283" t="s">
        <v>225</v>
      </c>
      <c r="B54" s="345">
        <f>SUM(B52,B46,B40,B23,B22)</f>
        <v>78173501</v>
      </c>
      <c r="C54" s="346">
        <f>B54/$J$54*100</f>
        <v>3.5022470919900628</v>
      </c>
      <c r="D54" s="345">
        <f>SUM(D52,D46,D40,D23,D22)</f>
        <v>97156178</v>
      </c>
      <c r="E54" s="346">
        <f>D54/$J$54*100</f>
        <v>4.3526890508507341</v>
      </c>
      <c r="F54" s="345">
        <f>SUM(F52,F46,F40,F23,F22)</f>
        <v>260364984</v>
      </c>
      <c r="G54" s="346">
        <f>F54/$J$54*100</f>
        <v>11.664598571196642</v>
      </c>
      <c r="H54" s="345">
        <f>SUM(H52,H46,H40,H23,H22)</f>
        <v>38911438</v>
      </c>
      <c r="I54" s="346">
        <f>H54/$J$54*100</f>
        <v>1.7432693794877065</v>
      </c>
      <c r="J54" s="345">
        <f>SUM(J52,J46,J40,J23,J22)</f>
        <v>2232095536</v>
      </c>
      <c r="K54" s="346">
        <f>J54/$J$54*100</f>
        <v>100</v>
      </c>
    </row>
    <row r="55" spans="1:11" ht="20.100000000000001" customHeight="1">
      <c r="A55" s="128"/>
    </row>
  </sheetData>
  <mergeCells count="6">
    <mergeCell ref="L25:L29"/>
    <mergeCell ref="B9:C10"/>
    <mergeCell ref="D9:E10"/>
    <mergeCell ref="F9:G10"/>
    <mergeCell ref="H9:I10"/>
    <mergeCell ref="J9:K10"/>
  </mergeCells>
  <phoneticPr fontId="0" type="noConversion"/>
  <printOptions verticalCentered="1"/>
  <pageMargins left="0.75" right="0" top="0.3" bottom="0.3" header="0" footer="0"/>
  <pageSetup scale="89"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BB59"/>
  <sheetViews>
    <sheetView showGridLines="0" showZeros="0" workbookViewId="0"/>
  </sheetViews>
  <sheetFormatPr defaultColWidth="15.83203125" defaultRowHeight="12"/>
  <cols>
    <col min="1" max="1" width="31.6640625" style="1" customWidth="1"/>
    <col min="2" max="2" width="15" style="1" bestFit="1" customWidth="1"/>
    <col min="3" max="3" width="6.33203125" style="1" customWidth="1"/>
    <col min="4" max="4" width="9.33203125" style="1" customWidth="1"/>
    <col min="5" max="5" width="13.33203125" style="1" bestFit="1" customWidth="1"/>
    <col min="6" max="6" width="6.33203125" style="1" customWidth="1"/>
    <col min="7" max="7" width="9.5" style="1" customWidth="1"/>
    <col min="8" max="8" width="11.5" style="1" customWidth="1"/>
    <col min="9" max="9" width="8.83203125" style="1" customWidth="1"/>
    <col min="10" max="16384" width="15.83203125" style="1"/>
  </cols>
  <sheetData>
    <row r="1" spans="1:54" ht="6.95" customHeight="1">
      <c r="A1" s="3"/>
      <c r="B1" s="4"/>
      <c r="C1" s="4"/>
      <c r="D1" s="4"/>
      <c r="E1" s="4"/>
      <c r="F1" s="4"/>
      <c r="G1" s="4"/>
      <c r="H1" s="4"/>
      <c r="I1" s="4"/>
    </row>
    <row r="2" spans="1:54" ht="15.95" customHeight="1">
      <c r="A2" s="133"/>
      <c r="B2" s="5" t="str">
        <f>IF(Lang=1,BA2,BB2)</f>
        <v>ANALYSIS OF EXPENSE BY FUNCTION</v>
      </c>
      <c r="C2" s="6"/>
      <c r="D2" s="6"/>
      <c r="E2" s="6"/>
      <c r="F2" s="6"/>
      <c r="G2" s="6"/>
      <c r="H2" s="86"/>
      <c r="I2" s="151" t="s">
        <v>0</v>
      </c>
      <c r="BA2" s="462" t="s">
        <v>266</v>
      </c>
      <c r="BB2" s="462" t="s">
        <v>412</v>
      </c>
    </row>
    <row r="3" spans="1:54" ht="15.95" customHeight="1">
      <c r="A3" s="136"/>
      <c r="B3" s="7" t="str">
        <f>OPYEAR</f>
        <v>OPERATING FUND 2015/2016 BUDGET</v>
      </c>
      <c r="C3" s="8"/>
      <c r="D3" s="8"/>
      <c r="E3" s="8"/>
      <c r="F3" s="8"/>
      <c r="G3" s="8"/>
      <c r="H3" s="88"/>
      <c r="I3" s="82"/>
    </row>
    <row r="4" spans="1:54" ht="15.95" customHeight="1">
      <c r="B4" s="4"/>
      <c r="C4" s="4"/>
      <c r="D4" s="4"/>
      <c r="E4" s="4"/>
      <c r="F4" s="4"/>
      <c r="G4" s="4"/>
      <c r="H4" s="4"/>
      <c r="I4" s="4"/>
    </row>
    <row r="5" spans="1:54" ht="15.95" customHeight="1">
      <c r="B5" s="4"/>
      <c r="C5" s="4"/>
      <c r="D5" s="4"/>
      <c r="E5" s="4"/>
      <c r="F5" s="4"/>
      <c r="G5" s="4"/>
      <c r="H5" s="4"/>
      <c r="I5" s="4"/>
    </row>
    <row r="6" spans="1:54" ht="15.95" customHeight="1">
      <c r="B6" s="613" t="s">
        <v>21</v>
      </c>
      <c r="C6" s="615"/>
      <c r="D6" s="600"/>
      <c r="E6" s="607" t="s">
        <v>411</v>
      </c>
      <c r="F6" s="615"/>
      <c r="G6" s="600"/>
      <c r="H6" s="611" t="s">
        <v>102</v>
      </c>
      <c r="I6" s="608"/>
    </row>
    <row r="7" spans="1:54" ht="15.95" customHeight="1">
      <c r="B7" s="614"/>
      <c r="C7" s="616"/>
      <c r="D7" s="602"/>
      <c r="E7" s="614"/>
      <c r="F7" s="616"/>
      <c r="G7" s="602"/>
      <c r="H7" s="609"/>
      <c r="I7" s="610"/>
    </row>
    <row r="8" spans="1:54" ht="15.95" customHeight="1">
      <c r="A8" s="83"/>
      <c r="B8" s="139" t="s">
        <v>1</v>
      </c>
      <c r="C8" s="177"/>
      <c r="D8" s="564" t="s">
        <v>313</v>
      </c>
      <c r="E8" s="139"/>
      <c r="F8" s="138"/>
      <c r="G8" s="525" t="s">
        <v>410</v>
      </c>
      <c r="H8" s="139"/>
      <c r="I8" s="138"/>
    </row>
    <row r="9" spans="1:54" ht="15.95" customHeight="1">
      <c r="A9" s="28" t="s">
        <v>37</v>
      </c>
      <c r="B9" s="458" t="s">
        <v>38</v>
      </c>
      <c r="C9" s="90" t="s">
        <v>39</v>
      </c>
      <c r="D9" s="565"/>
      <c r="E9" s="90" t="s">
        <v>38</v>
      </c>
      <c r="F9" s="90" t="s">
        <v>39</v>
      </c>
      <c r="G9" s="565"/>
      <c r="H9" s="90" t="s">
        <v>38</v>
      </c>
      <c r="I9" s="90" t="s">
        <v>39</v>
      </c>
    </row>
    <row r="10" spans="1:54" ht="5.0999999999999996" customHeight="1">
      <c r="A10" s="30"/>
    </row>
    <row r="11" spans="1:54" ht="14.1" customHeight="1">
      <c r="A11" s="272" t="s">
        <v>109</v>
      </c>
      <c r="B11" s="273">
        <f>SUM('- 18 -'!B11,'- 18 -'!E11,'- 19 -'!B11,'- 19 -'!E11,'- 19 -'!H11,'- 20 -'!B11)</f>
        <v>11512558</v>
      </c>
      <c r="C11" s="274">
        <f>B11/'- 3 -'!D11*100</f>
        <v>62.543164752398226</v>
      </c>
      <c r="D11" s="273">
        <f>B11/'- 7 -'!C11</f>
        <v>6990.0170006071648</v>
      </c>
      <c r="E11" s="273">
        <f>SUM('- 21 -'!B11,'- 21 -'!E11,'- 21 -'!H11,'- 22 -'!B11,'- 22 -'!E11,'- 22 -'!H11)</f>
        <v>2308613</v>
      </c>
      <c r="F11" s="274">
        <f>E11/'- 3 -'!D11*100</f>
        <v>12.541779438464355</v>
      </c>
      <c r="G11" s="273">
        <f>E11/'- 7 -'!F11</f>
        <v>1401.7079538554949</v>
      </c>
      <c r="H11" s="273">
        <f>SUM('- 23 -'!D11,'- 23 -'!B11)</f>
        <v>0</v>
      </c>
      <c r="I11" s="274">
        <f>H11/'- 3 -'!D11*100</f>
        <v>0</v>
      </c>
    </row>
    <row r="12" spans="1:54" ht="14.1" customHeight="1">
      <c r="A12" s="16" t="s">
        <v>110</v>
      </c>
      <c r="B12" s="17">
        <f>SUM('- 18 -'!B12,'- 18 -'!E12,'- 19 -'!B12,'- 19 -'!E12,'- 19 -'!H12,'- 20 -'!B12)</f>
        <v>17735930</v>
      </c>
      <c r="C12" s="268">
        <f>B12/'- 3 -'!D12*100</f>
        <v>55.308686588454378</v>
      </c>
      <c r="D12" s="17">
        <f>B12/'- 7 -'!C12</f>
        <v>8177.0078377132322</v>
      </c>
      <c r="E12" s="17">
        <f>SUM('- 21 -'!B12,'- 21 -'!E12,'- 21 -'!H12,'- 22 -'!B12,'- 22 -'!E12,'- 22 -'!H12)</f>
        <v>5330337</v>
      </c>
      <c r="F12" s="268">
        <f>E12/'- 3 -'!D12*100</f>
        <v>16.622412162420698</v>
      </c>
      <c r="G12" s="17">
        <f>E12/'- 7 -'!F12</f>
        <v>2457.5089903181188</v>
      </c>
      <c r="H12" s="17">
        <f>SUM('- 23 -'!D12,'- 23 -'!B12)</f>
        <v>615175</v>
      </c>
      <c r="I12" s="268">
        <f>H12/'- 3 -'!D12*100</f>
        <v>1.9183951037274292</v>
      </c>
    </row>
    <row r="13" spans="1:54" ht="14.1" customHeight="1">
      <c r="A13" s="272" t="s">
        <v>111</v>
      </c>
      <c r="B13" s="273">
        <f>SUM('- 18 -'!B13,'- 18 -'!E13,'- 19 -'!B13,'- 19 -'!E13,'- 19 -'!H13,'- 20 -'!B13)</f>
        <v>55634200</v>
      </c>
      <c r="C13" s="274">
        <f>B13/'- 3 -'!D13*100</f>
        <v>59.89372169984992</v>
      </c>
      <c r="D13" s="273">
        <f>B13/'- 7 -'!C13</f>
        <v>6811.6559534741355</v>
      </c>
      <c r="E13" s="273">
        <f>SUM('- 21 -'!B13,'- 21 -'!E13,'- 21 -'!H13,'- 22 -'!B13,'- 22 -'!E13,'- 22 -'!H13)</f>
        <v>19130200</v>
      </c>
      <c r="F13" s="274">
        <f>E13/'- 3 -'!D13*100</f>
        <v>20.594865655702232</v>
      </c>
      <c r="G13" s="273">
        <f>E13/'- 7 -'!F13</f>
        <v>2342.2344658708294</v>
      </c>
      <c r="H13" s="273">
        <f>SUM('- 23 -'!D13,'- 23 -'!B13)</f>
        <v>0</v>
      </c>
      <c r="I13" s="274">
        <f>H13/'- 3 -'!D13*100</f>
        <v>0</v>
      </c>
    </row>
    <row r="14" spans="1:54" ht="14.1" customHeight="1">
      <c r="A14" s="16" t="s">
        <v>324</v>
      </c>
      <c r="B14" s="17">
        <f>SUM('- 18 -'!B14,'- 18 -'!E14,'- 19 -'!B14,'- 19 -'!E14,'- 19 -'!H14,'- 20 -'!B14)</f>
        <v>46536826</v>
      </c>
      <c r="C14" s="268">
        <f>B14/'- 3 -'!D14*100</f>
        <v>56.11420016159677</v>
      </c>
      <c r="D14" s="17">
        <f>B14/'- 7 -'!C14</f>
        <v>8742.5936501972574</v>
      </c>
      <c r="E14" s="17">
        <f>SUM('- 21 -'!B14,'- 21 -'!E14,'- 21 -'!H14,'- 22 -'!B14,'- 22 -'!E14,'- 22 -'!H14)</f>
        <v>9975196</v>
      </c>
      <c r="F14" s="268">
        <f>E14/'- 3 -'!D14*100</f>
        <v>12.028111779586331</v>
      </c>
      <c r="G14" s="17">
        <f>E14/'- 7 -'!F14</f>
        <v>1873.9800864174338</v>
      </c>
      <c r="H14" s="17">
        <f>SUM('- 23 -'!D14,'- 23 -'!B14)</f>
        <v>254762</v>
      </c>
      <c r="I14" s="268">
        <f>H14/'- 3 -'!D14*100</f>
        <v>0.30719254169952875</v>
      </c>
    </row>
    <row r="15" spans="1:54" ht="14.1" customHeight="1">
      <c r="A15" s="272" t="s">
        <v>112</v>
      </c>
      <c r="B15" s="273">
        <f>SUM('- 18 -'!B15,'- 18 -'!E15,'- 19 -'!B15,'- 19 -'!E15,'- 19 -'!H15,'- 20 -'!B15)</f>
        <v>10677306</v>
      </c>
      <c r="C15" s="274">
        <f>B15/'- 3 -'!D15*100</f>
        <v>53.075963958292647</v>
      </c>
      <c r="D15" s="273">
        <f>B15/'- 7 -'!C15</f>
        <v>7484.9674027339643</v>
      </c>
      <c r="E15" s="273">
        <f>SUM('- 21 -'!B15,'- 21 -'!E15,'- 21 -'!H15,'- 22 -'!B15,'- 22 -'!E15,'- 22 -'!H15)</f>
        <v>3527700</v>
      </c>
      <c r="F15" s="274">
        <f>E15/'- 3 -'!D15*100</f>
        <v>17.535891362078502</v>
      </c>
      <c r="G15" s="273">
        <f>E15/'- 7 -'!F15</f>
        <v>2472.9758149316508</v>
      </c>
      <c r="H15" s="273">
        <f>SUM('- 23 -'!D15,'- 23 -'!B15)</f>
        <v>0</v>
      </c>
      <c r="I15" s="274">
        <f>H15/'- 3 -'!D15*100</f>
        <v>0</v>
      </c>
    </row>
    <row r="16" spans="1:54" ht="14.1" customHeight="1">
      <c r="A16" s="16" t="s">
        <v>113</v>
      </c>
      <c r="B16" s="17">
        <f>SUM('- 18 -'!B16,'- 18 -'!E16,'- 19 -'!B16,'- 19 -'!E16,'- 19 -'!H16,'- 20 -'!B16)</f>
        <v>7641175</v>
      </c>
      <c r="C16" s="268">
        <f>B16/'- 3 -'!D16*100</f>
        <v>54.317263416629032</v>
      </c>
      <c r="D16" s="17">
        <f>B16/'- 7 -'!C16</f>
        <v>8137.566560170394</v>
      </c>
      <c r="E16" s="17">
        <f>SUM('- 21 -'!B16,'- 21 -'!E16,'- 21 -'!H16,'- 22 -'!B16,'- 22 -'!E16,'- 22 -'!H16)</f>
        <v>2481654</v>
      </c>
      <c r="F16" s="268">
        <f>E16/'- 3 -'!D16*100</f>
        <v>17.640828017540642</v>
      </c>
      <c r="G16" s="17">
        <f>E16/'- 7 -'!F16</f>
        <v>2642.8690095846646</v>
      </c>
      <c r="H16" s="17">
        <f>SUM('- 23 -'!D16,'- 23 -'!B16)</f>
        <v>92300</v>
      </c>
      <c r="I16" s="268">
        <f>H16/'- 3 -'!D16*100</f>
        <v>0.65611419884440025</v>
      </c>
    </row>
    <row r="17" spans="1:9" ht="14.1" customHeight="1">
      <c r="A17" s="272" t="s">
        <v>114</v>
      </c>
      <c r="B17" s="273">
        <f>SUM('- 18 -'!B17,'- 18 -'!E17,'- 19 -'!B17,'- 19 -'!E17,'- 19 -'!H17,'- 20 -'!B17)</f>
        <v>9818624</v>
      </c>
      <c r="C17" s="274">
        <f>B17/'- 3 -'!D17*100</f>
        <v>55.810896188837788</v>
      </c>
      <c r="D17" s="273">
        <f>B17/'- 7 -'!C17</f>
        <v>7227.5480309164523</v>
      </c>
      <c r="E17" s="273">
        <f>SUM('- 21 -'!B17,'- 21 -'!E17,'- 21 -'!H17,'- 22 -'!B17,'- 22 -'!E17,'- 22 -'!H17)</f>
        <v>2503616</v>
      </c>
      <c r="F17" s="274">
        <f>E17/'- 3 -'!D17*100</f>
        <v>14.231021849162707</v>
      </c>
      <c r="G17" s="273">
        <f>E17/'- 7 -'!F17</f>
        <v>1842.9267574530732</v>
      </c>
      <c r="H17" s="273">
        <f>SUM('- 23 -'!D17,'- 23 -'!B17)</f>
        <v>0</v>
      </c>
      <c r="I17" s="274">
        <f>H17/'- 3 -'!D17*100</f>
        <v>0</v>
      </c>
    </row>
    <row r="18" spans="1:9" ht="14.1" customHeight="1">
      <c r="A18" s="16" t="s">
        <v>115</v>
      </c>
      <c r="B18" s="17">
        <f>SUM('- 18 -'!B18,'- 18 -'!E18,'- 19 -'!B18,'- 19 -'!E18,'- 19 -'!H18,'- 20 -'!B18)</f>
        <v>54751547</v>
      </c>
      <c r="C18" s="268">
        <f>B18/'- 3 -'!D18*100</f>
        <v>42.771337663951478</v>
      </c>
      <c r="D18" s="17">
        <f>B18/'- 7 -'!C18</f>
        <v>8744.0186214386085</v>
      </c>
      <c r="E18" s="17">
        <f>SUM('- 21 -'!B18,'- 21 -'!E18,'- 21 -'!H18,'- 22 -'!B18,'- 22 -'!E18,'- 22 -'!H18)</f>
        <v>18988995</v>
      </c>
      <c r="F18" s="268">
        <f>E18/'- 3 -'!D18*100</f>
        <v>14.834004910292057</v>
      </c>
      <c r="G18" s="17">
        <f>E18/'- 7 -'!F18</f>
        <v>3032.6106745879647</v>
      </c>
      <c r="H18" s="17">
        <f>SUM('- 23 -'!D18,'- 23 -'!B18)</f>
        <v>2122844</v>
      </c>
      <c r="I18" s="268">
        <f>H18/'- 3 -'!D18*100</f>
        <v>1.6583435995314144</v>
      </c>
    </row>
    <row r="19" spans="1:9" ht="14.1" customHeight="1">
      <c r="A19" s="272" t="s">
        <v>116</v>
      </c>
      <c r="B19" s="273">
        <f>SUM('- 18 -'!B19,'- 18 -'!E19,'- 19 -'!B19,'- 19 -'!E19,'- 19 -'!H19,'- 20 -'!B19)</f>
        <v>25952850</v>
      </c>
      <c r="C19" s="274">
        <f>B19/'- 3 -'!D19*100</f>
        <v>57.74560547461676</v>
      </c>
      <c r="D19" s="273">
        <f>B19/'- 7 -'!C19</f>
        <v>6182.1939018580279</v>
      </c>
      <c r="E19" s="273">
        <f>SUM('- 21 -'!B19,'- 21 -'!E19,'- 21 -'!H19,'- 22 -'!B19,'- 22 -'!E19,'- 22 -'!H19)</f>
        <v>8495500</v>
      </c>
      <c r="F19" s="274">
        <f>E19/'- 3 -'!D19*100</f>
        <v>18.902655828150149</v>
      </c>
      <c r="G19" s="273">
        <f>E19/'- 7 -'!F19</f>
        <v>2023.7017627441639</v>
      </c>
      <c r="H19" s="273">
        <f>SUM('- 23 -'!D19,'- 23 -'!B19)</f>
        <v>0</v>
      </c>
      <c r="I19" s="274">
        <f>H19/'- 3 -'!D19*100</f>
        <v>0</v>
      </c>
    </row>
    <row r="20" spans="1:9" ht="14.1" customHeight="1">
      <c r="A20" s="16" t="s">
        <v>117</v>
      </c>
      <c r="B20" s="17">
        <f>SUM('- 18 -'!B20,'- 18 -'!E20,'- 19 -'!B20,'- 19 -'!E20,'- 19 -'!H20,'- 20 -'!B20)</f>
        <v>47189300</v>
      </c>
      <c r="C20" s="268">
        <f>B20/'- 3 -'!D20*100</f>
        <v>59.894931638294736</v>
      </c>
      <c r="D20" s="17">
        <f>B20/'- 7 -'!C20</f>
        <v>6316.3298085932274</v>
      </c>
      <c r="E20" s="17">
        <f>SUM('- 21 -'!B20,'- 21 -'!E20,'- 21 -'!H20,'- 22 -'!B20,'- 22 -'!E20,'- 22 -'!H20)</f>
        <v>12131400</v>
      </c>
      <c r="F20" s="268">
        <f>E20/'- 3 -'!D20*100</f>
        <v>15.397756984672558</v>
      </c>
      <c r="G20" s="17">
        <f>E20/'- 7 -'!F20</f>
        <v>1623.798688261277</v>
      </c>
      <c r="H20" s="17">
        <f>SUM('- 23 -'!D20,'- 23 -'!B20)</f>
        <v>0</v>
      </c>
      <c r="I20" s="268">
        <f>H20/'- 3 -'!D20*100</f>
        <v>0</v>
      </c>
    </row>
    <row r="21" spans="1:9" ht="14.1" customHeight="1">
      <c r="A21" s="272" t="s">
        <v>118</v>
      </c>
      <c r="B21" s="273">
        <f>SUM('- 18 -'!B21,'- 18 -'!E21,'- 19 -'!B21,'- 19 -'!E21,'- 19 -'!H21,'- 20 -'!B21)</f>
        <v>20229240</v>
      </c>
      <c r="C21" s="274">
        <f>B21/'- 3 -'!D21*100</f>
        <v>56.977381946132631</v>
      </c>
      <c r="D21" s="273">
        <f>B21/'- 7 -'!C21</f>
        <v>7500.6451612903229</v>
      </c>
      <c r="E21" s="273">
        <f>SUM('- 21 -'!B21,'- 21 -'!E21,'- 21 -'!H21,'- 22 -'!B21,'- 22 -'!E21,'- 22 -'!H21)</f>
        <v>5753000</v>
      </c>
      <c r="F21" s="274">
        <f>E21/'- 3 -'!D21*100</f>
        <v>16.203815780330899</v>
      </c>
      <c r="G21" s="273">
        <f>E21/'- 7 -'!F21</f>
        <v>2133.1108639228773</v>
      </c>
      <c r="H21" s="273">
        <f>SUM('- 23 -'!D21,'- 23 -'!B21)</f>
        <v>0</v>
      </c>
      <c r="I21" s="274">
        <f>H21/'- 3 -'!D21*100</f>
        <v>0</v>
      </c>
    </row>
    <row r="22" spans="1:9" ht="14.1" customHeight="1">
      <c r="A22" s="16" t="s">
        <v>119</v>
      </c>
      <c r="B22" s="17">
        <f>SUM('- 18 -'!B22,'- 18 -'!E22,'- 19 -'!B22,'- 19 -'!E22,'- 19 -'!H22,'- 20 -'!B22)</f>
        <v>10029256</v>
      </c>
      <c r="C22" s="268">
        <f>B22/'- 3 -'!D22*100</f>
        <v>48.614794855795054</v>
      </c>
      <c r="D22" s="17">
        <f>B22/'- 7 -'!C22</f>
        <v>6395.3934447136844</v>
      </c>
      <c r="E22" s="17">
        <f>SUM('- 21 -'!B22,'- 21 -'!E22,'- 21 -'!H22,'- 22 -'!B22,'- 22 -'!E22,'- 22 -'!H22)</f>
        <v>5022860</v>
      </c>
      <c r="F22" s="268">
        <f>E22/'- 3 -'!D22*100</f>
        <v>24.347300386925884</v>
      </c>
      <c r="G22" s="17">
        <f>E22/'- 7 -'!F22</f>
        <v>3202.9460527993879</v>
      </c>
      <c r="H22" s="17">
        <f>SUM('- 23 -'!D22,'- 23 -'!B22)</f>
        <v>608075</v>
      </c>
      <c r="I22" s="268">
        <f>H22/'- 3 -'!D22*100</f>
        <v>2.9475208711331708</v>
      </c>
    </row>
    <row r="23" spans="1:9" ht="14.1" customHeight="1">
      <c r="A23" s="272" t="s">
        <v>120</v>
      </c>
      <c r="B23" s="273">
        <f>SUM('- 18 -'!B23,'- 18 -'!E23,'- 19 -'!B23,'- 19 -'!E23,'- 19 -'!H23,'- 20 -'!B23)</f>
        <v>8804949</v>
      </c>
      <c r="C23" s="274">
        <f>B23/'- 3 -'!D23*100</f>
        <v>53.362683686421001</v>
      </c>
      <c r="D23" s="273">
        <f>B23/'- 7 -'!C23</f>
        <v>7903.9039497307003</v>
      </c>
      <c r="E23" s="273">
        <f>SUM('- 21 -'!B23,'- 21 -'!E23,'- 21 -'!H23,'- 22 -'!B23,'- 22 -'!E23,'- 22 -'!H23)</f>
        <v>2790550</v>
      </c>
      <c r="F23" s="274">
        <f>E23/'- 3 -'!D23*100</f>
        <v>16.912220270797945</v>
      </c>
      <c r="G23" s="273">
        <f>E23/'- 7 -'!F23</f>
        <v>2504.9820466786355</v>
      </c>
      <c r="H23" s="273">
        <f>SUM('- 23 -'!D23,'- 23 -'!B23)</f>
        <v>230000</v>
      </c>
      <c r="I23" s="274">
        <f>H23/'- 3 -'!D23*100</f>
        <v>1.3939225823882488</v>
      </c>
    </row>
    <row r="24" spans="1:9" ht="14.1" customHeight="1">
      <c r="A24" s="16" t="s">
        <v>121</v>
      </c>
      <c r="B24" s="17">
        <f>SUM('- 18 -'!B24,'- 18 -'!E24,'- 19 -'!B24,'- 19 -'!E24,'- 19 -'!H24,'- 20 -'!B24)</f>
        <v>32348540</v>
      </c>
      <c r="C24" s="268">
        <f>B24/'- 3 -'!D24*100</f>
        <v>57.861035845143284</v>
      </c>
      <c r="D24" s="17">
        <f>B24/'- 7 -'!C24</f>
        <v>8136.9739655389258</v>
      </c>
      <c r="E24" s="17">
        <f>SUM('- 21 -'!B24,'- 21 -'!E24,'- 21 -'!H24,'- 22 -'!B24,'- 22 -'!E24,'- 22 -'!H24)</f>
        <v>9377870</v>
      </c>
      <c r="F24" s="268">
        <f>E24/'- 3 -'!D24*100</f>
        <v>16.773964828740148</v>
      </c>
      <c r="G24" s="17">
        <f>E24/'- 7 -'!F24</f>
        <v>2358.9158596402967</v>
      </c>
      <c r="H24" s="17">
        <f>SUM('- 23 -'!D24,'- 23 -'!B24)</f>
        <v>332245</v>
      </c>
      <c r="I24" s="268">
        <f>H24/'- 3 -'!D24*100</f>
        <v>0.59427843897652355</v>
      </c>
    </row>
    <row r="25" spans="1:9" ht="14.1" customHeight="1">
      <c r="A25" s="272" t="s">
        <v>122</v>
      </c>
      <c r="B25" s="273">
        <f>SUM('- 18 -'!B25,'- 18 -'!E25,'- 19 -'!B25,'- 19 -'!E25,'- 19 -'!H25,'- 20 -'!B25)</f>
        <v>96984986</v>
      </c>
      <c r="C25" s="274">
        <f>B25/'- 3 -'!D25*100</f>
        <v>58.025387607969961</v>
      </c>
      <c r="D25" s="273">
        <f>B25/'- 7 -'!C25</f>
        <v>6934.6813485395587</v>
      </c>
      <c r="E25" s="273">
        <f>SUM('- 21 -'!B25,'- 21 -'!E25,'- 21 -'!H25,'- 22 -'!B25,'- 22 -'!E25,'- 22 -'!H25)</f>
        <v>31598139</v>
      </c>
      <c r="F25" s="274">
        <f>E25/'- 3 -'!D25*100</f>
        <v>18.904928884203915</v>
      </c>
      <c r="G25" s="273">
        <f>E25/'- 7 -'!F25</f>
        <v>2259.3499696113831</v>
      </c>
      <c r="H25" s="273">
        <f>SUM('- 23 -'!D25,'- 23 -'!B25)</f>
        <v>0</v>
      </c>
      <c r="I25" s="274">
        <f>H25/'- 3 -'!D25*100</f>
        <v>0</v>
      </c>
    </row>
    <row r="26" spans="1:9" ht="14.1" customHeight="1">
      <c r="A26" s="16" t="s">
        <v>123</v>
      </c>
      <c r="B26" s="17">
        <f>SUM('- 18 -'!B26,'- 18 -'!E26,'- 19 -'!B26,'- 19 -'!E26,'- 19 -'!H26,'- 20 -'!B26)</f>
        <v>22629434</v>
      </c>
      <c r="C26" s="268">
        <f>B26/'- 3 -'!D26*100</f>
        <v>56.733757161562451</v>
      </c>
      <c r="D26" s="17">
        <f>B26/'- 7 -'!C26</f>
        <v>7282.1991954947707</v>
      </c>
      <c r="E26" s="17">
        <f>SUM('- 21 -'!B26,'- 21 -'!E26,'- 21 -'!H26,'- 22 -'!B26,'- 22 -'!E26,'- 22 -'!H26)</f>
        <v>5602459</v>
      </c>
      <c r="F26" s="268">
        <f>E26/'- 3 -'!D26*100</f>
        <v>14.045801959236364</v>
      </c>
      <c r="G26" s="17">
        <f>E26/'- 7 -'!F26</f>
        <v>1802.8830249396622</v>
      </c>
      <c r="H26" s="17">
        <f>SUM('- 23 -'!D26,'- 23 -'!B26)</f>
        <v>0</v>
      </c>
      <c r="I26" s="268">
        <f>H26/'- 3 -'!D26*100</f>
        <v>0</v>
      </c>
    </row>
    <row r="27" spans="1:9" ht="14.1" customHeight="1">
      <c r="A27" s="272" t="s">
        <v>124</v>
      </c>
      <c r="B27" s="273">
        <f>SUM('- 18 -'!B27,'- 18 -'!E27,'- 19 -'!B27,'- 19 -'!E27,'- 19 -'!H27,'- 20 -'!B27)</f>
        <v>23993719</v>
      </c>
      <c r="C27" s="274">
        <f>B27/'- 3 -'!D27*100</f>
        <v>55.902560839771887</v>
      </c>
      <c r="D27" s="273">
        <f>B27/'- 7 -'!C27</f>
        <v>8388.3647396678734</v>
      </c>
      <c r="E27" s="273">
        <f>SUM('- 21 -'!B27,'- 21 -'!E27,'- 21 -'!H27,'- 22 -'!B27,'- 22 -'!E27,'- 22 -'!H27)</f>
        <v>8689553</v>
      </c>
      <c r="F27" s="274">
        <f>E27/'- 3 -'!D27*100</f>
        <v>20.245642838983084</v>
      </c>
      <c r="G27" s="273">
        <f>E27/'- 7 -'!F27</f>
        <v>3037.9258833811964</v>
      </c>
      <c r="H27" s="273">
        <f>SUM('- 23 -'!D27,'- 23 -'!B27)</f>
        <v>0</v>
      </c>
      <c r="I27" s="274">
        <f>H27/'- 3 -'!D27*100</f>
        <v>0</v>
      </c>
    </row>
    <row r="28" spans="1:9" ht="14.1" customHeight="1">
      <c r="A28" s="16" t="s">
        <v>125</v>
      </c>
      <c r="B28" s="17">
        <f>SUM('- 18 -'!B28,'- 18 -'!E28,'- 19 -'!B28,'- 19 -'!E28,'- 19 -'!H28,'- 20 -'!B28)</f>
        <v>16332280</v>
      </c>
      <c r="C28" s="268">
        <f>B28/'- 3 -'!D28*100</f>
        <v>58.311548994821379</v>
      </c>
      <c r="D28" s="17">
        <f>B28/'- 7 -'!C28</f>
        <v>8288.3938086779999</v>
      </c>
      <c r="E28" s="17">
        <f>SUM('- 21 -'!B28,'- 21 -'!E28,'- 21 -'!H28,'- 22 -'!B28,'- 22 -'!E28,'- 22 -'!H28)</f>
        <v>3783172</v>
      </c>
      <c r="F28" s="268">
        <f>E28/'- 3 -'!D28*100</f>
        <v>13.507153896077975</v>
      </c>
      <c r="G28" s="17">
        <f>E28/'- 7 -'!F28</f>
        <v>1919.9045927429586</v>
      </c>
      <c r="H28" s="17">
        <f>SUM('- 23 -'!D28,'- 23 -'!B28)</f>
        <v>118634</v>
      </c>
      <c r="I28" s="268">
        <f>H28/'- 3 -'!D28*100</f>
        <v>0.42356194624704208</v>
      </c>
    </row>
    <row r="29" spans="1:9" ht="14.1" customHeight="1">
      <c r="A29" s="272" t="s">
        <v>126</v>
      </c>
      <c r="B29" s="273">
        <f>SUM('- 18 -'!B29,'- 18 -'!E29,'- 19 -'!B29,'- 19 -'!E29,'- 19 -'!H29,'- 20 -'!B29)</f>
        <v>87282100</v>
      </c>
      <c r="C29" s="274">
        <f>B29/'- 3 -'!D29*100</f>
        <v>56.376496281827649</v>
      </c>
      <c r="D29" s="273">
        <f>B29/'- 7 -'!C29</f>
        <v>7070.8117303953341</v>
      </c>
      <c r="E29" s="273">
        <f>SUM('- 21 -'!B29,'- 21 -'!E29,'- 21 -'!H29,'- 22 -'!B29,'- 22 -'!E29,'- 22 -'!H29)</f>
        <v>28757442</v>
      </c>
      <c r="F29" s="274">
        <f>E29/'- 3 -'!D29*100</f>
        <v>18.574757275407833</v>
      </c>
      <c r="G29" s="273">
        <f>E29/'- 7 -'!F29</f>
        <v>2329.6696370706418</v>
      </c>
      <c r="H29" s="273">
        <f>SUM('- 23 -'!D29,'- 23 -'!B29)</f>
        <v>0</v>
      </c>
      <c r="I29" s="274">
        <f>H29/'- 3 -'!D29*100</f>
        <v>0</v>
      </c>
    </row>
    <row r="30" spans="1:9" ht="14.1" customHeight="1">
      <c r="A30" s="16" t="s">
        <v>127</v>
      </c>
      <c r="B30" s="17">
        <f>SUM('- 18 -'!B30,'- 18 -'!E30,'- 19 -'!B30,'- 19 -'!E30,'- 19 -'!H30,'- 20 -'!B30)</f>
        <v>8567002</v>
      </c>
      <c r="C30" s="268">
        <f>B30/'- 3 -'!D30*100</f>
        <v>61.225920305696434</v>
      </c>
      <c r="D30" s="17">
        <f>B30/'- 7 -'!C30</f>
        <v>8349.9044834307988</v>
      </c>
      <c r="E30" s="17">
        <f>SUM('- 21 -'!B30,'- 21 -'!E30,'- 21 -'!H30,'- 22 -'!B30,'- 22 -'!E30,'- 22 -'!H30)</f>
        <v>1516973</v>
      </c>
      <c r="F30" s="268">
        <f>E30/'- 3 -'!D30*100</f>
        <v>10.8413734470814</v>
      </c>
      <c r="G30" s="17">
        <f>E30/'- 7 -'!F30</f>
        <v>1478.5311890838207</v>
      </c>
      <c r="H30" s="17">
        <f>SUM('- 23 -'!D30,'- 23 -'!B30)</f>
        <v>0</v>
      </c>
      <c r="I30" s="268">
        <f>H30/'- 3 -'!D30*100</f>
        <v>0</v>
      </c>
    </row>
    <row r="31" spans="1:9" ht="14.1" customHeight="1">
      <c r="A31" s="272" t="s">
        <v>128</v>
      </c>
      <c r="B31" s="273">
        <f>SUM('- 18 -'!B31,'- 18 -'!E31,'- 19 -'!B31,'- 19 -'!E31,'- 19 -'!H31,'- 20 -'!B31)</f>
        <v>20796435</v>
      </c>
      <c r="C31" s="274">
        <f>B31/'- 3 -'!D31*100</f>
        <v>57.433574900406782</v>
      </c>
      <c r="D31" s="273">
        <f>B31/'- 7 -'!C31</f>
        <v>6515.1738721804513</v>
      </c>
      <c r="E31" s="273">
        <f>SUM('- 21 -'!B31,'- 21 -'!E31,'- 21 -'!H31,'- 22 -'!B31,'- 22 -'!E31,'- 22 -'!H31)</f>
        <v>7057050</v>
      </c>
      <c r="F31" s="274">
        <f>E31/'- 3 -'!D31*100</f>
        <v>19.489475467834545</v>
      </c>
      <c r="G31" s="273">
        <f>E31/'- 7 -'!F31</f>
        <v>2210.8552631578946</v>
      </c>
      <c r="H31" s="273">
        <f>SUM('- 23 -'!D31,'- 23 -'!B31)</f>
        <v>0</v>
      </c>
      <c r="I31" s="274">
        <f>H31/'- 3 -'!D31*100</f>
        <v>0</v>
      </c>
    </row>
    <row r="32" spans="1:9" ht="14.1" customHeight="1">
      <c r="A32" s="16" t="s">
        <v>129</v>
      </c>
      <c r="B32" s="17">
        <f>SUM('- 18 -'!B32,'- 18 -'!E32,'- 19 -'!B32,'- 19 -'!E32,'- 19 -'!H32,'- 20 -'!B32)</f>
        <v>16587183</v>
      </c>
      <c r="C32" s="268">
        <f>B32/'- 3 -'!D32*100</f>
        <v>57.681283873079344</v>
      </c>
      <c r="D32" s="17">
        <f>B32/'- 7 -'!C32</f>
        <v>7831.716046176728</v>
      </c>
      <c r="E32" s="17">
        <f>SUM('- 21 -'!B32,'- 21 -'!E32,'- 21 -'!H32,'- 22 -'!B32,'- 22 -'!E32,'- 22 -'!H32)</f>
        <v>3962841</v>
      </c>
      <c r="F32" s="268">
        <f>E32/'- 3 -'!D32*100</f>
        <v>13.780625478411713</v>
      </c>
      <c r="G32" s="17">
        <f>E32/'- 7 -'!F32</f>
        <v>1871.073915814821</v>
      </c>
      <c r="H32" s="17">
        <f>SUM('- 23 -'!D32,'- 23 -'!B32)</f>
        <v>265450</v>
      </c>
      <c r="I32" s="268">
        <f>H32/'- 3 -'!D32*100</f>
        <v>0.92309205270773909</v>
      </c>
    </row>
    <row r="33" spans="1:10" ht="14.1" customHeight="1">
      <c r="A33" s="272" t="s">
        <v>130</v>
      </c>
      <c r="B33" s="273">
        <f>SUM('- 18 -'!B33,'- 18 -'!E33,'- 19 -'!B33,'- 19 -'!E33,'- 19 -'!H33,'- 20 -'!B33)</f>
        <v>15784600</v>
      </c>
      <c r="C33" s="274">
        <f>B33/'- 3 -'!D33*100</f>
        <v>57.874590266116201</v>
      </c>
      <c r="D33" s="273">
        <f>B33/'- 7 -'!C33</f>
        <v>7982.0986093552465</v>
      </c>
      <c r="E33" s="273">
        <f>SUM('- 21 -'!B33,'- 21 -'!E33,'- 21 -'!H33,'- 22 -'!B33,'- 22 -'!E33,'- 22 -'!H33)</f>
        <v>3683200</v>
      </c>
      <c r="F33" s="274">
        <f>E33/'- 3 -'!D33*100</f>
        <v>13.504535488270793</v>
      </c>
      <c r="G33" s="273">
        <f>E33/'- 7 -'!F33</f>
        <v>1862.5537294563844</v>
      </c>
      <c r="H33" s="273">
        <f>SUM('- 23 -'!D33,'- 23 -'!B33)</f>
        <v>0</v>
      </c>
      <c r="I33" s="274">
        <f>H33/'- 3 -'!D33*100</f>
        <v>0</v>
      </c>
    </row>
    <row r="34" spans="1:10" ht="14.1" customHeight="1">
      <c r="A34" s="16" t="s">
        <v>131</v>
      </c>
      <c r="B34" s="17">
        <f>SUM('- 18 -'!B34,'- 18 -'!E34,'- 19 -'!B34,'- 19 -'!E34,'- 19 -'!H34,'- 20 -'!B34)</f>
        <v>15588628</v>
      </c>
      <c r="C34" s="268">
        <f>B34/'- 3 -'!D34*100</f>
        <v>56.338715762498872</v>
      </c>
      <c r="D34" s="17">
        <f>B34/'- 7 -'!C34</f>
        <v>7893.7755722098445</v>
      </c>
      <c r="E34" s="17">
        <f>SUM('- 21 -'!B34,'- 21 -'!E34,'- 21 -'!H34,'- 22 -'!B34,'- 22 -'!E34,'- 22 -'!H34)</f>
        <v>4212507</v>
      </c>
      <c r="F34" s="268">
        <f>E34/'- 3 -'!D34*100</f>
        <v>15.224382448573207</v>
      </c>
      <c r="G34" s="17">
        <f>E34/'- 7 -'!F34</f>
        <v>2133.1309499696172</v>
      </c>
      <c r="H34" s="17">
        <f>SUM('- 23 -'!D34,'- 23 -'!B34)</f>
        <v>0</v>
      </c>
      <c r="I34" s="268">
        <f>H34/'- 3 -'!D34*100</f>
        <v>0</v>
      </c>
    </row>
    <row r="35" spans="1:10" ht="14.1" customHeight="1">
      <c r="A35" s="272" t="s">
        <v>132</v>
      </c>
      <c r="B35" s="273">
        <f>SUM('- 18 -'!B35,'- 18 -'!E35,'- 19 -'!B35,'- 19 -'!E35,'- 19 -'!H35,'- 20 -'!B35)</f>
        <v>101088935</v>
      </c>
      <c r="C35" s="274">
        <f>B35/'- 3 -'!D35*100</f>
        <v>57.375290124568181</v>
      </c>
      <c r="D35" s="273">
        <f>B35/'- 7 -'!C35</f>
        <v>6471.3485052173355</v>
      </c>
      <c r="E35" s="273">
        <f>SUM('- 21 -'!B35,'- 21 -'!E35,'- 21 -'!H35,'- 22 -'!B35,'- 22 -'!E35,'- 22 -'!H35)</f>
        <v>33848882</v>
      </c>
      <c r="F35" s="274">
        <f>E35/'- 3 -'!D35*100</f>
        <v>19.211691419464195</v>
      </c>
      <c r="G35" s="273">
        <f>E35/'- 7 -'!F35</f>
        <v>2166.8831700915434</v>
      </c>
      <c r="H35" s="273">
        <f>SUM('- 23 -'!D35,'- 23 -'!B35)</f>
        <v>0</v>
      </c>
      <c r="I35" s="274">
        <f>H35/'- 3 -'!D35*100</f>
        <v>0</v>
      </c>
    </row>
    <row r="36" spans="1:10" ht="14.1" customHeight="1">
      <c r="A36" s="16" t="s">
        <v>133</v>
      </c>
      <c r="B36" s="17">
        <f>SUM('- 18 -'!B36,'- 18 -'!E36,'- 19 -'!B36,'- 19 -'!E36,'- 19 -'!H36,'- 20 -'!B36)</f>
        <v>13303115</v>
      </c>
      <c r="C36" s="268">
        <f>B36/'- 3 -'!D36*100</f>
        <v>57.833143064821421</v>
      </c>
      <c r="D36" s="17">
        <f>B36/'- 7 -'!C36</f>
        <v>7930.3219076005962</v>
      </c>
      <c r="E36" s="17">
        <f>SUM('- 21 -'!B36,'- 21 -'!E36,'- 21 -'!H36,'- 22 -'!B36,'- 22 -'!E36,'- 22 -'!H36)</f>
        <v>3126550</v>
      </c>
      <c r="F36" s="268">
        <f>E36/'- 3 -'!D36*100</f>
        <v>13.592170965169995</v>
      </c>
      <c r="G36" s="17">
        <f>E36/'- 7 -'!F36</f>
        <v>1863.8152011922505</v>
      </c>
      <c r="H36" s="17">
        <f>SUM('- 23 -'!D36,'- 23 -'!B36)</f>
        <v>0</v>
      </c>
      <c r="I36" s="268">
        <f>H36/'- 3 -'!D36*100</f>
        <v>0</v>
      </c>
    </row>
    <row r="37" spans="1:10" ht="14.1" customHeight="1">
      <c r="A37" s="272" t="s">
        <v>134</v>
      </c>
      <c r="B37" s="273">
        <f>SUM('- 18 -'!B37,'- 18 -'!E37,'- 19 -'!B37,'- 19 -'!E37,'- 19 -'!H37,'- 20 -'!B37)</f>
        <v>26849069</v>
      </c>
      <c r="C37" s="274">
        <f>B37/'- 3 -'!D37*100</f>
        <v>57.404149918754811</v>
      </c>
      <c r="D37" s="273">
        <f>B37/'- 7 -'!C37</f>
        <v>6799.8148664049641</v>
      </c>
      <c r="E37" s="273">
        <f>SUM('- 21 -'!B37,'- 21 -'!E37,'- 21 -'!H37,'- 22 -'!B37,'- 22 -'!E37,'- 22 -'!H37)</f>
        <v>7847302</v>
      </c>
      <c r="F37" s="274">
        <f>E37/'- 3 -'!D37*100</f>
        <v>16.777777302659711</v>
      </c>
      <c r="G37" s="273">
        <f>E37/'- 7 -'!F37</f>
        <v>1987.4134481448652</v>
      </c>
      <c r="H37" s="273">
        <f>SUM('- 23 -'!D37,'- 23 -'!B37)</f>
        <v>0</v>
      </c>
      <c r="I37" s="274">
        <f>H37/'- 3 -'!D37*100</f>
        <v>0</v>
      </c>
    </row>
    <row r="38" spans="1:10" ht="14.1" customHeight="1">
      <c r="A38" s="16" t="s">
        <v>135</v>
      </c>
      <c r="B38" s="17">
        <f>SUM('- 18 -'!B38,'- 18 -'!E38,'- 19 -'!B38,'- 19 -'!E38,'- 19 -'!H38,'- 20 -'!B38)</f>
        <v>76434925</v>
      </c>
      <c r="C38" s="268">
        <f>B38/'- 3 -'!D38*100</f>
        <v>59.176948524783846</v>
      </c>
      <c r="D38" s="17">
        <f>B38/'- 7 -'!C38</f>
        <v>7106.9200371920033</v>
      </c>
      <c r="E38" s="17">
        <f>SUM('- 21 -'!B38,'- 21 -'!E38,'- 21 -'!H38,'- 22 -'!B38,'- 22 -'!E38,'- 22 -'!H38)</f>
        <v>22012120</v>
      </c>
      <c r="F38" s="268">
        <f>E38/'- 3 -'!D38*100</f>
        <v>17.04207981052333</v>
      </c>
      <c r="G38" s="17">
        <f>E38/'- 7 -'!F38</f>
        <v>2046.6871222687123</v>
      </c>
      <c r="H38" s="17">
        <f>SUM('- 23 -'!D38,'- 23 -'!B38)</f>
        <v>809020</v>
      </c>
      <c r="I38" s="268">
        <f>H38/'- 3 -'!D38*100</f>
        <v>0.62635418161947076</v>
      </c>
    </row>
    <row r="39" spans="1:10" ht="14.1" customHeight="1">
      <c r="A39" s="272" t="s">
        <v>136</v>
      </c>
      <c r="B39" s="273">
        <f>SUM('- 18 -'!B39,'- 18 -'!E39,'- 19 -'!B39,'- 19 -'!E39,'- 19 -'!H39,'- 20 -'!B39)</f>
        <v>12383915</v>
      </c>
      <c r="C39" s="274">
        <f>B39/'- 3 -'!D39*100</f>
        <v>56.468063452226843</v>
      </c>
      <c r="D39" s="273">
        <f>B39/'- 7 -'!C39</f>
        <v>7969.0572715572716</v>
      </c>
      <c r="E39" s="273">
        <f>SUM('- 21 -'!B39,'- 21 -'!E39,'- 21 -'!H39,'- 22 -'!B39,'- 22 -'!E39,'- 22 -'!H39)</f>
        <v>2870850</v>
      </c>
      <c r="F39" s="274">
        <f>E39/'- 3 -'!D39*100</f>
        <v>13.090475827864246</v>
      </c>
      <c r="G39" s="273">
        <f>E39/'- 7 -'!F39</f>
        <v>1847.3938223938223</v>
      </c>
      <c r="H39" s="273">
        <f>SUM('- 23 -'!D39,'- 23 -'!B39)</f>
        <v>0</v>
      </c>
      <c r="I39" s="274">
        <f>H39/'- 3 -'!D39*100</f>
        <v>0</v>
      </c>
    </row>
    <row r="40" spans="1:10" ht="14.1" customHeight="1">
      <c r="A40" s="16" t="s">
        <v>137</v>
      </c>
      <c r="B40" s="17">
        <f>SUM('- 18 -'!B40,'- 18 -'!E40,'- 19 -'!B40,'- 19 -'!E40,'- 19 -'!H40,'- 20 -'!B40)</f>
        <v>57689386</v>
      </c>
      <c r="C40" s="268">
        <f>B40/'- 3 -'!D40*100</f>
        <v>56.525732572570597</v>
      </c>
      <c r="D40" s="17">
        <f>B40/'- 7 -'!C40</f>
        <v>7354.2501873957854</v>
      </c>
      <c r="E40" s="17">
        <f>SUM('- 21 -'!B40,'- 21 -'!E40,'- 21 -'!H40,'- 22 -'!B40,'- 22 -'!E40,'- 22 -'!H40)</f>
        <v>21174985</v>
      </c>
      <c r="F40" s="268">
        <f>E40/'- 3 -'!D40*100</f>
        <v>20.747864075693119</v>
      </c>
      <c r="G40" s="17">
        <f>E40/'- 7 -'!F40</f>
        <v>2699.389752637564</v>
      </c>
      <c r="H40" s="17">
        <f>SUM('- 23 -'!D40,'- 23 -'!B40)</f>
        <v>0</v>
      </c>
      <c r="I40" s="268">
        <f>H40/'- 3 -'!D40*100</f>
        <v>0</v>
      </c>
    </row>
    <row r="41" spans="1:10" ht="14.1" customHeight="1">
      <c r="A41" s="272" t="s">
        <v>138</v>
      </c>
      <c r="B41" s="273">
        <f>SUM('- 18 -'!B41,'- 18 -'!E41,'- 19 -'!B41,'- 19 -'!E41,'- 19 -'!H41,'- 20 -'!B41)</f>
        <v>33135782</v>
      </c>
      <c r="C41" s="274">
        <f>B41/'- 3 -'!D41*100</f>
        <v>53.233828559854167</v>
      </c>
      <c r="D41" s="273">
        <f>B41/'- 7 -'!C41</f>
        <v>7607.8020893123639</v>
      </c>
      <c r="E41" s="273">
        <f>SUM('- 21 -'!B41,'- 21 -'!E41,'- 21 -'!H41,'- 22 -'!B41,'- 22 -'!E41,'- 22 -'!H41)</f>
        <v>11805924</v>
      </c>
      <c r="F41" s="274">
        <f>E41/'- 3 -'!D41*100</f>
        <v>18.966642592188339</v>
      </c>
      <c r="G41" s="273">
        <f>E41/'- 7 -'!F41</f>
        <v>2710.5783492136379</v>
      </c>
      <c r="H41" s="273">
        <f>SUM('- 23 -'!D41,'- 23 -'!B41)</f>
        <v>987239</v>
      </c>
      <c r="I41" s="274">
        <f>H41/'- 3 -'!D41*100</f>
        <v>1.5860350503755085</v>
      </c>
    </row>
    <row r="42" spans="1:10" ht="14.1" customHeight="1">
      <c r="A42" s="16" t="s">
        <v>139</v>
      </c>
      <c r="B42" s="17">
        <f>SUM('- 18 -'!B42,'- 18 -'!E42,'- 19 -'!B42,'- 19 -'!E42,'- 19 -'!H42,'- 20 -'!B42)</f>
        <v>11167031</v>
      </c>
      <c r="C42" s="268">
        <f>B42/'- 3 -'!D42*100</f>
        <v>54.172750391462166</v>
      </c>
      <c r="D42" s="17">
        <f>B42/'- 7 -'!C42</f>
        <v>8133.3073561544061</v>
      </c>
      <c r="E42" s="17">
        <f>SUM('- 21 -'!B42,'- 21 -'!E42,'- 21 -'!H42,'- 22 -'!B42,'- 22 -'!E42,'- 22 -'!H42)</f>
        <v>3402109</v>
      </c>
      <c r="F42" s="268">
        <f>E42/'- 3 -'!D42*100</f>
        <v>16.504082567832661</v>
      </c>
      <c r="G42" s="17">
        <f>E42/'- 7 -'!F42</f>
        <v>2477.8652585579025</v>
      </c>
      <c r="H42" s="17">
        <f>SUM('- 23 -'!D42,'- 23 -'!B42)</f>
        <v>0</v>
      </c>
      <c r="I42" s="268">
        <f>H42/'- 3 -'!D42*100</f>
        <v>0</v>
      </c>
    </row>
    <row r="43" spans="1:10" ht="14.1" customHeight="1">
      <c r="A43" s="272" t="s">
        <v>140</v>
      </c>
      <c r="B43" s="273">
        <f>SUM('- 18 -'!B43,'- 18 -'!E43,'- 19 -'!B43,'- 19 -'!E43,'- 19 -'!H43,'- 20 -'!B43)</f>
        <v>6753918</v>
      </c>
      <c r="C43" s="274">
        <f>B43/'- 3 -'!D43*100</f>
        <v>52.623812774760957</v>
      </c>
      <c r="D43" s="273">
        <f>B43/'- 7 -'!C43</f>
        <v>7208.0234791889006</v>
      </c>
      <c r="E43" s="273">
        <f>SUM('- 21 -'!B43,'- 21 -'!E43,'- 21 -'!H43,'- 22 -'!B43,'- 22 -'!E43,'- 22 -'!H43)</f>
        <v>2322327</v>
      </c>
      <c r="F43" s="274">
        <f>E43/'- 3 -'!D43*100</f>
        <v>18.094637993794461</v>
      </c>
      <c r="G43" s="273">
        <f>E43/'- 7 -'!F43</f>
        <v>2478.470651013874</v>
      </c>
      <c r="H43" s="273">
        <f>SUM('- 23 -'!D43,'- 23 -'!B43)</f>
        <v>205393</v>
      </c>
      <c r="I43" s="274">
        <f>H43/'- 3 -'!D43*100</f>
        <v>1.6003396513322308</v>
      </c>
    </row>
    <row r="44" spans="1:10" ht="14.1" customHeight="1">
      <c r="A44" s="16" t="s">
        <v>141</v>
      </c>
      <c r="B44" s="17">
        <f>SUM('- 18 -'!B44,'- 18 -'!E44,'- 19 -'!B44,'- 19 -'!E44,'- 19 -'!H44,'- 20 -'!B44)</f>
        <v>6025613</v>
      </c>
      <c r="C44" s="268">
        <f>B44/'- 3 -'!D44*100</f>
        <v>54.892401341515793</v>
      </c>
      <c r="D44" s="17">
        <f>B44/'- 7 -'!C44</f>
        <v>8486.7788732394365</v>
      </c>
      <c r="E44" s="17">
        <f>SUM('- 21 -'!B44,'- 21 -'!E44,'- 21 -'!H44,'- 22 -'!B44,'- 22 -'!E44,'- 22 -'!H44)</f>
        <v>1763767</v>
      </c>
      <c r="F44" s="268">
        <f>E44/'- 3 -'!D44*100</f>
        <v>16.067644244149314</v>
      </c>
      <c r="G44" s="17">
        <f>E44/'- 7 -'!F44</f>
        <v>2484.1788732394366</v>
      </c>
      <c r="H44" s="17">
        <f>SUM('- 23 -'!D44,'- 23 -'!B44)</f>
        <v>0</v>
      </c>
      <c r="I44" s="268">
        <f>H44/'- 3 -'!D44*100</f>
        <v>0</v>
      </c>
    </row>
    <row r="45" spans="1:10" ht="14.1" customHeight="1">
      <c r="A45" s="272" t="s">
        <v>142</v>
      </c>
      <c r="B45" s="273">
        <f>SUM('- 18 -'!B45,'- 18 -'!E45,'- 19 -'!B45,'- 19 -'!E45,'- 19 -'!H45,'- 20 -'!B45)</f>
        <v>10947316</v>
      </c>
      <c r="C45" s="274">
        <f>B45/'- 3 -'!D45*100</f>
        <v>59.778684913446547</v>
      </c>
      <c r="D45" s="273">
        <f>B45/'- 7 -'!C45</f>
        <v>6496.9234421364981</v>
      </c>
      <c r="E45" s="273">
        <f>SUM('- 21 -'!B45,'- 21 -'!E45,'- 21 -'!H45,'- 22 -'!B45,'- 22 -'!E45,'- 22 -'!H45)</f>
        <v>2729924</v>
      </c>
      <c r="F45" s="274">
        <f>E45/'- 3 -'!D45*100</f>
        <v>14.906965929699631</v>
      </c>
      <c r="G45" s="273">
        <f>E45/'- 7 -'!F45</f>
        <v>1620.1329376854599</v>
      </c>
      <c r="H45" s="273">
        <f>SUM('- 23 -'!D45,'- 23 -'!B45)</f>
        <v>388900</v>
      </c>
      <c r="I45" s="274">
        <f>H45/'- 3 -'!D45*100</f>
        <v>2.1236192106667389</v>
      </c>
    </row>
    <row r="46" spans="1:10" ht="14.1" customHeight="1">
      <c r="A46" s="16" t="s">
        <v>143</v>
      </c>
      <c r="B46" s="17">
        <f>SUM('- 18 -'!B46,'- 18 -'!E46,'- 19 -'!B46,'- 19 -'!E46,'- 19 -'!H46,'- 20 -'!B46)</f>
        <v>200415600</v>
      </c>
      <c r="C46" s="268">
        <f>B46/'- 3 -'!D46*100</f>
        <v>52.333230189536515</v>
      </c>
      <c r="D46" s="17">
        <f>B46/'- 7 -'!C46</f>
        <v>6632.7640984908658</v>
      </c>
      <c r="E46" s="17">
        <f>SUM('- 21 -'!B46,'- 21 -'!E46,'- 21 -'!H46,'- 22 -'!B46,'- 22 -'!E46,'- 22 -'!H46)</f>
        <v>90863100</v>
      </c>
      <c r="F46" s="268">
        <f>E46/'- 3 -'!D46*100</f>
        <v>23.72649398567215</v>
      </c>
      <c r="G46" s="17">
        <f>E46/'- 7 -'!F46</f>
        <v>3007.1187450357424</v>
      </c>
      <c r="H46" s="17">
        <f>SUM('- 23 -'!D46,'- 23 -'!B46)</f>
        <v>756700</v>
      </c>
      <c r="I46" s="268">
        <f>H46/'- 3 -'!D46*100</f>
        <v>0.19759217987233674</v>
      </c>
    </row>
    <row r="47" spans="1:10" ht="5.0999999999999996" customHeight="1">
      <c r="A47"/>
      <c r="B47"/>
      <c r="C47"/>
      <c r="D47"/>
      <c r="E47"/>
      <c r="F47"/>
      <c r="G47"/>
      <c r="H47"/>
      <c r="I47"/>
      <c r="J47"/>
    </row>
    <row r="48" spans="1:10" ht="14.1" customHeight="1">
      <c r="A48" s="275" t="s">
        <v>144</v>
      </c>
      <c r="B48" s="276">
        <f>SUM(B11:B46)</f>
        <v>1239603273</v>
      </c>
      <c r="C48" s="277">
        <f>B48/'- 3 -'!D48*100</f>
        <v>55.535403973855715</v>
      </c>
      <c r="D48" s="276">
        <f>B48/'- 7 -'!C48</f>
        <v>7142.6797977747501</v>
      </c>
      <c r="E48" s="276">
        <f>SUM(E11:E46)</f>
        <v>410448667</v>
      </c>
      <c r="F48" s="277">
        <f>E48/'- 3 -'!D48*100</f>
        <v>18.388490115236717</v>
      </c>
      <c r="G48" s="276">
        <f>E48/'- 7 -'!F48</f>
        <v>2365.0336084619839</v>
      </c>
      <c r="H48" s="276">
        <f>SUM(H11:H46)</f>
        <v>7786737</v>
      </c>
      <c r="I48" s="277">
        <f>H48/'- 3 -'!D48*100</f>
        <v>0.34885321324346757</v>
      </c>
    </row>
    <row r="49" spans="1:9" ht="5.0999999999999996" customHeight="1">
      <c r="A49" s="18" t="s">
        <v>1</v>
      </c>
      <c r="B49" s="19"/>
      <c r="C49" s="267"/>
      <c r="D49" s="19"/>
      <c r="E49" s="19"/>
      <c r="F49" s="267"/>
      <c r="H49" s="19"/>
      <c r="I49" s="267"/>
    </row>
    <row r="50" spans="1:9" ht="14.1" customHeight="1">
      <c r="A50" s="16" t="s">
        <v>145</v>
      </c>
      <c r="B50" s="17">
        <f>SUM('- 18 -'!B50,'- 18 -'!E50,'- 19 -'!B50,'- 19 -'!E50,'- 19 -'!H50,'- 20 -'!B50)</f>
        <v>1906683.25</v>
      </c>
      <c r="C50" s="268">
        <f>B50/'- 3 -'!D50*100</f>
        <v>56.78735388397179</v>
      </c>
      <c r="D50" s="17">
        <f>B50/'- 7 -'!C50</f>
        <v>11769.649691358025</v>
      </c>
      <c r="E50" s="17">
        <f>SUM('- 21 -'!B50,'- 21 -'!E50,'- 21 -'!H50,'- 22 -'!B50,'- 22 -'!E50,'- 22 -'!H50)</f>
        <v>438024</v>
      </c>
      <c r="F50" s="268">
        <f>E50/'- 3 -'!D50*100</f>
        <v>13.045808158052921</v>
      </c>
      <c r="G50" s="17">
        <f>E50/'- 7 -'!F50</f>
        <v>2703.8518518518517</v>
      </c>
      <c r="H50" s="17">
        <f>SUM('- 23 -'!D50,'- 23 -'!B50)</f>
        <v>0</v>
      </c>
      <c r="I50" s="268">
        <f>H50/'- 3 -'!D50*100</f>
        <v>0</v>
      </c>
    </row>
    <row r="51" spans="1:9" ht="14.1" customHeight="1">
      <c r="A51" s="364" t="s">
        <v>540</v>
      </c>
      <c r="B51" s="273">
        <f>SUM('- 18 -'!B51,'- 18 -'!E51,'- 19 -'!B51,'- 19 -'!E51,'- 19 -'!H51,'- 20 -'!B51)</f>
        <v>6125376</v>
      </c>
      <c r="C51" s="274">
        <f>B51/'- 3 -'!D51*100</f>
        <v>24.182181199127267</v>
      </c>
      <c r="D51" s="273">
        <f>B51/'- 7 -'!C51</f>
        <v>8739.3008988443435</v>
      </c>
      <c r="E51" s="273">
        <f>SUM('- 21 -'!B51,'- 21 -'!E51,'- 21 -'!H51,'- 22 -'!B51,'- 22 -'!E51,'- 22 -'!H51)</f>
        <v>640315</v>
      </c>
      <c r="F51" s="274">
        <f>E51/'- 3 -'!D51*100</f>
        <v>2.5278796525338487</v>
      </c>
      <c r="G51" s="273">
        <f>E51/'- 7 -'!F51</f>
        <v>913.5611356826937</v>
      </c>
      <c r="H51" s="273">
        <f>SUM('- 23 -'!D51,'- 23 -'!B51)</f>
        <v>2788365</v>
      </c>
      <c r="I51" s="274">
        <f>H51/'- 3 -'!D51*100</f>
        <v>11.00809936880683</v>
      </c>
    </row>
    <row r="52" spans="1:9" ht="50.1" customHeight="1">
      <c r="A52"/>
      <c r="B52"/>
      <c r="C52"/>
      <c r="D52"/>
      <c r="E52"/>
      <c r="F52"/>
      <c r="G52"/>
      <c r="H52"/>
      <c r="I52"/>
    </row>
    <row r="53" spans="1:9" ht="15" customHeight="1">
      <c r="A53" s="434"/>
      <c r="B53" s="434"/>
      <c r="C53" s="434"/>
      <c r="D53" s="434"/>
      <c r="E53" s="434"/>
      <c r="F53" s="434"/>
      <c r="G53" s="434"/>
      <c r="H53" s="434"/>
      <c r="I53" s="434"/>
    </row>
    <row r="54" spans="1:9" ht="14.45" customHeight="1">
      <c r="B54" s="73"/>
      <c r="C54" s="73"/>
      <c r="E54" s="73"/>
      <c r="F54" s="73"/>
      <c r="H54" s="73"/>
      <c r="I54" s="73"/>
    </row>
    <row r="55" spans="1:9" ht="14.45" customHeight="1"/>
    <row r="56" spans="1:9" ht="14.45" customHeight="1"/>
    <row r="57" spans="1:9" ht="14.45" customHeight="1"/>
    <row r="58" spans="1:9" ht="14.45" customHeight="1"/>
    <row r="59" spans="1:9" ht="14.45" customHeight="1"/>
  </sheetData>
  <mergeCells count="5">
    <mergeCell ref="B6:D7"/>
    <mergeCell ref="E6:G7"/>
    <mergeCell ref="H6:I7"/>
    <mergeCell ref="D8:D9"/>
    <mergeCell ref="G8:G9"/>
  </mergeCells>
  <phoneticPr fontId="0" type="noConversion"/>
  <printOptions horizontalCentered="1"/>
  <pageMargins left="0.51181102362204722" right="0.51181102362204722" top="0.59055118110236227" bottom="0" header="0.31496062992125984" footer="0"/>
  <pageSetup scale="90" firstPageNumber="14" orientation="portrait"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9"/>
  <sheetViews>
    <sheetView showGridLines="0" showZeros="0" workbookViewId="0"/>
  </sheetViews>
  <sheetFormatPr defaultColWidth="15.83203125" defaultRowHeight="12"/>
  <cols>
    <col min="1" max="1" width="30" style="1" customWidth="1"/>
    <col min="2" max="2" width="16.1640625" style="1" customWidth="1"/>
    <col min="3" max="3" width="10.1640625" style="1" customWidth="1"/>
    <col min="4" max="4" width="16.33203125" style="1" customWidth="1"/>
    <col min="5" max="5" width="8.83203125" style="1" customWidth="1"/>
    <col min="6" max="6" width="9.83203125" style="1" customWidth="1"/>
    <col min="7" max="7" width="12" style="1" bestFit="1" customWidth="1"/>
    <col min="8" max="8" width="8.83203125" style="1" customWidth="1"/>
    <col min="9" max="9" width="9.83203125" style="1" customWidth="1"/>
    <col min="10" max="16384" width="15.83203125" style="1"/>
  </cols>
  <sheetData>
    <row r="1" spans="1:9" ht="6.95" customHeight="1">
      <c r="A1" s="3"/>
      <c r="B1" s="4"/>
      <c r="C1" s="4"/>
      <c r="D1" s="4"/>
      <c r="E1" s="4"/>
      <c r="F1" s="4"/>
      <c r="G1" s="4"/>
      <c r="H1" s="4"/>
      <c r="I1" s="4"/>
    </row>
    <row r="2" spans="1:9" ht="15.95" customHeight="1">
      <c r="A2" s="133"/>
      <c r="B2" s="5" t="str">
        <f>AEXP_BF</f>
        <v>ANALYSIS OF EXPENSE BY FUNCTION</v>
      </c>
      <c r="C2" s="6"/>
      <c r="D2" s="6"/>
      <c r="E2" s="6"/>
      <c r="F2" s="6"/>
      <c r="G2" s="86"/>
      <c r="H2" s="93"/>
      <c r="I2" s="151" t="s">
        <v>2</v>
      </c>
    </row>
    <row r="3" spans="1:9" ht="15.95" customHeight="1">
      <c r="A3" s="136"/>
      <c r="B3" s="7" t="str">
        <f>+'- 15 -'!B3</f>
        <v>OPERATING FUND 2015/2016 BUDGET</v>
      </c>
      <c r="C3" s="8"/>
      <c r="D3" s="8"/>
      <c r="E3" s="8"/>
      <c r="F3" s="8"/>
      <c r="G3" s="88"/>
      <c r="H3" s="82"/>
      <c r="I3" s="82"/>
    </row>
    <row r="4" spans="1:9" ht="15.95" customHeight="1">
      <c r="B4" s="4"/>
      <c r="C4" s="4"/>
      <c r="D4" s="4"/>
      <c r="E4" s="4"/>
      <c r="F4" s="4"/>
      <c r="G4" s="4"/>
      <c r="H4" s="4"/>
      <c r="I4" s="4"/>
    </row>
    <row r="5" spans="1:9" ht="15.95" customHeight="1">
      <c r="B5" s="4"/>
      <c r="C5" s="4"/>
      <c r="D5" s="4"/>
      <c r="E5" s="4"/>
      <c r="F5" s="4"/>
      <c r="G5" s="4"/>
      <c r="H5" s="4"/>
      <c r="I5" s="4"/>
    </row>
    <row r="6" spans="1:9" ht="15.95" customHeight="1">
      <c r="B6" s="611" t="s">
        <v>413</v>
      </c>
      <c r="C6" s="608"/>
      <c r="D6" s="607" t="s">
        <v>414</v>
      </c>
      <c r="E6" s="617"/>
      <c r="F6" s="608"/>
      <c r="G6" s="611" t="s">
        <v>409</v>
      </c>
      <c r="H6" s="617"/>
      <c r="I6" s="608"/>
    </row>
    <row r="7" spans="1:9" ht="15.95" customHeight="1">
      <c r="B7" s="609"/>
      <c r="C7" s="610"/>
      <c r="D7" s="609"/>
      <c r="E7" s="618"/>
      <c r="F7" s="610"/>
      <c r="G7" s="609"/>
      <c r="H7" s="618"/>
      <c r="I7" s="610"/>
    </row>
    <row r="8" spans="1:9" ht="15.95" customHeight="1">
      <c r="A8" s="83"/>
      <c r="B8" s="10" t="s">
        <v>1</v>
      </c>
      <c r="C8" s="177"/>
      <c r="D8" s="139"/>
      <c r="E8" s="138"/>
      <c r="F8" s="525" t="s">
        <v>410</v>
      </c>
      <c r="G8" s="139"/>
      <c r="H8" s="138"/>
      <c r="I8" s="525" t="s">
        <v>410</v>
      </c>
    </row>
    <row r="9" spans="1:9" ht="15.95" customHeight="1">
      <c r="A9" s="28" t="s">
        <v>37</v>
      </c>
      <c r="B9" s="90" t="s">
        <v>38</v>
      </c>
      <c r="C9" s="90" t="s">
        <v>39</v>
      </c>
      <c r="D9" s="90" t="s">
        <v>38</v>
      </c>
      <c r="E9" s="90" t="s">
        <v>39</v>
      </c>
      <c r="F9" s="565"/>
      <c r="G9" s="90" t="s">
        <v>38</v>
      </c>
      <c r="H9" s="90" t="s">
        <v>39</v>
      </c>
      <c r="I9" s="565"/>
    </row>
    <row r="10" spans="1:9" ht="5.0999999999999996" customHeight="1">
      <c r="A10" s="30"/>
    </row>
    <row r="11" spans="1:9" ht="14.1" customHeight="1">
      <c r="A11" s="272" t="s">
        <v>109</v>
      </c>
      <c r="B11" s="273">
        <f>SUM('- 24 -'!H11,'- 24 -'!F11,'- 24 -'!D11,'- 24 -'!B11)</f>
        <v>20600</v>
      </c>
      <c r="C11" s="274">
        <f>B11/'- 3 -'!D11*100</f>
        <v>0.11191163544187169</v>
      </c>
      <c r="D11" s="273">
        <f>SUM('- 25 -'!B11,'- 25 -'!E11,'- 25 -'!H11,'- 26 -'!B11)</f>
        <v>617515</v>
      </c>
      <c r="E11" s="274">
        <f>D11/'- 3 -'!D11*100</f>
        <v>3.3547142504799705</v>
      </c>
      <c r="F11" s="273">
        <f>D11/'- 7 -'!F11</f>
        <v>374.93321190042502</v>
      </c>
      <c r="G11" s="273">
        <f>SUM('- 27 -'!B11,'- 27 -'!E11,'- 27 -'!H11,'- 28 -'!B11,'- 28 -'!E11)</f>
        <v>400709</v>
      </c>
      <c r="H11" s="274">
        <f>G11/'- 3 -'!D11*100</f>
        <v>2.1768931808872312</v>
      </c>
      <c r="I11" s="273">
        <f>G11/'- 7 -'!F11</f>
        <v>243.2962962962963</v>
      </c>
    </row>
    <row r="12" spans="1:9" ht="14.1" customHeight="1">
      <c r="A12" s="16" t="s">
        <v>110</v>
      </c>
      <c r="B12" s="17">
        <f>SUM('- 24 -'!H12,'- 24 -'!F12,'- 24 -'!D12,'- 24 -'!B12)</f>
        <v>54882</v>
      </c>
      <c r="C12" s="268">
        <f>B12/'- 3 -'!D12*100</f>
        <v>0.17114700708378716</v>
      </c>
      <c r="D12" s="17">
        <f>SUM('- 25 -'!B12,'- 25 -'!E12,'- 25 -'!H12,'- 26 -'!B12)</f>
        <v>1073839</v>
      </c>
      <c r="E12" s="268">
        <f>D12/'- 3 -'!D12*100</f>
        <v>3.3487178116658813</v>
      </c>
      <c r="F12" s="17">
        <f>D12/'- 7 -'!F12</f>
        <v>495.08483171968652</v>
      </c>
      <c r="G12" s="17">
        <f>SUM('- 27 -'!B12,'- 27 -'!E12,'- 27 -'!H12,'- 28 -'!B12,'- 28 -'!E12)</f>
        <v>742953</v>
      </c>
      <c r="H12" s="268">
        <f>G12/'- 3 -'!D12*100</f>
        <v>2.316864953061494</v>
      </c>
      <c r="I12" s="17">
        <f>G12/'- 7 -'!F12</f>
        <v>342.53250345781464</v>
      </c>
    </row>
    <row r="13" spans="1:9" ht="14.1" customHeight="1">
      <c r="A13" s="272" t="s">
        <v>111</v>
      </c>
      <c r="B13" s="273">
        <f>SUM('- 24 -'!H13,'- 24 -'!F13,'- 24 -'!D13,'- 24 -'!B13)</f>
        <v>374800</v>
      </c>
      <c r="C13" s="274">
        <f>B13/'- 3 -'!D13*100</f>
        <v>0.40349581539958784</v>
      </c>
      <c r="D13" s="273">
        <f>SUM('- 25 -'!B13,'- 25 -'!E13,'- 25 -'!H13,'- 26 -'!B13)</f>
        <v>3231500</v>
      </c>
      <c r="E13" s="274">
        <f>D13/'- 3 -'!D13*100</f>
        <v>3.4789133603622417</v>
      </c>
      <c r="F13" s="273">
        <f>D13/'- 7 -'!F13</f>
        <v>395.65350474441385</v>
      </c>
      <c r="G13" s="273">
        <f>SUM('- 27 -'!B13,'- 27 -'!E13,'- 27 -'!H13,'- 28 -'!B13,'- 28 -'!E13)</f>
        <v>2797800</v>
      </c>
      <c r="H13" s="274">
        <f>G13/'- 3 -'!D13*100</f>
        <v>3.0120079837912672</v>
      </c>
      <c r="I13" s="273">
        <f>G13/'- 7 -'!F13</f>
        <v>342.55280073461893</v>
      </c>
    </row>
    <row r="14" spans="1:9" ht="14.1" customHeight="1">
      <c r="A14" s="16" t="s">
        <v>324</v>
      </c>
      <c r="B14" s="17">
        <f>SUM('- 24 -'!H14,'- 24 -'!F14,'- 24 -'!D14,'- 24 -'!B14)</f>
        <v>1471980</v>
      </c>
      <c r="C14" s="268">
        <f>B14/'- 3 -'!D14*100</f>
        <v>1.7749165006196856</v>
      </c>
      <c r="D14" s="17">
        <f>SUM('- 25 -'!B14,'- 25 -'!E14,'- 25 -'!H14,'- 26 -'!B14)</f>
        <v>3141830</v>
      </c>
      <c r="E14" s="268">
        <f>D14/'- 3 -'!D14*100</f>
        <v>3.788425052746605</v>
      </c>
      <c r="F14" s="17">
        <f>D14/'- 7 -'!F14</f>
        <v>590.23670862295694</v>
      </c>
      <c r="G14" s="17">
        <f>SUM('- 27 -'!B14,'- 27 -'!E14,'- 27 -'!H14,'- 28 -'!B14,'- 28 -'!E14)</f>
        <v>3267109</v>
      </c>
      <c r="H14" s="268">
        <f>G14/'- 3 -'!D14*100</f>
        <v>3.9394867276886103</v>
      </c>
      <c r="I14" s="17">
        <f>G14/'- 7 -'!F14</f>
        <v>613.77212098440725</v>
      </c>
    </row>
    <row r="15" spans="1:9" ht="14.1" customHeight="1">
      <c r="A15" s="272" t="s">
        <v>112</v>
      </c>
      <c r="B15" s="273">
        <f>SUM('- 24 -'!H15,'- 24 -'!F15,'- 24 -'!D15,'- 24 -'!B15)</f>
        <v>72000</v>
      </c>
      <c r="C15" s="274">
        <f>B15/'- 3 -'!D15*100</f>
        <v>0.35790576808392216</v>
      </c>
      <c r="D15" s="273">
        <f>SUM('- 25 -'!B15,'- 25 -'!E15,'- 25 -'!H15,'- 26 -'!B15)</f>
        <v>817200</v>
      </c>
      <c r="E15" s="274">
        <f>D15/'- 3 -'!D15*100</f>
        <v>4.0622304677525163</v>
      </c>
      <c r="F15" s="273">
        <f>D15/'- 7 -'!F15</f>
        <v>572.87066246056781</v>
      </c>
      <c r="G15" s="273">
        <f>SUM('- 27 -'!B15,'- 27 -'!E15,'- 27 -'!H15,'- 28 -'!B15,'- 28 -'!E15)</f>
        <v>679071</v>
      </c>
      <c r="H15" s="274">
        <f>G15/'- 3 -'!D15*100</f>
        <v>3.3756031644238487</v>
      </c>
      <c r="I15" s="273">
        <f>G15/'- 7 -'!F15</f>
        <v>476.03995793901157</v>
      </c>
    </row>
    <row r="16" spans="1:9" ht="14.1" customHeight="1">
      <c r="A16" s="16" t="s">
        <v>113</v>
      </c>
      <c r="B16" s="17">
        <f>SUM('- 24 -'!H16,'- 24 -'!F16,'- 24 -'!D16,'- 24 -'!B16)</f>
        <v>12580</v>
      </c>
      <c r="C16" s="268">
        <f>B16/'- 3 -'!D16*100</f>
        <v>8.9424882139355955E-2</v>
      </c>
      <c r="D16" s="17">
        <f>SUM('- 25 -'!B16,'- 25 -'!E16,'- 25 -'!H16,'- 26 -'!B16)</f>
        <v>654313</v>
      </c>
      <c r="E16" s="268">
        <f>D16/'- 3 -'!D16*100</f>
        <v>4.6511814711644206</v>
      </c>
      <c r="F16" s="17">
        <f>D16/'- 7 -'!F16</f>
        <v>696.81895633652823</v>
      </c>
      <c r="G16" s="17">
        <f>SUM('- 27 -'!B16,'- 27 -'!E16,'- 27 -'!H16,'- 28 -'!B16,'- 28 -'!E16)</f>
        <v>326736</v>
      </c>
      <c r="H16" s="268">
        <f>G16/'- 3 -'!D16*100</f>
        <v>2.3226016129320035</v>
      </c>
      <c r="I16" s="17">
        <f>G16/'- 7 -'!F16</f>
        <v>347.96166134185302</v>
      </c>
    </row>
    <row r="17" spans="1:9" ht="14.1" customHeight="1">
      <c r="A17" s="272" t="s">
        <v>114</v>
      </c>
      <c r="B17" s="273">
        <f>SUM('- 24 -'!H17,'- 24 -'!F17,'- 24 -'!D17,'- 24 -'!B17)</f>
        <v>265810</v>
      </c>
      <c r="C17" s="274">
        <f>B17/'- 3 -'!D17*100</f>
        <v>1.5109137813969629</v>
      </c>
      <c r="D17" s="273">
        <f>SUM('- 25 -'!B17,'- 25 -'!E17,'- 25 -'!H17,'- 26 -'!B17)</f>
        <v>767767</v>
      </c>
      <c r="E17" s="274">
        <f>D17/'- 3 -'!D17*100</f>
        <v>4.3641313013122236</v>
      </c>
      <c r="F17" s="273">
        <f>D17/'- 7 -'!F17</f>
        <v>565.15789473684208</v>
      </c>
      <c r="G17" s="273">
        <f>SUM('- 27 -'!B17,'- 27 -'!E17,'- 27 -'!H17,'- 28 -'!B17,'- 28 -'!E17)</f>
        <v>476510</v>
      </c>
      <c r="H17" s="274">
        <f>G17/'- 3 -'!D17*100</f>
        <v>2.7085720099825692</v>
      </c>
      <c r="I17" s="273">
        <f>G17/'- 7 -'!F17</f>
        <v>350.76186970923811</v>
      </c>
    </row>
    <row r="18" spans="1:9" ht="14.1" customHeight="1">
      <c r="A18" s="16" t="s">
        <v>115</v>
      </c>
      <c r="B18" s="17">
        <f>SUM('- 24 -'!H18,'- 24 -'!F18,'- 24 -'!D18,'- 24 -'!B18)</f>
        <v>2432308</v>
      </c>
      <c r="C18" s="268">
        <f>B18/'- 3 -'!D18*100</f>
        <v>1.9000936497872927</v>
      </c>
      <c r="D18" s="17">
        <f>SUM('- 25 -'!B18,'- 25 -'!E18,'- 25 -'!H18,'- 26 -'!B18)</f>
        <v>7103853</v>
      </c>
      <c r="E18" s="268">
        <f>D18/'- 3 -'!D18*100</f>
        <v>5.5494558971653296</v>
      </c>
      <c r="F18" s="17">
        <f>D18/'- 7 -'!F18</f>
        <v>1134.5108279034112</v>
      </c>
      <c r="G18" s="17">
        <f>SUM('- 27 -'!B18,'- 27 -'!E18,'- 27 -'!H18,'- 28 -'!B18,'- 28 -'!E18)</f>
        <v>6957790</v>
      </c>
      <c r="H18" s="268">
        <f>G18/'- 3 -'!D18*100</f>
        <v>5.4353530044523666</v>
      </c>
      <c r="I18" s="17">
        <f>G18/'- 7 -'!F18</f>
        <v>1111.1840424172735</v>
      </c>
    </row>
    <row r="19" spans="1:9" ht="14.1" customHeight="1">
      <c r="A19" s="272" t="s">
        <v>116</v>
      </c>
      <c r="B19" s="273">
        <f>SUM('- 24 -'!H19,'- 24 -'!F19,'- 24 -'!D19,'- 24 -'!B19)</f>
        <v>80300</v>
      </c>
      <c r="C19" s="274">
        <f>B19/'- 3 -'!D19*100</f>
        <v>0.17866909104825579</v>
      </c>
      <c r="D19" s="273">
        <f>SUM('- 25 -'!B19,'- 25 -'!E19,'- 25 -'!H19,'- 26 -'!B19)</f>
        <v>1498370</v>
      </c>
      <c r="E19" s="274">
        <f>D19/'- 3 -'!D19*100</f>
        <v>3.3339029384056666</v>
      </c>
      <c r="F19" s="273">
        <f>D19/'- 7 -'!F19</f>
        <v>356.9247260600286</v>
      </c>
      <c r="G19" s="273">
        <f>SUM('- 27 -'!B19,'- 27 -'!E19,'- 27 -'!H19,'- 28 -'!B19,'- 28 -'!E19)</f>
        <v>1123750</v>
      </c>
      <c r="H19" s="274">
        <f>G19/'- 3 -'!D19*100</f>
        <v>2.5003660157593703</v>
      </c>
      <c r="I19" s="273">
        <f>G19/'- 7 -'!F19</f>
        <v>267.68699380657455</v>
      </c>
    </row>
    <row r="20" spans="1:9" ht="14.1" customHeight="1">
      <c r="A20" s="16" t="s">
        <v>117</v>
      </c>
      <c r="B20" s="17">
        <f>SUM('- 24 -'!H20,'- 24 -'!F20,'- 24 -'!D20,'- 24 -'!B20)</f>
        <v>150700</v>
      </c>
      <c r="C20" s="268">
        <f>B20/'- 3 -'!D20*100</f>
        <v>0.19127569592875965</v>
      </c>
      <c r="D20" s="17">
        <f>SUM('- 25 -'!B20,'- 25 -'!E20,'- 25 -'!H20,'- 26 -'!B20)</f>
        <v>2240300</v>
      </c>
      <c r="E20" s="268">
        <f>D20/'- 3 -'!D20*100</f>
        <v>2.8434966263384225</v>
      </c>
      <c r="F20" s="17">
        <f>D20/'- 7 -'!F20</f>
        <v>299.86614910989158</v>
      </c>
      <c r="G20" s="17">
        <f>SUM('- 27 -'!B20,'- 27 -'!E20,'- 27 -'!H20,'- 28 -'!B20,'- 28 -'!E20)</f>
        <v>2461300</v>
      </c>
      <c r="H20" s="268">
        <f>G20/'- 3 -'!D20*100</f>
        <v>3.1240004670833188</v>
      </c>
      <c r="I20" s="17">
        <f>G20/'- 7 -'!F20</f>
        <v>329.44719582385221</v>
      </c>
    </row>
    <row r="21" spans="1:9" ht="14.1" customHeight="1">
      <c r="A21" s="272" t="s">
        <v>118</v>
      </c>
      <c r="B21" s="273">
        <f>SUM('- 24 -'!H21,'- 24 -'!F21,'- 24 -'!D21,'- 24 -'!B21)</f>
        <v>272000</v>
      </c>
      <c r="C21" s="274">
        <f>B21/'- 3 -'!D21*100</f>
        <v>0.7661112275769173</v>
      </c>
      <c r="D21" s="273">
        <f>SUM('- 25 -'!B21,'- 25 -'!E21,'- 25 -'!H21,'- 26 -'!B21)</f>
        <v>1338100</v>
      </c>
      <c r="E21" s="274">
        <f>D21/'- 3 -'!D21*100</f>
        <v>3.7688729177230624</v>
      </c>
      <c r="F21" s="273">
        <f>D21/'- 7 -'!F21</f>
        <v>496.1438635520949</v>
      </c>
      <c r="G21" s="273">
        <f>SUM('- 27 -'!B21,'- 27 -'!E21,'- 27 -'!H21,'- 28 -'!B21,'- 28 -'!E21)</f>
        <v>1478643</v>
      </c>
      <c r="H21" s="274">
        <f>G21/'- 3 -'!D21*100</f>
        <v>4.164724278963293</v>
      </c>
      <c r="I21" s="273">
        <f>G21/'- 7 -'!F21</f>
        <v>548.25472747497224</v>
      </c>
    </row>
    <row r="22" spans="1:9" ht="14.1" customHeight="1">
      <c r="A22" s="16" t="s">
        <v>119</v>
      </c>
      <c r="B22" s="17">
        <f>SUM('- 24 -'!H22,'- 24 -'!F22,'- 24 -'!D22,'- 24 -'!B22)</f>
        <v>80135</v>
      </c>
      <c r="C22" s="268">
        <f>B22/'- 3 -'!D22*100</f>
        <v>0.38843824365128748</v>
      </c>
      <c r="D22" s="17">
        <f>SUM('- 25 -'!B22,'- 25 -'!E22,'- 25 -'!H22,'- 26 -'!B22)</f>
        <v>881090</v>
      </c>
      <c r="E22" s="268">
        <f>D22/'- 3 -'!D22*100</f>
        <v>4.2709059973633607</v>
      </c>
      <c r="F22" s="17">
        <f>D22/'- 7 -'!F22</f>
        <v>561.8479785741614</v>
      </c>
      <c r="G22" s="17">
        <f>SUM('- 27 -'!B22,'- 27 -'!E22,'- 27 -'!H22,'- 28 -'!B22,'- 28 -'!E22)</f>
        <v>456015</v>
      </c>
      <c r="H22" s="268">
        <f>G22/'- 3 -'!D22*100</f>
        <v>2.2104407022978956</v>
      </c>
      <c r="I22" s="17">
        <f>G22/'- 7 -'!F22</f>
        <v>290.78880244866724</v>
      </c>
    </row>
    <row r="23" spans="1:9" ht="14.1" customHeight="1">
      <c r="A23" s="272" t="s">
        <v>120</v>
      </c>
      <c r="B23" s="273">
        <f>SUM('- 24 -'!H23,'- 24 -'!F23,'- 24 -'!D23,'- 24 -'!B23)</f>
        <v>283228</v>
      </c>
      <c r="C23" s="274">
        <f>B23/'- 3 -'!D23*100</f>
        <v>1.7165126311506911</v>
      </c>
      <c r="D23" s="273">
        <f>SUM('- 25 -'!B23,'- 25 -'!E23,'- 25 -'!H23,'- 26 -'!B23)</f>
        <v>639500</v>
      </c>
      <c r="E23" s="274">
        <f>D23/'- 3 -'!D23*100</f>
        <v>3.8757108323360221</v>
      </c>
      <c r="F23" s="273">
        <f>D23/'- 7 -'!F23</f>
        <v>574.05745062836627</v>
      </c>
      <c r="G23" s="273">
        <f>SUM('- 27 -'!B23,'- 27 -'!E23,'- 27 -'!H23,'- 28 -'!B23,'- 28 -'!E23)</f>
        <v>390800</v>
      </c>
      <c r="H23" s="274">
        <f>G23/'- 3 -'!D23*100</f>
        <v>2.3684562834666418</v>
      </c>
      <c r="I23" s="273">
        <f>G23/'- 7 -'!F23</f>
        <v>350.80789946140038</v>
      </c>
    </row>
    <row r="24" spans="1:9" ht="14.1" customHeight="1">
      <c r="A24" s="16" t="s">
        <v>121</v>
      </c>
      <c r="B24" s="17">
        <f>SUM('- 24 -'!H24,'- 24 -'!F24,'- 24 -'!D24,'- 24 -'!B24)</f>
        <v>445585</v>
      </c>
      <c r="C24" s="268">
        <f>B24/'- 3 -'!D24*100</f>
        <v>0.79700690222984316</v>
      </c>
      <c r="D24" s="17">
        <f>SUM('- 25 -'!B24,'- 25 -'!E24,'- 25 -'!H24,'- 26 -'!B24)</f>
        <v>1937590</v>
      </c>
      <c r="E24" s="268">
        <f>D24/'- 3 -'!D24*100</f>
        <v>3.4657194557525992</v>
      </c>
      <c r="F24" s="17">
        <f>D24/'- 7 -'!F24</f>
        <v>487.38271915482329</v>
      </c>
      <c r="G24" s="17">
        <f>SUM('- 27 -'!B24,'- 27 -'!E24,'- 27 -'!H24,'- 28 -'!B24,'- 28 -'!E24)</f>
        <v>1613520</v>
      </c>
      <c r="H24" s="268">
        <f>G24/'- 3 -'!D24*100</f>
        <v>2.8860634376962793</v>
      </c>
      <c r="I24" s="17">
        <f>G24/'- 7 -'!F24</f>
        <v>405.86592881398565</v>
      </c>
    </row>
    <row r="25" spans="1:9" ht="14.1" customHeight="1">
      <c r="A25" s="272" t="s">
        <v>122</v>
      </c>
      <c r="B25" s="273">
        <f>SUM('- 24 -'!H25,'- 24 -'!F25,'- 24 -'!D25,'- 24 -'!B25)</f>
        <v>1261859</v>
      </c>
      <c r="C25" s="274">
        <f>B25/'- 3 -'!D25*100</f>
        <v>0.75496074806470936</v>
      </c>
      <c r="D25" s="273">
        <f>SUM('- 25 -'!B25,'- 25 -'!E25,'- 25 -'!H25,'- 26 -'!B25)</f>
        <v>5511585</v>
      </c>
      <c r="E25" s="274">
        <f>D25/'- 3 -'!D25*100</f>
        <v>3.2975398476551114</v>
      </c>
      <c r="F25" s="273">
        <f>D25/'- 7 -'!F25</f>
        <v>394.09281041078259</v>
      </c>
      <c r="G25" s="273">
        <f>SUM('- 27 -'!B25,'- 27 -'!E25,'- 27 -'!H25,'- 28 -'!B25,'- 28 -'!E25)</f>
        <v>7391522</v>
      </c>
      <c r="H25" s="274">
        <f>G25/'- 3 -'!D25*100</f>
        <v>4.4222920139704645</v>
      </c>
      <c r="I25" s="273">
        <f>G25/'- 7 -'!F25</f>
        <v>528.51324586178544</v>
      </c>
    </row>
    <row r="26" spans="1:9" ht="14.1" customHeight="1">
      <c r="A26" s="16" t="s">
        <v>123</v>
      </c>
      <c r="B26" s="17">
        <f>SUM('- 24 -'!H26,'- 24 -'!F26,'- 24 -'!D26,'- 24 -'!B26)</f>
        <v>113429</v>
      </c>
      <c r="C26" s="268">
        <f>B26/'- 3 -'!D26*100</f>
        <v>0.28437535561335153</v>
      </c>
      <c r="D26" s="17">
        <f>SUM('- 25 -'!B26,'- 25 -'!E26,'- 25 -'!H26,'- 26 -'!B26)</f>
        <v>1390942</v>
      </c>
      <c r="E26" s="268">
        <f>D26/'- 3 -'!D26*100</f>
        <v>3.4872001506453052</v>
      </c>
      <c r="F26" s="17">
        <f>D26/'- 7 -'!F26</f>
        <v>447.60804505229282</v>
      </c>
      <c r="G26" s="17">
        <f>SUM('- 27 -'!B26,'- 27 -'!E26,'- 27 -'!H26,'- 28 -'!B26,'- 28 -'!E26)</f>
        <v>1321411</v>
      </c>
      <c r="H26" s="268">
        <f>G26/'- 3 -'!D26*100</f>
        <v>3.3128805070695719</v>
      </c>
      <c r="I26" s="17">
        <f>G26/'- 7 -'!F26</f>
        <v>425.2328238133548</v>
      </c>
    </row>
    <row r="27" spans="1:9" ht="14.1" customHeight="1">
      <c r="A27" s="272" t="s">
        <v>124</v>
      </c>
      <c r="B27" s="273">
        <f>SUM('- 24 -'!H27,'- 24 -'!F27,'- 24 -'!D27,'- 24 -'!B27)</f>
        <v>57578</v>
      </c>
      <c r="C27" s="274">
        <f>B27/'- 3 -'!D27*100</f>
        <v>0.13415001017692946</v>
      </c>
      <c r="D27" s="273">
        <f>SUM('- 25 -'!B27,'- 25 -'!E27,'- 25 -'!H27,'- 26 -'!B27)</f>
        <v>1873393</v>
      </c>
      <c r="E27" s="274">
        <f>D27/'- 3 -'!D27*100</f>
        <v>4.3647867243632712</v>
      </c>
      <c r="F27" s="273">
        <f>D27/'- 7 -'!F27</f>
        <v>654.95073042826823</v>
      </c>
      <c r="G27" s="273">
        <f>SUM('- 27 -'!B27,'- 27 -'!E27,'- 27 -'!H27,'- 28 -'!B27,'- 28 -'!E27)</f>
        <v>2234882</v>
      </c>
      <c r="H27" s="274">
        <f>G27/'- 3 -'!D27*100</f>
        <v>5.2070138428607535</v>
      </c>
      <c r="I27" s="273">
        <f>G27/'- 7 -'!F27</f>
        <v>781.3297040829068</v>
      </c>
    </row>
    <row r="28" spans="1:9" ht="14.1" customHeight="1">
      <c r="A28" s="16" t="s">
        <v>125</v>
      </c>
      <c r="B28" s="17">
        <f>SUM('- 24 -'!H28,'- 24 -'!F28,'- 24 -'!D28,'- 24 -'!B28)</f>
        <v>131308</v>
      </c>
      <c r="C28" s="268">
        <f>B28/'- 3 -'!D28*100</f>
        <v>0.46881224638642044</v>
      </c>
      <c r="D28" s="17">
        <f>SUM('- 25 -'!B28,'- 25 -'!E28,'- 25 -'!H28,'- 26 -'!B28)</f>
        <v>1124028</v>
      </c>
      <c r="E28" s="268">
        <f>D28/'- 3 -'!D28*100</f>
        <v>4.0131453657144682</v>
      </c>
      <c r="F28" s="17">
        <f>D28/'- 7 -'!F28</f>
        <v>570.42781020045675</v>
      </c>
      <c r="G28" s="17">
        <f>SUM('- 27 -'!B28,'- 27 -'!E28,'- 27 -'!H28,'- 28 -'!B28,'- 28 -'!E28)</f>
        <v>721757</v>
      </c>
      <c r="H28" s="268">
        <f>G28/'- 3 -'!D28*100</f>
        <v>2.5769071230627505</v>
      </c>
      <c r="I28" s="17">
        <f>G28/'- 7 -'!F28</f>
        <v>366.28114691702615</v>
      </c>
    </row>
    <row r="29" spans="1:9" ht="14.1" customHeight="1">
      <c r="A29" s="272" t="s">
        <v>126</v>
      </c>
      <c r="B29" s="273">
        <f>SUM('- 24 -'!H29,'- 24 -'!F29,'- 24 -'!D29,'- 24 -'!B29)</f>
        <v>639249</v>
      </c>
      <c r="C29" s="274">
        <f>B29/'- 3 -'!D29*100</f>
        <v>0.41289816436201737</v>
      </c>
      <c r="D29" s="273">
        <f>SUM('- 25 -'!B29,'- 25 -'!E29,'- 25 -'!H29,'- 26 -'!B29)</f>
        <v>5305446</v>
      </c>
      <c r="E29" s="274">
        <f>D29/'- 3 -'!D29*100</f>
        <v>3.4268476204449407</v>
      </c>
      <c r="F29" s="273">
        <f>D29/'- 7 -'!F29</f>
        <v>429.799578742709</v>
      </c>
      <c r="G29" s="273">
        <f>SUM('- 27 -'!B29,'- 27 -'!E29,'- 27 -'!H29,'- 28 -'!B29,'- 28 -'!E29)</f>
        <v>6277443</v>
      </c>
      <c r="H29" s="274">
        <f>G29/'- 3 -'!D29*100</f>
        <v>4.0546714841747047</v>
      </c>
      <c r="I29" s="273">
        <f>G29/'- 7 -'!F29</f>
        <v>508.54204471808168</v>
      </c>
    </row>
    <row r="30" spans="1:9" ht="14.1" customHeight="1">
      <c r="A30" s="16" t="s">
        <v>127</v>
      </c>
      <c r="B30" s="17">
        <f>SUM('- 24 -'!H30,'- 24 -'!F30,'- 24 -'!D30,'- 24 -'!B30)</f>
        <v>12691</v>
      </c>
      <c r="C30" s="268">
        <f>B30/'- 3 -'!D30*100</f>
        <v>9.0698958001829991E-2</v>
      </c>
      <c r="D30" s="17">
        <f>SUM('- 25 -'!B30,'- 25 -'!E30,'- 25 -'!H30,'- 26 -'!B30)</f>
        <v>504616</v>
      </c>
      <c r="E30" s="268">
        <f>D30/'- 3 -'!D30*100</f>
        <v>3.6063466544048102</v>
      </c>
      <c r="F30" s="17">
        <f>D30/'- 7 -'!F30</f>
        <v>491.82846003898635</v>
      </c>
      <c r="G30" s="17">
        <f>SUM('- 27 -'!B30,'- 27 -'!E30,'- 27 -'!H30,'- 28 -'!B30,'- 28 -'!E30)</f>
        <v>488427</v>
      </c>
      <c r="H30" s="268">
        <f>G30/'- 3 -'!D30*100</f>
        <v>3.4906484879016477</v>
      </c>
      <c r="I30" s="17">
        <f>G30/'- 7 -'!F30</f>
        <v>476.0497076023392</v>
      </c>
    </row>
    <row r="31" spans="1:9" ht="14.1" customHeight="1">
      <c r="A31" s="272" t="s">
        <v>128</v>
      </c>
      <c r="B31" s="273">
        <f>SUM('- 24 -'!H31,'- 24 -'!F31,'- 24 -'!D31,'- 24 -'!B31)</f>
        <v>53529</v>
      </c>
      <c r="C31" s="274">
        <f>B31/'- 3 -'!D31*100</f>
        <v>0.14783119466600284</v>
      </c>
      <c r="D31" s="273">
        <f>SUM('- 25 -'!B31,'- 25 -'!E31,'- 25 -'!H31,'- 26 -'!B31)</f>
        <v>1211126</v>
      </c>
      <c r="E31" s="274">
        <f>D31/'- 3 -'!D31*100</f>
        <v>3.3447701894497812</v>
      </c>
      <c r="F31" s="273">
        <f>D31/'- 7 -'!F31</f>
        <v>379.42543859649123</v>
      </c>
      <c r="G31" s="273">
        <f>SUM('- 27 -'!B31,'- 27 -'!E31,'- 27 -'!H31,'- 28 -'!B31,'- 28 -'!E31)</f>
        <v>1327498</v>
      </c>
      <c r="H31" s="274">
        <f>G31/'- 3 -'!D31*100</f>
        <v>3.6661550796153382</v>
      </c>
      <c r="I31" s="273">
        <f>G31/'- 7 -'!F31</f>
        <v>415.8828320802005</v>
      </c>
    </row>
    <row r="32" spans="1:9" ht="14.1" customHeight="1">
      <c r="A32" s="16" t="s">
        <v>129</v>
      </c>
      <c r="B32" s="17">
        <f>SUM('- 24 -'!H32,'- 24 -'!F32,'- 24 -'!D32,'- 24 -'!B32)</f>
        <v>33685</v>
      </c>
      <c r="C32" s="268">
        <f>B32/'- 3 -'!D32*100</f>
        <v>0.1171382776246381</v>
      </c>
      <c r="D32" s="17">
        <f>SUM('- 25 -'!B32,'- 25 -'!E32,'- 25 -'!H32,'- 26 -'!B32)</f>
        <v>1085450</v>
      </c>
      <c r="E32" s="268">
        <f>D32/'- 3 -'!D32*100</f>
        <v>3.7746101661767386</v>
      </c>
      <c r="F32" s="17">
        <f>D32/'- 7 -'!F32</f>
        <v>512.50029509667377</v>
      </c>
      <c r="G32" s="17">
        <f>SUM('- 27 -'!B32,'- 27 -'!E32,'- 27 -'!H32,'- 28 -'!B32,'- 28 -'!E32)</f>
        <v>716995</v>
      </c>
      <c r="H32" s="268">
        <f>G32/'- 3 -'!D32*100</f>
        <v>2.4933222314228116</v>
      </c>
      <c r="I32" s="17">
        <f>G32/'- 7 -'!F32</f>
        <v>338.53254326117241</v>
      </c>
    </row>
    <row r="33" spans="1:10" ht="14.1" customHeight="1">
      <c r="A33" s="272" t="s">
        <v>130</v>
      </c>
      <c r="B33" s="273">
        <f>SUM('- 24 -'!H33,'- 24 -'!F33,'- 24 -'!D33,'- 24 -'!B33)</f>
        <v>30000</v>
      </c>
      <c r="C33" s="274">
        <f>B33/'- 3 -'!D33*100</f>
        <v>0.10999567350350886</v>
      </c>
      <c r="D33" s="273">
        <f>SUM('- 25 -'!B33,'- 25 -'!E33,'- 25 -'!H33,'- 26 -'!B33)</f>
        <v>889300</v>
      </c>
      <c r="E33" s="274">
        <f>D33/'- 3 -'!D33*100</f>
        <v>3.2606384148890144</v>
      </c>
      <c r="F33" s="273">
        <f>D33/'- 7 -'!F33</f>
        <v>449.70922882427305</v>
      </c>
      <c r="G33" s="273">
        <f>SUM('- 27 -'!B33,'- 27 -'!E33,'- 27 -'!H33,'- 28 -'!B33,'- 28 -'!E33)</f>
        <v>774200</v>
      </c>
      <c r="H33" s="274">
        <f>G33/'- 3 -'!D33*100</f>
        <v>2.8386216808805522</v>
      </c>
      <c r="I33" s="273">
        <f>G33/'- 7 -'!F33</f>
        <v>391.50442477876106</v>
      </c>
    </row>
    <row r="34" spans="1:10" ht="14.1" customHeight="1">
      <c r="A34" s="16" t="s">
        <v>131</v>
      </c>
      <c r="B34" s="17">
        <f>SUM('- 24 -'!H34,'- 24 -'!F34,'- 24 -'!D34,'- 24 -'!B34)</f>
        <v>59875</v>
      </c>
      <c r="C34" s="268">
        <f>B34/'- 3 -'!D34*100</f>
        <v>0.2163936817454121</v>
      </c>
      <c r="D34" s="17">
        <f>SUM('- 25 -'!B34,'- 25 -'!E34,'- 25 -'!H34,'- 26 -'!B34)</f>
        <v>1097232</v>
      </c>
      <c r="E34" s="268">
        <f>D34/'- 3 -'!D34*100</f>
        <v>3.9654959867871735</v>
      </c>
      <c r="F34" s="17">
        <f>D34/'- 7 -'!F34</f>
        <v>555.61677131861461</v>
      </c>
      <c r="G34" s="17">
        <f>SUM('- 27 -'!B34,'- 27 -'!E34,'- 27 -'!H34,'- 28 -'!B34,'- 28 -'!E34)</f>
        <v>689000</v>
      </c>
      <c r="H34" s="268">
        <f>G34/'- 3 -'!D34*100</f>
        <v>2.4901085047614022</v>
      </c>
      <c r="I34" s="17">
        <f>G34/'- 7 -'!F34</f>
        <v>348.89609074336641</v>
      </c>
    </row>
    <row r="35" spans="1:10" ht="14.1" customHeight="1">
      <c r="A35" s="272" t="s">
        <v>132</v>
      </c>
      <c r="B35" s="273">
        <f>SUM('- 24 -'!H35,'- 24 -'!F35,'- 24 -'!D35,'- 24 -'!B35)</f>
        <v>620298</v>
      </c>
      <c r="C35" s="274">
        <f>B35/'- 3 -'!D35*100</f>
        <v>0.35206402870590531</v>
      </c>
      <c r="D35" s="273">
        <f>SUM('- 25 -'!B35,'- 25 -'!E35,'- 25 -'!H35,'- 26 -'!B35)</f>
        <v>4961475</v>
      </c>
      <c r="E35" s="274">
        <f>D35/'- 3 -'!D35*100</f>
        <v>2.815996306329589</v>
      </c>
      <c r="F35" s="273">
        <f>D35/'- 7 -'!F35</f>
        <v>317.61570962166314</v>
      </c>
      <c r="G35" s="273">
        <f>SUM('- 27 -'!B35,'- 27 -'!E35,'- 27 -'!H35,'- 28 -'!B35,'- 28 -'!E35)</f>
        <v>7428359</v>
      </c>
      <c r="H35" s="274">
        <f>G35/'- 3 -'!D35*100</f>
        <v>4.2161315951587301</v>
      </c>
      <c r="I35" s="273">
        <f>G35/'- 7 -'!F35</f>
        <v>475.53671339863007</v>
      </c>
    </row>
    <row r="36" spans="1:10" ht="14.1" customHeight="1">
      <c r="A36" s="16" t="s">
        <v>133</v>
      </c>
      <c r="B36" s="17">
        <f>SUM('- 24 -'!H36,'- 24 -'!F36,'- 24 -'!D36,'- 24 -'!B36)</f>
        <v>59385</v>
      </c>
      <c r="C36" s="268">
        <f>B36/'- 3 -'!D36*100</f>
        <v>0.25816669260578595</v>
      </c>
      <c r="D36" s="17">
        <f>SUM('- 25 -'!B36,'- 25 -'!E36,'- 25 -'!H36,'- 26 -'!B36)</f>
        <v>931685</v>
      </c>
      <c r="E36" s="268">
        <f>D36/'- 3 -'!D36*100</f>
        <v>4.0503500042169183</v>
      </c>
      <c r="F36" s="17">
        <f>D36/'- 7 -'!F36</f>
        <v>555.40089418777939</v>
      </c>
      <c r="G36" s="17">
        <f>SUM('- 27 -'!B36,'- 27 -'!E36,'- 27 -'!H36,'- 28 -'!B36,'- 28 -'!E36)</f>
        <v>798675</v>
      </c>
      <c r="H36" s="268">
        <f>G36/'- 3 -'!D36*100</f>
        <v>3.4721105197764772</v>
      </c>
      <c r="I36" s="17">
        <f>G36/'- 7 -'!F36</f>
        <v>476.11028315946351</v>
      </c>
    </row>
    <row r="37" spans="1:10" ht="14.1" customHeight="1">
      <c r="A37" s="272" t="s">
        <v>134</v>
      </c>
      <c r="B37" s="273">
        <f>SUM('- 24 -'!H37,'- 24 -'!F37,'- 24 -'!D37,'- 24 -'!B37)</f>
        <v>299879</v>
      </c>
      <c r="C37" s="274">
        <f>B37/'- 3 -'!D37*100</f>
        <v>0.64115068844607881</v>
      </c>
      <c r="D37" s="273">
        <f>SUM('- 25 -'!B37,'- 25 -'!E37,'- 25 -'!H37,'- 26 -'!B37)</f>
        <v>1588041</v>
      </c>
      <c r="E37" s="274">
        <f>D37/'- 3 -'!D37*100</f>
        <v>3.3952813649191822</v>
      </c>
      <c r="F37" s="273">
        <f>D37/'- 7 -'!F37</f>
        <v>402.18842598455109</v>
      </c>
      <c r="G37" s="273">
        <f>SUM('- 27 -'!B37,'- 27 -'!E37,'- 27 -'!H37,'- 28 -'!B37,'- 28 -'!E37)</f>
        <v>1510158</v>
      </c>
      <c r="H37" s="274">
        <f>G37/'- 3 -'!D37*100</f>
        <v>3.2287650731206705</v>
      </c>
      <c r="I37" s="273">
        <f>G37/'- 7 -'!F37</f>
        <v>382.46372040015194</v>
      </c>
    </row>
    <row r="38" spans="1:10" ht="14.1" customHeight="1">
      <c r="A38" s="16" t="s">
        <v>135</v>
      </c>
      <c r="B38" s="17">
        <f>SUM('- 24 -'!H38,'- 24 -'!F38,'- 24 -'!D38,'- 24 -'!B38)</f>
        <v>1939905</v>
      </c>
      <c r="C38" s="268">
        <f>B38/'- 3 -'!D38*100</f>
        <v>1.5019005818082611</v>
      </c>
      <c r="D38" s="17">
        <f>SUM('- 25 -'!B38,'- 25 -'!E38,'- 25 -'!H38,'- 26 -'!B38)</f>
        <v>3766683</v>
      </c>
      <c r="E38" s="268">
        <f>D38/'- 3 -'!D38*100</f>
        <v>2.9162167163790427</v>
      </c>
      <c r="F38" s="17">
        <f>D38/'- 7 -'!F38</f>
        <v>350.22622036262203</v>
      </c>
      <c r="G38" s="17">
        <f>SUM('- 27 -'!B38,'- 27 -'!E38,'- 27 -'!H38,'- 28 -'!B38,'- 28 -'!E38)</f>
        <v>5162695</v>
      </c>
      <c r="H38" s="268">
        <f>G38/'- 3 -'!D38*100</f>
        <v>3.9970280112678718</v>
      </c>
      <c r="I38" s="17">
        <f>G38/'- 7 -'!F38</f>
        <v>480.02742910274293</v>
      </c>
    </row>
    <row r="39" spans="1:10" ht="14.1" customHeight="1">
      <c r="A39" s="272" t="s">
        <v>136</v>
      </c>
      <c r="B39" s="273">
        <f>SUM('- 24 -'!H39,'- 24 -'!F39,'- 24 -'!D39,'- 24 -'!B39)</f>
        <v>147250</v>
      </c>
      <c r="C39" s="274">
        <f>B39/'- 3 -'!D39*100</f>
        <v>0.67142921631329044</v>
      </c>
      <c r="D39" s="273">
        <f>SUM('- 25 -'!B39,'- 25 -'!E39,'- 25 -'!H39,'- 26 -'!B39)</f>
        <v>918200</v>
      </c>
      <c r="E39" s="274">
        <f>D39/'- 3 -'!D39*100</f>
        <v>4.1868000435916013</v>
      </c>
      <c r="F39" s="273">
        <f>D39/'- 7 -'!F39</f>
        <v>590.86229086229082</v>
      </c>
      <c r="G39" s="273">
        <f>SUM('- 27 -'!B39,'- 27 -'!E39,'- 27 -'!H39,'- 28 -'!B39,'- 28 -'!E39)</f>
        <v>639375</v>
      </c>
      <c r="H39" s="274">
        <f>G39/'- 3 -'!D39*100</f>
        <v>2.915416333991919</v>
      </c>
      <c r="I39" s="273">
        <f>G39/'- 7 -'!F39</f>
        <v>411.43822393822393</v>
      </c>
    </row>
    <row r="40" spans="1:10" ht="14.1" customHeight="1">
      <c r="A40" s="16" t="s">
        <v>137</v>
      </c>
      <c r="B40" s="17">
        <f>SUM('- 24 -'!H40,'- 24 -'!F40,'- 24 -'!D40,'- 24 -'!B40)</f>
        <v>1121296</v>
      </c>
      <c r="C40" s="268">
        <f>B40/'- 3 -'!D40*100</f>
        <v>1.0986783223987358</v>
      </c>
      <c r="D40" s="17">
        <f>SUM('- 25 -'!B40,'- 25 -'!E40,'- 25 -'!H40,'- 26 -'!B40)</f>
        <v>3692551</v>
      </c>
      <c r="E40" s="268">
        <f>D40/'- 3 -'!D40*100</f>
        <v>3.6180685011377673</v>
      </c>
      <c r="F40" s="17">
        <f>D40/'- 7 -'!F40</f>
        <v>470.72686618156229</v>
      </c>
      <c r="G40" s="17">
        <f>SUM('- 27 -'!B40,'- 27 -'!E40,'- 27 -'!H40,'- 28 -'!B40,'- 28 -'!E40)</f>
        <v>3690626</v>
      </c>
      <c r="H40" s="268">
        <f>G40/'- 3 -'!D40*100</f>
        <v>3.6161823303402105</v>
      </c>
      <c r="I40" s="17">
        <f>G40/'- 7 -'!F40</f>
        <v>470.4814669393042</v>
      </c>
    </row>
    <row r="41" spans="1:10" ht="14.1" customHeight="1">
      <c r="A41" s="272" t="s">
        <v>138</v>
      </c>
      <c r="B41" s="273">
        <f>SUM('- 24 -'!H41,'- 24 -'!F41,'- 24 -'!D41,'- 24 -'!B41)</f>
        <v>273278</v>
      </c>
      <c r="C41" s="274">
        <f>B41/'- 3 -'!D41*100</f>
        <v>0.4390309605845375</v>
      </c>
      <c r="D41" s="273">
        <f>SUM('- 25 -'!B41,'- 25 -'!E41,'- 25 -'!H41,'- 26 -'!B41)</f>
        <v>2139105</v>
      </c>
      <c r="E41" s="274">
        <f>D41/'- 3 -'!D41*100</f>
        <v>3.4365493122065702</v>
      </c>
      <c r="F41" s="273">
        <f>D41/'- 7 -'!F41</f>
        <v>491.12731029732521</v>
      </c>
      <c r="G41" s="273">
        <f>SUM('- 27 -'!B41,'- 27 -'!E41,'- 27 -'!H41,'- 28 -'!B41,'- 28 -'!E41)</f>
        <v>1785549</v>
      </c>
      <c r="H41" s="274">
        <f>G41/'- 3 -'!D41*100</f>
        <v>2.8685488500382772</v>
      </c>
      <c r="I41" s="273">
        <f>G41/'- 7 -'!F41</f>
        <v>409.95270347836072</v>
      </c>
    </row>
    <row r="42" spans="1:10" ht="14.1" customHeight="1">
      <c r="A42" s="16" t="s">
        <v>139</v>
      </c>
      <c r="B42" s="17">
        <f>SUM('- 24 -'!H42,'- 24 -'!F42,'- 24 -'!D42,'- 24 -'!B42)</f>
        <v>225600</v>
      </c>
      <c r="C42" s="268">
        <f>B42/'- 3 -'!D42*100</f>
        <v>1.0944155602607233</v>
      </c>
      <c r="D42" s="17">
        <f>SUM('- 25 -'!B42,'- 25 -'!E42,'- 25 -'!H42,'- 26 -'!B42)</f>
        <v>845634</v>
      </c>
      <c r="E42" s="268">
        <f>D42/'- 3 -'!D42*100</f>
        <v>4.1022828363719697</v>
      </c>
      <c r="F42" s="17">
        <f>D42/'- 7 -'!F42</f>
        <v>615.90240349599412</v>
      </c>
      <c r="G42" s="17">
        <f>SUM('- 27 -'!B42,'- 27 -'!E42,'- 27 -'!H42,'- 28 -'!B42,'- 28 -'!E42)</f>
        <v>432870</v>
      </c>
      <c r="H42" s="268">
        <f>G42/'- 3 -'!D42*100</f>
        <v>2.0999098562502625</v>
      </c>
      <c r="I42" s="17">
        <f>G42/'- 7 -'!F42</f>
        <v>315.27312454479244</v>
      </c>
    </row>
    <row r="43" spans="1:10" ht="14.1" customHeight="1">
      <c r="A43" s="272" t="s">
        <v>140</v>
      </c>
      <c r="B43" s="273">
        <f>SUM('- 24 -'!H43,'- 24 -'!F43,'- 24 -'!D43,'- 24 -'!B43)</f>
        <v>11730</v>
      </c>
      <c r="C43" s="274">
        <f>B43/'- 3 -'!D43*100</f>
        <v>9.1395442445103128E-2</v>
      </c>
      <c r="D43" s="273">
        <f>SUM('- 25 -'!B43,'- 25 -'!E43,'- 25 -'!H43,'- 26 -'!B43)</f>
        <v>544590</v>
      </c>
      <c r="E43" s="274">
        <f>D43/'- 3 -'!D43*100</f>
        <v>4.2432262575599928</v>
      </c>
      <c r="F43" s="273">
        <f>D43/'- 7 -'!F43</f>
        <v>581.20597652081108</v>
      </c>
      <c r="G43" s="273">
        <f>SUM('- 27 -'!B43,'- 27 -'!E43,'- 27 -'!H43,'- 28 -'!B43,'- 28 -'!E43)</f>
        <v>472339</v>
      </c>
      <c r="H43" s="274">
        <f>G43/'- 3 -'!D43*100</f>
        <v>3.6802755233655211</v>
      </c>
      <c r="I43" s="273">
        <f>G43/'- 7 -'!F43</f>
        <v>504.09711846318038</v>
      </c>
    </row>
    <row r="44" spans="1:10" ht="14.1" customHeight="1">
      <c r="A44" s="16" t="s">
        <v>141</v>
      </c>
      <c r="B44" s="17">
        <f>SUM('- 24 -'!H44,'- 24 -'!F44,'- 24 -'!D44,'- 24 -'!B44)</f>
        <v>12021</v>
      </c>
      <c r="C44" s="268">
        <f>B44/'- 3 -'!D44*100</f>
        <v>0.10950944850363961</v>
      </c>
      <c r="D44" s="17">
        <f>SUM('- 25 -'!B44,'- 25 -'!E44,'- 25 -'!H44,'- 26 -'!B44)</f>
        <v>404346</v>
      </c>
      <c r="E44" s="268">
        <f>D44/'- 3 -'!D44*100</f>
        <v>3.6835294455247207</v>
      </c>
      <c r="F44" s="17">
        <f>D44/'- 7 -'!F44</f>
        <v>569.50140845070428</v>
      </c>
      <c r="G44" s="17">
        <f>SUM('- 27 -'!B44,'- 27 -'!E44,'- 27 -'!H44,'- 28 -'!B44,'- 28 -'!E44)</f>
        <v>234760</v>
      </c>
      <c r="H44" s="268">
        <f>G44/'- 3 -'!D44*100</f>
        <v>2.1386272465447496</v>
      </c>
      <c r="I44" s="17">
        <f>G44/'- 7 -'!F44</f>
        <v>330.64788732394368</v>
      </c>
    </row>
    <row r="45" spans="1:10" ht="14.1" customHeight="1">
      <c r="A45" s="272" t="s">
        <v>142</v>
      </c>
      <c r="B45" s="273">
        <f>SUM('- 24 -'!H45,'- 24 -'!F45,'- 24 -'!D45,'- 24 -'!B45)</f>
        <v>51907</v>
      </c>
      <c r="C45" s="274">
        <f>B45/'- 3 -'!D45*100</f>
        <v>0.28344227916708259</v>
      </c>
      <c r="D45" s="273">
        <f>SUM('- 25 -'!B45,'- 25 -'!E45,'- 25 -'!H45,'- 26 -'!B45)</f>
        <v>745603</v>
      </c>
      <c r="E45" s="274">
        <f>D45/'- 3 -'!D45*100</f>
        <v>4.0714241561603304</v>
      </c>
      <c r="F45" s="273">
        <f>D45/'- 7 -'!F45</f>
        <v>442.49436201780418</v>
      </c>
      <c r="G45" s="273">
        <f>SUM('- 27 -'!B45,'- 27 -'!E45,'- 27 -'!H45,'- 28 -'!B45,'- 28 -'!E45)</f>
        <v>553154</v>
      </c>
      <c r="H45" s="274">
        <f>G45/'- 3 -'!D45*100</f>
        <v>3.0205411695992526</v>
      </c>
      <c r="I45" s="273">
        <f>G45/'- 7 -'!F45</f>
        <v>328.2813056379822</v>
      </c>
    </row>
    <row r="46" spans="1:10" ht="14.1" customHeight="1">
      <c r="A46" s="16" t="s">
        <v>143</v>
      </c>
      <c r="B46" s="17">
        <f>SUM('- 24 -'!H46,'- 24 -'!F46,'- 24 -'!D46,'- 24 -'!B46)</f>
        <v>9347100</v>
      </c>
      <c r="C46" s="268">
        <f>B46/'- 3 -'!D46*100</f>
        <v>2.440747805583082</v>
      </c>
      <c r="D46" s="17">
        <f>SUM('- 25 -'!B46,'- 25 -'!E46,'- 25 -'!H46,'- 26 -'!B46)</f>
        <v>10657200</v>
      </c>
      <c r="E46" s="268">
        <f>D46/'- 3 -'!D46*100</f>
        <v>2.7828457504102904</v>
      </c>
      <c r="F46" s="17">
        <f>D46/'- 7 -'!F46</f>
        <v>352.70055599682286</v>
      </c>
      <c r="G46" s="17">
        <f>SUM('- 27 -'!B46,'- 27 -'!E46,'- 27 -'!H46,'- 28 -'!B46,'- 28 -'!E46)</f>
        <v>10349100</v>
      </c>
      <c r="H46" s="268">
        <f>G46/'- 3 -'!D46*100</f>
        <v>2.702393588894938</v>
      </c>
      <c r="I46" s="17">
        <f>G46/'- 7 -'!F46</f>
        <v>342.50397140587768</v>
      </c>
    </row>
    <row r="47" spans="1:10" ht="5.0999999999999996" customHeight="1">
      <c r="A47"/>
      <c r="B47"/>
      <c r="C47"/>
      <c r="D47"/>
      <c r="E47"/>
      <c r="F47"/>
      <c r="G47"/>
      <c r="H47"/>
      <c r="I47"/>
      <c r="J47"/>
    </row>
    <row r="48" spans="1:10" ht="14.1" customHeight="1">
      <c r="A48" s="275" t="s">
        <v>144</v>
      </c>
      <c r="B48" s="276">
        <f>SUM(B11:B46)</f>
        <v>22519760</v>
      </c>
      <c r="C48" s="277">
        <f>B48/'- 3 -'!D48*100</f>
        <v>1.0089066366915578</v>
      </c>
      <c r="D48" s="276">
        <f>SUM(D11:D46)</f>
        <v>77130998</v>
      </c>
      <c r="E48" s="277">
        <f>D48/'- 3 -'!D48*100</f>
        <v>3.4555419674474006</v>
      </c>
      <c r="F48" s="276">
        <f>D48/'- 7 -'!F48</f>
        <v>444.43414534030893</v>
      </c>
      <c r="G48" s="276">
        <f>SUM(G11:G46)</f>
        <v>78173501</v>
      </c>
      <c r="H48" s="277">
        <f>G48/'- 3 -'!D48*100</f>
        <v>3.5022470919900628</v>
      </c>
      <c r="I48" s="276">
        <f>G48/'- 7 -'!F48</f>
        <v>450.44111973236477</v>
      </c>
    </row>
    <row r="49" spans="1:9" ht="5.0999999999999996" customHeight="1">
      <c r="A49" s="18" t="s">
        <v>1</v>
      </c>
      <c r="B49" s="19"/>
      <c r="C49" s="267"/>
      <c r="D49" s="19"/>
      <c r="E49" s="267"/>
      <c r="G49" s="19"/>
      <c r="H49" s="267"/>
      <c r="I49" s="19"/>
    </row>
    <row r="50" spans="1:9" ht="14.1" customHeight="1">
      <c r="A50" s="16" t="s">
        <v>145</v>
      </c>
      <c r="B50" s="17">
        <f>SUM('- 24 -'!H50,'- 24 -'!F50,'- 24 -'!D50,'- 24 -'!B50)</f>
        <v>177125</v>
      </c>
      <c r="C50" s="268">
        <f>B50/'- 3 -'!D50*100</f>
        <v>5.275370230843798</v>
      </c>
      <c r="D50" s="17">
        <f>SUM('- 25 -'!B50,'- 25 -'!E50,'- 25 -'!H50,'- 26 -'!B50)</f>
        <v>151020</v>
      </c>
      <c r="E50" s="268">
        <f>D50/'- 3 -'!D50*100</f>
        <v>4.4978767100185202</v>
      </c>
      <c r="F50" s="17">
        <f>D50/'- 7 -'!F50</f>
        <v>932.22222222222217</v>
      </c>
      <c r="G50" s="17">
        <f>SUM('- 27 -'!B50,'- 27 -'!E50,'- 27 -'!H50,'- 28 -'!B50,'- 28 -'!E50)</f>
        <v>134049</v>
      </c>
      <c r="H50" s="268">
        <f>G50/'- 3 -'!D50*100</f>
        <v>3.9924240173571222</v>
      </c>
      <c r="I50" s="17">
        <f>G50/'- 7 -'!F50</f>
        <v>827.46296296296293</v>
      </c>
    </row>
    <row r="51" spans="1:9" ht="14.1" customHeight="1">
      <c r="A51" s="364" t="s">
        <v>540</v>
      </c>
      <c r="B51" s="273">
        <f>SUM('- 24 -'!H51,'- 24 -'!F51,'- 24 -'!D51,'- 24 -'!B51)</f>
        <v>9328646</v>
      </c>
      <c r="C51" s="274">
        <f>B51/'- 3 -'!D51*100</f>
        <v>36.828271099523327</v>
      </c>
      <c r="D51" s="273">
        <f>SUM('- 25 -'!B51,'- 25 -'!E51,'- 25 -'!H51,'- 26 -'!B51)</f>
        <v>3174571</v>
      </c>
      <c r="E51" s="274">
        <f>D51/'- 3 -'!D51*100</f>
        <v>12.532790011828604</v>
      </c>
      <c r="F51" s="273">
        <f>D51/'- 7 -'!F51</f>
        <v>4529.2780710515053</v>
      </c>
      <c r="G51" s="273">
        <f>SUM('- 27 -'!B51,'- 27 -'!E51,'- 27 -'!H51,'- 28 -'!B51,'- 28 -'!E51)</f>
        <v>396678</v>
      </c>
      <c r="H51" s="274">
        <f>G51/'- 3 -'!D51*100</f>
        <v>1.5660327257800022</v>
      </c>
      <c r="I51" s="273">
        <f>G51/'- 7 -'!F51</f>
        <v>565.95520045655587</v>
      </c>
    </row>
    <row r="52" spans="1:9" ht="50.1" customHeight="1"/>
    <row r="53" spans="1:9" ht="15" customHeight="1">
      <c r="E53" s="127"/>
    </row>
    <row r="54" spans="1:9" ht="14.45" customHeight="1">
      <c r="B54" s="73"/>
      <c r="C54" s="73"/>
      <c r="D54" s="73"/>
      <c r="E54" s="73"/>
      <c r="F54" s="73"/>
      <c r="G54" s="73"/>
      <c r="H54" s="73"/>
    </row>
    <row r="55" spans="1:9" ht="14.45" customHeight="1"/>
    <row r="56" spans="1:9" ht="14.45" customHeight="1"/>
    <row r="57" spans="1:9" ht="14.45" customHeight="1"/>
    <row r="58" spans="1:9" ht="14.45" customHeight="1"/>
    <row r="59" spans="1:9" ht="14.45" customHeight="1"/>
  </sheetData>
  <mergeCells count="5">
    <mergeCell ref="B6:C7"/>
    <mergeCell ref="D6:F7"/>
    <mergeCell ref="G6:I7"/>
    <mergeCell ref="F8:F9"/>
    <mergeCell ref="I8:I9"/>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9"/>
  <sheetViews>
    <sheetView showGridLines="0" showZeros="0" workbookViewId="0"/>
  </sheetViews>
  <sheetFormatPr defaultColWidth="15.83203125" defaultRowHeight="12"/>
  <cols>
    <col min="1" max="1" width="32.83203125" style="1" customWidth="1"/>
    <col min="2" max="2" width="12.1640625" style="1" customWidth="1"/>
    <col min="3" max="3" width="7.83203125" style="1" customWidth="1"/>
    <col min="4" max="4" width="9.83203125" style="1" customWidth="1"/>
    <col min="5" max="5" width="13.33203125" style="1" bestFit="1" customWidth="1"/>
    <col min="6" max="6" width="7.83203125" style="1" customWidth="1"/>
    <col min="7" max="7" width="9.83203125" style="1" customWidth="1"/>
    <col min="8" max="8" width="12" style="1" bestFit="1" customWidth="1"/>
    <col min="9" max="9" width="7.83203125" style="1" customWidth="1"/>
    <col min="10" max="10" width="9.83203125" style="1" customWidth="1"/>
    <col min="11" max="16384" width="15.83203125" style="1"/>
  </cols>
  <sheetData>
    <row r="1" spans="1:10" ht="6.95" customHeight="1">
      <c r="A1" s="3"/>
      <c r="B1" s="4"/>
      <c r="C1" s="4"/>
      <c r="D1" s="4"/>
      <c r="E1" s="4"/>
      <c r="F1" s="4"/>
      <c r="G1" s="4"/>
      <c r="H1" s="4"/>
      <c r="I1" s="4"/>
      <c r="J1" s="4"/>
    </row>
    <row r="2" spans="1:10" ht="15.95" customHeight="1">
      <c r="A2" s="133"/>
      <c r="B2" s="5" t="str">
        <f>AEXP_BF</f>
        <v>ANALYSIS OF EXPENSE BY FUNCTION</v>
      </c>
      <c r="C2" s="6"/>
      <c r="D2" s="6"/>
      <c r="E2" s="6"/>
      <c r="F2" s="6"/>
      <c r="G2" s="6"/>
      <c r="H2" s="86"/>
      <c r="I2" s="86"/>
      <c r="J2" s="151" t="s">
        <v>3</v>
      </c>
    </row>
    <row r="3" spans="1:10" ht="15.95" customHeight="1">
      <c r="A3" s="136"/>
      <c r="B3" s="7" t="str">
        <f>+'- 16 -'!B3</f>
        <v>OPERATING FUND 2015/2016 BUDGET</v>
      </c>
      <c r="C3" s="8"/>
      <c r="D3" s="8"/>
      <c r="E3" s="8"/>
      <c r="F3" s="8"/>
      <c r="G3" s="8"/>
      <c r="H3" s="88"/>
      <c r="I3" s="88"/>
      <c r="J3" s="82"/>
    </row>
    <row r="4" spans="1:10" ht="15.95" customHeight="1">
      <c r="B4" s="4"/>
      <c r="C4" s="4"/>
      <c r="D4" s="4"/>
      <c r="E4" s="4"/>
      <c r="F4" s="4"/>
      <c r="G4" s="4"/>
      <c r="H4" s="4"/>
      <c r="I4" s="4"/>
      <c r="J4" s="4"/>
    </row>
    <row r="5" spans="1:10" ht="15.95" customHeight="1">
      <c r="B5" s="4"/>
      <c r="C5" s="4"/>
      <c r="D5" s="4"/>
      <c r="E5" s="4"/>
      <c r="F5" s="4"/>
      <c r="G5" s="4"/>
      <c r="H5" s="4"/>
      <c r="I5" s="4"/>
      <c r="J5" s="4"/>
    </row>
    <row r="6" spans="1:10" ht="15.95" customHeight="1">
      <c r="B6" s="607" t="s">
        <v>415</v>
      </c>
      <c r="C6" s="617"/>
      <c r="D6" s="608"/>
      <c r="E6" s="611" t="s">
        <v>69</v>
      </c>
      <c r="F6" s="617"/>
      <c r="G6" s="608"/>
      <c r="H6" s="613" t="s">
        <v>24</v>
      </c>
      <c r="I6" s="619"/>
      <c r="J6" s="620"/>
    </row>
    <row r="7" spans="1:10" ht="15.95" customHeight="1">
      <c r="B7" s="609"/>
      <c r="C7" s="618"/>
      <c r="D7" s="610"/>
      <c r="E7" s="609"/>
      <c r="F7" s="618"/>
      <c r="G7" s="610"/>
      <c r="H7" s="621"/>
      <c r="I7" s="622"/>
      <c r="J7" s="623"/>
    </row>
    <row r="8" spans="1:10" ht="15.95" customHeight="1">
      <c r="A8" s="83"/>
      <c r="B8" s="139"/>
      <c r="C8" s="138"/>
      <c r="D8" s="525" t="s">
        <v>410</v>
      </c>
      <c r="E8" s="139"/>
      <c r="F8" s="138"/>
      <c r="G8" s="525" t="s">
        <v>410</v>
      </c>
      <c r="H8" s="139"/>
      <c r="I8" s="138"/>
      <c r="J8" s="525" t="s">
        <v>410</v>
      </c>
    </row>
    <row r="9" spans="1:10" ht="15.95" customHeight="1">
      <c r="A9" s="28" t="s">
        <v>37</v>
      </c>
      <c r="B9" s="90" t="s">
        <v>38</v>
      </c>
      <c r="C9" s="90" t="s">
        <v>39</v>
      </c>
      <c r="D9" s="565"/>
      <c r="E9" s="90" t="s">
        <v>38</v>
      </c>
      <c r="F9" s="90" t="s">
        <v>39</v>
      </c>
      <c r="G9" s="527"/>
      <c r="H9" s="90" t="s">
        <v>38</v>
      </c>
      <c r="I9" s="90" t="s">
        <v>39</v>
      </c>
      <c r="J9" s="527"/>
    </row>
    <row r="10" spans="1:10" ht="5.0999999999999996" customHeight="1">
      <c r="A10" s="30"/>
    </row>
    <row r="11" spans="1:10" ht="14.1" customHeight="1">
      <c r="A11" s="272" t="s">
        <v>109</v>
      </c>
      <c r="B11" s="273">
        <f>SUM('- 30 -'!D11,'- 30 -'!B11,'- 29 -'!F11,'- 29 -'!D11,'- 29 -'!B11)</f>
        <v>1284185</v>
      </c>
      <c r="C11" s="274">
        <f>B11/'- 3 -'!D11*100</f>
        <v>6.9764681339766987</v>
      </c>
      <c r="D11" s="273">
        <f>B11/'- 7 -'!F11</f>
        <v>779.71159684274437</v>
      </c>
      <c r="E11" s="273">
        <f>SUM('- 32 -'!D11,'- 32 -'!B11,'- 31 -'!F11,'- 31 -'!D11,'- 31 -'!B11)</f>
        <v>1949200</v>
      </c>
      <c r="F11" s="274">
        <f>E11/'- 3 -'!D11*100</f>
        <v>10.589231058412441</v>
      </c>
      <c r="G11" s="273">
        <f>E11/'- 7 -'!F11</f>
        <v>1183.4851244687311</v>
      </c>
      <c r="H11" s="273">
        <f>SUM('- 33 -'!B11,'- 33 -'!D11)</f>
        <v>314000</v>
      </c>
      <c r="I11" s="274">
        <f>H11/'- 3 -'!D11*100</f>
        <v>1.7058375499392091</v>
      </c>
      <c r="J11" s="273">
        <f>H11/'- 7 -'!F11</f>
        <v>190.64966605950212</v>
      </c>
    </row>
    <row r="12" spans="1:10" ht="14.1" customHeight="1">
      <c r="A12" s="16" t="s">
        <v>110</v>
      </c>
      <c r="B12" s="17">
        <f>SUM('- 30 -'!D12,'- 30 -'!B12,'- 29 -'!F12,'- 29 -'!D12,'- 29 -'!B12)</f>
        <v>2505904</v>
      </c>
      <c r="C12" s="268">
        <f>B12/'- 3 -'!D12*100</f>
        <v>7.8145470215970736</v>
      </c>
      <c r="D12" s="17">
        <f>B12/'- 7 -'!F12</f>
        <v>1155.3268787459658</v>
      </c>
      <c r="E12" s="17">
        <f>SUM('- 32 -'!D12,'- 32 -'!B12,'- 31 -'!F12,'- 31 -'!D12,'- 31 -'!B12)</f>
        <v>3503688</v>
      </c>
      <c r="F12" s="268">
        <f>E12/'- 3 -'!D12*100</f>
        <v>10.926090793983093</v>
      </c>
      <c r="G12" s="17">
        <f>E12/'- 7 -'!F12</f>
        <v>1615.3471645919778</v>
      </c>
      <c r="H12" s="17">
        <f>SUM('- 33 -'!B12,'- 33 -'!D12)</f>
        <v>504461</v>
      </c>
      <c r="I12" s="268">
        <f>H12/'- 3 -'!D12*100</f>
        <v>1.5731385580061652</v>
      </c>
      <c r="J12" s="17">
        <f>H12/'- 7 -'!F12</f>
        <v>232.5776855693868</v>
      </c>
    </row>
    <row r="13" spans="1:10" ht="14.1" customHeight="1">
      <c r="A13" s="272" t="s">
        <v>111</v>
      </c>
      <c r="B13" s="273">
        <f>SUM('- 30 -'!D13,'- 30 -'!B13,'- 29 -'!F13,'- 29 -'!D13,'- 29 -'!B13)</f>
        <v>2294000</v>
      </c>
      <c r="C13" s="274">
        <f>B13/'- 3 -'!D13*100</f>
        <v>2.4696355403592709</v>
      </c>
      <c r="D13" s="273">
        <f>B13/'- 7 -'!F13</f>
        <v>280.86929905111725</v>
      </c>
      <c r="E13" s="273">
        <f>SUM('- 32 -'!D13,'- 32 -'!B13,'- 31 -'!F13,'- 31 -'!D13,'- 31 -'!B13)</f>
        <v>7795600</v>
      </c>
      <c r="F13" s="274">
        <f>E13/'- 3 -'!D13*100</f>
        <v>8.3924545851895065</v>
      </c>
      <c r="G13" s="273">
        <f>E13/'- 7 -'!F13</f>
        <v>954.46587082950714</v>
      </c>
      <c r="H13" s="273">
        <f>SUM('- 33 -'!B13,'- 33 -'!D13)</f>
        <v>1630100</v>
      </c>
      <c r="I13" s="274">
        <f>H13/'- 3 -'!D13*100</f>
        <v>1.7549053593459665</v>
      </c>
      <c r="J13" s="273">
        <f>H13/'- 7 -'!F13</f>
        <v>199.58371594735232</v>
      </c>
    </row>
    <row r="14" spans="1:10" ht="14.1" customHeight="1">
      <c r="A14" s="16" t="s">
        <v>324</v>
      </c>
      <c r="B14" s="17">
        <f>SUM('- 30 -'!D14,'- 30 -'!B14,'- 29 -'!F14,'- 29 -'!D14,'- 29 -'!B14)</f>
        <v>8463440</v>
      </c>
      <c r="C14" s="268">
        <f>B14/'- 3 -'!D14*100</f>
        <v>10.205233296651226</v>
      </c>
      <c r="D14" s="17">
        <f>B14/'- 7 -'!F14</f>
        <v>1589.9755776817583</v>
      </c>
      <c r="E14" s="17">
        <f>SUM('- 32 -'!D14,'- 32 -'!B14,'- 31 -'!F14,'- 31 -'!D14,'- 31 -'!B14)</f>
        <v>8489435</v>
      </c>
      <c r="F14" s="268">
        <f>E14/'- 3 -'!D14*100</f>
        <v>10.236578120924388</v>
      </c>
      <c r="G14" s="17">
        <f>E14/'- 7 -'!F14</f>
        <v>1594.8591020101446</v>
      </c>
      <c r="H14" s="17">
        <f>SUM('- 33 -'!B14,'- 33 -'!D14)</f>
        <v>1331774</v>
      </c>
      <c r="I14" s="268">
        <f>H14/'- 3 -'!D14*100</f>
        <v>1.6058558184868554</v>
      </c>
      <c r="J14" s="17">
        <f>H14/'- 7 -'!F14</f>
        <v>250.19237272214917</v>
      </c>
    </row>
    <row r="15" spans="1:10" ht="14.1" customHeight="1">
      <c r="A15" s="272" t="s">
        <v>112</v>
      </c>
      <c r="B15" s="273">
        <f>SUM('- 30 -'!D15,'- 30 -'!B15,'- 29 -'!F15,'- 29 -'!D15,'- 29 -'!B15)</f>
        <v>1437950</v>
      </c>
      <c r="C15" s="274">
        <f>B15/'- 3 -'!D15*100</f>
        <v>7.1479249891149426</v>
      </c>
      <c r="D15" s="273">
        <f>B15/'- 7 -'!F15</f>
        <v>1008.0266386260078</v>
      </c>
      <c r="E15" s="273">
        <f>SUM('- 32 -'!D15,'- 32 -'!B15,'- 31 -'!F15,'- 31 -'!D15,'- 31 -'!B15)</f>
        <v>2588800</v>
      </c>
      <c r="F15" s="274">
        <f>E15/'- 3 -'!D15*100</f>
        <v>12.868700727995245</v>
      </c>
      <c r="G15" s="273">
        <f>E15/'- 7 -'!F15</f>
        <v>1814.7914475990185</v>
      </c>
      <c r="H15" s="273">
        <f>SUM('- 33 -'!B15,'- 33 -'!D15)</f>
        <v>317000</v>
      </c>
      <c r="I15" s="274">
        <f>H15/'- 3 -'!D15*100</f>
        <v>1.5757795622583795</v>
      </c>
      <c r="J15" s="273">
        <f>H15/'- 7 -'!F15</f>
        <v>222.22222222222223</v>
      </c>
    </row>
    <row r="16" spans="1:10" ht="14.1" customHeight="1">
      <c r="A16" s="16" t="s">
        <v>113</v>
      </c>
      <c r="B16" s="17">
        <f>SUM('- 30 -'!D16,'- 30 -'!B16,'- 29 -'!F16,'- 29 -'!D16,'- 29 -'!B16)</f>
        <v>515846</v>
      </c>
      <c r="C16" s="268">
        <f>B16/'- 3 -'!D16*100</f>
        <v>3.666889328462497</v>
      </c>
      <c r="D16" s="17">
        <f>B16/'- 7 -'!F16</f>
        <v>549.35676251331199</v>
      </c>
      <c r="E16" s="17">
        <f>SUM('- 32 -'!D16,'- 32 -'!B16,'- 31 -'!F16,'- 31 -'!D16,'- 31 -'!B16)</f>
        <v>2125649</v>
      </c>
      <c r="F16" s="268">
        <f>E16/'- 3 -'!D16*100</f>
        <v>15.110167829462625</v>
      </c>
      <c r="G16" s="17">
        <f>E16/'- 7 -'!F16</f>
        <v>2263.7369542066026</v>
      </c>
      <c r="H16" s="17">
        <f>SUM('- 33 -'!B16,'- 33 -'!D16)</f>
        <v>217420</v>
      </c>
      <c r="I16" s="268">
        <f>H16/'- 3 -'!D16*100</f>
        <v>1.5455292428250216</v>
      </c>
      <c r="J16" s="17">
        <f>H16/'- 7 -'!F16</f>
        <v>231.54419595314164</v>
      </c>
    </row>
    <row r="17" spans="1:10" ht="14.1" customHeight="1">
      <c r="A17" s="272" t="s">
        <v>114</v>
      </c>
      <c r="B17" s="273">
        <f>SUM('- 30 -'!D17,'- 30 -'!B17,'- 29 -'!F17,'- 29 -'!D17,'- 29 -'!B17)</f>
        <v>1430233</v>
      </c>
      <c r="C17" s="274">
        <f>B17/'- 3 -'!D17*100</f>
        <v>8.1297120135010807</v>
      </c>
      <c r="D17" s="273">
        <f>B17/'- 7 -'!F17</f>
        <v>1052.8030916451969</v>
      </c>
      <c r="E17" s="273">
        <f>SUM('- 32 -'!D17,'- 32 -'!B17,'- 31 -'!F17,'- 31 -'!D17,'- 31 -'!B17)</f>
        <v>1969105</v>
      </c>
      <c r="F17" s="274">
        <f>E17/'- 3 -'!D17*100</f>
        <v>11.192761301371908</v>
      </c>
      <c r="G17" s="273">
        <f>E17/'- 7 -'!F17</f>
        <v>1449.47000368053</v>
      </c>
      <c r="H17" s="273">
        <f>SUM('- 33 -'!B17,'- 33 -'!D17)</f>
        <v>361000</v>
      </c>
      <c r="I17" s="274">
        <f>H17/'- 3 -'!D17*100</f>
        <v>2.05199155443476</v>
      </c>
      <c r="J17" s="273">
        <f>H17/'- 7 -'!F17</f>
        <v>265.73426573426576</v>
      </c>
    </row>
    <row r="18" spans="1:10" ht="14.1" customHeight="1">
      <c r="A18" s="16" t="s">
        <v>115</v>
      </c>
      <c r="B18" s="17">
        <f>SUM('- 30 -'!D18,'- 30 -'!B18,'- 29 -'!F18,'- 29 -'!D18,'- 29 -'!B18)</f>
        <v>11095697</v>
      </c>
      <c r="C18" s="268">
        <f>B18/'- 3 -'!D18*100</f>
        <v>8.667842810065137</v>
      </c>
      <c r="D18" s="17">
        <f>B18/'- 7 -'!F18</f>
        <v>1772.0226459690814</v>
      </c>
      <c r="E18" s="17">
        <f>SUM('- 32 -'!D18,'- 32 -'!B18,'- 31 -'!F18,'- 31 -'!D18,'- 31 -'!B18)</f>
        <v>22481867</v>
      </c>
      <c r="F18" s="268">
        <f>E18/'- 3 -'!D18*100</f>
        <v>17.562600099190764</v>
      </c>
      <c r="G18" s="17">
        <f>E18/'- 7 -'!F18</f>
        <v>3590.4348728759419</v>
      </c>
      <c r="H18" s="17">
        <f>SUM('- 33 -'!B18,'- 33 -'!D18)</f>
        <v>2075000</v>
      </c>
      <c r="I18" s="268">
        <f>H18/'- 3 -'!D18*100</f>
        <v>1.6209683655641607</v>
      </c>
      <c r="J18" s="17">
        <f>H18/'- 7 -'!F18</f>
        <v>331.38494953366552</v>
      </c>
    </row>
    <row r="19" spans="1:10" ht="14.1" customHeight="1">
      <c r="A19" s="272" t="s">
        <v>116</v>
      </c>
      <c r="B19" s="273">
        <f>SUM('- 30 -'!D19,'- 30 -'!B19,'- 29 -'!F19,'- 29 -'!D19,'- 29 -'!B19)</f>
        <v>2909000</v>
      </c>
      <c r="C19" s="274">
        <f>B19/'- 3 -'!D19*100</f>
        <v>6.4725826383483938</v>
      </c>
      <c r="D19" s="273">
        <f>B19/'- 7 -'!F19</f>
        <v>692.94902334444976</v>
      </c>
      <c r="E19" s="273">
        <f>SUM('- 32 -'!D19,'- 32 -'!B19,'- 31 -'!F19,'- 31 -'!D19,'- 31 -'!B19)</f>
        <v>4133650</v>
      </c>
      <c r="F19" s="274">
        <f>E19/'- 3 -'!D19*100</f>
        <v>9.1974531533203301</v>
      </c>
      <c r="G19" s="273">
        <f>E19/'- 7 -'!F19</f>
        <v>984.67127203430209</v>
      </c>
      <c r="H19" s="273">
        <f>SUM('- 33 -'!B19,'- 33 -'!D19)</f>
        <v>750000</v>
      </c>
      <c r="I19" s="274">
        <f>H19/'- 3 -'!D19*100</f>
        <v>1.6687648603510814</v>
      </c>
      <c r="J19" s="273">
        <f>H19/'- 7 -'!F19</f>
        <v>178.65650309671273</v>
      </c>
    </row>
    <row r="20" spans="1:10" ht="14.1" customHeight="1">
      <c r="A20" s="16" t="s">
        <v>117</v>
      </c>
      <c r="B20" s="17">
        <f>SUM('- 30 -'!D20,'- 30 -'!B20,'- 29 -'!F20,'- 29 -'!D20,'- 29 -'!B20)</f>
        <v>3949700</v>
      </c>
      <c r="C20" s="268">
        <f>B20/'- 3 -'!D20*100</f>
        <v>5.0131494108150099</v>
      </c>
      <c r="D20" s="17">
        <f>B20/'- 7 -'!F20</f>
        <v>528.6708606612234</v>
      </c>
      <c r="E20" s="17">
        <f>SUM('- 32 -'!D20,'- 32 -'!B20,'- 31 -'!F20,'- 31 -'!D20,'- 31 -'!B20)</f>
        <v>9200200</v>
      </c>
      <c r="F20" s="268">
        <f>E20/'- 3 -'!D20*100</f>
        <v>11.67733681276559</v>
      </c>
      <c r="G20" s="17">
        <f>E20/'- 7 -'!F20</f>
        <v>1231.4549591754785</v>
      </c>
      <c r="H20" s="17">
        <f>SUM('- 33 -'!B20,'- 33 -'!D20)</f>
        <v>1463900</v>
      </c>
      <c r="I20" s="268">
        <f>H20/'- 3 -'!D20*100</f>
        <v>1.8580523641016009</v>
      </c>
      <c r="J20" s="17">
        <f>H20/'- 7 -'!F20</f>
        <v>195.94431802971491</v>
      </c>
    </row>
    <row r="21" spans="1:10" ht="14.1" customHeight="1">
      <c r="A21" s="272" t="s">
        <v>118</v>
      </c>
      <c r="B21" s="273">
        <f>SUM('- 30 -'!D21,'- 30 -'!B21,'- 29 -'!F21,'- 29 -'!D21,'- 29 -'!B21)</f>
        <v>2131000</v>
      </c>
      <c r="C21" s="274">
        <f>B21/'- 3 -'!D21*100</f>
        <v>6.0021434778176861</v>
      </c>
      <c r="D21" s="273">
        <f>B21/'- 7 -'!F21</f>
        <v>790.13718946978122</v>
      </c>
      <c r="E21" s="273">
        <f>SUM('- 32 -'!D21,'- 32 -'!B21,'- 31 -'!F21,'- 31 -'!D21,'- 31 -'!B21)</f>
        <v>3619000</v>
      </c>
      <c r="F21" s="274">
        <f>E21/'- 3 -'!D21*100</f>
        <v>10.193222546326703</v>
      </c>
      <c r="G21" s="273">
        <f>E21/'- 7 -'!F21</f>
        <v>1341.8613274008158</v>
      </c>
      <c r="H21" s="273">
        <f>SUM('- 33 -'!B21,'- 33 -'!D21)</f>
        <v>683000</v>
      </c>
      <c r="I21" s="274">
        <f>H21/'- 3 -'!D21*100</f>
        <v>1.9237278251288032</v>
      </c>
      <c r="J21" s="273">
        <f>H21/'- 7 -'!F21</f>
        <v>253.24434556915091</v>
      </c>
    </row>
    <row r="22" spans="1:10" ht="14.1" customHeight="1">
      <c r="A22" s="16" t="s">
        <v>119</v>
      </c>
      <c r="B22" s="17">
        <f>SUM('- 30 -'!D22,'- 30 -'!B22,'- 29 -'!F22,'- 29 -'!D22,'- 29 -'!B22)</f>
        <v>601328</v>
      </c>
      <c r="C22" s="268">
        <f>B22/'- 3 -'!D22*100</f>
        <v>2.9148161499761827</v>
      </c>
      <c r="D22" s="17">
        <f>B22/'- 7 -'!F22</f>
        <v>383.45109042214</v>
      </c>
      <c r="E22" s="17">
        <f>SUM('- 32 -'!D22,'- 32 -'!B22,'- 31 -'!F22,'- 31 -'!D22,'- 31 -'!B22)</f>
        <v>2574760</v>
      </c>
      <c r="F22" s="268">
        <f>E22/'- 3 -'!D22*100</f>
        <v>12.480629590361128</v>
      </c>
      <c r="G22" s="17">
        <f>E22/'- 7 -'!F22</f>
        <v>1641.8569060068869</v>
      </c>
      <c r="H22" s="17">
        <f>SUM('- 33 -'!B22,'- 33 -'!D22)</f>
        <v>376530</v>
      </c>
      <c r="I22" s="268">
        <f>H22/'- 3 -'!D22*100</f>
        <v>1.8251532024960289</v>
      </c>
      <c r="J22" s="17">
        <f>H22/'- 7 -'!F22</f>
        <v>240.10330315010839</v>
      </c>
    </row>
    <row r="23" spans="1:10" ht="14.1" customHeight="1">
      <c r="A23" s="272" t="s">
        <v>120</v>
      </c>
      <c r="B23" s="273">
        <f>SUM('- 30 -'!D23,'- 30 -'!B23,'- 29 -'!F23,'- 29 -'!D23,'- 29 -'!B23)</f>
        <v>1645615</v>
      </c>
      <c r="C23" s="274">
        <f>B23/'- 3 -'!D23*100</f>
        <v>9.9733039583340783</v>
      </c>
      <c r="D23" s="273">
        <f>B23/'- 7 -'!F23</f>
        <v>1477.2127468581687</v>
      </c>
      <c r="E23" s="273">
        <f>SUM('- 32 -'!D23,'- 32 -'!B23,'- 31 -'!F23,'- 31 -'!D23,'- 31 -'!B23)</f>
        <v>1460557</v>
      </c>
      <c r="F23" s="274">
        <f>E23/'- 3 -'!D23*100</f>
        <v>8.851753848544492</v>
      </c>
      <c r="G23" s="273">
        <f>E23/'- 7 -'!F23</f>
        <v>1311.092459605027</v>
      </c>
      <c r="H23" s="273">
        <f>SUM('- 33 -'!B23,'- 33 -'!D23)</f>
        <v>255000</v>
      </c>
      <c r="I23" s="274">
        <f>H23/'- 3 -'!D23*100</f>
        <v>1.5454359065608845</v>
      </c>
      <c r="J23" s="273">
        <f>H23/'- 7 -'!F23</f>
        <v>228.90484739676839</v>
      </c>
    </row>
    <row r="24" spans="1:10" ht="14.1" customHeight="1">
      <c r="A24" s="16" t="s">
        <v>121</v>
      </c>
      <c r="B24" s="17">
        <f>SUM('- 30 -'!D24,'- 30 -'!B24,'- 29 -'!F24,'- 29 -'!D24,'- 29 -'!B24)</f>
        <v>2616915</v>
      </c>
      <c r="C24" s="268">
        <f>B24/'- 3 -'!D24*100</f>
        <v>4.6808113324030431</v>
      </c>
      <c r="D24" s="17">
        <f>B24/'- 7 -'!F24</f>
        <v>658.26059615142754</v>
      </c>
      <c r="E24" s="17">
        <f>SUM('- 32 -'!D24,'- 32 -'!B24,'- 31 -'!F24,'- 31 -'!D24,'- 31 -'!B24)</f>
        <v>6266030</v>
      </c>
      <c r="F24" s="268">
        <f>E24/'- 3 -'!D24*100</f>
        <v>11.207893352736884</v>
      </c>
      <c r="G24" s="17">
        <f>E24/'- 7 -'!F24</f>
        <v>1576.1614891208653</v>
      </c>
      <c r="H24" s="17">
        <f>SUM('- 33 -'!B24,'- 33 -'!D24)</f>
        <v>969000</v>
      </c>
      <c r="I24" s="268">
        <f>H24/'- 3 -'!D24*100</f>
        <v>1.7332264063213934</v>
      </c>
      <c r="J24" s="17">
        <f>H24/'- 7 -'!F24</f>
        <v>243.74292541818639</v>
      </c>
    </row>
    <row r="25" spans="1:10" ht="14.1" customHeight="1">
      <c r="A25" s="272" t="s">
        <v>122</v>
      </c>
      <c r="B25" s="273">
        <f>SUM('- 30 -'!D25,'- 30 -'!B25,'- 29 -'!F25,'- 29 -'!D25,'- 29 -'!B25)</f>
        <v>3873378</v>
      </c>
      <c r="C25" s="274">
        <f>B25/'- 3 -'!D25*100</f>
        <v>2.317412922059745</v>
      </c>
      <c r="D25" s="273">
        <f>B25/'- 7 -'!F25</f>
        <v>276.95670515891459</v>
      </c>
      <c r="E25" s="273">
        <f>SUM('- 32 -'!D25,'- 32 -'!B25,'- 31 -'!F25,'- 31 -'!D25,'- 31 -'!B25)</f>
        <v>17683582</v>
      </c>
      <c r="F25" s="274">
        <f>E25/'- 3 -'!D25*100</f>
        <v>10.579954095650645</v>
      </c>
      <c r="G25" s="273">
        <f>E25/'- 7 -'!F25</f>
        <v>1264.4225805298345</v>
      </c>
      <c r="H25" s="273">
        <f>SUM('- 33 -'!B25,'- 33 -'!D25)</f>
        <v>2837281</v>
      </c>
      <c r="I25" s="274">
        <f>H25/'- 3 -'!D25*100</f>
        <v>1.6975238804254569</v>
      </c>
      <c r="J25" s="273">
        <f>H25/'- 7 -'!F25</f>
        <v>202.87304708448036</v>
      </c>
    </row>
    <row r="26" spans="1:10" ht="14.1" customHeight="1">
      <c r="A26" s="16" t="s">
        <v>123</v>
      </c>
      <c r="B26" s="17">
        <f>SUM('- 30 -'!D26,'- 30 -'!B26,'- 29 -'!F26,'- 29 -'!D26,'- 29 -'!B26)</f>
        <v>3069048</v>
      </c>
      <c r="C26" s="268">
        <f>B26/'- 3 -'!D26*100</f>
        <v>7.6943428611240972</v>
      </c>
      <c r="D26" s="17">
        <f>B26/'- 7 -'!F26</f>
        <v>987.62606596942885</v>
      </c>
      <c r="E26" s="17">
        <f>SUM('- 32 -'!D26,'- 32 -'!B26,'- 31 -'!F26,'- 31 -'!D26,'- 31 -'!B26)</f>
        <v>5039313</v>
      </c>
      <c r="F26" s="268">
        <f>E26/'- 3 -'!D26*100</f>
        <v>12.63395098627322</v>
      </c>
      <c r="G26" s="17">
        <f>E26/'- 7 -'!F26</f>
        <v>1621.6614641995172</v>
      </c>
      <c r="H26" s="17">
        <f>SUM('- 33 -'!B26,'- 33 -'!D26)</f>
        <v>721035</v>
      </c>
      <c r="I26" s="268">
        <f>H26/'- 3 -'!D26*100</f>
        <v>1.8076910184756358</v>
      </c>
      <c r="J26" s="17">
        <f>H26/'- 7 -'!F26</f>
        <v>232.03057119871278</v>
      </c>
    </row>
    <row r="27" spans="1:10" ht="14.1" customHeight="1">
      <c r="A27" s="272" t="s">
        <v>124</v>
      </c>
      <c r="B27" s="273">
        <f>SUM('- 30 -'!D27,'- 30 -'!B27,'- 29 -'!F27,'- 29 -'!D27,'- 29 -'!B27)</f>
        <v>365000</v>
      </c>
      <c r="C27" s="274">
        <f>B27/'- 3 -'!D27*100</f>
        <v>0.85040733812531277</v>
      </c>
      <c r="D27" s="273">
        <f>B27/'- 7 -'!F27</f>
        <v>127.60644275190411</v>
      </c>
      <c r="E27" s="273">
        <f>SUM('- 32 -'!D27,'- 32 -'!B27,'- 31 -'!F27,'- 31 -'!D27,'- 31 -'!B27)</f>
        <v>5001087</v>
      </c>
      <c r="F27" s="274">
        <f>E27/'- 3 -'!D27*100</f>
        <v>11.651948173707138</v>
      </c>
      <c r="G27" s="273">
        <f>E27/'- 7 -'!F27</f>
        <v>1748.4134848295669</v>
      </c>
      <c r="H27" s="273">
        <f>SUM('- 33 -'!B27,'- 33 -'!D27)</f>
        <v>705396</v>
      </c>
      <c r="I27" s="274">
        <f>H27/'- 3 -'!D27*100</f>
        <v>1.6434902320116247</v>
      </c>
      <c r="J27" s="273">
        <f>H27/'- 7 -'!F27</f>
        <v>246.61116244225249</v>
      </c>
    </row>
    <row r="28" spans="1:10" ht="14.1" customHeight="1">
      <c r="A28" s="16" t="s">
        <v>125</v>
      </c>
      <c r="B28" s="17">
        <f>SUM('- 30 -'!D28,'- 30 -'!B28,'- 29 -'!F28,'- 29 -'!D28,'- 29 -'!B28)</f>
        <v>2227765</v>
      </c>
      <c r="C28" s="268">
        <f>B28/'- 3 -'!D28*100</f>
        <v>7.9538452651098472</v>
      </c>
      <c r="D28" s="17">
        <f>B28/'- 7 -'!F28</f>
        <v>1130.5582339507739</v>
      </c>
      <c r="E28" s="17">
        <f>SUM('- 32 -'!D28,'- 32 -'!B28,'- 31 -'!F28,'- 31 -'!D28,'- 31 -'!B28)</f>
        <v>3102710</v>
      </c>
      <c r="F28" s="268">
        <f>E28/'- 3 -'!D28*100</f>
        <v>11.077683347439688</v>
      </c>
      <c r="G28" s="17">
        <f>E28/'- 7 -'!F28</f>
        <v>1574.580055823395</v>
      </c>
      <c r="H28" s="17">
        <f>SUM('- 33 -'!B28,'- 33 -'!D28)</f>
        <v>467000</v>
      </c>
      <c r="I28" s="268">
        <f>H28/'- 3 -'!D28*100</f>
        <v>1.6673418151404205</v>
      </c>
      <c r="J28" s="17">
        <f>H28/'- 7 -'!F28</f>
        <v>236.99568637401674</v>
      </c>
    </row>
    <row r="29" spans="1:10" ht="14.1" customHeight="1">
      <c r="A29" s="272" t="s">
        <v>126</v>
      </c>
      <c r="B29" s="273">
        <f>SUM('- 30 -'!D29,'- 30 -'!B29,'- 29 -'!F29,'- 29 -'!D29,'- 29 -'!B29)</f>
        <v>2862266</v>
      </c>
      <c r="C29" s="274">
        <f>B29/'- 3 -'!D29*100</f>
        <v>1.8487700056094167</v>
      </c>
      <c r="D29" s="273">
        <f>B29/'- 7 -'!F29</f>
        <v>231.8750810110175</v>
      </c>
      <c r="E29" s="273">
        <f>SUM('- 32 -'!D29,'- 32 -'!B29,'- 31 -'!F29,'- 31 -'!D29,'- 31 -'!B29)</f>
        <v>20987069</v>
      </c>
      <c r="F29" s="274">
        <f>E29/'- 3 -'!D29*100</f>
        <v>13.555785406686596</v>
      </c>
      <c r="G29" s="273">
        <f>E29/'- 7 -'!F29</f>
        <v>1700.1838139987037</v>
      </c>
      <c r="H29" s="273">
        <f>SUM('- 33 -'!B29,'- 33 -'!D29)</f>
        <v>2709000</v>
      </c>
      <c r="I29" s="274">
        <f>H29/'- 3 -'!D29*100</f>
        <v>1.7497737614868465</v>
      </c>
      <c r="J29" s="273">
        <f>H29/'- 7 -'!F29</f>
        <v>219.45884640311081</v>
      </c>
    </row>
    <row r="30" spans="1:10" ht="14.1" customHeight="1">
      <c r="A30" s="16" t="s">
        <v>127</v>
      </c>
      <c r="B30" s="17">
        <f>SUM('- 30 -'!D30,'- 30 -'!B30,'- 29 -'!F30,'- 29 -'!D30,'- 29 -'!B30)</f>
        <v>1242468</v>
      </c>
      <c r="C30" s="268">
        <f>B30/'- 3 -'!D30*100</f>
        <v>8.8795644906325499</v>
      </c>
      <c r="D30" s="17">
        <f>B30/'- 7 -'!F30</f>
        <v>1210.9824561403509</v>
      </c>
      <c r="E30" s="17">
        <f>SUM('- 32 -'!D30,'- 32 -'!B30,'- 31 -'!F30,'- 31 -'!D30,'- 31 -'!B30)</f>
        <v>1433822</v>
      </c>
      <c r="F30" s="268">
        <f>E30/'- 3 -'!D30*100</f>
        <v>10.247116961634219</v>
      </c>
      <c r="G30" s="17">
        <f>E30/'- 7 -'!F30</f>
        <v>1397.4873294346978</v>
      </c>
      <c r="H30" s="17">
        <f>SUM('- 33 -'!B30,'- 33 -'!D30)</f>
        <v>226444</v>
      </c>
      <c r="I30" s="268">
        <f>H30/'- 3 -'!D30*100</f>
        <v>1.6183306946471034</v>
      </c>
      <c r="J30" s="17">
        <f>H30/'- 7 -'!F30</f>
        <v>220.70565302144249</v>
      </c>
    </row>
    <row r="31" spans="1:10" ht="14.1" customHeight="1">
      <c r="A31" s="272" t="s">
        <v>128</v>
      </c>
      <c r="B31" s="273">
        <f>SUM('- 30 -'!D31,'- 30 -'!B31,'- 29 -'!F31,'- 29 -'!D31,'- 29 -'!B31)</f>
        <v>1128025</v>
      </c>
      <c r="C31" s="274">
        <f>B31/'- 3 -'!D31*100</f>
        <v>3.1152699165521089</v>
      </c>
      <c r="D31" s="273">
        <f>B31/'- 7 -'!F31</f>
        <v>353.39129072681703</v>
      </c>
      <c r="E31" s="273">
        <f>SUM('- 32 -'!D31,'- 32 -'!B31,'- 31 -'!F31,'- 31 -'!D31,'- 31 -'!B31)</f>
        <v>3988809</v>
      </c>
      <c r="F31" s="274">
        <f>E31/'- 3 -'!D31*100</f>
        <v>11.015905392675075</v>
      </c>
      <c r="G31" s="273">
        <f>E31/'- 7 -'!F31</f>
        <v>1249.6268796992481</v>
      </c>
      <c r="H31" s="273">
        <f>SUM('- 33 -'!B31,'- 33 -'!D31)</f>
        <v>647071</v>
      </c>
      <c r="I31" s="274">
        <f>H31/'- 3 -'!D31*100</f>
        <v>1.787017858800372</v>
      </c>
      <c r="J31" s="273">
        <f>H31/'- 7 -'!F31</f>
        <v>202.71647869674186</v>
      </c>
    </row>
    <row r="32" spans="1:10" ht="14.1" customHeight="1">
      <c r="A32" s="16" t="s">
        <v>129</v>
      </c>
      <c r="B32" s="17">
        <f>SUM('- 30 -'!D32,'- 30 -'!B32,'- 29 -'!F32,'- 29 -'!D32,'- 29 -'!B32)</f>
        <v>2132903</v>
      </c>
      <c r="C32" s="268">
        <f>B32/'- 3 -'!D32*100</f>
        <v>7.4170872424053291</v>
      </c>
      <c r="D32" s="17">
        <f>B32/'- 7 -'!F32</f>
        <v>1007.0601288982272</v>
      </c>
      <c r="E32" s="17">
        <f>SUM('- 32 -'!D32,'- 32 -'!B32,'- 31 -'!F32,'- 31 -'!D32,'- 31 -'!B32)</f>
        <v>3483105</v>
      </c>
      <c r="F32" s="268">
        <f>E32/'- 3 -'!D32*100</f>
        <v>12.112362193432244</v>
      </c>
      <c r="G32" s="17">
        <f>E32/'- 7 -'!F32</f>
        <v>1644.5643192709933</v>
      </c>
      <c r="H32" s="17">
        <f>SUM('- 33 -'!B32,'- 33 -'!D32)</f>
        <v>489000</v>
      </c>
      <c r="I32" s="268">
        <f>H32/'- 3 -'!D32*100</f>
        <v>1.7004784847394401</v>
      </c>
      <c r="J32" s="17">
        <f>H32/'- 7 -'!F32</f>
        <v>230.88363747963834</v>
      </c>
    </row>
    <row r="33" spans="1:11" ht="14.1" customHeight="1">
      <c r="A33" s="272" t="s">
        <v>130</v>
      </c>
      <c r="B33" s="273">
        <f>SUM('- 30 -'!D33,'- 30 -'!B33,'- 29 -'!F33,'- 29 -'!D33,'- 29 -'!B33)</f>
        <v>2395800</v>
      </c>
      <c r="C33" s="274">
        <f>B33/'- 3 -'!D33*100</f>
        <v>8.7842544859902176</v>
      </c>
      <c r="D33" s="273">
        <f>B33/'- 7 -'!F33</f>
        <v>1211.5297092288242</v>
      </c>
      <c r="E33" s="273">
        <f>SUM('- 32 -'!D33,'- 32 -'!B33,'- 31 -'!F33,'- 31 -'!D33,'- 31 -'!B33)</f>
        <v>3296700</v>
      </c>
      <c r="F33" s="274">
        <f>E33/'- 3 -'!D33*100</f>
        <v>12.087424561300589</v>
      </c>
      <c r="G33" s="273">
        <f>E33/'- 7 -'!F33</f>
        <v>1667.1049304677624</v>
      </c>
      <c r="H33" s="273">
        <f>SUM('- 33 -'!B33,'- 33 -'!D33)</f>
        <v>420000</v>
      </c>
      <c r="I33" s="274">
        <f>H33/'- 3 -'!D33*100</f>
        <v>1.5399394290491242</v>
      </c>
      <c r="J33" s="273">
        <f>H33/'- 7 -'!F33</f>
        <v>212.38938053097345</v>
      </c>
    </row>
    <row r="34" spans="1:11" ht="14.1" customHeight="1">
      <c r="A34" s="16" t="s">
        <v>131</v>
      </c>
      <c r="B34" s="17">
        <f>SUM('- 30 -'!D34,'- 30 -'!B34,'- 29 -'!F34,'- 29 -'!D34,'- 29 -'!B34)</f>
        <v>2801549</v>
      </c>
      <c r="C34" s="268">
        <f>B34/'- 3 -'!D34*100</f>
        <v>10.125052237163716</v>
      </c>
      <c r="D34" s="17">
        <f>B34/'- 7 -'!F34</f>
        <v>1418.6494834919993</v>
      </c>
      <c r="E34" s="17">
        <f>SUM('- 32 -'!D34,'- 32 -'!B34,'- 31 -'!F34,'- 31 -'!D34,'- 31 -'!B34)</f>
        <v>2737403</v>
      </c>
      <c r="F34" s="268">
        <f>E34/'- 3 -'!D34*100</f>
        <v>9.893222773961357</v>
      </c>
      <c r="G34" s="17">
        <f>E34/'- 7 -'!F34</f>
        <v>1386.1672068057526</v>
      </c>
      <c r="H34" s="17">
        <f>SUM('- 33 -'!B34,'- 33 -'!D34)</f>
        <v>483283</v>
      </c>
      <c r="I34" s="268">
        <f>H34/'- 3 -'!D34*100</f>
        <v>1.7466286045088601</v>
      </c>
      <c r="J34" s="17">
        <f>H34/'- 7 -'!F34</f>
        <v>244.72503544662752</v>
      </c>
    </row>
    <row r="35" spans="1:11" ht="14.1" customHeight="1">
      <c r="A35" s="272" t="s">
        <v>132</v>
      </c>
      <c r="B35" s="273">
        <f>SUM('- 30 -'!D35,'- 30 -'!B35,'- 29 -'!F35,'- 29 -'!D35,'- 29 -'!B35)</f>
        <v>4150050</v>
      </c>
      <c r="C35" s="274">
        <f>B35/'- 3 -'!D35*100</f>
        <v>2.3554538662561257</v>
      </c>
      <c r="D35" s="273">
        <f>B35/'- 7 -'!F35</f>
        <v>265.67121183022851</v>
      </c>
      <c r="E35" s="273">
        <f>SUM('- 32 -'!D35,'- 32 -'!B35,'- 31 -'!F35,'- 31 -'!D35,'- 31 -'!B35)</f>
        <v>21007275</v>
      </c>
      <c r="F35" s="274">
        <f>E35/'- 3 -'!D35*100</f>
        <v>11.923149629102216</v>
      </c>
      <c r="G35" s="273">
        <f>E35/'- 7 -'!F35</f>
        <v>1344.8098713270597</v>
      </c>
      <c r="H35" s="273">
        <f>SUM('- 33 -'!B35,'- 33 -'!D35)</f>
        <v>3083700</v>
      </c>
      <c r="I35" s="274">
        <f>H35/'- 3 -'!D35*100</f>
        <v>1.7502230304150588</v>
      </c>
      <c r="J35" s="273">
        <f>H35/'- 7 -'!F35</f>
        <v>197.4073362780872</v>
      </c>
    </row>
    <row r="36" spans="1:11" ht="14.1" customHeight="1">
      <c r="A36" s="16" t="s">
        <v>133</v>
      </c>
      <c r="B36" s="17">
        <f>SUM('- 30 -'!D36,'- 30 -'!B36,'- 29 -'!F36,'- 29 -'!D36,'- 29 -'!B36)</f>
        <v>1597250</v>
      </c>
      <c r="C36" s="268">
        <f>B36/'- 3 -'!D36*100</f>
        <v>6.9437863057100548</v>
      </c>
      <c r="D36" s="17">
        <f>B36/'- 7 -'!F36</f>
        <v>952.1609538002981</v>
      </c>
      <c r="E36" s="17">
        <f>SUM('- 32 -'!D36,'- 32 -'!B36,'- 31 -'!F36,'- 31 -'!D36,'- 31 -'!B36)</f>
        <v>2760920</v>
      </c>
      <c r="F36" s="268">
        <f>E36/'- 3 -'!D36*100</f>
        <v>12.002653615377058</v>
      </c>
      <c r="G36" s="17">
        <f>E36/'- 7 -'!F36</f>
        <v>1645.8539493293592</v>
      </c>
      <c r="H36" s="17">
        <f>SUM('- 33 -'!B36,'- 33 -'!D36)</f>
        <v>425000</v>
      </c>
      <c r="I36" s="268">
        <f>H36/'- 3 -'!D36*100</f>
        <v>1.8476188323222873</v>
      </c>
      <c r="J36" s="17">
        <f>H36/'- 7 -'!F36</f>
        <v>253.3532041728763</v>
      </c>
    </row>
    <row r="37" spans="1:11" ht="14.1" customHeight="1">
      <c r="A37" s="272" t="s">
        <v>134</v>
      </c>
      <c r="B37" s="273">
        <f>SUM('- 30 -'!D37,'- 30 -'!B37,'- 29 -'!F37,'- 29 -'!D37,'- 29 -'!B37)</f>
        <v>3028439</v>
      </c>
      <c r="C37" s="274">
        <f>B37/'- 3 -'!D37*100</f>
        <v>6.4748973744975622</v>
      </c>
      <c r="D37" s="273">
        <f>B37/'- 7 -'!F37</f>
        <v>766.9846777257186</v>
      </c>
      <c r="E37" s="273">
        <f>SUM('- 32 -'!D37,'- 32 -'!B37,'- 31 -'!F37,'- 31 -'!D37,'- 31 -'!B37)</f>
        <v>4884112</v>
      </c>
      <c r="F37" s="274">
        <f>E37/'- 3 -'!D37*100</f>
        <v>10.442384332506629</v>
      </c>
      <c r="G37" s="273">
        <f>E37/'- 7 -'!F37</f>
        <v>1236.9537799164239</v>
      </c>
      <c r="H37" s="273">
        <f>SUM('- 33 -'!B37,'- 33 -'!D37)</f>
        <v>765000</v>
      </c>
      <c r="I37" s="274">
        <f>H37/'- 3 -'!D37*100</f>
        <v>1.6355939450953563</v>
      </c>
      <c r="J37" s="273">
        <f>H37/'- 7 -'!F37</f>
        <v>193.74445992148918</v>
      </c>
    </row>
    <row r="38" spans="1:11" ht="14.1" customHeight="1">
      <c r="A38" s="16" t="s">
        <v>135</v>
      </c>
      <c r="B38" s="17">
        <f>SUM('- 30 -'!D38,'- 30 -'!B38,'- 29 -'!F38,'- 29 -'!D38,'- 29 -'!B38)</f>
        <v>3671705</v>
      </c>
      <c r="C38" s="268">
        <f>B38/'- 3 -'!D38*100</f>
        <v>2.8426834694112868</v>
      </c>
      <c r="D38" s="17">
        <f>B38/'- 7 -'!F38</f>
        <v>341.39516503951648</v>
      </c>
      <c r="E38" s="17">
        <f>SUM('- 32 -'!D38,'- 32 -'!B38,'- 31 -'!F38,'- 31 -'!D38,'- 31 -'!B38)</f>
        <v>13016910</v>
      </c>
      <c r="F38" s="268">
        <f>E38/'- 3 -'!D38*100</f>
        <v>10.077867061709606</v>
      </c>
      <c r="G38" s="17">
        <f>E38/'- 7 -'!F38</f>
        <v>1210.3124128312413</v>
      </c>
      <c r="H38" s="17">
        <f>SUM('- 33 -'!B38,'- 33 -'!D38)</f>
        <v>2349380</v>
      </c>
      <c r="I38" s="268">
        <f>H38/'- 3 -'!D38*100</f>
        <v>1.8189216424972836</v>
      </c>
      <c r="J38" s="17">
        <f>H38/'- 7 -'!F38</f>
        <v>218.44537424453742</v>
      </c>
    </row>
    <row r="39" spans="1:11" ht="14.1" customHeight="1">
      <c r="A39" s="272" t="s">
        <v>136</v>
      </c>
      <c r="B39" s="273">
        <f>SUM('- 30 -'!D39,'- 30 -'!B39,'- 29 -'!F39,'- 29 -'!D39,'- 29 -'!B39)</f>
        <v>2145340</v>
      </c>
      <c r="C39" s="274">
        <f>B39/'- 3 -'!D39*100</f>
        <v>9.782301901022441</v>
      </c>
      <c r="D39" s="273">
        <f>B39/'- 7 -'!F39</f>
        <v>1380.5276705276706</v>
      </c>
      <c r="E39" s="273">
        <f>SUM('- 32 -'!D39,'- 32 -'!B39,'- 31 -'!F39,'- 31 -'!D39,'- 31 -'!B39)</f>
        <v>2385900</v>
      </c>
      <c r="F39" s="274">
        <f>E39/'- 3 -'!D39*100</f>
        <v>10.879205210199522</v>
      </c>
      <c r="G39" s="273">
        <f>E39/'- 7 -'!F39</f>
        <v>1535.3281853281853</v>
      </c>
      <c r="H39" s="273">
        <f>SUM('- 33 -'!B39,'- 33 -'!D39)</f>
        <v>440000</v>
      </c>
      <c r="I39" s="274">
        <f>H39/'- 3 -'!D39*100</f>
        <v>2.0063080147901378</v>
      </c>
      <c r="J39" s="273">
        <f>H39/'- 7 -'!F39</f>
        <v>283.14028314028315</v>
      </c>
    </row>
    <row r="40" spans="1:11" ht="14.1" customHeight="1">
      <c r="A40" s="16" t="s">
        <v>137</v>
      </c>
      <c r="B40" s="17">
        <f>SUM('- 30 -'!D40,'- 30 -'!B40,'- 29 -'!F40,'- 29 -'!D40,'- 29 -'!B40)</f>
        <v>2082735</v>
      </c>
      <c r="C40" s="268">
        <f>B40/'- 3 -'!D40*100</f>
        <v>2.040724122623403</v>
      </c>
      <c r="D40" s="17">
        <f>B40/'- 7 -'!F40</f>
        <v>265.50731990882622</v>
      </c>
      <c r="E40" s="17">
        <f>SUM('- 32 -'!D40,'- 32 -'!B40,'- 31 -'!F40,'- 31 -'!D40,'- 31 -'!B40)</f>
        <v>10907195</v>
      </c>
      <c r="F40" s="268">
        <f>E40/'- 3 -'!D40*100</f>
        <v>10.687185814161362</v>
      </c>
      <c r="G40" s="17">
        <f>E40/'- 7 -'!F40</f>
        <v>1390.4505912528236</v>
      </c>
      <c r="H40" s="17">
        <f>SUM('- 33 -'!B40,'- 33 -'!D40)</f>
        <v>1699852</v>
      </c>
      <c r="I40" s="268">
        <f>H40/'- 3 -'!D40*100</f>
        <v>1.665564261074806</v>
      </c>
      <c r="J40" s="17">
        <f>H40/'- 7 -'!F40</f>
        <v>216.69734688362087</v>
      </c>
    </row>
    <row r="41" spans="1:11" ht="14.1" customHeight="1">
      <c r="A41" s="272" t="s">
        <v>138</v>
      </c>
      <c r="B41" s="273">
        <f>SUM('- 30 -'!D41,'- 30 -'!B41,'- 29 -'!F41,'- 29 -'!D41,'- 29 -'!B41)</f>
        <v>5066480</v>
      </c>
      <c r="C41" s="274">
        <f>B41/'- 3 -'!D41*100</f>
        <v>8.1394828020636414</v>
      </c>
      <c r="D41" s="273">
        <f>B41/'- 7 -'!F41</f>
        <v>1163.2372861898748</v>
      </c>
      <c r="E41" s="273">
        <f>SUM('- 32 -'!D41,'- 32 -'!B41,'- 31 -'!F41,'- 31 -'!D41,'- 31 -'!B41)</f>
        <v>5919367</v>
      </c>
      <c r="F41" s="274">
        <f>E41/'- 3 -'!D41*100</f>
        <v>9.5096765201092364</v>
      </c>
      <c r="G41" s="273">
        <f>E41/'- 7 -'!F41</f>
        <v>1359.0556767305704</v>
      </c>
      <c r="H41" s="273">
        <f>SUM('- 33 -'!B41,'- 33 -'!D41)</f>
        <v>1133000</v>
      </c>
      <c r="I41" s="274">
        <f>H41/'- 3 -'!D41*100</f>
        <v>1.820205352579721</v>
      </c>
      <c r="J41" s="273">
        <f>H41/'- 7 -'!F41</f>
        <v>260.13086901618641</v>
      </c>
    </row>
    <row r="42" spans="1:11" ht="14.1" customHeight="1">
      <c r="A42" s="16" t="s">
        <v>139</v>
      </c>
      <c r="B42" s="17">
        <f>SUM('- 30 -'!D42,'- 30 -'!B42,'- 29 -'!F42,'- 29 -'!D42,'- 29 -'!B42)</f>
        <v>1821721</v>
      </c>
      <c r="C42" s="268">
        <f>B42/'- 3 -'!D42*100</f>
        <v>8.8374105002381427</v>
      </c>
      <c r="D42" s="17">
        <f>B42/'- 7 -'!F42</f>
        <v>1326.8179169701384</v>
      </c>
      <c r="E42" s="17">
        <f>SUM('- 32 -'!D42,'- 32 -'!B42,'- 31 -'!F42,'- 31 -'!D42,'- 31 -'!B42)</f>
        <v>2395777</v>
      </c>
      <c r="F42" s="268">
        <f>E42/'- 3 -'!D42*100</f>
        <v>11.622232392352636</v>
      </c>
      <c r="G42" s="17">
        <f>E42/'- 7 -'!F42</f>
        <v>1744.9213401310997</v>
      </c>
      <c r="H42" s="17">
        <f>SUM('- 33 -'!B42,'- 33 -'!D42)</f>
        <v>323000</v>
      </c>
      <c r="I42" s="268">
        <f>H42/'- 3 -'!D42*100</f>
        <v>1.566915895231443</v>
      </c>
      <c r="J42" s="17">
        <f>H42/'- 7 -'!F42</f>
        <v>235.25127458120903</v>
      </c>
    </row>
    <row r="43" spans="1:11" ht="14.1" customHeight="1">
      <c r="A43" s="272" t="s">
        <v>140</v>
      </c>
      <c r="B43" s="273">
        <f>SUM('- 30 -'!D43,'- 30 -'!B43,'- 29 -'!F43,'- 29 -'!D43,'- 29 -'!B43)</f>
        <v>1228537</v>
      </c>
      <c r="C43" s="274">
        <f>B43/'- 3 -'!D43*100</f>
        <v>9.5722662127177891</v>
      </c>
      <c r="D43" s="273">
        <f>B43/'- 7 -'!F43</f>
        <v>1311.1387406616861</v>
      </c>
      <c r="E43" s="273">
        <f>SUM('- 32 -'!D43,'- 32 -'!B43,'- 31 -'!F43,'- 31 -'!D43,'- 31 -'!B43)</f>
        <v>1067504</v>
      </c>
      <c r="F43" s="274">
        <f>E43/'- 3 -'!D43*100</f>
        <v>8.3175618407431688</v>
      </c>
      <c r="G43" s="273">
        <f>E43/'- 7 -'!F43</f>
        <v>1139.2785485592317</v>
      </c>
      <c r="H43" s="273">
        <f>SUM('- 33 -'!B43,'- 33 -'!D43)</f>
        <v>228000</v>
      </c>
      <c r="I43" s="274">
        <f>H43/'- 3 -'!D43*100</f>
        <v>1.7764843032807769</v>
      </c>
      <c r="J43" s="273">
        <f>H43/'- 7 -'!F43</f>
        <v>243.32977588046958</v>
      </c>
    </row>
    <row r="44" spans="1:11" ht="14.1" customHeight="1">
      <c r="A44" s="16" t="s">
        <v>141</v>
      </c>
      <c r="B44" s="17">
        <f>SUM('- 30 -'!D44,'- 30 -'!B44,'- 29 -'!F44,'- 29 -'!D44,'- 29 -'!B44)</f>
        <v>1117373</v>
      </c>
      <c r="C44" s="268">
        <f>B44/'- 3 -'!D44*100</f>
        <v>10.179095000653632</v>
      </c>
      <c r="D44" s="17">
        <f>B44/'- 7 -'!F44</f>
        <v>1573.7647887323944</v>
      </c>
      <c r="E44" s="17">
        <f>SUM('- 32 -'!D44,'- 32 -'!B44,'- 31 -'!F44,'- 31 -'!D44,'- 31 -'!B44)</f>
        <v>1248652</v>
      </c>
      <c r="F44" s="268">
        <f>E44/'- 3 -'!D44*100</f>
        <v>11.375026361614392</v>
      </c>
      <c r="G44" s="17">
        <f>E44/'- 7 -'!F44</f>
        <v>1758.6647887323943</v>
      </c>
      <c r="H44" s="17">
        <f>SUM('- 33 -'!B44,'- 33 -'!D44)</f>
        <v>170603</v>
      </c>
      <c r="I44" s="268">
        <f>H44/'- 3 -'!D44*100</f>
        <v>1.5541669114937551</v>
      </c>
      <c r="J44" s="17">
        <f>H44/'- 7 -'!F44</f>
        <v>240.28591549295774</v>
      </c>
    </row>
    <row r="45" spans="1:11" ht="14.1" customHeight="1">
      <c r="A45" s="272" t="s">
        <v>142</v>
      </c>
      <c r="B45" s="273">
        <f>SUM('- 30 -'!D45,'- 30 -'!B45,'- 29 -'!F45,'- 29 -'!D45,'- 29 -'!B45)</f>
        <v>776933</v>
      </c>
      <c r="C45" s="274">
        <f>B45/'- 3 -'!D45*100</f>
        <v>4.2425040992567276</v>
      </c>
      <c r="D45" s="273">
        <f>B45/'- 7 -'!F45</f>
        <v>461.08783382789318</v>
      </c>
      <c r="E45" s="273">
        <f>SUM('- 32 -'!D45,'- 32 -'!B45,'- 31 -'!F45,'- 31 -'!D45,'- 31 -'!B45)</f>
        <v>1793831</v>
      </c>
      <c r="F45" s="274">
        <f>E45/'- 3 -'!D45*100</f>
        <v>9.7953560614284569</v>
      </c>
      <c r="G45" s="273">
        <f>E45/'- 7 -'!F45</f>
        <v>1064.5881305637981</v>
      </c>
      <c r="H45" s="273">
        <f>SUM('- 33 -'!B45,'- 33 -'!D45)</f>
        <v>325508</v>
      </c>
      <c r="I45" s="274">
        <f>H45/'- 3 -'!D45*100</f>
        <v>1.7774621805752349</v>
      </c>
      <c r="J45" s="273">
        <f>H45/'- 7 -'!F45</f>
        <v>193.17982195845698</v>
      </c>
    </row>
    <row r="46" spans="1:11" ht="14.1" customHeight="1">
      <c r="A46" s="16" t="s">
        <v>143</v>
      </c>
      <c r="B46" s="17">
        <f>SUM('- 30 -'!D46,'- 30 -'!B46,'- 29 -'!F46,'- 29 -'!D46,'- 29 -'!B46)</f>
        <v>5490600</v>
      </c>
      <c r="C46" s="268">
        <f>B46/'- 3 -'!D46*100</f>
        <v>1.4337248880759241</v>
      </c>
      <c r="D46" s="17">
        <f>B46/'- 7 -'!F46</f>
        <v>181.71167593328039</v>
      </c>
      <c r="E46" s="17">
        <f>SUM('- 32 -'!D46,'- 32 -'!B46,'- 31 -'!F46,'- 31 -'!D46,'- 31 -'!B46)</f>
        <v>48066400</v>
      </c>
      <c r="F46" s="268">
        <f>E46/'- 3 -'!D46*100</f>
        <v>12.551268342296398</v>
      </c>
      <c r="G46" s="17">
        <f>E46/'- 7 -'!F46</f>
        <v>1590.7598623245963</v>
      </c>
      <c r="H46" s="17">
        <f>SUM('- 33 -'!B46,'- 33 -'!D46)</f>
        <v>7014700</v>
      </c>
      <c r="I46" s="268">
        <f>H46/'- 3 -'!D46*100</f>
        <v>1.8317032696583591</v>
      </c>
      <c r="J46" s="17">
        <f>H46/'- 7 -'!F46</f>
        <v>232.15184008472332</v>
      </c>
    </row>
    <row r="47" spans="1:11" ht="5.0999999999999996" customHeight="1">
      <c r="A47"/>
      <c r="B47"/>
      <c r="C47"/>
      <c r="D47"/>
      <c r="E47"/>
      <c r="F47"/>
      <c r="G47"/>
      <c r="H47"/>
      <c r="I47"/>
      <c r="J47"/>
      <c r="K47"/>
    </row>
    <row r="48" spans="1:11" ht="14.1" customHeight="1">
      <c r="A48" s="275" t="s">
        <v>144</v>
      </c>
      <c r="B48" s="276">
        <f>SUM(B11:B46)</f>
        <v>97156178</v>
      </c>
      <c r="C48" s="277">
        <f>B48/'- 3 -'!D48*100</f>
        <v>4.3526890508507341</v>
      </c>
      <c r="D48" s="276">
        <f>B48/'- 7 -'!F48</f>
        <v>559.82061756754297</v>
      </c>
      <c r="E48" s="276">
        <f>SUM(E11:E46)</f>
        <v>260364984</v>
      </c>
      <c r="F48" s="277">
        <f>E48/'- 3 -'!D48*100</f>
        <v>11.664598571196642</v>
      </c>
      <c r="G48" s="276">
        <f>E48/'- 7 -'!F48</f>
        <v>1500.2410462857385</v>
      </c>
      <c r="H48" s="276">
        <f>SUM(H11:H46)</f>
        <v>38911438</v>
      </c>
      <c r="I48" s="277">
        <f>H48/'- 3 -'!D48*100</f>
        <v>1.7432693794877065</v>
      </c>
      <c r="J48" s="276">
        <f>H48/'- 7 -'!F48</f>
        <v>224.21039711546868</v>
      </c>
    </row>
    <row r="49" spans="1:10" ht="5.0999999999999996" customHeight="1">
      <c r="A49" s="18" t="s">
        <v>1</v>
      </c>
      <c r="B49" s="19"/>
      <c r="C49" s="267"/>
      <c r="D49" s="19"/>
      <c r="E49" s="19"/>
      <c r="F49" s="267"/>
      <c r="H49" s="19"/>
      <c r="I49" s="267"/>
      <c r="J49" s="19"/>
    </row>
    <row r="50" spans="1:10" ht="14.1" customHeight="1">
      <c r="A50" s="16" t="s">
        <v>145</v>
      </c>
      <c r="B50" s="17">
        <f>SUM('- 30 -'!D50,'- 30 -'!B50,'- 29 -'!F50,'- 29 -'!D50,'- 29 -'!B50)</f>
        <v>46806</v>
      </c>
      <c r="C50" s="268">
        <f>B50/'- 3 -'!D50*100</f>
        <v>1.3940379902604083</v>
      </c>
      <c r="D50" s="17">
        <f>B50/'- 7 -'!F50</f>
        <v>288.92592592592592</v>
      </c>
      <c r="E50" s="17">
        <f>SUM('- 32 -'!D50,'- 32 -'!B50,'- 31 -'!F50,'- 31 -'!D50,'- 31 -'!B50)</f>
        <v>456377</v>
      </c>
      <c r="F50" s="268">
        <f>E50/'- 3 -'!D50*100</f>
        <v>13.592421396425122</v>
      </c>
      <c r="G50" s="17">
        <f>E50/'- 7 -'!F50</f>
        <v>2817.141975308642</v>
      </c>
      <c r="H50" s="17">
        <f>SUM('- 33 -'!B50,'- 33 -'!D50)</f>
        <v>47500</v>
      </c>
      <c r="I50" s="268">
        <f>H50/'- 3 -'!D50*100</f>
        <v>1.4147076130703198</v>
      </c>
      <c r="J50" s="17">
        <f>H50/'- 7 -'!F50</f>
        <v>293.20987654320987</v>
      </c>
    </row>
    <row r="51" spans="1:10" ht="14.1" customHeight="1">
      <c r="A51" s="364" t="s">
        <v>540</v>
      </c>
      <c r="B51" s="273">
        <f>SUM('- 30 -'!D51,'- 30 -'!B51,'- 29 -'!F51,'- 29 -'!D51,'- 29 -'!B51)</f>
        <v>0</v>
      </c>
      <c r="C51" s="274">
        <f>B51/'- 3 -'!D51*100</f>
        <v>0</v>
      </c>
      <c r="D51" s="273">
        <f>B51/'- 7 -'!F51</f>
        <v>0</v>
      </c>
      <c r="E51" s="273">
        <f>SUM('- 32 -'!D51,'- 32 -'!B51,'- 31 -'!F51,'- 31 -'!D51,'- 31 -'!B51)</f>
        <v>2669559</v>
      </c>
      <c r="F51" s="274">
        <f>E51/'- 3 -'!D51*100</f>
        <v>10.539068860386855</v>
      </c>
      <c r="G51" s="273">
        <f>E51/'- 7 -'!F51</f>
        <v>3808.7587387644458</v>
      </c>
      <c r="H51" s="273">
        <f>SUM('- 33 -'!B51,'- 33 -'!D51)</f>
        <v>206612</v>
      </c>
      <c r="I51" s="274">
        <f>H51/'- 3 -'!D51*100</f>
        <v>0.81567708201326461</v>
      </c>
      <c r="J51" s="273">
        <f>H51/'- 7 -'!F51</f>
        <v>294.78099586246253</v>
      </c>
    </row>
    <row r="52" spans="1:10" ht="50.1" customHeight="1">
      <c r="B52" s="401" t="str">
        <f>IF(B48='- 10 -'!K22,"","check with page 10")</f>
        <v/>
      </c>
      <c r="C52" s="401"/>
      <c r="D52" s="401"/>
      <c r="E52" s="401"/>
      <c r="F52" s="401"/>
      <c r="G52" s="401"/>
      <c r="H52" s="401" t="str">
        <f>IF($H$48='- 10 -'!K24," ","check with page 10")</f>
        <v xml:space="preserve"> </v>
      </c>
    </row>
    <row r="53" spans="1:10" ht="15" customHeight="1">
      <c r="B53" s="1">
        <f>B48-'- 10 -'!K22</f>
        <v>0</v>
      </c>
    </row>
    <row r="54" spans="1:10" ht="14.45" customHeight="1">
      <c r="B54" s="73"/>
      <c r="C54" s="73"/>
      <c r="E54" s="73"/>
      <c r="F54" s="73"/>
      <c r="H54" s="73"/>
    </row>
    <row r="55" spans="1:10" ht="14.45" customHeight="1"/>
    <row r="56" spans="1:10" ht="14.45" customHeight="1"/>
    <row r="57" spans="1:10" ht="14.45" customHeight="1"/>
    <row r="58" spans="1:10" ht="14.45" customHeight="1"/>
    <row r="59" spans="1:10" ht="14.45" customHeight="1"/>
  </sheetData>
  <mergeCells count="6">
    <mergeCell ref="D8:D9"/>
    <mergeCell ref="G8:G9"/>
    <mergeCell ref="J8:J9"/>
    <mergeCell ref="H6:J7"/>
    <mergeCell ref="E6:G7"/>
    <mergeCell ref="B6:D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BB59"/>
  <sheetViews>
    <sheetView showGridLines="0" showZeros="0" workbookViewId="0"/>
  </sheetViews>
  <sheetFormatPr defaultColWidth="15.83203125" defaultRowHeight="12"/>
  <cols>
    <col min="1" max="1" width="35.83203125" style="1" customWidth="1"/>
    <col min="2" max="2" width="17.5" style="1" customWidth="1"/>
    <col min="3" max="3" width="9.33203125" style="1" customWidth="1"/>
    <col min="4" max="4" width="13" style="1" customWidth="1"/>
    <col min="5" max="5" width="13.5" style="1" customWidth="1"/>
    <col min="6" max="6" width="10.1640625" style="1" customWidth="1"/>
    <col min="7" max="7" width="12" style="1" customWidth="1"/>
    <col min="8" max="16384" width="15.83203125" style="1"/>
  </cols>
  <sheetData>
    <row r="1" spans="1:54" ht="6.95" customHeight="1">
      <c r="A1" s="3"/>
      <c r="B1" s="33"/>
      <c r="C1" s="33"/>
      <c r="D1" s="33"/>
      <c r="E1" s="33"/>
      <c r="F1" s="33"/>
      <c r="G1" s="33"/>
    </row>
    <row r="2" spans="1:54" ht="15.95" customHeight="1">
      <c r="A2" s="133"/>
      <c r="B2" s="5" t="str">
        <f>IF(Lang=1,BA2,BB2)</f>
        <v>ANALYSIS OF EXPENSE BY PROGRAM</v>
      </c>
      <c r="C2" s="156"/>
      <c r="D2" s="36"/>
      <c r="E2" s="36"/>
      <c r="F2" s="36"/>
      <c r="G2" s="510" t="s">
        <v>561</v>
      </c>
      <c r="BA2" s="462" t="s">
        <v>262</v>
      </c>
      <c r="BB2" s="462" t="s">
        <v>416</v>
      </c>
    </row>
    <row r="3" spans="1:54" ht="15.95" customHeight="1">
      <c r="A3" s="136"/>
      <c r="B3" s="176" t="str">
        <f>OPYEAR</f>
        <v>OPERATING FUND 2015/2016 BUDGET</v>
      </c>
      <c r="C3" s="40"/>
      <c r="D3" s="157"/>
      <c r="E3" s="40"/>
      <c r="F3" s="40"/>
      <c r="G3" s="42"/>
    </row>
    <row r="4" spans="1:54" ht="15.95" customHeight="1">
      <c r="B4" s="33"/>
      <c r="C4" s="33"/>
      <c r="D4" s="33"/>
      <c r="E4" s="33"/>
      <c r="F4" s="33"/>
      <c r="G4" s="33"/>
    </row>
    <row r="5" spans="1:54" ht="15.95" customHeight="1">
      <c r="B5" s="624" t="s">
        <v>6</v>
      </c>
      <c r="C5" s="625"/>
      <c r="D5" s="625"/>
      <c r="E5" s="625"/>
      <c r="F5" s="625"/>
      <c r="G5" s="626"/>
    </row>
    <row r="6" spans="1:54" ht="15.95" customHeight="1">
      <c r="B6" s="627" t="s">
        <v>14</v>
      </c>
      <c r="C6" s="628"/>
      <c r="D6" s="629"/>
      <c r="E6" s="633" t="s">
        <v>417</v>
      </c>
      <c r="F6" s="634"/>
      <c r="G6" s="635"/>
    </row>
    <row r="7" spans="1:54" ht="15.95" customHeight="1">
      <c r="B7" s="630"/>
      <c r="C7" s="631"/>
      <c r="D7" s="632"/>
      <c r="E7" s="636"/>
      <c r="F7" s="637"/>
      <c r="G7" s="638"/>
    </row>
    <row r="8" spans="1:54" ht="15.95" customHeight="1">
      <c r="A8" s="83"/>
      <c r="B8" s="161"/>
      <c r="C8" s="162"/>
      <c r="D8" s="525" t="s">
        <v>410</v>
      </c>
      <c r="E8" s="163"/>
      <c r="F8" s="162"/>
      <c r="G8" s="525" t="s">
        <v>410</v>
      </c>
    </row>
    <row r="9" spans="1:54" ht="15.95" customHeight="1">
      <c r="A9" s="28" t="s">
        <v>37</v>
      </c>
      <c r="B9" s="44" t="s">
        <v>38</v>
      </c>
      <c r="C9" s="44" t="s">
        <v>39</v>
      </c>
      <c r="D9" s="565"/>
      <c r="E9" s="164" t="s">
        <v>38</v>
      </c>
      <c r="F9" s="44" t="s">
        <v>39</v>
      </c>
      <c r="G9" s="565"/>
    </row>
    <row r="10" spans="1:54" ht="5.0999999999999996" customHeight="1">
      <c r="A10" s="30"/>
      <c r="B10" s="47"/>
      <c r="C10" s="47"/>
      <c r="D10" s="47"/>
      <c r="E10" s="47"/>
      <c r="F10" s="47"/>
      <c r="G10" s="47"/>
    </row>
    <row r="11" spans="1:54" ht="14.1" customHeight="1">
      <c r="A11" s="272" t="s">
        <v>109</v>
      </c>
      <c r="B11" s="273">
        <v>1193946</v>
      </c>
      <c r="C11" s="274">
        <f>B11/'- 3 -'!$D11*100</f>
        <v>6.4862354121010153</v>
      </c>
      <c r="D11" s="273">
        <f>B11/'- 7 -'!$C11</f>
        <v>724.92167577413477</v>
      </c>
      <c r="E11" s="273">
        <v>0</v>
      </c>
      <c r="F11" s="274">
        <f>E11/'- 3 -'!$D11*100</f>
        <v>0</v>
      </c>
      <c r="G11" s="273" t="str">
        <f>IF('- 7 -'!$B11=0,"",E11/'- 7 -'!$B11)</f>
        <v/>
      </c>
    </row>
    <row r="12" spans="1:54" ht="14.1" customHeight="1">
      <c r="A12" s="16" t="s">
        <v>110</v>
      </c>
      <c r="B12" s="17">
        <v>2591483</v>
      </c>
      <c r="C12" s="268">
        <f>B12/'- 3 -'!$D12*100</f>
        <v>8.0814212193162422</v>
      </c>
      <c r="D12" s="17">
        <f>B12/'- 7 -'!$C12</f>
        <v>1194.7823881973259</v>
      </c>
      <c r="E12" s="17">
        <v>1351034</v>
      </c>
      <c r="F12" s="268">
        <f>E12/'- 3 -'!$D12*100</f>
        <v>4.213137742218529</v>
      </c>
      <c r="G12" s="17">
        <f>IF('- 7 -'!$B12=0,"",E12/'- 7 -'!$B12)</f>
        <v>8188.0848484848484</v>
      </c>
    </row>
    <row r="13" spans="1:54" ht="14.1" customHeight="1">
      <c r="A13" s="272" t="s">
        <v>111</v>
      </c>
      <c r="B13" s="273">
        <v>6393400</v>
      </c>
      <c r="C13" s="274">
        <f>B13/'- 3 -'!$D13*100</f>
        <v>6.8828979353674633</v>
      </c>
      <c r="D13" s="273">
        <f>B13/'- 7 -'!$C13</f>
        <v>782.78543005815732</v>
      </c>
      <c r="E13" s="273">
        <v>3334400</v>
      </c>
      <c r="F13" s="274">
        <f>E13/'- 3 -'!$D13*100</f>
        <v>3.5896916938857681</v>
      </c>
      <c r="G13" s="273">
        <f>IF('- 7 -'!$B13=0,"",E13/'- 7 -'!$B13)</f>
        <v>7920.190023752969</v>
      </c>
    </row>
    <row r="14" spans="1:54" ht="14.1" customHeight="1">
      <c r="A14" s="16" t="s">
        <v>324</v>
      </c>
      <c r="B14" s="17">
        <v>5897986</v>
      </c>
      <c r="C14" s="268">
        <f>B14/'- 3 -'!$D14*100</f>
        <v>7.1118036059076202</v>
      </c>
      <c r="D14" s="17">
        <f>B14/'- 7 -'!$C14</f>
        <v>1108.0191621266204</v>
      </c>
      <c r="E14" s="17">
        <v>0</v>
      </c>
      <c r="F14" s="268">
        <f>E14/'- 3 -'!$D14*100</f>
        <v>0</v>
      </c>
      <c r="G14" s="17" t="str">
        <f>IF('- 7 -'!$B14=0,"",E14/'- 7 -'!$B14)</f>
        <v/>
      </c>
    </row>
    <row r="15" spans="1:54" ht="14.1" customHeight="1">
      <c r="A15" s="272" t="s">
        <v>112</v>
      </c>
      <c r="B15" s="273">
        <v>1621350</v>
      </c>
      <c r="C15" s="274">
        <f>B15/'- 3 -'!$D15*100</f>
        <v>8.0595905150398224</v>
      </c>
      <c r="D15" s="273">
        <f>B15/'- 7 -'!$C15</f>
        <v>1136.5930599369085</v>
      </c>
      <c r="E15" s="273">
        <v>112700</v>
      </c>
      <c r="F15" s="274">
        <f>E15/'- 3 -'!$D15*100</f>
        <v>0.56022194532025038</v>
      </c>
      <c r="G15" s="273">
        <f>IF('- 7 -'!$B15=0,"",E15/'- 7 -'!$B15)</f>
        <v>5635</v>
      </c>
    </row>
    <row r="16" spans="1:54" ht="14.1" customHeight="1">
      <c r="A16" s="16" t="s">
        <v>113</v>
      </c>
      <c r="B16" s="17">
        <v>1168470</v>
      </c>
      <c r="C16" s="268">
        <f>B16/'- 3 -'!$D16*100</f>
        <v>8.3060645495527226</v>
      </c>
      <c r="D16" s="17">
        <f>B16/'- 7 -'!$C16</f>
        <v>1244.3769968051117</v>
      </c>
      <c r="E16" s="17">
        <v>85705</v>
      </c>
      <c r="F16" s="268">
        <f>E16/'- 3 -'!$D16*100</f>
        <v>0.60923366643509558</v>
      </c>
      <c r="G16" s="17">
        <f>IF('- 7 -'!$B16=0,"",E16/'- 7 -'!$B16)</f>
        <v>3283.7164750957854</v>
      </c>
    </row>
    <row r="17" spans="1:7" ht="14.1" customHeight="1">
      <c r="A17" s="272" t="s">
        <v>114</v>
      </c>
      <c r="B17" s="273">
        <v>1345764</v>
      </c>
      <c r="C17" s="274">
        <f>B17/'- 3 -'!$D17*100</f>
        <v>7.6495744106990049</v>
      </c>
      <c r="D17" s="273">
        <f>B17/'- 7 -'!$C17</f>
        <v>990.62495399337502</v>
      </c>
      <c r="E17" s="273">
        <v>185000</v>
      </c>
      <c r="F17" s="274">
        <f>E17/'- 3 -'!$D17*100</f>
        <v>1.0515746193086721</v>
      </c>
      <c r="G17" s="273">
        <f>IF('- 7 -'!$B17=0,"",E17/'- 7 -'!$B17)</f>
        <v>6166.666666666667</v>
      </c>
    </row>
    <row r="18" spans="1:7" ht="14.1" customHeight="1">
      <c r="A18" s="16" t="s">
        <v>115</v>
      </c>
      <c r="B18" s="17">
        <v>7288352</v>
      </c>
      <c r="C18" s="268">
        <f>B18/'- 3 -'!$D18*100</f>
        <v>5.693584592335557</v>
      </c>
      <c r="D18" s="17">
        <f>B18/'- 7 -'!$C18</f>
        <v>1163.9759805800434</v>
      </c>
      <c r="E18" s="17">
        <v>484801</v>
      </c>
      <c r="F18" s="268">
        <f>E18/'- 3 -'!$D18*100</f>
        <v>0.37872148655126298</v>
      </c>
      <c r="G18" s="17">
        <f>IF('- 7 -'!$B18=0,"",E18/'- 7 -'!$B18)</f>
        <v>9600.0198019801974</v>
      </c>
    </row>
    <row r="19" spans="1:7" ht="14.1" customHeight="1">
      <c r="A19" s="272" t="s">
        <v>116</v>
      </c>
      <c r="B19" s="273">
        <v>3101900</v>
      </c>
      <c r="C19" s="274">
        <f>B19/'- 3 -'!$D19*100</f>
        <v>6.9017889604306921</v>
      </c>
      <c r="D19" s="273">
        <f>B19/'- 7 -'!$C19</f>
        <v>738.89947594092428</v>
      </c>
      <c r="E19" s="273">
        <v>1341800</v>
      </c>
      <c r="F19" s="274">
        <f>E19/'- 3 -'!$D19*100</f>
        <v>2.9855315861587748</v>
      </c>
      <c r="G19" s="273">
        <f>IF('- 7 -'!$B19=0,"",E19/'- 7 -'!$B19)</f>
        <v>9983.6309523809523</v>
      </c>
    </row>
    <row r="20" spans="1:7" ht="14.1" customHeight="1">
      <c r="A20" s="16" t="s">
        <v>117</v>
      </c>
      <c r="B20" s="17">
        <v>5829000</v>
      </c>
      <c r="C20" s="268">
        <f>B20/'- 3 -'!$D20*100</f>
        <v>7.3984474556651625</v>
      </c>
      <c r="D20" s="17">
        <f>B20/'- 7 -'!$C20</f>
        <v>780.2168384419756</v>
      </c>
      <c r="E20" s="17">
        <v>2650000</v>
      </c>
      <c r="F20" s="268">
        <f>E20/'- 3 -'!$D20*100</f>
        <v>3.3635075926424221</v>
      </c>
      <c r="G20" s="17">
        <f>IF('- 7 -'!$B20=0,"",E20/'- 7 -'!$B20)</f>
        <v>5885.0962712918335</v>
      </c>
    </row>
    <row r="21" spans="1:7" ht="14.1" customHeight="1">
      <c r="A21" s="272" t="s">
        <v>118</v>
      </c>
      <c r="B21" s="273">
        <v>3073088</v>
      </c>
      <c r="C21" s="274">
        <f>B21/'- 3 -'!$D21*100</f>
        <v>8.6556147798966663</v>
      </c>
      <c r="D21" s="273">
        <f>B21/'- 7 -'!$C21</f>
        <v>1139.4467927326659</v>
      </c>
      <c r="E21" s="273">
        <v>0</v>
      </c>
      <c r="F21" s="274">
        <f>E21/'- 3 -'!$D21*100</f>
        <v>0</v>
      </c>
      <c r="G21" s="273" t="str">
        <f>IF('- 7 -'!$B21=0,"",E21/'- 7 -'!$B21)</f>
        <v/>
      </c>
    </row>
    <row r="22" spans="1:7" ht="14.1" customHeight="1">
      <c r="A22" s="16" t="s">
        <v>119</v>
      </c>
      <c r="B22" s="17">
        <v>1406426</v>
      </c>
      <c r="C22" s="268">
        <f>B22/'- 3 -'!$D22*100</f>
        <v>6.8173662602546408</v>
      </c>
      <c r="D22" s="17">
        <f>B22/'- 7 -'!$C22</f>
        <v>896.84096416273428</v>
      </c>
      <c r="E22" s="17">
        <v>0</v>
      </c>
      <c r="F22" s="268">
        <f>E22/'- 3 -'!$D22*100</f>
        <v>0</v>
      </c>
      <c r="G22" s="17" t="str">
        <f>IF('- 7 -'!$B22=0,"",E22/'- 7 -'!$B22)</f>
        <v/>
      </c>
    </row>
    <row r="23" spans="1:7" ht="14.1" customHeight="1">
      <c r="A23" s="272" t="s">
        <v>120</v>
      </c>
      <c r="B23" s="273">
        <v>1099800</v>
      </c>
      <c r="C23" s="274">
        <f>B23/'- 3 -'!$D23*100</f>
        <v>6.6653741570025922</v>
      </c>
      <c r="D23" s="273">
        <f>B23/'- 7 -'!$C23</f>
        <v>987.25314183123874</v>
      </c>
      <c r="E23" s="273">
        <v>133100</v>
      </c>
      <c r="F23" s="274">
        <f>E23/'- 3 -'!$D23*100</f>
        <v>0.80665693789511261</v>
      </c>
      <c r="G23" s="273">
        <f>IF('- 7 -'!$B23=0,"",E23/'- 7 -'!$B23)</f>
        <v>9507.1428571428569</v>
      </c>
    </row>
    <row r="24" spans="1:7" ht="14.1" customHeight="1">
      <c r="A24" s="16" t="s">
        <v>121</v>
      </c>
      <c r="B24" s="17">
        <v>4370040</v>
      </c>
      <c r="C24" s="268">
        <f>B24/'- 3 -'!$D24*100</f>
        <v>7.8165827912081962</v>
      </c>
      <c r="D24" s="17">
        <f>B24/'- 7 -'!$C24</f>
        <v>1099.2428625330147</v>
      </c>
      <c r="E24" s="17">
        <v>1901465</v>
      </c>
      <c r="F24" s="268">
        <f>E24/'- 3 -'!$D24*100</f>
        <v>3.4011035590257048</v>
      </c>
      <c r="G24" s="17">
        <f>IF('- 7 -'!$B24=0,"",E24/'- 7 -'!$B24)</f>
        <v>5693.0089820359281</v>
      </c>
    </row>
    <row r="25" spans="1:7" ht="14.1" customHeight="1">
      <c r="A25" s="272" t="s">
        <v>122</v>
      </c>
      <c r="B25" s="273">
        <v>13587239</v>
      </c>
      <c r="C25" s="274">
        <f>B25/'- 3 -'!$D25*100</f>
        <v>8.1291428912215977</v>
      </c>
      <c r="D25" s="273">
        <f>B25/'- 7 -'!$C25</f>
        <v>971.52329198098028</v>
      </c>
      <c r="E25" s="273">
        <v>2286990</v>
      </c>
      <c r="F25" s="274">
        <f>E25/'- 3 -'!$D25*100</f>
        <v>1.3682889143846575</v>
      </c>
      <c r="G25" s="273">
        <f>IF('- 7 -'!$B25=0,"",E25/'- 7 -'!$B25)</f>
        <v>14850.584415584415</v>
      </c>
    </row>
    <row r="26" spans="1:7" ht="14.1" customHeight="1">
      <c r="A26" s="16" t="s">
        <v>123</v>
      </c>
      <c r="B26" s="17">
        <v>3179647</v>
      </c>
      <c r="C26" s="268">
        <f>B26/'- 3 -'!$D26*100</f>
        <v>7.9716231858689239</v>
      </c>
      <c r="D26" s="17">
        <f>B26/'- 7 -'!$C26</f>
        <v>1023.2170555108609</v>
      </c>
      <c r="E26" s="17">
        <v>899824</v>
      </c>
      <c r="F26" s="268">
        <f>E26/'- 3 -'!$D26*100</f>
        <v>2.2559289951372965</v>
      </c>
      <c r="G26" s="17">
        <f>IF('- 7 -'!$B26=0,"",E26/'- 7 -'!$B26)</f>
        <v>7561.546218487395</v>
      </c>
    </row>
    <row r="27" spans="1:7" ht="14.1" customHeight="1">
      <c r="A27" s="272" t="s">
        <v>124</v>
      </c>
      <c r="B27" s="273">
        <v>2901180</v>
      </c>
      <c r="C27" s="274">
        <f>B27/'- 3 -'!$D27*100</f>
        <v>6.7594103047188892</v>
      </c>
      <c r="D27" s="273">
        <f>B27/'- 7 -'!$C27</f>
        <v>1014.2719440629293</v>
      </c>
      <c r="E27" s="273">
        <v>993993</v>
      </c>
      <c r="F27" s="274">
        <f>E27/'- 3 -'!$D27*100</f>
        <v>2.3158875102608052</v>
      </c>
      <c r="G27" s="273">
        <f>IF('- 7 -'!$B27=0,"",E27/'- 7 -'!$B27)</f>
        <v>4410.7454833597467</v>
      </c>
    </row>
    <row r="28" spans="1:7" ht="14.1" customHeight="1">
      <c r="A28" s="16" t="s">
        <v>125</v>
      </c>
      <c r="B28" s="17">
        <v>2021347</v>
      </c>
      <c r="C28" s="268">
        <f>B28/'- 3 -'!$D28*100</f>
        <v>7.2168659015174388</v>
      </c>
      <c r="D28" s="17">
        <f>B28/'- 7 -'!$C28</f>
        <v>1025.8041106318194</v>
      </c>
      <c r="E28" s="17">
        <v>0</v>
      </c>
      <c r="F28" s="268">
        <f>E28/'- 3 -'!$D28*100</f>
        <v>0</v>
      </c>
      <c r="G28" s="17" t="str">
        <f>IF('- 7 -'!$B28=0,"",E28/'- 7 -'!$B28)</f>
        <v/>
      </c>
    </row>
    <row r="29" spans="1:7" ht="14.1" customHeight="1">
      <c r="A29" s="272" t="s">
        <v>126</v>
      </c>
      <c r="B29" s="273">
        <v>11857382</v>
      </c>
      <c r="C29" s="274">
        <f>B29/'- 3 -'!$D29*100</f>
        <v>7.6588172401352628</v>
      </c>
      <c r="D29" s="273">
        <f>B29/'- 7 -'!$C29</f>
        <v>960.5785806869734</v>
      </c>
      <c r="E29" s="273">
        <v>0</v>
      </c>
      <c r="F29" s="274">
        <f>E29/'- 3 -'!$D29*100</f>
        <v>0</v>
      </c>
      <c r="G29" s="273" t="str">
        <f>IF('- 7 -'!$B29=0,"",E29/'- 7 -'!$B29)</f>
        <v/>
      </c>
    </row>
    <row r="30" spans="1:7" ht="14.1" customHeight="1">
      <c r="A30" s="16" t="s">
        <v>127</v>
      </c>
      <c r="B30" s="17">
        <v>984831</v>
      </c>
      <c r="C30" s="268">
        <f>B30/'- 3 -'!$D30*100</f>
        <v>7.0383063200614782</v>
      </c>
      <c r="D30" s="17">
        <f>B30/'- 7 -'!$C30</f>
        <v>959.87426900584796</v>
      </c>
      <c r="E30" s="17">
        <v>96487</v>
      </c>
      <c r="F30" s="268">
        <f>E30/'- 3 -'!$D30*100</f>
        <v>0.68956507451915294</v>
      </c>
      <c r="G30" s="17">
        <f>IF('- 7 -'!$B30=0,"",E30/'- 7 -'!$B30)</f>
        <v>3573.5925925925926</v>
      </c>
    </row>
    <row r="31" spans="1:7" ht="14.1" customHeight="1">
      <c r="A31" s="272" t="s">
        <v>128</v>
      </c>
      <c r="B31" s="273">
        <v>2706674</v>
      </c>
      <c r="C31" s="274">
        <f>B31/'- 3 -'!$D31*100</f>
        <v>7.4750294418242174</v>
      </c>
      <c r="D31" s="273">
        <f>B31/'- 7 -'!$C31</f>
        <v>847.95551378446112</v>
      </c>
      <c r="E31" s="273">
        <v>753265</v>
      </c>
      <c r="F31" s="274">
        <f>E31/'- 3 -'!$D31*100</f>
        <v>2.0802941368246488</v>
      </c>
      <c r="G31" s="273">
        <f>IF('- 7 -'!$B31=0,"",E31/'- 7 -'!$B31)</f>
        <v>9911.3815789473683</v>
      </c>
    </row>
    <row r="32" spans="1:7" ht="14.1" customHeight="1">
      <c r="A32" s="16" t="s">
        <v>129</v>
      </c>
      <c r="B32" s="17">
        <v>2187765</v>
      </c>
      <c r="C32" s="268">
        <f>B32/'- 3 -'!$D32*100</f>
        <v>7.6078677140408608</v>
      </c>
      <c r="D32" s="17">
        <f>B32/'- 7 -'!$C32</f>
        <v>1032.9634788356666</v>
      </c>
      <c r="E32" s="17">
        <v>282610</v>
      </c>
      <c r="F32" s="268">
        <f>E32/'- 3 -'!$D32*100</f>
        <v>0.98276528542374875</v>
      </c>
      <c r="G32" s="17">
        <f>IF('- 7 -'!$B32=0,"",E32/'- 7 -'!$B32)</f>
        <v>7021.3664596273293</v>
      </c>
    </row>
    <row r="33" spans="1:7" ht="14.1" customHeight="1">
      <c r="A33" s="272" t="s">
        <v>130</v>
      </c>
      <c r="B33" s="273">
        <v>2592000</v>
      </c>
      <c r="C33" s="274">
        <f>B33/'- 3 -'!$D33*100</f>
        <v>9.5036261907031658</v>
      </c>
      <c r="D33" s="273">
        <f>B33/'- 7 -'!$C33</f>
        <v>1310.7458912768648</v>
      </c>
      <c r="E33" s="273">
        <v>233800</v>
      </c>
      <c r="F33" s="274">
        <f>E33/'- 3 -'!$D33*100</f>
        <v>0.8572329488373458</v>
      </c>
      <c r="G33" s="273">
        <f>IF('- 7 -'!$B33=0,"",E33/'- 7 -'!$B33)</f>
        <v>4496.1538461538457</v>
      </c>
    </row>
    <row r="34" spans="1:7" ht="14.1" customHeight="1">
      <c r="A34" s="16" t="s">
        <v>131</v>
      </c>
      <c r="B34" s="17">
        <v>2223129</v>
      </c>
      <c r="C34" s="268">
        <f>B34/'- 3 -'!$D34*100</f>
        <v>8.0345898840082874</v>
      </c>
      <c r="D34" s="17">
        <f>B34/'- 7 -'!$C34</f>
        <v>1125.7489366011748</v>
      </c>
      <c r="E34" s="17">
        <v>337549</v>
      </c>
      <c r="F34" s="268">
        <f>E34/'- 3 -'!$D34*100</f>
        <v>1.2199327077992836</v>
      </c>
      <c r="G34" s="17">
        <f>IF('- 7 -'!$B34=0,"",E34/'- 7 -'!$B34)</f>
        <v>15136.726457399103</v>
      </c>
    </row>
    <row r="35" spans="1:7" ht="14.1" customHeight="1">
      <c r="A35" s="272" t="s">
        <v>132</v>
      </c>
      <c r="B35" s="273">
        <v>12589180</v>
      </c>
      <c r="C35" s="274">
        <f>B35/'- 3 -'!$D35*100</f>
        <v>7.1452711904662101</v>
      </c>
      <c r="D35" s="273">
        <f>B35/'- 7 -'!$C35</f>
        <v>805.91383394148897</v>
      </c>
      <c r="E35" s="273">
        <v>3571693</v>
      </c>
      <c r="F35" s="274">
        <f>E35/'- 3 -'!$D35*100</f>
        <v>2.0271943918579152</v>
      </c>
      <c r="G35" s="273">
        <f>IF('- 7 -'!$B35=0,"",E35/'- 7 -'!$B35)</f>
        <v>5444.6539634146338</v>
      </c>
    </row>
    <row r="36" spans="1:7" ht="14.1" customHeight="1">
      <c r="A36" s="16" t="s">
        <v>133</v>
      </c>
      <c r="B36" s="17">
        <v>1859975</v>
      </c>
      <c r="C36" s="268">
        <f>B36/'- 3 -'!$D36*100</f>
        <v>8.0859407944674029</v>
      </c>
      <c r="D36" s="17">
        <f>B36/'- 7 -'!$C36</f>
        <v>1108.7779433681073</v>
      </c>
      <c r="E36" s="17">
        <v>131425</v>
      </c>
      <c r="F36" s="268">
        <f>E36/'- 3 -'!$D36*100</f>
        <v>0.57134895303048616</v>
      </c>
      <c r="G36" s="17">
        <f>IF('- 7 -'!$B36=0,"",E36/'- 7 -'!$B36)</f>
        <v>11947.727272727272</v>
      </c>
    </row>
    <row r="37" spans="1:7" ht="14.1" customHeight="1">
      <c r="A37" s="272" t="s">
        <v>134</v>
      </c>
      <c r="B37" s="273">
        <v>4060671</v>
      </c>
      <c r="C37" s="274">
        <f>B37/'- 3 -'!$D37*100</f>
        <v>8.6818417001624901</v>
      </c>
      <c r="D37" s="273">
        <f>B37/'- 7 -'!$C37</f>
        <v>1028.4085095605926</v>
      </c>
      <c r="E37" s="273">
        <v>0</v>
      </c>
      <c r="F37" s="274">
        <f>E37/'- 3 -'!$D37*100</f>
        <v>0</v>
      </c>
      <c r="G37" s="273" t="str">
        <f>IF('- 7 -'!$B37=0,"",E37/'- 7 -'!$B37)</f>
        <v/>
      </c>
    </row>
    <row r="38" spans="1:7" ht="14.1" customHeight="1">
      <c r="A38" s="16" t="s">
        <v>135</v>
      </c>
      <c r="B38" s="17">
        <v>9853333</v>
      </c>
      <c r="C38" s="268">
        <f>B38/'- 3 -'!$D38*100</f>
        <v>7.6285831344578936</v>
      </c>
      <c r="D38" s="17">
        <f>B38/'- 7 -'!$C38</f>
        <v>916.16299395629937</v>
      </c>
      <c r="E38" s="17">
        <v>1038020</v>
      </c>
      <c r="F38" s="268">
        <f>E38/'- 3 -'!$D38*100</f>
        <v>0.80364906628345789</v>
      </c>
      <c r="G38" s="17">
        <f>IF('- 7 -'!$B38=0,"",E38/'- 7 -'!$B38)</f>
        <v>4942.9523809523807</v>
      </c>
    </row>
    <row r="39" spans="1:7" ht="14.1" customHeight="1">
      <c r="A39" s="272" t="s">
        <v>136</v>
      </c>
      <c r="B39" s="273">
        <v>1452725</v>
      </c>
      <c r="C39" s="274">
        <f>B39/'- 3 -'!$D39*100</f>
        <v>6.6241222972409153</v>
      </c>
      <c r="D39" s="273">
        <f>B39/'- 7 -'!$C39</f>
        <v>934.82947232947231</v>
      </c>
      <c r="E39" s="273">
        <v>107700</v>
      </c>
      <c r="F39" s="274">
        <f>E39/'- 3 -'!$D39*100</f>
        <v>0.49108948452931334</v>
      </c>
      <c r="G39" s="273">
        <f>IF('- 7 -'!$B39=0,"",E39/'- 7 -'!$B39)</f>
        <v>5668.4210526315792</v>
      </c>
    </row>
    <row r="40" spans="1:7" ht="14.1" customHeight="1">
      <c r="A40" s="16" t="s">
        <v>137</v>
      </c>
      <c r="B40" s="17">
        <v>8360210</v>
      </c>
      <c r="C40" s="268">
        <f>B40/'- 3 -'!$D40*100</f>
        <v>8.1915760849063357</v>
      </c>
      <c r="D40" s="17">
        <f>B40/'- 7 -'!$C40</f>
        <v>1065.7606229188871</v>
      </c>
      <c r="E40" s="17">
        <v>1804062</v>
      </c>
      <c r="F40" s="268">
        <f>E40/'- 3 -'!$D40*100</f>
        <v>1.767672239679182</v>
      </c>
      <c r="G40" s="17">
        <f>IF('- 7 -'!$B40=0,"",E40/'- 7 -'!$B40)</f>
        <v>5971.7378351539219</v>
      </c>
    </row>
    <row r="41" spans="1:7" ht="14.1" customHeight="1">
      <c r="A41" s="272" t="s">
        <v>138</v>
      </c>
      <c r="B41" s="273">
        <v>3899153</v>
      </c>
      <c r="C41" s="274">
        <f>B41/'- 3 -'!$D41*100</f>
        <v>6.2641298862553194</v>
      </c>
      <c r="D41" s="273">
        <f>B41/'- 7 -'!$C41</f>
        <v>895.22511766731714</v>
      </c>
      <c r="E41" s="273">
        <v>0</v>
      </c>
      <c r="F41" s="274">
        <f>E41/'- 3 -'!$D41*100</f>
        <v>0</v>
      </c>
      <c r="G41" s="273" t="str">
        <f>IF('- 7 -'!$B41=0,"",E41/'- 7 -'!$B41)</f>
        <v/>
      </c>
    </row>
    <row r="42" spans="1:7" ht="14.1" customHeight="1">
      <c r="A42" s="16" t="s">
        <v>139</v>
      </c>
      <c r="B42" s="17">
        <v>1577585</v>
      </c>
      <c r="C42" s="268">
        <f>B42/'- 3 -'!$D42*100</f>
        <v>7.6530743423489049</v>
      </c>
      <c r="D42" s="17">
        <f>B42/'- 7 -'!$C42</f>
        <v>1149.0058266569556</v>
      </c>
      <c r="E42" s="17">
        <v>1189106</v>
      </c>
      <c r="F42" s="268">
        <f>E42/'- 3 -'!$D42*100</f>
        <v>5.7685111223377108</v>
      </c>
      <c r="G42" s="17">
        <f>IF('- 7 -'!$B42=0,"",E42/'- 7 -'!$B42)</f>
        <v>7927.373333333333</v>
      </c>
    </row>
    <row r="43" spans="1:7" ht="14.1" customHeight="1">
      <c r="A43" s="272" t="s">
        <v>140</v>
      </c>
      <c r="B43" s="273">
        <v>753333</v>
      </c>
      <c r="C43" s="274">
        <f>B43/'- 3 -'!$D43*100</f>
        <v>5.8696677615939361</v>
      </c>
      <c r="D43" s="273">
        <f>B43/'- 7 -'!$C43</f>
        <v>803.98399146211318</v>
      </c>
      <c r="E43" s="273">
        <v>143295</v>
      </c>
      <c r="F43" s="274">
        <f>E43/'- 3 -'!$D43*100</f>
        <v>1.1164970098185041</v>
      </c>
      <c r="G43" s="273">
        <f>IF('- 7 -'!$B43=0,"",E43/'- 7 -'!$B43)</f>
        <v>5731.8</v>
      </c>
    </row>
    <row r="44" spans="1:7" ht="14.1" customHeight="1">
      <c r="A44" s="16" t="s">
        <v>141</v>
      </c>
      <c r="B44" s="17">
        <v>665727</v>
      </c>
      <c r="C44" s="268">
        <f>B44/'- 3 -'!$D44*100</f>
        <v>6.0646698797090499</v>
      </c>
      <c r="D44" s="17">
        <f>B44/'- 7 -'!$C44</f>
        <v>937.64366197183097</v>
      </c>
      <c r="E44" s="17">
        <v>0</v>
      </c>
      <c r="F44" s="268">
        <f>E44/'- 3 -'!$D44*100</f>
        <v>0</v>
      </c>
      <c r="G44" s="17" t="str">
        <f>IF('- 7 -'!$B44=0,"",E44/'- 7 -'!$B44)</f>
        <v/>
      </c>
    </row>
    <row r="45" spans="1:7" ht="14.1" customHeight="1">
      <c r="A45" s="272" t="s">
        <v>142</v>
      </c>
      <c r="B45" s="273">
        <v>1251273</v>
      </c>
      <c r="C45" s="274">
        <f>B45/'- 3 -'!$D45*100</f>
        <v>6.8326751879367515</v>
      </c>
      <c r="D45" s="273">
        <f>B45/'- 7 -'!$C45</f>
        <v>742.59525222551929</v>
      </c>
      <c r="E45" s="273">
        <v>260879</v>
      </c>
      <c r="F45" s="274">
        <f>E45/'- 3 -'!$D45*100</f>
        <v>1.4245504141412397</v>
      </c>
      <c r="G45" s="273">
        <f>IF('- 7 -'!$B45=0,"",E45/'- 7 -'!$B45)</f>
        <v>8695.9666666666672</v>
      </c>
    </row>
    <row r="46" spans="1:7" ht="14.1" customHeight="1">
      <c r="A46" s="16" t="s">
        <v>143</v>
      </c>
      <c r="B46" s="17">
        <v>29247800</v>
      </c>
      <c r="C46" s="268">
        <f>B46/'- 3 -'!$D46*100</f>
        <v>7.6372889632220549</v>
      </c>
      <c r="D46" s="17">
        <f>B46/'- 7 -'!$C46</f>
        <v>967.95737357691291</v>
      </c>
      <c r="E46" s="17">
        <v>5511600</v>
      </c>
      <c r="F46" s="268">
        <f>E46/'- 3 -'!$D46*100</f>
        <v>1.4392084823369513</v>
      </c>
      <c r="G46" s="17">
        <f>IF('- 7 -'!$B46=0,"",E46/'- 7 -'!$B46)</f>
        <v>7824.5315161839862</v>
      </c>
    </row>
    <row r="47" spans="1:7" ht="5.0999999999999996" customHeight="1">
      <c r="A47"/>
      <c r="B47"/>
      <c r="C47"/>
      <c r="D47"/>
      <c r="E47"/>
      <c r="F47"/>
      <c r="G47"/>
    </row>
    <row r="48" spans="1:7" ht="14.1" customHeight="1">
      <c r="A48" s="275" t="s">
        <v>144</v>
      </c>
      <c r="B48" s="276">
        <f>SUM(B11:B46)</f>
        <v>166193164</v>
      </c>
      <c r="C48" s="277">
        <f>B48/'- 3 -'!$D48*100</f>
        <v>7.445611593212738</v>
      </c>
      <c r="D48" s="276">
        <f>B48/'- 7 -'!$C48</f>
        <v>957.61650593114064</v>
      </c>
      <c r="E48" s="276">
        <f>SUM(E11:E46)</f>
        <v>31222303</v>
      </c>
      <c r="F48" s="277">
        <f>E48/'- 3 -'!$D48*100</f>
        <v>1.3987888285441201</v>
      </c>
      <c r="G48" s="276">
        <f>E48/'- 7 -'!$B48</f>
        <v>6986.8917050926966</v>
      </c>
    </row>
    <row r="49" spans="1:7" ht="5.0999999999999996" customHeight="1">
      <c r="A49" s="18" t="s">
        <v>1</v>
      </c>
      <c r="B49" s="19"/>
      <c r="C49" s="267"/>
      <c r="D49" s="19"/>
      <c r="E49" s="19"/>
      <c r="F49" s="267"/>
    </row>
    <row r="50" spans="1:7" ht="14.1" customHeight="1">
      <c r="A50" s="16" t="s">
        <v>145</v>
      </c>
      <c r="B50" s="17">
        <v>263022.25</v>
      </c>
      <c r="C50" s="268">
        <f>B50/'- 3 -'!$D50*100</f>
        <v>7.8336753575133669</v>
      </c>
      <c r="D50" s="17">
        <f>B50/'- 7 -'!$C50</f>
        <v>1623.5941358024691</v>
      </c>
      <c r="E50" s="17">
        <v>0</v>
      </c>
      <c r="F50" s="268">
        <f>E50/'- 3 -'!$D50*100</f>
        <v>0</v>
      </c>
      <c r="G50" s="17" t="str">
        <f>IF('- 7 -'!$B50=0,"",E50/'- 7 -'!$B50)</f>
        <v/>
      </c>
    </row>
    <row r="51" spans="1:7" ht="14.1" customHeight="1">
      <c r="A51" s="364" t="s">
        <v>540</v>
      </c>
      <c r="B51" s="273">
        <v>1083882</v>
      </c>
      <c r="C51" s="274">
        <f>B51/'- 3 -'!$D51*100</f>
        <v>4.2790240015425116</v>
      </c>
      <c r="D51" s="273">
        <f>B51/'- 7 -'!$C51</f>
        <v>1546.4146097874163</v>
      </c>
      <c r="E51" s="273">
        <v>3880409</v>
      </c>
      <c r="F51" s="274">
        <f>E51/'- 3 -'!$D51*100</f>
        <v>15.319345876028548</v>
      </c>
      <c r="G51" s="273">
        <f>IF('- 7 -'!$B51=0,"",E51/'- 7 -'!$B51)</f>
        <v>6867.9805309734511</v>
      </c>
    </row>
    <row r="52" spans="1:7" ht="50.1" customHeight="1">
      <c r="B52" s="47"/>
      <c r="C52" s="47"/>
      <c r="D52" s="47"/>
      <c r="E52" s="47"/>
      <c r="F52" s="47"/>
      <c r="G52" s="47"/>
    </row>
    <row r="53" spans="1:7" ht="15" customHeight="1">
      <c r="C53" s="47"/>
      <c r="D53" s="47"/>
      <c r="E53" s="47"/>
      <c r="F53" s="47"/>
      <c r="G53" s="47"/>
    </row>
    <row r="54" spans="1:7" ht="14.45" customHeight="1"/>
    <row r="55" spans="1:7" ht="14.45" customHeight="1"/>
    <row r="56" spans="1:7" ht="14.45" customHeight="1"/>
    <row r="57" spans="1:7" ht="14.45" customHeight="1"/>
    <row r="58" spans="1:7" ht="14.45" customHeight="1"/>
    <row r="59" spans="1:7" ht="14.45" customHeight="1"/>
  </sheetData>
  <mergeCells count="5">
    <mergeCell ref="B5:G5"/>
    <mergeCell ref="B6:D7"/>
    <mergeCell ref="E6:G7"/>
    <mergeCell ref="D8:D9"/>
    <mergeCell ref="G8:G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9"/>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2.33203125" style="1" customWidth="1"/>
    <col min="6" max="6" width="7.83203125" style="1" customWidth="1"/>
    <col min="7" max="7" width="9.83203125" style="1" customWidth="1"/>
    <col min="8" max="8" width="12.5" style="1" customWidth="1"/>
    <col min="9" max="9" width="7.83203125" style="1" customWidth="1"/>
    <col min="10" max="10" width="9.83203125" style="1" customWidth="1"/>
    <col min="11" max="16384" width="15.83203125" style="1"/>
  </cols>
  <sheetData>
    <row r="1" spans="1:10" ht="6.95" customHeight="1">
      <c r="A1" s="3"/>
      <c r="B1" s="3"/>
      <c r="C1" s="3"/>
      <c r="D1" s="3"/>
      <c r="E1" s="3"/>
      <c r="F1" s="3"/>
      <c r="G1" s="3"/>
      <c r="H1" s="33"/>
      <c r="I1" s="33"/>
      <c r="J1" s="33"/>
    </row>
    <row r="2" spans="1:10" ht="15.95" customHeight="1">
      <c r="A2" s="133"/>
      <c r="B2" s="5" t="str">
        <f>AEXP_BP</f>
        <v>ANALYSIS OF EXPENSE BY PROGRAM</v>
      </c>
      <c r="C2" s="36"/>
      <c r="D2" s="36"/>
      <c r="E2" s="153"/>
      <c r="F2" s="153"/>
      <c r="G2" s="153"/>
      <c r="H2" s="153"/>
      <c r="I2" s="34"/>
      <c r="J2" s="510" t="s">
        <v>562</v>
      </c>
    </row>
    <row r="3" spans="1:10" ht="15.95" customHeight="1">
      <c r="A3" s="136"/>
      <c r="B3" s="87" t="str">
        <f>OPYEAR</f>
        <v>OPERATING FUND 2015/2016 BUDGET</v>
      </c>
      <c r="C3" s="40"/>
      <c r="D3" s="40"/>
      <c r="E3" s="154"/>
      <c r="F3" s="154"/>
      <c r="G3" s="154"/>
      <c r="H3" s="154"/>
      <c r="I3" s="38"/>
      <c r="J3" s="168"/>
    </row>
    <row r="4" spans="1:10" ht="15.95" customHeight="1">
      <c r="H4" s="33"/>
      <c r="I4" s="33"/>
      <c r="J4" s="33"/>
    </row>
    <row r="5" spans="1:10" ht="15.95" customHeight="1">
      <c r="B5" s="472" t="s">
        <v>241</v>
      </c>
      <c r="C5" s="192"/>
      <c r="D5" s="192"/>
      <c r="E5" s="192"/>
      <c r="F5" s="192"/>
      <c r="G5" s="192"/>
      <c r="H5" s="192"/>
      <c r="I5" s="473"/>
      <c r="J5" s="474"/>
    </row>
    <row r="6" spans="1:10" ht="15.95" customHeight="1">
      <c r="B6" s="639" t="s">
        <v>243</v>
      </c>
      <c r="C6" s="640"/>
      <c r="D6" s="640"/>
      <c r="E6" s="640"/>
      <c r="F6" s="640"/>
      <c r="G6" s="640"/>
      <c r="H6" s="640"/>
      <c r="I6" s="640"/>
      <c r="J6" s="641"/>
    </row>
    <row r="7" spans="1:10" ht="15.95" customHeight="1">
      <c r="B7" s="642" t="s">
        <v>15</v>
      </c>
      <c r="C7" s="640"/>
      <c r="D7" s="641"/>
      <c r="E7" s="642" t="s">
        <v>16</v>
      </c>
      <c r="F7" s="640"/>
      <c r="G7" s="641"/>
      <c r="H7" s="642" t="s">
        <v>17</v>
      </c>
      <c r="I7" s="640"/>
      <c r="J7" s="641"/>
    </row>
    <row r="8" spans="1:10" ht="15.95" customHeight="1">
      <c r="A8" s="83"/>
      <c r="B8" s="175"/>
      <c r="C8" s="170"/>
      <c r="D8" s="525" t="s">
        <v>410</v>
      </c>
      <c r="E8" s="175"/>
      <c r="F8" s="170"/>
      <c r="G8" s="525" t="s">
        <v>410</v>
      </c>
      <c r="H8" s="163"/>
      <c r="I8" s="162"/>
      <c r="J8" s="525" t="s">
        <v>410</v>
      </c>
    </row>
    <row r="9" spans="1:10" ht="15.95" customHeight="1">
      <c r="A9" s="28" t="s">
        <v>37</v>
      </c>
      <c r="B9" s="44" t="s">
        <v>38</v>
      </c>
      <c r="C9" s="44" t="s">
        <v>39</v>
      </c>
      <c r="D9" s="565"/>
      <c r="E9" s="44" t="s">
        <v>38</v>
      </c>
      <c r="F9" s="44" t="s">
        <v>39</v>
      </c>
      <c r="G9" s="565"/>
      <c r="H9" s="164" t="s">
        <v>38</v>
      </c>
      <c r="I9" s="44" t="s">
        <v>39</v>
      </c>
      <c r="J9" s="565"/>
    </row>
    <row r="10" spans="1:10" ht="5.0999999999999996" customHeight="1">
      <c r="A10" s="30"/>
      <c r="B10" s="47"/>
      <c r="C10" s="47"/>
      <c r="D10" s="47"/>
      <c r="E10" s="47"/>
      <c r="F10" s="47"/>
      <c r="G10" s="47"/>
      <c r="H10" s="47"/>
      <c r="I10" s="47"/>
      <c r="J10" s="47"/>
    </row>
    <row r="11" spans="1:10" ht="14.1" customHeight="1">
      <c r="A11" s="272" t="s">
        <v>109</v>
      </c>
      <c r="B11" s="273">
        <v>10318612</v>
      </c>
      <c r="C11" s="274">
        <f>B11/'- 3 -'!$D11*100</f>
        <v>56.056929340297209</v>
      </c>
      <c r="D11" s="273">
        <f>B11/'- 6 -'!$B11</f>
        <v>6265.0953248330297</v>
      </c>
      <c r="E11" s="273">
        <v>0</v>
      </c>
      <c r="F11" s="274">
        <f>E11/'- 3 -'!$D11*100</f>
        <v>0</v>
      </c>
      <c r="G11" s="273" t="str">
        <f>IF('- 6 -'!$C11=0,"",E11/'- 6 -'!$C11)</f>
        <v/>
      </c>
      <c r="H11" s="273">
        <v>0</v>
      </c>
      <c r="I11" s="274">
        <f>H11/'- 3 -'!$D11*100</f>
        <v>0</v>
      </c>
      <c r="J11" s="273" t="str">
        <f>IF('- 6 -'!$D11=0,"",H11/'- 6 -'!$D11)</f>
        <v/>
      </c>
    </row>
    <row r="12" spans="1:10" ht="14.1" customHeight="1">
      <c r="A12" s="16" t="s">
        <v>110</v>
      </c>
      <c r="B12" s="17">
        <v>13793413</v>
      </c>
      <c r="C12" s="268">
        <f>B12/'- 3 -'!$D12*100</f>
        <v>43.01412762691961</v>
      </c>
      <c r="D12" s="17">
        <f>B12/'- 6 -'!$B12</f>
        <v>6882.9406187624754</v>
      </c>
      <c r="E12" s="17">
        <v>0</v>
      </c>
      <c r="F12" s="268">
        <f>E12/'- 3 -'!$D12*100</f>
        <v>0</v>
      </c>
      <c r="G12" s="17" t="str">
        <f>IF('- 6 -'!$C12=0,"",E12/'- 6 -'!$C12)</f>
        <v/>
      </c>
      <c r="H12" s="17">
        <v>0</v>
      </c>
      <c r="I12" s="268">
        <f>H12/'- 3 -'!$D12*100</f>
        <v>0</v>
      </c>
      <c r="J12" s="17" t="str">
        <f>IF('- 6 -'!$D12=0,"",H12/'- 6 -'!$D12)</f>
        <v/>
      </c>
    </row>
    <row r="13" spans="1:10" ht="14.1" customHeight="1">
      <c r="A13" s="272" t="s">
        <v>111</v>
      </c>
      <c r="B13" s="273">
        <v>37277100</v>
      </c>
      <c r="C13" s="274">
        <f>B13/'- 3 -'!$D13*100</f>
        <v>40.131146905634942</v>
      </c>
      <c r="D13" s="273">
        <f>B13/'- 6 -'!$B13</f>
        <v>6215.9579789894951</v>
      </c>
      <c r="E13" s="273">
        <v>0</v>
      </c>
      <c r="F13" s="274">
        <f>E13/'- 3 -'!$D13*100</f>
        <v>0</v>
      </c>
      <c r="G13" s="273" t="str">
        <f>IF('- 6 -'!$C13=0,"",E13/'- 6 -'!$C13)</f>
        <v/>
      </c>
      <c r="H13" s="273">
        <v>1701900</v>
      </c>
      <c r="I13" s="274">
        <f>H13/'- 3 -'!$D13*100</f>
        <v>1.8322025833205942</v>
      </c>
      <c r="J13" s="273">
        <f>IF('- 6 -'!$D13=0,"",H13/'- 6 -'!$D13)</f>
        <v>5351.8867924528304</v>
      </c>
    </row>
    <row r="14" spans="1:10" ht="14.1" customHeight="1">
      <c r="A14" s="16" t="s">
        <v>324</v>
      </c>
      <c r="B14" s="17">
        <v>0</v>
      </c>
      <c r="C14" s="268">
        <f>B14/'- 3 -'!$D14*100</f>
        <v>0</v>
      </c>
      <c r="D14" s="17"/>
      <c r="E14" s="17">
        <v>40638840</v>
      </c>
      <c r="F14" s="268">
        <f>E14/'- 3 -'!$D14*100</f>
        <v>49.002396555689145</v>
      </c>
      <c r="G14" s="17">
        <f>IF('- 6 -'!$C14=0,"",E14/'- 6 -'!$C14)</f>
        <v>7634.574488070637</v>
      </c>
      <c r="H14" s="17">
        <v>0</v>
      </c>
      <c r="I14" s="268">
        <f>H14/'- 3 -'!$D14*100</f>
        <v>0</v>
      </c>
      <c r="J14" s="17" t="str">
        <f>IF('- 6 -'!$D14=0,"",H14/'- 6 -'!$D14)</f>
        <v/>
      </c>
    </row>
    <row r="15" spans="1:10" ht="14.1" customHeight="1">
      <c r="A15" s="272" t="s">
        <v>112</v>
      </c>
      <c r="B15" s="273">
        <v>8943256</v>
      </c>
      <c r="C15" s="274">
        <f>B15/'- 3 -'!$D15*100</f>
        <v>44.456151497932574</v>
      </c>
      <c r="D15" s="273">
        <f>B15/'- 6 -'!$B15</f>
        <v>6358.5183078563814</v>
      </c>
      <c r="E15" s="273">
        <v>0</v>
      </c>
      <c r="F15" s="274">
        <f>E15/'- 3 -'!$D15*100</f>
        <v>0</v>
      </c>
      <c r="G15" s="273" t="str">
        <f>IF('- 6 -'!$C15=0,"",E15/'- 6 -'!$C15)</f>
        <v/>
      </c>
      <c r="H15" s="273">
        <v>0</v>
      </c>
      <c r="I15" s="274">
        <f>H15/'- 3 -'!$D15*100</f>
        <v>0</v>
      </c>
      <c r="J15" s="273" t="str">
        <f>IF('- 6 -'!$D15=0,"",H15/'- 6 -'!$D15)</f>
        <v/>
      </c>
    </row>
    <row r="16" spans="1:10" ht="14.1" customHeight="1">
      <c r="A16" s="16" t="s">
        <v>113</v>
      </c>
      <c r="B16" s="17">
        <v>4117283</v>
      </c>
      <c r="C16" s="268">
        <f>B16/'- 3 -'!$D16*100</f>
        <v>29.267690541285685</v>
      </c>
      <c r="D16" s="17">
        <f>B16/'- 6 -'!$B16</f>
        <v>8043.1392850166048</v>
      </c>
      <c r="E16" s="17">
        <v>0</v>
      </c>
      <c r="F16" s="268">
        <f>E16/'- 3 -'!$D16*100</f>
        <v>0</v>
      </c>
      <c r="G16" s="17" t="str">
        <f>IF('- 6 -'!$C16=0,"",E16/'- 6 -'!$C16)</f>
        <v/>
      </c>
      <c r="H16" s="17">
        <v>0</v>
      </c>
      <c r="I16" s="268">
        <f>H16/'- 3 -'!$D16*100</f>
        <v>0</v>
      </c>
      <c r="J16" s="17" t="str">
        <f>IF('- 6 -'!$D16=0,"",H16/'- 6 -'!$D16)</f>
        <v/>
      </c>
    </row>
    <row r="17" spans="1:10" ht="14.1" customHeight="1">
      <c r="A17" s="272" t="s">
        <v>114</v>
      </c>
      <c r="B17" s="273">
        <v>8287860</v>
      </c>
      <c r="C17" s="274">
        <f>B17/'- 3 -'!$D17*100</f>
        <v>47.10974715883011</v>
      </c>
      <c r="D17" s="273">
        <f>B17/'- 6 -'!$B17</f>
        <v>6238.5095972901772</v>
      </c>
      <c r="E17" s="273">
        <v>0</v>
      </c>
      <c r="F17" s="274">
        <f>E17/'- 3 -'!$D17*100</f>
        <v>0</v>
      </c>
      <c r="G17" s="273" t="str">
        <f>IF('- 6 -'!$C17=0,"",E17/'- 6 -'!$C17)</f>
        <v/>
      </c>
      <c r="H17" s="273">
        <v>0</v>
      </c>
      <c r="I17" s="274">
        <f>H17/'- 3 -'!$D17*100</f>
        <v>0</v>
      </c>
      <c r="J17" s="273" t="str">
        <f>IF('- 6 -'!$D17=0,"",H17/'- 6 -'!$D17)</f>
        <v/>
      </c>
    </row>
    <row r="18" spans="1:10" ht="14.1" customHeight="1">
      <c r="A18" s="16" t="s">
        <v>115</v>
      </c>
      <c r="B18" s="17">
        <v>46978394</v>
      </c>
      <c r="C18" s="268">
        <f>B18/'- 3 -'!$D18*100</f>
        <v>36.69903158506466</v>
      </c>
      <c r="D18" s="17">
        <f>B18/'- 6 -'!$B18</f>
        <v>7563.6190046851598</v>
      </c>
      <c r="E18" s="17">
        <v>0</v>
      </c>
      <c r="F18" s="268">
        <f>E18/'- 3 -'!$D18*100</f>
        <v>0</v>
      </c>
      <c r="G18" s="17" t="str">
        <f>IF('- 6 -'!$C18=0,"",E18/'- 6 -'!$C18)</f>
        <v/>
      </c>
      <c r="H18" s="17">
        <v>0</v>
      </c>
      <c r="I18" s="268">
        <f>H18/'- 3 -'!$D18*100</f>
        <v>0</v>
      </c>
      <c r="J18" s="17" t="str">
        <f>IF('- 6 -'!$D18=0,"",H18/'- 6 -'!$D18)</f>
        <v/>
      </c>
    </row>
    <row r="19" spans="1:10" ht="14.1" customHeight="1">
      <c r="A19" s="272" t="s">
        <v>116</v>
      </c>
      <c r="B19" s="273">
        <v>21509150</v>
      </c>
      <c r="C19" s="274">
        <f>B19/'- 3 -'!$D19*100</f>
        <v>47.858284928027281</v>
      </c>
      <c r="D19" s="273">
        <f>B19/'- 6 -'!$B19</f>
        <v>5293.126784132297</v>
      </c>
      <c r="E19" s="273">
        <v>0</v>
      </c>
      <c r="F19" s="274">
        <f>E19/'- 3 -'!$D19*100</f>
        <v>0</v>
      </c>
      <c r="G19" s="273" t="str">
        <f>IF('- 6 -'!$C19=0,"",E19/'- 6 -'!$C19)</f>
        <v/>
      </c>
      <c r="H19" s="273">
        <v>0</v>
      </c>
      <c r="I19" s="274">
        <f>H19/'- 3 -'!$D19*100</f>
        <v>0</v>
      </c>
      <c r="J19" s="273" t="str">
        <f>IF('- 6 -'!$D19=0,"",H19/'- 6 -'!$D19)</f>
        <v/>
      </c>
    </row>
    <row r="20" spans="1:10" ht="14.1" customHeight="1">
      <c r="A20" s="16" t="s">
        <v>117</v>
      </c>
      <c r="B20" s="17">
        <v>38710300</v>
      </c>
      <c r="C20" s="268">
        <f>B20/'- 3 -'!$D20*100</f>
        <v>49.132976589987152</v>
      </c>
      <c r="D20" s="17">
        <f>B20/'- 6 -'!$B20</f>
        <v>5513.7300928253699</v>
      </c>
      <c r="E20" s="17">
        <v>0</v>
      </c>
      <c r="F20" s="268">
        <f>E20/'- 3 -'!$D20*100</f>
        <v>0</v>
      </c>
      <c r="G20" s="17" t="str">
        <f>IF('- 6 -'!$C20=0,"",E20/'- 6 -'!$C20)</f>
        <v/>
      </c>
      <c r="H20" s="17">
        <v>0</v>
      </c>
      <c r="I20" s="268">
        <f>H20/'- 3 -'!$D20*100</f>
        <v>0</v>
      </c>
      <c r="J20" s="17" t="str">
        <f>IF('- 6 -'!$D20=0,"",H20/'- 6 -'!$D20)</f>
        <v/>
      </c>
    </row>
    <row r="21" spans="1:10" ht="14.1" customHeight="1">
      <c r="A21" s="272" t="s">
        <v>118</v>
      </c>
      <c r="B21" s="273">
        <v>13050776</v>
      </c>
      <c r="C21" s="274">
        <f>B21/'- 3 -'!$D21*100</f>
        <v>36.758625081585919</v>
      </c>
      <c r="D21" s="273">
        <f>B21/'- 6 -'!$B21</f>
        <v>6360.0272904483427</v>
      </c>
      <c r="E21" s="273">
        <v>0</v>
      </c>
      <c r="F21" s="274">
        <f>E21/'- 3 -'!$D21*100</f>
        <v>0</v>
      </c>
      <c r="G21" s="273" t="str">
        <f>IF('- 6 -'!$C21=0,"",E21/'- 6 -'!$C21)</f>
        <v/>
      </c>
      <c r="H21" s="273">
        <v>0</v>
      </c>
      <c r="I21" s="274">
        <f>H21/'- 3 -'!$D21*100</f>
        <v>0</v>
      </c>
      <c r="J21" s="273" t="str">
        <f>IF('- 6 -'!$D21=0,"",H21/'- 6 -'!$D21)</f>
        <v/>
      </c>
    </row>
    <row r="22" spans="1:10" ht="14.1" customHeight="1">
      <c r="A22" s="16" t="s">
        <v>119</v>
      </c>
      <c r="B22" s="17">
        <v>4949157</v>
      </c>
      <c r="C22" s="268">
        <f>B22/'- 3 -'!$D22*100</f>
        <v>23.990039965489178</v>
      </c>
      <c r="D22" s="17">
        <f>B22/'- 6 -'!$B22</f>
        <v>5329.1235059760957</v>
      </c>
      <c r="E22" s="17">
        <v>0</v>
      </c>
      <c r="F22" s="268">
        <f>E22/'- 3 -'!$D22*100</f>
        <v>0</v>
      </c>
      <c r="G22" s="17" t="str">
        <f>IF('- 6 -'!$C22=0,"",E22/'- 6 -'!$C22)</f>
        <v/>
      </c>
      <c r="H22" s="17">
        <v>0</v>
      </c>
      <c r="I22" s="268">
        <f>H22/'- 3 -'!$D22*100</f>
        <v>0</v>
      </c>
      <c r="J22" s="17" t="str">
        <f>IF('- 6 -'!$D22=0,"",H22/'- 6 -'!$D22)</f>
        <v/>
      </c>
    </row>
    <row r="23" spans="1:10" ht="14.1" customHeight="1">
      <c r="A23" s="272" t="s">
        <v>120</v>
      </c>
      <c r="B23" s="273">
        <v>7572049</v>
      </c>
      <c r="C23" s="274">
        <f>B23/'- 3 -'!$D23*100</f>
        <v>45.890652591523292</v>
      </c>
      <c r="D23" s="273">
        <f>B23/'- 6 -'!$B23</f>
        <v>6883.6809090909092</v>
      </c>
      <c r="E23" s="273">
        <v>0</v>
      </c>
      <c r="F23" s="274">
        <f>E23/'- 3 -'!$D23*100</f>
        <v>0</v>
      </c>
      <c r="G23" s="273" t="str">
        <f>IF('- 6 -'!$C23=0,"",E23/'- 6 -'!$C23)</f>
        <v/>
      </c>
      <c r="H23" s="273">
        <v>0</v>
      </c>
      <c r="I23" s="274">
        <f>H23/'- 3 -'!$D23*100</f>
        <v>0</v>
      </c>
      <c r="J23" s="273" t="str">
        <f>IF('- 6 -'!$D23=0,"",H23/'- 6 -'!$D23)</f>
        <v/>
      </c>
    </row>
    <row r="24" spans="1:10" ht="14.1" customHeight="1">
      <c r="A24" s="16" t="s">
        <v>121</v>
      </c>
      <c r="B24" s="17">
        <v>20218955</v>
      </c>
      <c r="C24" s="268">
        <f>B24/'- 3 -'!$D24*100</f>
        <v>36.165146247909149</v>
      </c>
      <c r="D24" s="17">
        <f>B24/'- 6 -'!$B24</f>
        <v>7311.1390345326345</v>
      </c>
      <c r="E24" s="17">
        <v>0</v>
      </c>
      <c r="F24" s="268">
        <f>E24/'- 3 -'!$D24*100</f>
        <v>0</v>
      </c>
      <c r="G24" s="17" t="str">
        <f>IF('- 6 -'!$C24=0,"",E24/'- 6 -'!$C24)</f>
        <v/>
      </c>
      <c r="H24" s="17">
        <v>1602040</v>
      </c>
      <c r="I24" s="268">
        <f>H24/'- 3 -'!$D24*100</f>
        <v>2.8655294447710267</v>
      </c>
      <c r="J24" s="17">
        <f>IF('- 6 -'!$D24=0,"",H24/'- 6 -'!$D24)</f>
        <v>6332.173913043478</v>
      </c>
    </row>
    <row r="25" spans="1:10" ht="14.1" customHeight="1">
      <c r="A25" s="272" t="s">
        <v>122</v>
      </c>
      <c r="B25" s="273">
        <v>58247190</v>
      </c>
      <c r="C25" s="274">
        <f>B25/'- 3 -'!$D25*100</f>
        <v>34.848855644780642</v>
      </c>
      <c r="D25" s="273">
        <f>B25/'- 6 -'!$B25</f>
        <v>6177.7790740838946</v>
      </c>
      <c r="E25" s="273">
        <v>0</v>
      </c>
      <c r="F25" s="274">
        <f>E25/'- 3 -'!$D25*100</f>
        <v>0</v>
      </c>
      <c r="G25" s="273" t="str">
        <f>IF('- 6 -'!$C25=0,"",E25/'- 6 -'!$C25)</f>
        <v/>
      </c>
      <c r="H25" s="273">
        <v>22863567</v>
      </c>
      <c r="I25" s="274">
        <f>H25/'- 3 -'!$D25*100</f>
        <v>13.67910015758306</v>
      </c>
      <c r="J25" s="273">
        <f>IF('- 6 -'!$D25=0,"",H25/'- 6 -'!$D25)</f>
        <v>5192.7247331364979</v>
      </c>
    </row>
    <row r="26" spans="1:10" ht="14.1" customHeight="1">
      <c r="A26" s="16" t="s">
        <v>123</v>
      </c>
      <c r="B26" s="17">
        <v>15531066</v>
      </c>
      <c r="C26" s="268">
        <f>B26/'- 3 -'!$D26*100</f>
        <v>38.937594590487727</v>
      </c>
      <c r="D26" s="17">
        <f>B26/'- 6 -'!$B26</f>
        <v>6350.8754855857696</v>
      </c>
      <c r="E26" s="17">
        <v>0</v>
      </c>
      <c r="F26" s="268">
        <f>E26/'- 3 -'!$D26*100</f>
        <v>0</v>
      </c>
      <c r="G26" s="17" t="str">
        <f>IF('- 6 -'!$C26=0,"",E26/'- 6 -'!$C26)</f>
        <v/>
      </c>
      <c r="H26" s="17">
        <v>1195983</v>
      </c>
      <c r="I26" s="268">
        <f>H26/'- 3 -'!$D26*100</f>
        <v>2.9984227219892881</v>
      </c>
      <c r="J26" s="17">
        <f>IF('- 6 -'!$D26=0,"",H26/'- 6 -'!$D26)</f>
        <v>5448.6697038724369</v>
      </c>
    </row>
    <row r="27" spans="1:10" ht="14.1" customHeight="1">
      <c r="A27" s="272" t="s">
        <v>124</v>
      </c>
      <c r="B27" s="273">
        <v>17812256</v>
      </c>
      <c r="C27" s="274">
        <f>B27/'- 3 -'!$D27*100</f>
        <v>41.500474550593502</v>
      </c>
      <c r="D27" s="273">
        <f>B27/'- 6 -'!$B27</f>
        <v>7704.2629757785471</v>
      </c>
      <c r="E27" s="273">
        <v>0</v>
      </c>
      <c r="F27" s="274">
        <f>E27/'- 3 -'!$D27*100</f>
        <v>0</v>
      </c>
      <c r="G27" s="273" t="str">
        <f>IF('- 6 -'!$C27=0,"",E27/'- 6 -'!$C27)</f>
        <v/>
      </c>
      <c r="H27" s="273">
        <v>0</v>
      </c>
      <c r="I27" s="274">
        <f>H27/'- 3 -'!$D27*100</f>
        <v>0</v>
      </c>
      <c r="J27" s="273" t="str">
        <f>IF('- 6 -'!$D27=0,"",H27/'- 6 -'!$D27)</f>
        <v/>
      </c>
    </row>
    <row r="28" spans="1:10" ht="14.1" customHeight="1">
      <c r="A28" s="16" t="s">
        <v>125</v>
      </c>
      <c r="B28" s="17">
        <v>14310933</v>
      </c>
      <c r="C28" s="268">
        <f>B28/'- 3 -'!$D28*100</f>
        <v>51.094683093303949</v>
      </c>
      <c r="D28" s="17">
        <f>B28/'- 6 -'!$B28</f>
        <v>7262.5896980461812</v>
      </c>
      <c r="E28" s="17">
        <v>0</v>
      </c>
      <c r="F28" s="268">
        <f>E28/'- 3 -'!$D28*100</f>
        <v>0</v>
      </c>
      <c r="G28" s="17" t="str">
        <f>IF('- 6 -'!$C28=0,"",E28/'- 6 -'!$C28)</f>
        <v/>
      </c>
      <c r="H28" s="17">
        <v>0</v>
      </c>
      <c r="I28" s="268">
        <f>H28/'- 3 -'!$D28*100</f>
        <v>0</v>
      </c>
      <c r="J28" s="17" t="str">
        <f>IF('- 6 -'!$D28=0,"",H28/'- 6 -'!$D28)</f>
        <v/>
      </c>
    </row>
    <row r="29" spans="1:10" ht="14.1" customHeight="1">
      <c r="A29" s="272" t="s">
        <v>126</v>
      </c>
      <c r="B29" s="273">
        <v>49047868</v>
      </c>
      <c r="C29" s="274">
        <f>B29/'- 3 -'!$D29*100</f>
        <v>31.68057308352541</v>
      </c>
      <c r="D29" s="273">
        <f>B29/'- 6 -'!$B29</f>
        <v>5978.1666158815287</v>
      </c>
      <c r="E29" s="273">
        <v>0</v>
      </c>
      <c r="F29" s="274">
        <f>E29/'- 3 -'!$D29*100</f>
        <v>0</v>
      </c>
      <c r="G29" s="273" t="str">
        <f>IF('- 6 -'!$C29=0,"",E29/'- 6 -'!$C29)</f>
        <v/>
      </c>
      <c r="H29" s="273">
        <v>7572651</v>
      </c>
      <c r="I29" s="274">
        <f>H29/'- 3 -'!$D29*100</f>
        <v>4.8912609910288412</v>
      </c>
      <c r="J29" s="273">
        <f>IF('- 6 -'!$D29=0,"",H29/'- 6 -'!$D29)</f>
        <v>5867.9976753196433</v>
      </c>
    </row>
    <row r="30" spans="1:10" ht="14.1" customHeight="1">
      <c r="A30" s="16" t="s">
        <v>127</v>
      </c>
      <c r="B30" s="17">
        <v>7485684</v>
      </c>
      <c r="C30" s="268">
        <f>B30/'- 3 -'!$D30*100</f>
        <v>53.498048911115802</v>
      </c>
      <c r="D30" s="17">
        <f>B30/'- 6 -'!$B30</f>
        <v>7493.1771771771773</v>
      </c>
      <c r="E30" s="17">
        <v>0</v>
      </c>
      <c r="F30" s="268">
        <f>E30/'- 3 -'!$D30*100</f>
        <v>0</v>
      </c>
      <c r="G30" s="17" t="str">
        <f>IF('- 6 -'!$C30=0,"",E30/'- 6 -'!$C30)</f>
        <v/>
      </c>
      <c r="H30" s="17">
        <v>0</v>
      </c>
      <c r="I30" s="268">
        <f>H30/'- 3 -'!$D30*100</f>
        <v>0</v>
      </c>
      <c r="J30" s="17" t="str">
        <f>IF('- 6 -'!$D30=0,"",H30/'- 6 -'!$D30)</f>
        <v/>
      </c>
    </row>
    <row r="31" spans="1:10" ht="14.1" customHeight="1">
      <c r="A31" s="272" t="s">
        <v>128</v>
      </c>
      <c r="B31" s="273">
        <v>14276858</v>
      </c>
      <c r="C31" s="274">
        <f>B31/'- 3 -'!$D31*100</f>
        <v>39.428440176668346</v>
      </c>
      <c r="D31" s="273">
        <f>B31/'- 6 -'!$B31</f>
        <v>5948.6908333333331</v>
      </c>
      <c r="E31" s="273">
        <v>0</v>
      </c>
      <c r="F31" s="274">
        <f>E31/'- 3 -'!$D31*100</f>
        <v>0</v>
      </c>
      <c r="G31" s="273" t="str">
        <f>IF('- 6 -'!$C31=0,"",E31/'- 6 -'!$C31)</f>
        <v/>
      </c>
      <c r="H31" s="273">
        <v>0</v>
      </c>
      <c r="I31" s="274">
        <f>H31/'- 3 -'!$D31*100</f>
        <v>0</v>
      </c>
      <c r="J31" s="273" t="str">
        <f>IF('- 6 -'!$D31=0,"",H31/'- 6 -'!$D31)</f>
        <v/>
      </c>
    </row>
    <row r="32" spans="1:10" ht="14.1" customHeight="1">
      <c r="A32" s="16" t="s">
        <v>129</v>
      </c>
      <c r="B32" s="17">
        <v>12141642</v>
      </c>
      <c r="C32" s="268">
        <f>B32/'- 3 -'!$D32*100</f>
        <v>42.222087914946307</v>
      </c>
      <c r="D32" s="17">
        <f>B32/'- 6 -'!$B32</f>
        <v>6820.380856083586</v>
      </c>
      <c r="E32" s="17">
        <v>0</v>
      </c>
      <c r="F32" s="268">
        <f>E32/'- 3 -'!$D32*100</f>
        <v>0</v>
      </c>
      <c r="G32" s="17" t="str">
        <f>IF('- 6 -'!$C32=0,"",E32/'- 6 -'!$C32)</f>
        <v/>
      </c>
      <c r="H32" s="17">
        <v>619534</v>
      </c>
      <c r="I32" s="268">
        <f>H32/'- 3 -'!$D32*100</f>
        <v>2.1544053937925649</v>
      </c>
      <c r="J32" s="17">
        <f>IF('- 6 -'!$D32=0,"",H32/'- 6 -'!$D32)</f>
        <v>5228.1350210970468</v>
      </c>
    </row>
    <row r="33" spans="1:10" ht="14.1" customHeight="1">
      <c r="A33" s="272" t="s">
        <v>130</v>
      </c>
      <c r="B33" s="273">
        <v>10285000</v>
      </c>
      <c r="C33" s="274">
        <f>B33/'- 3 -'!$D33*100</f>
        <v>37.710183399452958</v>
      </c>
      <c r="D33" s="273">
        <f>B33/'- 6 -'!$B33</f>
        <v>6856.666666666667</v>
      </c>
      <c r="E33" s="273">
        <v>0</v>
      </c>
      <c r="F33" s="274">
        <f>E33/'- 3 -'!$D33*100</f>
        <v>0</v>
      </c>
      <c r="G33" s="273" t="str">
        <f>IF('- 6 -'!$C33=0,"",E33/'- 6 -'!$C33)</f>
        <v/>
      </c>
      <c r="H33" s="273">
        <v>0</v>
      </c>
      <c r="I33" s="274">
        <f>H33/'- 3 -'!$D33*100</f>
        <v>0</v>
      </c>
      <c r="J33" s="273" t="str">
        <f>IF('- 6 -'!$D33=0,"",H33/'- 6 -'!$D33)</f>
        <v/>
      </c>
    </row>
    <row r="34" spans="1:10" ht="14.1" customHeight="1">
      <c r="A34" s="16" t="s">
        <v>131</v>
      </c>
      <c r="B34" s="17">
        <v>10029116</v>
      </c>
      <c r="C34" s="268">
        <f>B34/'- 3 -'!$D34*100</f>
        <v>36.246135046209943</v>
      </c>
      <c r="D34" s="17">
        <f>B34/'- 6 -'!$B34</f>
        <v>6516.6445743989607</v>
      </c>
      <c r="E34" s="17">
        <v>0</v>
      </c>
      <c r="F34" s="268">
        <f>E34/'- 3 -'!$D34*100</f>
        <v>0</v>
      </c>
      <c r="G34" s="17" t="str">
        <f>IF('- 6 -'!$C34=0,"",E34/'- 6 -'!$C34)</f>
        <v/>
      </c>
      <c r="H34" s="17">
        <v>1680026</v>
      </c>
      <c r="I34" s="268">
        <f>H34/'- 3 -'!$D34*100</f>
        <v>6.0717663727435109</v>
      </c>
      <c r="J34" s="17">
        <f>IF('- 6 -'!$D34=0,"",H34/'- 6 -'!$D34)</f>
        <v>7272.8398268398269</v>
      </c>
    </row>
    <row r="35" spans="1:10" ht="14.1" customHeight="1">
      <c r="A35" s="272" t="s">
        <v>132</v>
      </c>
      <c r="B35" s="273">
        <v>53578468</v>
      </c>
      <c r="C35" s="274">
        <f>B35/'- 3 -'!$D35*100</f>
        <v>30.409660027874391</v>
      </c>
      <c r="D35" s="273">
        <f>B35/'- 6 -'!$B35</f>
        <v>5739.5252276379215</v>
      </c>
      <c r="E35" s="273">
        <v>0</v>
      </c>
      <c r="F35" s="274">
        <f>E35/'- 3 -'!$D35*100</f>
        <v>0</v>
      </c>
      <c r="G35" s="273" t="str">
        <f>IF('- 6 -'!$C35=0,"",E35/'- 6 -'!$C35)</f>
        <v/>
      </c>
      <c r="H35" s="273">
        <v>5519391</v>
      </c>
      <c r="I35" s="274">
        <f>H35/'- 3 -'!$D35*100</f>
        <v>3.1326540331632784</v>
      </c>
      <c r="J35" s="273">
        <f>IF('- 6 -'!$D35=0,"",H35/'- 6 -'!$D35)</f>
        <v>4820.4288209606984</v>
      </c>
    </row>
    <row r="36" spans="1:10" ht="14.1" customHeight="1">
      <c r="A36" s="16" t="s">
        <v>133</v>
      </c>
      <c r="B36" s="17">
        <v>11311715</v>
      </c>
      <c r="C36" s="268">
        <f>B36/'- 3 -'!$D36*100</f>
        <v>49.175853317323536</v>
      </c>
      <c r="D36" s="17">
        <f>B36/'- 6 -'!$B36</f>
        <v>6787.7077707770777</v>
      </c>
      <c r="E36" s="17">
        <v>0</v>
      </c>
      <c r="F36" s="268">
        <f>E36/'- 3 -'!$D36*100</f>
        <v>0</v>
      </c>
      <c r="G36" s="17" t="str">
        <f>IF('- 6 -'!$C36=0,"",E36/'- 6 -'!$C36)</f>
        <v/>
      </c>
      <c r="H36" s="17">
        <v>0</v>
      </c>
      <c r="I36" s="268">
        <f>H36/'- 3 -'!$D36*100</f>
        <v>0</v>
      </c>
      <c r="J36" s="17" t="str">
        <f>IF('- 6 -'!$D36=0,"",H36/'- 6 -'!$D36)</f>
        <v/>
      </c>
    </row>
    <row r="37" spans="1:10" ht="14.1" customHeight="1">
      <c r="A37" s="272" t="s">
        <v>134</v>
      </c>
      <c r="B37" s="273">
        <v>11673372</v>
      </c>
      <c r="C37" s="274">
        <f>B37/'- 3 -'!$D37*100</f>
        <v>24.958034721628326</v>
      </c>
      <c r="D37" s="273">
        <f>B37/'- 6 -'!$B37</f>
        <v>5774.6089537472171</v>
      </c>
      <c r="E37" s="273">
        <v>0</v>
      </c>
      <c r="F37" s="274">
        <f>E37/'- 3 -'!$D37*100</f>
        <v>0</v>
      </c>
      <c r="G37" s="273" t="str">
        <f>IF('- 6 -'!$C37=0,"",E37/'- 6 -'!$C37)</f>
        <v/>
      </c>
      <c r="H37" s="273">
        <v>4154253</v>
      </c>
      <c r="I37" s="274">
        <f>H37/'- 3 -'!$D37*100</f>
        <v>8.8819229453519188</v>
      </c>
      <c r="J37" s="273">
        <f>IF('- 6 -'!$D37=0,"",H37/'- 6 -'!$D37)</f>
        <v>5793.9372384937242</v>
      </c>
    </row>
    <row r="38" spans="1:10" ht="14.1" customHeight="1">
      <c r="A38" s="16" t="s">
        <v>135</v>
      </c>
      <c r="B38" s="17">
        <v>39243697</v>
      </c>
      <c r="C38" s="268">
        <f>B38/'- 3 -'!$D38*100</f>
        <v>30.382998835822949</v>
      </c>
      <c r="D38" s="17">
        <f>B38/'- 6 -'!$B38</f>
        <v>6464.1240322846315</v>
      </c>
      <c r="E38" s="17">
        <v>0</v>
      </c>
      <c r="F38" s="268">
        <f>E38/'- 3 -'!$D38*100</f>
        <v>0</v>
      </c>
      <c r="G38" s="17" t="str">
        <f>IF('- 6 -'!$C38=0,"",E38/'- 6 -'!$C38)</f>
        <v/>
      </c>
      <c r="H38" s="17">
        <v>1697541</v>
      </c>
      <c r="I38" s="268">
        <f>H38/'- 3 -'!$D38*100</f>
        <v>1.3142591083292108</v>
      </c>
      <c r="J38" s="17">
        <f>IF('- 6 -'!$D38=0,"",H38/'- 6 -'!$D38)</f>
        <v>5255.5448916408668</v>
      </c>
    </row>
    <row r="39" spans="1:10" ht="14.1" customHeight="1">
      <c r="A39" s="272" t="s">
        <v>136</v>
      </c>
      <c r="B39" s="273">
        <v>10823490</v>
      </c>
      <c r="C39" s="274">
        <f>B39/'- 3 -'!$D39*100</f>
        <v>49.352851670456616</v>
      </c>
      <c r="D39" s="273">
        <f>B39/'- 6 -'!$B39</f>
        <v>7051.1335504885992</v>
      </c>
      <c r="E39" s="273">
        <v>0</v>
      </c>
      <c r="F39" s="274">
        <f>E39/'- 3 -'!$D39*100</f>
        <v>0</v>
      </c>
      <c r="G39" s="273" t="str">
        <f>IF('- 6 -'!$C39=0,"",E39/'- 6 -'!$C39)</f>
        <v/>
      </c>
      <c r="H39" s="273">
        <v>0</v>
      </c>
      <c r="I39" s="274">
        <f>H39/'- 3 -'!$D39*100</f>
        <v>0</v>
      </c>
      <c r="J39" s="273" t="str">
        <f>IF('- 6 -'!$D39=0,"",H39/'- 6 -'!$D39)</f>
        <v/>
      </c>
    </row>
    <row r="40" spans="1:10" ht="14.1" customHeight="1">
      <c r="A40" s="16" t="s">
        <v>137</v>
      </c>
      <c r="B40" s="17">
        <v>34632887</v>
      </c>
      <c r="C40" s="268">
        <f>B40/'- 3 -'!$D40*100</f>
        <v>33.934306542594449</v>
      </c>
      <c r="D40" s="17">
        <f>B40/'- 6 -'!$B40</f>
        <v>6616.1351084416992</v>
      </c>
      <c r="E40" s="17">
        <v>0</v>
      </c>
      <c r="F40" s="268">
        <f>E40/'- 3 -'!$D40*100</f>
        <v>0</v>
      </c>
      <c r="G40" s="17" t="str">
        <f>IF('- 6 -'!$C40=0,"",E40/'- 6 -'!$C40)</f>
        <v/>
      </c>
      <c r="H40" s="17">
        <v>4472380</v>
      </c>
      <c r="I40" s="268">
        <f>H40/'- 3 -'!$D40*100</f>
        <v>4.3821675592614779</v>
      </c>
      <c r="J40" s="17">
        <f>IF('- 6 -'!$D40=0,"",H40/'- 6 -'!$D40)</f>
        <v>5108.3723586521992</v>
      </c>
    </row>
    <row r="41" spans="1:10" ht="14.1" customHeight="1">
      <c r="A41" s="272" t="s">
        <v>138</v>
      </c>
      <c r="B41" s="273">
        <v>14855889</v>
      </c>
      <c r="C41" s="274">
        <f>B41/'- 3 -'!$D41*100</f>
        <v>23.866521337272903</v>
      </c>
      <c r="D41" s="273">
        <f>B41/'- 6 -'!$B41</f>
        <v>7168.1008443908322</v>
      </c>
      <c r="E41" s="273">
        <v>0</v>
      </c>
      <c r="F41" s="274">
        <f>E41/'- 3 -'!$D41*100</f>
        <v>0</v>
      </c>
      <c r="G41" s="273" t="str">
        <f>IF('- 6 -'!$C41=0,"",E41/'- 6 -'!$C41)</f>
        <v/>
      </c>
      <c r="H41" s="273">
        <v>0</v>
      </c>
      <c r="I41" s="274">
        <f>H41/'- 3 -'!$D41*100</f>
        <v>0</v>
      </c>
      <c r="J41" s="273" t="str">
        <f>IF('- 6 -'!$D41=0,"",H41/'- 6 -'!$D41)</f>
        <v/>
      </c>
    </row>
    <row r="42" spans="1:10" ht="14.1" customHeight="1">
      <c r="A42" s="16" t="s">
        <v>139</v>
      </c>
      <c r="B42" s="17">
        <v>6969887</v>
      </c>
      <c r="C42" s="268">
        <f>B42/'- 3 -'!$D42*100</f>
        <v>33.811847455934981</v>
      </c>
      <c r="D42" s="17">
        <f>B42/'- 6 -'!$B42</f>
        <v>6969.8869999999997</v>
      </c>
      <c r="E42" s="17">
        <v>0</v>
      </c>
      <c r="F42" s="268">
        <f>E42/'- 3 -'!$D42*100</f>
        <v>0</v>
      </c>
      <c r="G42" s="17" t="str">
        <f>IF('- 6 -'!$C42=0,"",E42/'- 6 -'!$C42)</f>
        <v/>
      </c>
      <c r="H42" s="17">
        <v>0</v>
      </c>
      <c r="I42" s="268">
        <f>H42/'- 3 -'!$D42*100</f>
        <v>0</v>
      </c>
      <c r="J42" s="17" t="str">
        <f>IF('- 6 -'!$D42=0,"",H42/'- 6 -'!$D42)</f>
        <v/>
      </c>
    </row>
    <row r="43" spans="1:10" ht="14.1" customHeight="1">
      <c r="A43" s="272" t="s">
        <v>140</v>
      </c>
      <c r="B43" s="273">
        <v>5857290</v>
      </c>
      <c r="C43" s="274">
        <f>B43/'- 3 -'!$D43*100</f>
        <v>45.637648003348517</v>
      </c>
      <c r="D43" s="273">
        <f>B43/'- 6 -'!$B43</f>
        <v>6422.4671052631575</v>
      </c>
      <c r="E43" s="273">
        <v>0</v>
      </c>
      <c r="F43" s="274">
        <f>E43/'- 3 -'!$D43*100</f>
        <v>0</v>
      </c>
      <c r="G43" s="273" t="str">
        <f>IF('- 6 -'!$C43=0,"",E43/'- 6 -'!$C43)</f>
        <v/>
      </c>
      <c r="H43" s="273">
        <v>0</v>
      </c>
      <c r="I43" s="274">
        <f>H43/'- 3 -'!$D43*100</f>
        <v>0</v>
      </c>
      <c r="J43" s="273" t="str">
        <f>IF('- 6 -'!$D43=0,"",H43/'- 6 -'!$D43)</f>
        <v/>
      </c>
    </row>
    <row r="44" spans="1:10" ht="14.1" customHeight="1">
      <c r="A44" s="16" t="s">
        <v>141</v>
      </c>
      <c r="B44" s="17">
        <v>5034024</v>
      </c>
      <c r="C44" s="268">
        <f>B44/'- 3 -'!$D44*100</f>
        <v>45.859179102744022</v>
      </c>
      <c r="D44" s="17">
        <f>B44/'- 6 -'!$B44</f>
        <v>7468.8783382789316</v>
      </c>
      <c r="E44" s="17">
        <v>325862</v>
      </c>
      <c r="F44" s="268">
        <f>E44/'- 3 -'!$D44*100</f>
        <v>2.9685523590627243</v>
      </c>
      <c r="G44" s="17">
        <f>IF('- 6 -'!$C44=0,"",E44/'- 6 -'!$C44)</f>
        <v>9051.7222222222226</v>
      </c>
      <c r="H44" s="17">
        <v>0</v>
      </c>
      <c r="I44" s="268">
        <f>H44/'- 3 -'!$D44*100</f>
        <v>0</v>
      </c>
      <c r="J44" s="17" t="str">
        <f>IF('- 6 -'!$D44=0,"",H44/'- 6 -'!$D44)</f>
        <v/>
      </c>
    </row>
    <row r="45" spans="1:10" ht="14.1" customHeight="1">
      <c r="A45" s="272" t="s">
        <v>142</v>
      </c>
      <c r="B45" s="273">
        <v>4550112</v>
      </c>
      <c r="C45" s="274">
        <f>B45/'- 3 -'!$D45*100</f>
        <v>24.846246474377107</v>
      </c>
      <c r="D45" s="273">
        <f>B45/'- 6 -'!$B45</f>
        <v>6066.8159999999998</v>
      </c>
      <c r="E45" s="273">
        <v>0</v>
      </c>
      <c r="F45" s="274">
        <f>E45/'- 3 -'!$D45*100</f>
        <v>0</v>
      </c>
      <c r="G45" s="273" t="str">
        <f>IF('- 6 -'!$C45=0,"",E45/'- 6 -'!$C45)</f>
        <v/>
      </c>
      <c r="H45" s="273">
        <v>0</v>
      </c>
      <c r="I45" s="274">
        <f>H45/'- 3 -'!$D45*100</f>
        <v>0</v>
      </c>
      <c r="J45" s="273" t="str">
        <f>IF('- 6 -'!$D45=0,"",H45/'- 6 -'!$D45)</f>
        <v/>
      </c>
    </row>
    <row r="46" spans="1:10" ht="14.1" customHeight="1">
      <c r="A46" s="16" t="s">
        <v>143</v>
      </c>
      <c r="B46" s="17">
        <v>131116100</v>
      </c>
      <c r="C46" s="268">
        <f>B46/'- 3 -'!$D46*100</f>
        <v>34.237499689915801</v>
      </c>
      <c r="D46" s="17">
        <f>B46/'- 6 -'!$B46</f>
        <v>5947.4951917843018</v>
      </c>
      <c r="E46" s="17">
        <v>0</v>
      </c>
      <c r="F46" s="268">
        <f>E46/'- 3 -'!$D46*100</f>
        <v>0</v>
      </c>
      <c r="G46" s="17" t="str">
        <f>IF('- 6 -'!$C46=0,"",E46/'- 6 -'!$C46)</f>
        <v/>
      </c>
      <c r="H46" s="17">
        <v>7011500</v>
      </c>
      <c r="I46" s="268">
        <f>H46/'- 3 -'!$D46*100</f>
        <v>1.8308676743423931</v>
      </c>
      <c r="J46" s="17">
        <f>IF('- 6 -'!$D46=0,"",H46/'- 6 -'!$D46)</f>
        <v>5714.3439282803583</v>
      </c>
    </row>
    <row r="47" spans="1:10" ht="5.0999999999999996" customHeight="1">
      <c r="A47"/>
      <c r="B47"/>
      <c r="C47"/>
      <c r="D47"/>
      <c r="E47"/>
      <c r="F47"/>
      <c r="G47"/>
      <c r="H47"/>
      <c r="I47"/>
      <c r="J47"/>
    </row>
    <row r="48" spans="1:10" ht="14.1" customHeight="1">
      <c r="A48" s="275" t="s">
        <v>144</v>
      </c>
      <c r="B48" s="276">
        <f>SUM(B11:B46)</f>
        <v>774540849</v>
      </c>
      <c r="C48" s="277">
        <f>B48/'- 3 -'!$D48*100</f>
        <v>34.700165674270671</v>
      </c>
      <c r="D48" s="276">
        <f>B48/'- 6 -'!$B48</f>
        <v>6300.4905338190392</v>
      </c>
      <c r="E48" s="276">
        <f>SUM(E11:E46)</f>
        <v>40964702</v>
      </c>
      <c r="F48" s="277">
        <f>E48/'- 3 -'!$D48*100</f>
        <v>1.8352575568252916</v>
      </c>
      <c r="G48" s="276">
        <f>E48/'- 6 -'!$C48</f>
        <v>7644.094420600858</v>
      </c>
      <c r="H48" s="276">
        <f>SUM(H11:H46)</f>
        <v>60090766</v>
      </c>
      <c r="I48" s="277">
        <f>H48/'- 3 -'!$D48*100</f>
        <v>2.6921233894712651</v>
      </c>
      <c r="J48" s="276">
        <f>H48/'- 6 -'!$D48</f>
        <v>5403.359949644816</v>
      </c>
    </row>
    <row r="49" spans="1:10" ht="5.0999999999999996" customHeight="1">
      <c r="A49" s="18" t="s">
        <v>1</v>
      </c>
      <c r="B49" s="19"/>
      <c r="C49" s="267"/>
      <c r="D49" s="19"/>
      <c r="E49" s="19"/>
      <c r="F49" s="267"/>
      <c r="H49" s="19"/>
      <c r="I49" s="267"/>
      <c r="J49" s="19"/>
    </row>
    <row r="50" spans="1:10" ht="14.1" customHeight="1">
      <c r="A50" s="16" t="s">
        <v>145</v>
      </c>
      <c r="B50" s="17">
        <v>1643661</v>
      </c>
      <c r="C50" s="268">
        <f>B50/'- 3 -'!$D50*100</f>
        <v>48.953678526458418</v>
      </c>
      <c r="D50" s="17">
        <f>B50/'- 6 -'!$B50</f>
        <v>10146.055555555555</v>
      </c>
      <c r="E50" s="17">
        <v>0</v>
      </c>
      <c r="F50" s="268">
        <f>E50/'- 3 -'!$D50*100</f>
        <v>0</v>
      </c>
      <c r="G50" s="17" t="str">
        <f>IF('- 6 -'!$C50=0,"",E50/'- 6 -'!$C50)</f>
        <v/>
      </c>
      <c r="H50" s="17">
        <v>0</v>
      </c>
      <c r="I50" s="268">
        <f>H50/'- 3 -'!$D50*100</f>
        <v>0</v>
      </c>
      <c r="J50" s="17" t="str">
        <f>IF('- 6 -'!$D50=0,"",H50/'- 6 -'!$D50)</f>
        <v/>
      </c>
    </row>
    <row r="51" spans="1:10" ht="14.1" customHeight="1">
      <c r="A51" s="364" t="s">
        <v>540</v>
      </c>
      <c r="B51" s="273">
        <v>1161085</v>
      </c>
      <c r="C51" s="274">
        <f>B51/'- 3 -'!$D51*100</f>
        <v>4.5838113215562091</v>
      </c>
      <c r="D51" s="273">
        <f>B51/'- 6 -'!$B51</f>
        <v>8543.6718175128772</v>
      </c>
      <c r="E51" s="273">
        <v>0</v>
      </c>
      <c r="F51" s="274">
        <f>E51/'- 3 -'!$D51*100</f>
        <v>0</v>
      </c>
      <c r="G51" s="273" t="str">
        <f>IF('- 6 -'!$C51=0,"",E51/'- 6 -'!$C51)</f>
        <v/>
      </c>
      <c r="H51" s="273">
        <v>0</v>
      </c>
      <c r="I51" s="274">
        <f>H51/'- 3 -'!$D51*100</f>
        <v>0</v>
      </c>
      <c r="J51" s="273" t="str">
        <f>IF('- 6 -'!$D51=0,"",H51/'- 6 -'!$D51)</f>
        <v/>
      </c>
    </row>
    <row r="52" spans="1:10" ht="50.1" customHeight="1">
      <c r="A52" s="20"/>
      <c r="B52" s="20"/>
      <c r="C52" s="20"/>
      <c r="D52" s="20"/>
      <c r="E52" s="20"/>
      <c r="F52" s="20"/>
      <c r="G52" s="20"/>
      <c r="H52" s="52"/>
      <c r="I52" s="52"/>
      <c r="J52" s="52"/>
    </row>
    <row r="53" spans="1:10" ht="15" customHeight="1">
      <c r="A53" s="47" t="s">
        <v>344</v>
      </c>
      <c r="B53" s="47"/>
      <c r="C53" s="47"/>
      <c r="D53" s="47"/>
      <c r="E53" s="47"/>
      <c r="F53" s="47"/>
      <c r="G53" s="47"/>
      <c r="I53" s="47"/>
      <c r="J53" s="47"/>
    </row>
    <row r="54" spans="1:10" ht="14.45" customHeight="1"/>
    <row r="55" spans="1:10" ht="14.45" customHeight="1">
      <c r="A55" s="21"/>
    </row>
    <row r="56" spans="1:10" ht="14.45" customHeight="1"/>
    <row r="57" spans="1:10" ht="14.45" customHeight="1"/>
    <row r="58" spans="1:10" ht="14.45" customHeight="1"/>
    <row r="59" spans="1:10" ht="14.45" customHeight="1"/>
  </sheetData>
  <mergeCells count="7">
    <mergeCell ref="B6:J6"/>
    <mergeCell ref="D8:D9"/>
    <mergeCell ref="G8:G9"/>
    <mergeCell ref="J8:J9"/>
    <mergeCell ref="B7:D7"/>
    <mergeCell ref="E7:G7"/>
    <mergeCell ref="H7:J7"/>
  </mergeCells>
  <phoneticPr fontId="0" type="noConversion"/>
  <printOptions horizontalCentered="1"/>
  <pageMargins left="0.5" right="0.5" top="0.6" bottom="0" header="0.3" footer="0"/>
  <pageSetup scale="90" orientation="portrait"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sheetViews>
  <sheetFormatPr defaultColWidth="15.83203125" defaultRowHeight="12"/>
  <cols>
    <col min="1" max="1" width="31.83203125" style="1" customWidth="1"/>
    <col min="2" max="2" width="14.33203125" style="1" customWidth="1"/>
    <col min="3" max="3" width="7.83203125" style="1" customWidth="1"/>
    <col min="4" max="4" width="9.83203125" style="1" customWidth="1"/>
    <col min="5" max="5" width="10.83203125" style="1" customWidth="1"/>
    <col min="6" max="6" width="10.1640625" style="1" customWidth="1"/>
    <col min="7" max="7" width="11.83203125" style="1" customWidth="1"/>
    <col min="8" max="8" width="14.83203125" style="1" customWidth="1"/>
    <col min="9" max="9" width="11" style="1" customWidth="1"/>
    <col min="10" max="16384" width="15.83203125" style="1"/>
  </cols>
  <sheetData>
    <row r="1" spans="1:9" ht="6.95" customHeight="1">
      <c r="A1" s="3"/>
      <c r="B1" s="33"/>
      <c r="C1" s="33"/>
      <c r="D1" s="33"/>
      <c r="E1" s="33"/>
      <c r="F1" s="33"/>
      <c r="G1" s="33"/>
      <c r="H1" s="33"/>
      <c r="I1" s="33"/>
    </row>
    <row r="2" spans="1:9" ht="15.95" customHeight="1">
      <c r="A2" s="133"/>
      <c r="B2" s="5" t="str">
        <f>AEXP_BP</f>
        <v>ANALYSIS OF EXPENSE BY PROGRAM</v>
      </c>
      <c r="C2" s="36"/>
      <c r="D2" s="36"/>
      <c r="E2" s="36"/>
      <c r="F2" s="36"/>
      <c r="G2" s="36"/>
      <c r="H2" s="167"/>
      <c r="I2" s="510" t="s">
        <v>563</v>
      </c>
    </row>
    <row r="3" spans="1:9" ht="15.95" customHeight="1">
      <c r="A3" s="136"/>
      <c r="B3" s="87" t="str">
        <f>OPYEAR</f>
        <v>OPERATING FUND 2015/2016 BUDGET</v>
      </c>
      <c r="C3" s="40"/>
      <c r="D3" s="40"/>
      <c r="E3" s="40"/>
      <c r="F3" s="40"/>
      <c r="G3" s="40"/>
      <c r="H3" s="168"/>
      <c r="I3" s="169"/>
    </row>
    <row r="4" spans="1:9" ht="15.95" customHeight="1">
      <c r="B4" s="33"/>
      <c r="C4" s="33"/>
      <c r="D4" s="33"/>
      <c r="E4" s="33"/>
      <c r="F4" s="33"/>
      <c r="G4" s="33"/>
      <c r="H4" s="33"/>
      <c r="I4" s="33"/>
    </row>
    <row r="5" spans="1:9" ht="15.95" customHeight="1">
      <c r="B5" s="624" t="s">
        <v>241</v>
      </c>
      <c r="C5" s="625"/>
      <c r="D5" s="625"/>
      <c r="E5" s="625"/>
      <c r="F5" s="625"/>
      <c r="G5" s="625"/>
      <c r="H5" s="625"/>
      <c r="I5" s="626"/>
    </row>
    <row r="6" spans="1:9" ht="15.95" customHeight="1">
      <c r="B6" s="642" t="s">
        <v>242</v>
      </c>
      <c r="C6" s="640"/>
      <c r="D6" s="640"/>
      <c r="E6" s="640"/>
      <c r="F6" s="640"/>
      <c r="G6" s="640"/>
      <c r="H6" s="640"/>
      <c r="I6" s="641"/>
    </row>
    <row r="7" spans="1:9" ht="15.95" customHeight="1">
      <c r="B7" s="163"/>
      <c r="C7" s="170"/>
      <c r="D7" s="643" t="s">
        <v>410</v>
      </c>
      <c r="E7" s="646" t="s">
        <v>418</v>
      </c>
      <c r="F7" s="651" t="s">
        <v>76</v>
      </c>
      <c r="G7" s="652"/>
      <c r="H7" s="652"/>
      <c r="I7" s="653"/>
    </row>
    <row r="8" spans="1:9" ht="15.95" customHeight="1">
      <c r="A8" s="83"/>
      <c r="B8" s="171"/>
      <c r="C8" s="171"/>
      <c r="D8" s="644"/>
      <c r="E8" s="647"/>
      <c r="F8" s="649" t="s">
        <v>33</v>
      </c>
      <c r="G8" s="649" t="s">
        <v>16</v>
      </c>
      <c r="H8" s="537" t="s">
        <v>17</v>
      </c>
      <c r="I8" s="649" t="s">
        <v>19</v>
      </c>
    </row>
    <row r="9" spans="1:9" ht="15.95" customHeight="1">
      <c r="A9" s="28" t="s">
        <v>37</v>
      </c>
      <c r="B9" s="44" t="s">
        <v>38</v>
      </c>
      <c r="C9" s="44" t="s">
        <v>39</v>
      </c>
      <c r="D9" s="645"/>
      <c r="E9" s="648"/>
      <c r="F9" s="650"/>
      <c r="G9" s="650"/>
      <c r="H9" s="538"/>
      <c r="I9" s="650"/>
    </row>
    <row r="10" spans="1:9" ht="5.0999999999999996" customHeight="1">
      <c r="A10" s="30"/>
      <c r="B10" s="47"/>
      <c r="C10" s="47"/>
      <c r="D10" s="47"/>
      <c r="E10" s="47"/>
      <c r="F10" s="47"/>
      <c r="G10" s="47"/>
      <c r="H10" s="47"/>
      <c r="I10" s="47"/>
    </row>
    <row r="11" spans="1:9" ht="14.1" customHeight="1">
      <c r="A11" s="272" t="s">
        <v>109</v>
      </c>
      <c r="B11" s="273">
        <v>0</v>
      </c>
      <c r="C11" s="274">
        <f>B11/'- 3 -'!$D11*100</f>
        <v>0</v>
      </c>
      <c r="D11" s="299" t="str">
        <f>IF(E11=0,"",B11/E11)</f>
        <v/>
      </c>
      <c r="E11" s="300">
        <f>SUM('- 6 -'!$E11:H11)</f>
        <v>0</v>
      </c>
      <c r="F11" s="274" t="str">
        <f>IF(E11=0,"",'- 6 -'!$E11/E11*100)</f>
        <v/>
      </c>
      <c r="G11" s="274" t="str">
        <f>IF(E11=0,"",'- 6 -'!$F11/E11*100)</f>
        <v/>
      </c>
      <c r="H11" s="274" t="str">
        <f>IF(E11=0,"",'- 6 -'!$G11/E11*100)</f>
        <v/>
      </c>
      <c r="I11" s="274" t="str">
        <f>IF(E11=0,"",'- 6 -'!$H11/E11*100)</f>
        <v/>
      </c>
    </row>
    <row r="12" spans="1:9" ht="14.1" customHeight="1">
      <c r="A12" s="16" t="s">
        <v>110</v>
      </c>
      <c r="B12" s="17">
        <v>0</v>
      </c>
      <c r="C12" s="268">
        <f>B12/'- 3 -'!$D12*100</f>
        <v>0</v>
      </c>
      <c r="D12" s="172" t="str">
        <f t="shared" ref="D12:D46" si="0">IF(E12=0,"",B12/E12)</f>
        <v/>
      </c>
      <c r="E12" s="173">
        <f>SUM('- 6 -'!$E12:H12)</f>
        <v>0</v>
      </c>
      <c r="F12" s="268" t="str">
        <f>IF(E12=0,"",'- 6 -'!$E12/E12*100)</f>
        <v/>
      </c>
      <c r="G12" s="268" t="str">
        <f>IF(E12=0,"",'- 6 -'!$F12/E12*100)</f>
        <v/>
      </c>
      <c r="H12" s="268" t="str">
        <f>IF(E12=0,"",'- 6 -'!$G12/E12*100)</f>
        <v/>
      </c>
      <c r="I12" s="268" t="str">
        <f>IF(E12=0,"",'- 6 -'!$H12/E12*100)</f>
        <v/>
      </c>
    </row>
    <row r="13" spans="1:9" ht="14.1" customHeight="1">
      <c r="A13" s="272" t="s">
        <v>111</v>
      </c>
      <c r="B13" s="273">
        <v>6927400</v>
      </c>
      <c r="C13" s="274">
        <f>B13/'- 3 -'!$D13*100</f>
        <v>7.4577825816411565</v>
      </c>
      <c r="D13" s="299">
        <f t="shared" si="0"/>
        <v>4839.2595179881246</v>
      </c>
      <c r="E13" s="300">
        <f>SUM('- 6 -'!$E13:H13)</f>
        <v>1431.5</v>
      </c>
      <c r="F13" s="274">
        <f>IF(E13=0,"",'- 6 -'!$E13/E13*100)</f>
        <v>72.825707300034921</v>
      </c>
      <c r="G13" s="274">
        <f>IF(E13=0,"",'- 6 -'!$F13/E13*100)</f>
        <v>0</v>
      </c>
      <c r="H13" s="274">
        <f>IF(E13=0,"",'- 6 -'!$G13/E13*100)</f>
        <v>27.174292699965068</v>
      </c>
      <c r="I13" s="274">
        <f>IF(E13=0,"",'- 6 -'!$H13/E13*100)</f>
        <v>0</v>
      </c>
    </row>
    <row r="14" spans="1:9" ht="14.1" customHeight="1">
      <c r="A14" s="16" t="s">
        <v>324</v>
      </c>
      <c r="B14" s="17">
        <v>0</v>
      </c>
      <c r="C14" s="268">
        <f>B14/'- 3 -'!$D14*100</f>
        <v>0</v>
      </c>
      <c r="D14" s="172" t="str">
        <f t="shared" si="0"/>
        <v/>
      </c>
      <c r="E14" s="173">
        <f>SUM('- 6 -'!$E14:H14)</f>
        <v>0</v>
      </c>
      <c r="F14" s="268" t="str">
        <f>IF(E14=0,"",'- 6 -'!$E14/E14*100)</f>
        <v/>
      </c>
      <c r="G14" s="268" t="str">
        <f>IF(E14=0,"",'- 6 -'!$F14/E14*100)</f>
        <v/>
      </c>
      <c r="H14" s="268" t="str">
        <f>IF(E14=0,"",'- 6 -'!$G14/E14*100)</f>
        <v/>
      </c>
      <c r="I14" s="268" t="str">
        <f>IF(E14=0,"",'- 6 -'!$H14/E14*100)</f>
        <v/>
      </c>
    </row>
    <row r="15" spans="1:9" ht="14.1" customHeight="1">
      <c r="A15" s="272" t="s">
        <v>112</v>
      </c>
      <c r="B15" s="273">
        <v>0</v>
      </c>
      <c r="C15" s="274">
        <f>B15/'- 3 -'!$D15*100</f>
        <v>0</v>
      </c>
      <c r="D15" s="299" t="str">
        <f t="shared" si="0"/>
        <v/>
      </c>
      <c r="E15" s="300">
        <f>SUM('- 6 -'!$E15:H15)</f>
        <v>0</v>
      </c>
      <c r="F15" s="274" t="str">
        <f>IF(E15=0,"",'- 6 -'!$E15/E15*100)</f>
        <v/>
      </c>
      <c r="G15" s="274" t="str">
        <f>IF(E15=0,"",'- 6 -'!$F15/E15*100)</f>
        <v/>
      </c>
      <c r="H15" s="274" t="str">
        <f>IF(E15=0,"",'- 6 -'!$G15/E15*100)</f>
        <v/>
      </c>
      <c r="I15" s="274" t="str">
        <f>IF(E15=0,"",'- 6 -'!$H15/E15*100)</f>
        <v/>
      </c>
    </row>
    <row r="16" spans="1:9" ht="14.1" customHeight="1">
      <c r="A16" s="16" t="s">
        <v>113</v>
      </c>
      <c r="B16" s="17">
        <v>2269717</v>
      </c>
      <c r="C16" s="268">
        <f>B16/'- 3 -'!$D16*100</f>
        <v>16.13427465935553</v>
      </c>
      <c r="D16" s="172">
        <f t="shared" si="0"/>
        <v>5660.1421446384038</v>
      </c>
      <c r="E16" s="173">
        <f>SUM('- 6 -'!$E16:H16)</f>
        <v>401</v>
      </c>
      <c r="F16" s="268">
        <f>IF(E16=0,"",'- 6 -'!$E16/E16*100)</f>
        <v>75.935162094763086</v>
      </c>
      <c r="G16" s="268">
        <f>IF(E16=0,"",'- 6 -'!$F16/E16*100)</f>
        <v>0</v>
      </c>
      <c r="H16" s="268">
        <f>IF(E16=0,"",'- 6 -'!$G16/E16*100)</f>
        <v>24.064837905236907</v>
      </c>
      <c r="I16" s="268">
        <f>IF(E16=0,"",'- 6 -'!$H16/E16*100)</f>
        <v>0</v>
      </c>
    </row>
    <row r="17" spans="1:9" ht="14.1" customHeight="1">
      <c r="A17" s="272" t="s">
        <v>114</v>
      </c>
      <c r="B17" s="273">
        <v>0</v>
      </c>
      <c r="C17" s="274">
        <f>B17/'- 3 -'!$D17*100</f>
        <v>0</v>
      </c>
      <c r="D17" s="299" t="str">
        <f t="shared" si="0"/>
        <v/>
      </c>
      <c r="E17" s="300">
        <f>SUM('- 6 -'!$E17:H17)</f>
        <v>0</v>
      </c>
      <c r="F17" s="274" t="str">
        <f>IF(E17=0,"",'- 6 -'!$E17/E17*100)</f>
        <v/>
      </c>
      <c r="G17" s="274" t="str">
        <f>IF(E17=0,"",'- 6 -'!$F17/E17*100)</f>
        <v/>
      </c>
      <c r="H17" s="274" t="str">
        <f>IF(E17=0,"",'- 6 -'!$G17/E17*100)</f>
        <v/>
      </c>
      <c r="I17" s="274" t="str">
        <f>IF(E17=0,"",'- 6 -'!$H17/E17*100)</f>
        <v/>
      </c>
    </row>
    <row r="18" spans="1:9" ht="14.1" customHeight="1">
      <c r="A18" s="16" t="s">
        <v>115</v>
      </c>
      <c r="B18" s="17">
        <v>0</v>
      </c>
      <c r="C18" s="268">
        <f>B18/'- 3 -'!$D18*100</f>
        <v>0</v>
      </c>
      <c r="D18" s="172" t="str">
        <f t="shared" si="0"/>
        <v/>
      </c>
      <c r="E18" s="173">
        <f>SUM('- 6 -'!$E18:H18)</f>
        <v>0</v>
      </c>
      <c r="F18" s="268" t="str">
        <f>IF(E18=0,"",'- 6 -'!$E18/E18*100)</f>
        <v/>
      </c>
      <c r="G18" s="268" t="str">
        <f>IF(E18=0,"",'- 6 -'!$F18/E18*100)</f>
        <v/>
      </c>
      <c r="H18" s="268" t="str">
        <f>IF(E18=0,"",'- 6 -'!$G18/E18*100)</f>
        <v/>
      </c>
      <c r="I18" s="268" t="str">
        <f>IF(E18=0,"",'- 6 -'!$H18/E18*100)</f>
        <v/>
      </c>
    </row>
    <row r="19" spans="1:9" ht="14.1" customHeight="1">
      <c r="A19" s="272" t="s">
        <v>116</v>
      </c>
      <c r="B19" s="273">
        <v>0</v>
      </c>
      <c r="C19" s="274">
        <f>B19/'- 3 -'!$D19*100</f>
        <v>0</v>
      </c>
      <c r="D19" s="299" t="str">
        <f t="shared" si="0"/>
        <v/>
      </c>
      <c r="E19" s="300">
        <f>SUM('- 6 -'!$E19:H19)</f>
        <v>0</v>
      </c>
      <c r="F19" s="274" t="str">
        <f>IF(E19=0,"",'- 6 -'!$E19/E19*100)</f>
        <v/>
      </c>
      <c r="G19" s="274" t="str">
        <f>IF(E19=0,"",'- 6 -'!$F19/E19*100)</f>
        <v/>
      </c>
      <c r="H19" s="274" t="str">
        <f>IF(E19=0,"",'- 6 -'!$G19/E19*100)</f>
        <v/>
      </c>
      <c r="I19" s="274" t="str">
        <f>IF(E19=0,"",'- 6 -'!$H19/E19*100)</f>
        <v/>
      </c>
    </row>
    <row r="20" spans="1:9" ht="14.1" customHeight="1">
      <c r="A20" s="16" t="s">
        <v>117</v>
      </c>
      <c r="B20" s="17">
        <v>0</v>
      </c>
      <c r="C20" s="268">
        <f>B20/'- 3 -'!$D20*100</f>
        <v>0</v>
      </c>
      <c r="D20" s="172" t="str">
        <f t="shared" si="0"/>
        <v/>
      </c>
      <c r="E20" s="173">
        <f>SUM('- 6 -'!$E20:H20)</f>
        <v>0</v>
      </c>
      <c r="F20" s="268" t="str">
        <f>IF(E20=0,"",'- 6 -'!$E20/E20*100)</f>
        <v/>
      </c>
      <c r="G20" s="268" t="str">
        <f>IF(E20=0,"",'- 6 -'!$F20/E20*100)</f>
        <v/>
      </c>
      <c r="H20" s="268" t="str">
        <f>IF(E20=0,"",'- 6 -'!$G20/E20*100)</f>
        <v/>
      </c>
      <c r="I20" s="268" t="str">
        <f>IF(E20=0,"",'- 6 -'!$H20/E20*100)</f>
        <v/>
      </c>
    </row>
    <row r="21" spans="1:9" ht="14.1" customHeight="1">
      <c r="A21" s="272" t="s">
        <v>118</v>
      </c>
      <c r="B21" s="273">
        <v>4105376</v>
      </c>
      <c r="C21" s="274">
        <f>B21/'- 3 -'!$D21*100</f>
        <v>11.563142084650051</v>
      </c>
      <c r="D21" s="299">
        <f t="shared" si="0"/>
        <v>6364.9240310077521</v>
      </c>
      <c r="E21" s="300">
        <f>SUM('- 6 -'!$E21:H21)</f>
        <v>645</v>
      </c>
      <c r="F21" s="274">
        <f>IF(E21=0,"",'- 6 -'!$E21/E21*100)</f>
        <v>67.596899224806208</v>
      </c>
      <c r="G21" s="274">
        <f>IF(E21=0,"",'- 6 -'!$F21/E21*100)</f>
        <v>0</v>
      </c>
      <c r="H21" s="274">
        <f>IF(E21=0,"",'- 6 -'!$G21/E21*100)</f>
        <v>32.403100775193799</v>
      </c>
      <c r="I21" s="274">
        <f>IF(E21=0,"",'- 6 -'!$H21/E21*100)</f>
        <v>0</v>
      </c>
    </row>
    <row r="22" spans="1:9" ht="14.1" customHeight="1">
      <c r="A22" s="16" t="s">
        <v>119</v>
      </c>
      <c r="B22" s="17">
        <v>3673673</v>
      </c>
      <c r="C22" s="268">
        <f>B22/'- 3 -'!$D22*100</f>
        <v>17.807388630051243</v>
      </c>
      <c r="D22" s="172">
        <f t="shared" si="0"/>
        <v>5744.6020328381546</v>
      </c>
      <c r="E22" s="173">
        <f>SUM('- 6 -'!$E22:H22)</f>
        <v>639.5</v>
      </c>
      <c r="F22" s="268">
        <f>IF(E22=0,"",'- 6 -'!$E22/E22*100)</f>
        <v>79.124315871774826</v>
      </c>
      <c r="G22" s="268">
        <f>IF(E22=0,"",'- 6 -'!$F22/E22*100)</f>
        <v>0</v>
      </c>
      <c r="H22" s="268">
        <f>IF(E22=0,"",'- 6 -'!$G22/E22*100)</f>
        <v>20.875684128225174</v>
      </c>
      <c r="I22" s="268">
        <f>IF(E22=0,"",'- 6 -'!$H22/E22*100)</f>
        <v>0</v>
      </c>
    </row>
    <row r="23" spans="1:9" ht="14.1" customHeight="1">
      <c r="A23" s="272" t="s">
        <v>120</v>
      </c>
      <c r="B23" s="273">
        <v>0</v>
      </c>
      <c r="C23" s="274">
        <f>B23/'- 3 -'!$D23*100</f>
        <v>0</v>
      </c>
      <c r="D23" s="299" t="str">
        <f t="shared" si="0"/>
        <v/>
      </c>
      <c r="E23" s="300">
        <f>SUM('- 6 -'!$E23:H23)</f>
        <v>0</v>
      </c>
      <c r="F23" s="274" t="str">
        <f>IF(E23=0,"",'- 6 -'!$E23/E23*100)</f>
        <v/>
      </c>
      <c r="G23" s="274" t="str">
        <f>IF(E23=0,"",'- 6 -'!$F23/E23*100)</f>
        <v/>
      </c>
      <c r="H23" s="274" t="str">
        <f>IF(E23=0,"",'- 6 -'!$G23/E23*100)</f>
        <v/>
      </c>
      <c r="I23" s="274" t="str">
        <f>IF(E23=0,"",'- 6 -'!$H23/E23*100)</f>
        <v/>
      </c>
    </row>
    <row r="24" spans="1:9" ht="14.1" customHeight="1">
      <c r="A24" s="16" t="s">
        <v>121</v>
      </c>
      <c r="B24" s="17">
        <v>4256040</v>
      </c>
      <c r="C24" s="268">
        <f>B24/'- 3 -'!$D24*100</f>
        <v>7.6126738022292084</v>
      </c>
      <c r="D24" s="172">
        <f t="shared" si="0"/>
        <v>6831.5248796147671</v>
      </c>
      <c r="E24" s="173">
        <f>SUM('- 6 -'!$E24:H24)</f>
        <v>623</v>
      </c>
      <c r="F24" s="268">
        <f>IF(E24=0,"",'- 6 -'!$E24/E24*100)</f>
        <v>71.348314606741567</v>
      </c>
      <c r="G24" s="268">
        <f>IF(E24=0,"",'- 6 -'!$F24/E24*100)</f>
        <v>0</v>
      </c>
      <c r="H24" s="268">
        <f>IF(E24=0,"",'- 6 -'!$G24/E24*100)</f>
        <v>17.977528089887642</v>
      </c>
      <c r="I24" s="268">
        <f>IF(E24=0,"",'- 6 -'!$H24/E24*100)</f>
        <v>10.674157303370785</v>
      </c>
    </row>
    <row r="25" spans="1:9" ht="14.1" customHeight="1">
      <c r="A25" s="272" t="s">
        <v>122</v>
      </c>
      <c r="B25" s="273">
        <v>0</v>
      </c>
      <c r="C25" s="274">
        <f>B25/'- 3 -'!$D25*100</f>
        <v>0</v>
      </c>
      <c r="D25" s="299" t="str">
        <f t="shared" si="0"/>
        <v/>
      </c>
      <c r="E25" s="300">
        <f>SUM('- 6 -'!$E25:H25)</f>
        <v>0</v>
      </c>
      <c r="F25" s="274" t="str">
        <f>IF(E25=0,"",'- 6 -'!$E25/E25*100)</f>
        <v/>
      </c>
      <c r="G25" s="274" t="str">
        <f>IF(E25=0,"",'- 6 -'!$F25/E25*100)</f>
        <v/>
      </c>
      <c r="H25" s="274" t="str">
        <f>IF(E25=0,"",'- 6 -'!$G25/E25*100)</f>
        <v/>
      </c>
      <c r="I25" s="274" t="str">
        <f>IF(E25=0,"",'- 6 -'!$H25/E25*100)</f>
        <v/>
      </c>
    </row>
    <row r="26" spans="1:9" ht="14.1" customHeight="1">
      <c r="A26" s="16" t="s">
        <v>123</v>
      </c>
      <c r="B26" s="17">
        <v>1822914</v>
      </c>
      <c r="C26" s="268">
        <f>B26/'- 3 -'!$D26*100</f>
        <v>4.5701876680792131</v>
      </c>
      <c r="D26" s="172">
        <f t="shared" si="0"/>
        <v>5634.9737248840802</v>
      </c>
      <c r="E26" s="173">
        <f>SUM('- 6 -'!$E26:H26)</f>
        <v>323.5</v>
      </c>
      <c r="F26" s="268">
        <f>IF(E26=0,"",'- 6 -'!$E26/E26*100)</f>
        <v>65.533230293663053</v>
      </c>
      <c r="G26" s="268">
        <f>IF(E26=0,"",'- 6 -'!$F26/E26*100)</f>
        <v>0</v>
      </c>
      <c r="H26" s="268">
        <f>IF(E26=0,"",'- 6 -'!$G26/E26*100)</f>
        <v>10.819165378670787</v>
      </c>
      <c r="I26" s="268">
        <f>IF(E26=0,"",'- 6 -'!$H26/E26*100)</f>
        <v>23.647604327666151</v>
      </c>
    </row>
    <row r="27" spans="1:9" ht="14.1" customHeight="1">
      <c r="A27" s="272" t="s">
        <v>124</v>
      </c>
      <c r="B27" s="273">
        <v>2286290</v>
      </c>
      <c r="C27" s="274">
        <f>B27/'- 3 -'!$D27*100</f>
        <v>5.326788474198688</v>
      </c>
      <c r="D27" s="299">
        <f t="shared" si="0"/>
        <v>7078.2972136222907</v>
      </c>
      <c r="E27" s="300">
        <f>SUM('- 6 -'!$E27:H27)</f>
        <v>323</v>
      </c>
      <c r="F27" s="274">
        <f>IF(E27=0,"",'- 6 -'!$E27/E27*100)</f>
        <v>38.699690402476783</v>
      </c>
      <c r="G27" s="274">
        <f>IF(E27=0,"",'- 6 -'!$F27/E27*100)</f>
        <v>0</v>
      </c>
      <c r="H27" s="274">
        <f>IF(E27=0,"",'- 6 -'!$G27/E27*100)</f>
        <v>61.300309597523217</v>
      </c>
      <c r="I27" s="274">
        <f>IF(E27=0,"",'- 6 -'!$H27/E27*100)</f>
        <v>0</v>
      </c>
    </row>
    <row r="28" spans="1:9" ht="14.1" customHeight="1">
      <c r="A28" s="16" t="s">
        <v>125</v>
      </c>
      <c r="B28" s="17">
        <v>0</v>
      </c>
      <c r="C28" s="268">
        <f>B28/'- 3 -'!$D28*100</f>
        <v>0</v>
      </c>
      <c r="D28" s="172" t="str">
        <f t="shared" si="0"/>
        <v/>
      </c>
      <c r="E28" s="173">
        <f>SUM('- 6 -'!$E28:H28)</f>
        <v>0</v>
      </c>
      <c r="F28" s="268" t="str">
        <f>IF(E28=0,"",'- 6 -'!$E28/E28*100)</f>
        <v/>
      </c>
      <c r="G28" s="268" t="str">
        <f>IF(E28=0,"",'- 6 -'!$F28/E28*100)</f>
        <v/>
      </c>
      <c r="H28" s="268" t="str">
        <f>IF(E28=0,"",'- 6 -'!$G28/E28*100)</f>
        <v/>
      </c>
      <c r="I28" s="268" t="str">
        <f>IF(E28=0,"",'- 6 -'!$H28/E28*100)</f>
        <v/>
      </c>
    </row>
    <row r="29" spans="1:9" ht="14.1" customHeight="1">
      <c r="A29" s="272" t="s">
        <v>126</v>
      </c>
      <c r="B29" s="273">
        <v>18804199</v>
      </c>
      <c r="C29" s="274">
        <f>B29/'- 3 -'!$D29*100</f>
        <v>12.145844967138132</v>
      </c>
      <c r="D29" s="299">
        <f t="shared" si="0"/>
        <v>6600.2804492804489</v>
      </c>
      <c r="E29" s="300">
        <f>SUM('- 6 -'!$E29:H29)</f>
        <v>2849</v>
      </c>
      <c r="F29" s="274">
        <f>IF(E29=0,"",'- 6 -'!$E29/E29*100)</f>
        <v>62.969462969462974</v>
      </c>
      <c r="G29" s="274">
        <f>IF(E29=0,"",'- 6 -'!$F29/E29*100)</f>
        <v>0</v>
      </c>
      <c r="H29" s="274">
        <f>IF(E29=0,"",'- 6 -'!$G29/E29*100)</f>
        <v>37.030537030537033</v>
      </c>
      <c r="I29" s="274">
        <f>IF(E29=0,"",'- 6 -'!$H29/E29*100)</f>
        <v>0</v>
      </c>
    </row>
    <row r="30" spans="1:9" ht="14.1" customHeight="1">
      <c r="A30" s="16" t="s">
        <v>127</v>
      </c>
      <c r="B30" s="17">
        <v>0</v>
      </c>
      <c r="C30" s="268">
        <f>B30/'- 3 -'!$D30*100</f>
        <v>0</v>
      </c>
      <c r="D30" s="172" t="str">
        <f t="shared" si="0"/>
        <v/>
      </c>
      <c r="E30" s="173">
        <f>SUM('- 6 -'!$E30:H30)</f>
        <v>0</v>
      </c>
      <c r="F30" s="268" t="str">
        <f>IF(E30=0,"",'- 6 -'!$E30/E30*100)</f>
        <v/>
      </c>
      <c r="G30" s="268" t="str">
        <f>IF(E30=0,"",'- 6 -'!$F30/E30*100)</f>
        <v/>
      </c>
      <c r="H30" s="268" t="str">
        <f>IF(E30=0,"",'- 6 -'!$G30/E30*100)</f>
        <v/>
      </c>
      <c r="I30" s="268" t="str">
        <f>IF(E30=0,"",'- 6 -'!$H30/E30*100)</f>
        <v/>
      </c>
    </row>
    <row r="31" spans="1:9" ht="14.1" customHeight="1">
      <c r="A31" s="272" t="s">
        <v>128</v>
      </c>
      <c r="B31" s="273">
        <v>3059638</v>
      </c>
      <c r="C31" s="274">
        <f>B31/'- 3 -'!$D31*100</f>
        <v>8.4498111450895692</v>
      </c>
      <c r="D31" s="299">
        <f t="shared" si="0"/>
        <v>4273.2374301675982</v>
      </c>
      <c r="E31" s="300">
        <f>SUM('- 6 -'!$E31:H31)</f>
        <v>716</v>
      </c>
      <c r="F31" s="274">
        <f>IF(E31=0,"",'- 6 -'!$E31/E31*100)</f>
        <v>60.33519553072626</v>
      </c>
      <c r="G31" s="274">
        <f>IF(E31=0,"",'- 6 -'!$F31/E31*100)</f>
        <v>0</v>
      </c>
      <c r="H31" s="274">
        <f>IF(E31=0,"",'- 6 -'!$G31/E31*100)</f>
        <v>39.664804469273747</v>
      </c>
      <c r="I31" s="274">
        <f>IF(E31=0,"",'- 6 -'!$H31/E31*100)</f>
        <v>0</v>
      </c>
    </row>
    <row r="32" spans="1:9" ht="14.1" customHeight="1">
      <c r="A32" s="16" t="s">
        <v>129</v>
      </c>
      <c r="B32" s="17">
        <v>1355632</v>
      </c>
      <c r="C32" s="268">
        <f>B32/'- 3 -'!$D32*100</f>
        <v>4.7141575648758618</v>
      </c>
      <c r="D32" s="172">
        <f t="shared" si="0"/>
        <v>7573.36312849162</v>
      </c>
      <c r="E32" s="173">
        <f>SUM('- 6 -'!$E32:H32)</f>
        <v>179</v>
      </c>
      <c r="F32" s="268">
        <f>IF(E32=0,"",'- 6 -'!$E32/E32*100)</f>
        <v>57.541899441340782</v>
      </c>
      <c r="G32" s="268">
        <f>IF(E32=0,"",'- 6 -'!$F32/E32*100)</f>
        <v>0</v>
      </c>
      <c r="H32" s="268">
        <f>IF(E32=0,"",'- 6 -'!$G32/E32*100)</f>
        <v>42.458100558659218</v>
      </c>
      <c r="I32" s="268">
        <f>IF(E32=0,"",'- 6 -'!$H32/E32*100)</f>
        <v>0</v>
      </c>
    </row>
    <row r="33" spans="1:9" ht="14.1" customHeight="1">
      <c r="A33" s="272" t="s">
        <v>130</v>
      </c>
      <c r="B33" s="273">
        <v>2673800</v>
      </c>
      <c r="C33" s="274">
        <f>B33/'- 3 -'!$D33*100</f>
        <v>9.8035477271227336</v>
      </c>
      <c r="D33" s="299">
        <f t="shared" si="0"/>
        <v>6283.9012925969446</v>
      </c>
      <c r="E33" s="300">
        <f>SUM('- 6 -'!$E33:H33)</f>
        <v>425.5</v>
      </c>
      <c r="F33" s="274">
        <f>IF(E33=0,"",'- 6 -'!$E33/E33*100)</f>
        <v>52.878965922444188</v>
      </c>
      <c r="G33" s="274">
        <f>IF(E33=0,"",'- 6 -'!$F33/E33*100)</f>
        <v>18.801410105757931</v>
      </c>
      <c r="H33" s="274">
        <f>IF(E33=0,"",'- 6 -'!$G33/E33*100)</f>
        <v>28.319623971797885</v>
      </c>
      <c r="I33" s="274">
        <f>IF(E33=0,"",'- 6 -'!$H33/E33*100)</f>
        <v>0</v>
      </c>
    </row>
    <row r="34" spans="1:9" ht="14.1" customHeight="1">
      <c r="A34" s="16" t="s">
        <v>131</v>
      </c>
      <c r="B34" s="17">
        <v>1318808</v>
      </c>
      <c r="C34" s="268">
        <f>B34/'- 3 -'!$D34*100</f>
        <v>4.7662917517378443</v>
      </c>
      <c r="D34" s="172">
        <f t="shared" si="0"/>
        <v>7226.3452054794525</v>
      </c>
      <c r="E34" s="173">
        <f>SUM('- 6 -'!$E34:H34)</f>
        <v>182.5</v>
      </c>
      <c r="F34" s="268">
        <f>IF(E34=0,"",'- 6 -'!$E34/E34*100)</f>
        <v>30.684931506849317</v>
      </c>
      <c r="G34" s="268">
        <f>IF(E34=0,"",'- 6 -'!$F34/E34*100)</f>
        <v>69.31506849315069</v>
      </c>
      <c r="H34" s="268">
        <f>IF(E34=0,"",'- 6 -'!$G34/E34*100)</f>
        <v>0</v>
      </c>
      <c r="I34" s="268">
        <f>IF(E34=0,"",'- 6 -'!$H34/E34*100)</f>
        <v>0</v>
      </c>
    </row>
    <row r="35" spans="1:9" ht="14.1" customHeight="1">
      <c r="A35" s="272" t="s">
        <v>132</v>
      </c>
      <c r="B35" s="273">
        <v>25830203</v>
      </c>
      <c r="C35" s="274">
        <f>B35/'- 3 -'!$D35*100</f>
        <v>14.660510481206391</v>
      </c>
      <c r="D35" s="299">
        <f t="shared" si="0"/>
        <v>5759.2425863991084</v>
      </c>
      <c r="E35" s="300">
        <f>SUM('- 6 -'!$E35:H35)</f>
        <v>4485</v>
      </c>
      <c r="F35" s="274">
        <f>IF(E35=0,"",'- 6 -'!$E35/E35*100)</f>
        <v>53.678929765886288</v>
      </c>
      <c r="G35" s="274">
        <f>IF(E35=0,"",'- 6 -'!$F35/E35*100)</f>
        <v>0</v>
      </c>
      <c r="H35" s="274">
        <f>IF(E35=0,"",'- 6 -'!$G35/E35*100)</f>
        <v>37.971014492753625</v>
      </c>
      <c r="I35" s="274">
        <f>IF(E35=0,"",'- 6 -'!$H35/E35*100)</f>
        <v>8.3500557413600891</v>
      </c>
    </row>
    <row r="36" spans="1:9" ht="14.1" customHeight="1">
      <c r="A36" s="16" t="s">
        <v>133</v>
      </c>
      <c r="B36" s="17">
        <v>0</v>
      </c>
      <c r="C36" s="268">
        <f>B36/'- 3 -'!$D36*100</f>
        <v>0</v>
      </c>
      <c r="D36" s="172" t="str">
        <f t="shared" si="0"/>
        <v/>
      </c>
      <c r="E36" s="173">
        <f>SUM('- 6 -'!$E36:H36)</f>
        <v>0</v>
      </c>
      <c r="F36" s="268" t="str">
        <f>IF(E36=0,"",'- 6 -'!$E36/E36*100)</f>
        <v/>
      </c>
      <c r="G36" s="268" t="str">
        <f>IF(E36=0,"",'- 6 -'!$F36/E36*100)</f>
        <v/>
      </c>
      <c r="H36" s="268" t="str">
        <f>IF(E36=0,"",'- 6 -'!$G36/E36*100)</f>
        <v/>
      </c>
      <c r="I36" s="268" t="str">
        <f>IF(E36=0,"",'- 6 -'!$H36/E36*100)</f>
        <v/>
      </c>
    </row>
    <row r="37" spans="1:9" ht="14.1" customHeight="1">
      <c r="A37" s="272" t="s">
        <v>134</v>
      </c>
      <c r="B37" s="273">
        <v>6960773</v>
      </c>
      <c r="C37" s="274">
        <f>B37/'- 3 -'!$D37*100</f>
        <v>14.882350551612076</v>
      </c>
      <c r="D37" s="299">
        <f t="shared" si="0"/>
        <v>5752.7049586776857</v>
      </c>
      <c r="E37" s="300">
        <f>SUM('- 6 -'!$E37:H37)</f>
        <v>1210</v>
      </c>
      <c r="F37" s="274">
        <f>IF(E37=0,"",'- 6 -'!$E37/E37*100)</f>
        <v>60.950413223140501</v>
      </c>
      <c r="G37" s="274">
        <f>IF(E37=0,"",'- 6 -'!$F37/E37*100)</f>
        <v>0</v>
      </c>
      <c r="H37" s="274">
        <f>IF(E37=0,"",'- 6 -'!$G37/E37*100)</f>
        <v>39.049586776859499</v>
      </c>
      <c r="I37" s="274">
        <f>IF(E37=0,"",'- 6 -'!$H37/E37*100)</f>
        <v>0</v>
      </c>
    </row>
    <row r="38" spans="1:9" ht="14.1" customHeight="1">
      <c r="A38" s="16" t="s">
        <v>135</v>
      </c>
      <c r="B38" s="17">
        <v>24602334</v>
      </c>
      <c r="C38" s="268">
        <f>B38/'- 3 -'!$D38*100</f>
        <v>19.04745837989034</v>
      </c>
      <c r="D38" s="172">
        <f t="shared" si="0"/>
        <v>5926.8450975668511</v>
      </c>
      <c r="E38" s="173">
        <f>SUM('- 6 -'!$E38:H38)</f>
        <v>4151</v>
      </c>
      <c r="F38" s="268">
        <f>IF(E38=0,"",'- 6 -'!$E38/E38*100)</f>
        <v>66.273187183811132</v>
      </c>
      <c r="G38" s="268">
        <f>IF(E38=0,"",'- 6 -'!$F38/E38*100)</f>
        <v>0</v>
      </c>
      <c r="H38" s="268">
        <f>IF(E38=0,"",'- 6 -'!$G38/E38*100)</f>
        <v>31.02866779089376</v>
      </c>
      <c r="I38" s="268">
        <f>IF(E38=0,"",'- 6 -'!$H38/E38*100)</f>
        <v>2.6981450252951094</v>
      </c>
    </row>
    <row r="39" spans="1:9" ht="14.1" customHeight="1">
      <c r="A39" s="272" t="s">
        <v>136</v>
      </c>
      <c r="B39" s="273">
        <v>0</v>
      </c>
      <c r="C39" s="274">
        <f>B39/'- 3 -'!$D39*100</f>
        <v>0</v>
      </c>
      <c r="D39" s="299" t="str">
        <f t="shared" si="0"/>
        <v/>
      </c>
      <c r="E39" s="300">
        <f>SUM('- 6 -'!$E39:H39)</f>
        <v>0</v>
      </c>
      <c r="F39" s="274" t="str">
        <f>IF(E39=0,"",'- 6 -'!$E39/E39*100)</f>
        <v/>
      </c>
      <c r="G39" s="274" t="str">
        <f>IF(E39=0,"",'- 6 -'!$F39/E39*100)</f>
        <v/>
      </c>
      <c r="H39" s="274" t="str">
        <f>IF(E39=0,"",'- 6 -'!$G39/E39*100)</f>
        <v/>
      </c>
      <c r="I39" s="274" t="str">
        <f>IF(E39=0,"",'- 6 -'!$H39/E39*100)</f>
        <v/>
      </c>
    </row>
    <row r="40" spans="1:9" ht="14.1" customHeight="1">
      <c r="A40" s="16" t="s">
        <v>137</v>
      </c>
      <c r="B40" s="17">
        <v>8419847</v>
      </c>
      <c r="C40" s="268">
        <f>B40/'- 3 -'!$D40*100</f>
        <v>8.2500101461291475</v>
      </c>
      <c r="D40" s="172">
        <f t="shared" si="0"/>
        <v>5879.1655901965569</v>
      </c>
      <c r="E40" s="173">
        <f>SUM('- 6 -'!$E40:H40)</f>
        <v>1432.15</v>
      </c>
      <c r="F40" s="268">
        <f>IF(E40=0,"",'- 6 -'!$E40/E40*100)</f>
        <v>59.291973606116677</v>
      </c>
      <c r="G40" s="268">
        <f>IF(E40=0,"",'- 6 -'!$F40/E40*100)</f>
        <v>0</v>
      </c>
      <c r="H40" s="268">
        <f>IF(E40=0,"",'- 6 -'!$G40/E40*100)</f>
        <v>40.708026393883316</v>
      </c>
      <c r="I40" s="268">
        <f>IF(E40=0,"",'- 6 -'!$H40/E40*100)</f>
        <v>0</v>
      </c>
    </row>
    <row r="41" spans="1:9" ht="14.1" customHeight="1">
      <c r="A41" s="272" t="s">
        <v>138</v>
      </c>
      <c r="B41" s="273">
        <v>14380740</v>
      </c>
      <c r="C41" s="274">
        <f>B41/'- 3 -'!$D41*100</f>
        <v>23.103177336325945</v>
      </c>
      <c r="D41" s="299">
        <f t="shared" si="0"/>
        <v>6299.0538764783178</v>
      </c>
      <c r="E41" s="300">
        <f>SUM('- 6 -'!$E41:H41)</f>
        <v>2283</v>
      </c>
      <c r="F41" s="274">
        <f>IF(E41=0,"",'- 6 -'!$E41/E41*100)</f>
        <v>68.221638195356988</v>
      </c>
      <c r="G41" s="274">
        <f>IF(E41=0,"",'- 6 -'!$F41/E41*100)</f>
        <v>0</v>
      </c>
      <c r="H41" s="274">
        <f>IF(E41=0,"",'- 6 -'!$G41/E41*100)</f>
        <v>29.500657030223394</v>
      </c>
      <c r="I41" s="274">
        <f>IF(E41=0,"",'- 6 -'!$H41/E41*100)</f>
        <v>2.2777047744196235</v>
      </c>
    </row>
    <row r="42" spans="1:9" ht="14.1" customHeight="1">
      <c r="A42" s="16" t="s">
        <v>139</v>
      </c>
      <c r="B42" s="17">
        <v>1430453</v>
      </c>
      <c r="C42" s="268">
        <f>B42/'- 3 -'!$D42*100</f>
        <v>6.9393174708405683</v>
      </c>
      <c r="D42" s="172">
        <f t="shared" si="0"/>
        <v>6414.5874439461886</v>
      </c>
      <c r="E42" s="173">
        <f>SUM('- 6 -'!$E42:H42)</f>
        <v>223</v>
      </c>
      <c r="F42" s="268">
        <f>IF(E42=0,"",'- 6 -'!$E42/E42*100)</f>
        <v>65.02242152466367</v>
      </c>
      <c r="G42" s="268">
        <f>IF(E42=0,"",'- 6 -'!$F42/E42*100)</f>
        <v>0</v>
      </c>
      <c r="H42" s="268">
        <f>IF(E42=0,"",'- 6 -'!$G42/E42*100)</f>
        <v>34.977578475336323</v>
      </c>
      <c r="I42" s="268">
        <f>IF(E42=0,"",'- 6 -'!$H42/E42*100)</f>
        <v>0</v>
      </c>
    </row>
    <row r="43" spans="1:9" ht="14.1" customHeight="1">
      <c r="A43" s="272" t="s">
        <v>140</v>
      </c>
      <c r="B43" s="273">
        <v>0</v>
      </c>
      <c r="C43" s="274">
        <f>B43/'- 3 -'!$D43*100</f>
        <v>0</v>
      </c>
      <c r="D43" s="299" t="str">
        <f t="shared" si="0"/>
        <v/>
      </c>
      <c r="E43" s="300">
        <f>SUM('- 6 -'!$E43:H43)</f>
        <v>0</v>
      </c>
      <c r="F43" s="274" t="str">
        <f>IF(E43=0,"",'- 6 -'!$E43/E43*100)</f>
        <v/>
      </c>
      <c r="G43" s="274" t="str">
        <f>IF(E43=0,"",'- 6 -'!$F43/E43*100)</f>
        <v/>
      </c>
      <c r="H43" s="274" t="str">
        <f>IF(E43=0,"",'- 6 -'!$G43/E43*100)</f>
        <v/>
      </c>
      <c r="I43" s="274" t="str">
        <f>IF(E43=0,"",'- 6 -'!$H43/E43*100)</f>
        <v/>
      </c>
    </row>
    <row r="44" spans="1:9" ht="14.1" customHeight="1">
      <c r="A44" s="16" t="s">
        <v>141</v>
      </c>
      <c r="B44" s="17">
        <v>0</v>
      </c>
      <c r="C44" s="268">
        <f>B44/'- 3 -'!$D44*100</f>
        <v>0</v>
      </c>
      <c r="D44" s="172" t="str">
        <f t="shared" si="0"/>
        <v/>
      </c>
      <c r="E44" s="173">
        <f>SUM('- 6 -'!$E44:H44)</f>
        <v>0</v>
      </c>
      <c r="F44" s="268" t="str">
        <f>IF(E44=0,"",'- 6 -'!$E44/E44*100)</f>
        <v/>
      </c>
      <c r="G44" s="268" t="str">
        <f>IF(E44=0,"",'- 6 -'!$F44/E44*100)</f>
        <v/>
      </c>
      <c r="H44" s="268" t="str">
        <f>IF(E44=0,"",'- 6 -'!$G44/E44*100)</f>
        <v/>
      </c>
      <c r="I44" s="268" t="str">
        <f>IF(E44=0,"",'- 6 -'!$H44/E44*100)</f>
        <v/>
      </c>
    </row>
    <row r="45" spans="1:9" ht="14.1" customHeight="1">
      <c r="A45" s="272" t="s">
        <v>142</v>
      </c>
      <c r="B45" s="273">
        <v>4885052</v>
      </c>
      <c r="C45" s="274">
        <f>B45/'- 3 -'!$D45*100</f>
        <v>26.675212836991445</v>
      </c>
      <c r="D45" s="299">
        <f t="shared" si="0"/>
        <v>5397.8475138121548</v>
      </c>
      <c r="E45" s="300">
        <f>SUM('- 6 -'!$E45:H45)</f>
        <v>905</v>
      </c>
      <c r="F45" s="274">
        <f>IF(E45=0,"",'- 6 -'!$E45/E45*100)</f>
        <v>74.696132596685089</v>
      </c>
      <c r="G45" s="274">
        <f>IF(E45=0,"",'- 6 -'!$F45/E45*100)</f>
        <v>0</v>
      </c>
      <c r="H45" s="274">
        <f>IF(E45=0,"",'- 6 -'!$G45/E45*100)</f>
        <v>25.303867403314918</v>
      </c>
      <c r="I45" s="274">
        <f>IF(E45=0,"",'- 6 -'!$H45/E45*100)</f>
        <v>0</v>
      </c>
    </row>
    <row r="46" spans="1:9" ht="14.1" customHeight="1">
      <c r="A46" s="16" t="s">
        <v>143</v>
      </c>
      <c r="B46" s="17">
        <v>27528600</v>
      </c>
      <c r="C46" s="268">
        <f>B46/'- 3 -'!$D46*100</f>
        <v>7.1883653797193174</v>
      </c>
      <c r="D46" s="172">
        <f t="shared" si="0"/>
        <v>4412.341721429716</v>
      </c>
      <c r="E46" s="173">
        <f>SUM('- 6 -'!$E46:H46)</f>
        <v>6239</v>
      </c>
      <c r="F46" s="268">
        <f>IF(E46=0,"",'- 6 -'!$E46/E46*100)</f>
        <v>59.304375701234171</v>
      </c>
      <c r="G46" s="268">
        <f>IF(E46=0,"",'- 6 -'!$F46/E46*100)</f>
        <v>0</v>
      </c>
      <c r="H46" s="268">
        <f>IF(E46=0,"",'- 6 -'!$G46/E46*100)</f>
        <v>37.129347651867285</v>
      </c>
      <c r="I46" s="268">
        <f>IF(E46=0,"",'- 6 -'!$H46/E46*100)</f>
        <v>3.5662766468985412</v>
      </c>
    </row>
    <row r="47" spans="1:9" ht="5.0999999999999996" customHeight="1">
      <c r="A47"/>
      <c r="B47"/>
      <c r="C47"/>
      <c r="D47"/>
      <c r="E47"/>
      <c r="F47"/>
      <c r="G47"/>
      <c r="H47"/>
      <c r="I47"/>
    </row>
    <row r="48" spans="1:9" ht="14.1" customHeight="1">
      <c r="A48" s="275" t="s">
        <v>144</v>
      </c>
      <c r="B48" s="276">
        <f>SUM(B11:B46)</f>
        <v>166591489</v>
      </c>
      <c r="C48" s="445">
        <f>B48/'- 3 -'!$D48*100</f>
        <v>7.4634569315316259</v>
      </c>
      <c r="D48" s="446">
        <f>B48/E48</f>
        <v>5615.4466041834849</v>
      </c>
      <c r="E48" s="447">
        <f>SUM(E11:E46)</f>
        <v>29666.65</v>
      </c>
      <c r="F48" s="301">
        <f>IF(E48=0,"",'- 6 -'!$E48/E48*100)</f>
        <v>62.373574367176609</v>
      </c>
      <c r="G48" s="277">
        <f>IF(E48=0,"",'- 6 -'!$F48/E48*100)</f>
        <v>0.69606780677966673</v>
      </c>
      <c r="H48" s="277">
        <f>IF(E48=0,"",'- 6 -'!$G48/E48*100)</f>
        <v>33.883165102901742</v>
      </c>
      <c r="I48" s="277">
        <f>IF(E48=0,"",'- 6 -'!$H48/E48*100)</f>
        <v>3.0471927231419791</v>
      </c>
    </row>
    <row r="49" spans="1:9" ht="5.0999999999999996" customHeight="1">
      <c r="A49" s="18" t="s">
        <v>1</v>
      </c>
      <c r="B49" s="19"/>
      <c r="C49" s="267"/>
      <c r="D49" s="19"/>
      <c r="E49" s="174"/>
      <c r="F49" s="267"/>
      <c r="G49" s="267"/>
      <c r="H49" s="267"/>
      <c r="I49" s="267"/>
    </row>
    <row r="50" spans="1:9" ht="14.1" customHeight="1">
      <c r="A50" s="16" t="s">
        <v>145</v>
      </c>
      <c r="B50" s="17">
        <v>0</v>
      </c>
      <c r="C50" s="268">
        <f>B50/'- 3 -'!$D50*100</f>
        <v>0</v>
      </c>
      <c r="D50" s="172" t="str">
        <f>IF(E50=0,"",B50/E50)</f>
        <v/>
      </c>
      <c r="E50" s="173">
        <f>SUM('- 6 -'!$E50:H50)</f>
        <v>0</v>
      </c>
      <c r="F50" s="268" t="str">
        <f>IF(E50=0,"",'- 6 -'!$E50/E50*100)</f>
        <v/>
      </c>
      <c r="G50" s="268" t="str">
        <f>IF(E50=0,"",'- 6 -'!$F50/E50*100)</f>
        <v/>
      </c>
      <c r="H50" s="268" t="str">
        <f>IF(E50=0,"",'- 6 -'!$G50/E50*100)</f>
        <v/>
      </c>
      <c r="I50" s="268" t="str">
        <f>IF(E50=0,"",'- 6 -'!$H50/E50*100)</f>
        <v/>
      </c>
    </row>
    <row r="51" spans="1:9" ht="14.1" customHeight="1">
      <c r="A51" s="364" t="s">
        <v>540</v>
      </c>
      <c r="B51" s="273">
        <v>0</v>
      </c>
      <c r="C51" s="274">
        <f>B51/'- 3 -'!$D51*100</f>
        <v>0</v>
      </c>
      <c r="D51" s="299" t="str">
        <f>IF(E51=0,"",B51/E51)</f>
        <v/>
      </c>
      <c r="E51" s="300">
        <f>SUM('- 6 -'!$E51:H51)</f>
        <v>0</v>
      </c>
      <c r="F51" s="274" t="str">
        <f>IF(E51=0,"",'- 6 -'!$E51/E51*100)</f>
        <v/>
      </c>
      <c r="G51" s="274" t="str">
        <f>IF(E51=0,"",'- 6 -'!$F51/E51*100)</f>
        <v/>
      </c>
      <c r="H51" s="274" t="str">
        <f>IF(E51=0,"",'- 6 -'!$G51/E51*100)</f>
        <v/>
      </c>
      <c r="I51" s="274" t="str">
        <f>IF(E51=0,"",'- 6 -'!$H51/E51*100)</f>
        <v/>
      </c>
    </row>
    <row r="52" spans="1:9" ht="50.1" customHeight="1">
      <c r="A52" s="20"/>
      <c r="B52" s="52"/>
      <c r="C52" s="52"/>
      <c r="D52" s="52"/>
      <c r="E52" s="52"/>
      <c r="F52" s="52"/>
      <c r="G52" s="52"/>
      <c r="H52" s="52"/>
      <c r="I52" s="52"/>
    </row>
    <row r="53" spans="1:9" ht="15" customHeight="1">
      <c r="A53" s="47" t="s">
        <v>343</v>
      </c>
      <c r="C53" s="47"/>
      <c r="D53" s="47"/>
      <c r="E53" s="47"/>
      <c r="F53" s="47"/>
      <c r="G53" s="47"/>
      <c r="H53" s="47"/>
      <c r="I53" s="47"/>
    </row>
    <row r="54" spans="1:9" ht="14.45" customHeight="1"/>
    <row r="55" spans="1:9" ht="14.45" customHeight="1"/>
    <row r="56" spans="1:9" ht="14.45" customHeight="1"/>
    <row r="57" spans="1:9" ht="14.45" customHeight="1">
      <c r="A57" s="21"/>
    </row>
    <row r="58" spans="1:9" ht="14.45" customHeight="1"/>
    <row r="59" spans="1:9" ht="14.45" customHeight="1">
      <c r="A59" s="21"/>
    </row>
  </sheetData>
  <mergeCells count="9">
    <mergeCell ref="D7:D9"/>
    <mergeCell ref="B5:I5"/>
    <mergeCell ref="E7:E9"/>
    <mergeCell ref="F8:F9"/>
    <mergeCell ref="G8:G9"/>
    <mergeCell ref="B6:I6"/>
    <mergeCell ref="F7:I7"/>
    <mergeCell ref="H8:H9"/>
    <mergeCell ref="I8:I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dimension ref="A1:I59"/>
  <sheetViews>
    <sheetView showGridLines="0" showZeros="0" workbookViewId="0"/>
  </sheetViews>
  <sheetFormatPr defaultColWidth="15.83203125" defaultRowHeight="12"/>
  <cols>
    <col min="1" max="1" width="31.83203125" style="1" customWidth="1"/>
    <col min="2" max="2" width="15.6640625" style="1" customWidth="1"/>
    <col min="3" max="3" width="7.83203125" style="1" customWidth="1"/>
    <col min="4" max="4" width="8.6640625" style="1" customWidth="1"/>
    <col min="5" max="5" width="13" style="1" customWidth="1"/>
    <col min="6" max="6" width="7.83203125" style="1" customWidth="1"/>
    <col min="7" max="7" width="9.83203125" style="1" customWidth="1"/>
    <col min="8" max="8" width="14.6640625" style="1" customWidth="1"/>
    <col min="9" max="9" width="11.5" style="1" customWidth="1"/>
    <col min="10" max="16384" width="15.83203125" style="1"/>
  </cols>
  <sheetData>
    <row r="1" spans="1:9" ht="6.95" customHeight="1">
      <c r="A1" s="3"/>
      <c r="B1" s="4"/>
      <c r="C1" s="4"/>
      <c r="D1" s="4"/>
      <c r="E1" s="4"/>
      <c r="F1" s="4"/>
      <c r="G1" s="4"/>
      <c r="H1" s="4"/>
      <c r="I1" s="4"/>
    </row>
    <row r="2" spans="1:9" ht="15.95" customHeight="1">
      <c r="A2" s="133"/>
      <c r="B2" s="5" t="str">
        <f>AEXP_BP</f>
        <v>ANALYSIS OF EXPENSE BY PROGRAM</v>
      </c>
      <c r="C2" s="6"/>
      <c r="D2" s="6"/>
      <c r="E2" s="6"/>
      <c r="F2" s="6"/>
      <c r="G2" s="86"/>
      <c r="H2" s="86"/>
      <c r="I2" s="510" t="s">
        <v>564</v>
      </c>
    </row>
    <row r="3" spans="1:9" ht="15.95" customHeight="1">
      <c r="A3" s="136"/>
      <c r="B3" s="7" t="str">
        <f>OPYEAR</f>
        <v>OPERATING FUND 2015/2016 BUDGET</v>
      </c>
      <c r="C3" s="8"/>
      <c r="D3" s="8"/>
      <c r="E3" s="8"/>
      <c r="F3" s="8"/>
      <c r="G3" s="88"/>
      <c r="H3" s="88"/>
      <c r="I3" s="82"/>
    </row>
    <row r="4" spans="1:9" ht="15.95" customHeight="1">
      <c r="B4" s="4"/>
      <c r="C4" s="4"/>
      <c r="D4" s="82"/>
      <c r="E4" s="4"/>
      <c r="F4" s="4"/>
      <c r="G4" s="4"/>
      <c r="H4" s="4"/>
      <c r="I4" s="4"/>
    </row>
    <row r="5" spans="1:9" ht="15.95" customHeight="1">
      <c r="B5" s="655" t="s">
        <v>245</v>
      </c>
      <c r="C5" s="656"/>
      <c r="D5" s="656"/>
      <c r="E5" s="656"/>
      <c r="F5" s="656"/>
      <c r="G5" s="656"/>
      <c r="H5" s="656"/>
      <c r="I5" s="657"/>
    </row>
    <row r="6" spans="1:9" ht="15.95" customHeight="1">
      <c r="B6" s="611" t="s">
        <v>419</v>
      </c>
      <c r="C6" s="617"/>
      <c r="D6" s="608"/>
      <c r="E6" s="607" t="s">
        <v>420</v>
      </c>
      <c r="F6" s="617"/>
      <c r="G6" s="608"/>
      <c r="H6" s="607" t="s">
        <v>422</v>
      </c>
      <c r="I6" s="608"/>
    </row>
    <row r="7" spans="1:9" ht="15.95" customHeight="1">
      <c r="B7" s="609"/>
      <c r="C7" s="618"/>
      <c r="D7" s="610"/>
      <c r="E7" s="609"/>
      <c r="F7" s="618"/>
      <c r="G7" s="610"/>
      <c r="H7" s="609"/>
      <c r="I7" s="610"/>
    </row>
    <row r="8" spans="1:9" ht="15.95" customHeight="1">
      <c r="A8" s="83"/>
      <c r="B8" s="139"/>
      <c r="C8" s="138"/>
      <c r="D8" s="525" t="s">
        <v>410</v>
      </c>
      <c r="E8" s="139"/>
      <c r="F8" s="138"/>
      <c r="G8" s="525" t="s">
        <v>410</v>
      </c>
      <c r="H8" s="139"/>
      <c r="I8" s="525" t="s">
        <v>39</v>
      </c>
    </row>
    <row r="9" spans="1:9" ht="15.95" customHeight="1">
      <c r="A9" s="28" t="s">
        <v>37</v>
      </c>
      <c r="B9" s="90" t="s">
        <v>38</v>
      </c>
      <c r="C9" s="90" t="s">
        <v>39</v>
      </c>
      <c r="D9" s="565"/>
      <c r="E9" s="90" t="s">
        <v>38</v>
      </c>
      <c r="F9" s="90" t="s">
        <v>39</v>
      </c>
      <c r="G9" s="565"/>
      <c r="H9" s="90" t="s">
        <v>38</v>
      </c>
      <c r="I9" s="565"/>
    </row>
    <row r="10" spans="1:9" ht="5.0999999999999996" customHeight="1">
      <c r="A10" s="30"/>
    </row>
    <row r="11" spans="1:9" ht="14.1" customHeight="1">
      <c r="A11" s="272" t="s">
        <v>109</v>
      </c>
      <c r="B11" s="273">
        <v>132485</v>
      </c>
      <c r="C11" s="274">
        <f>B11/'- 3 -'!$D11*100</f>
        <v>0.71973849619011498</v>
      </c>
      <c r="D11" s="273">
        <f>B11/'- 7 -'!$F11</f>
        <v>80.440194292653302</v>
      </c>
      <c r="E11" s="273">
        <v>181400</v>
      </c>
      <c r="F11" s="274">
        <f>E11/'- 3 -'!$D11*100</f>
        <v>0.98547430432793814</v>
      </c>
      <c r="G11" s="273">
        <f>E11/'- 7 -'!$F11</f>
        <v>110.13964784456587</v>
      </c>
      <c r="H11" s="273">
        <v>195692</v>
      </c>
      <c r="I11" s="274">
        <f>H11/'- 3 -'!$D11*100</f>
        <v>1.0631170758684831</v>
      </c>
    </row>
    <row r="12" spans="1:9" ht="14.1" customHeight="1">
      <c r="A12" s="16" t="s">
        <v>110</v>
      </c>
      <c r="B12" s="17">
        <v>305780</v>
      </c>
      <c r="C12" s="268">
        <f>B12/'- 3 -'!$D12*100</f>
        <v>0.95356094577603645</v>
      </c>
      <c r="D12" s="17">
        <f>B12/'- 7 -'!$F12</f>
        <v>140.97740894421392</v>
      </c>
      <c r="E12" s="17">
        <v>764077</v>
      </c>
      <c r="F12" s="268">
        <f>E12/'- 3 -'!$D12*100</f>
        <v>2.3827391809984846</v>
      </c>
      <c r="G12" s="17">
        <f>E12/'- 7 -'!$F12</f>
        <v>352.27155371138775</v>
      </c>
      <c r="H12" s="17">
        <v>0</v>
      </c>
      <c r="I12" s="499">
        <f>H12/'- 3 -'!$D12*100</f>
        <v>0</v>
      </c>
    </row>
    <row r="13" spans="1:9" ht="14.1" customHeight="1">
      <c r="A13" s="272" t="s">
        <v>111</v>
      </c>
      <c r="B13" s="273">
        <v>137000</v>
      </c>
      <c r="C13" s="274">
        <f>B13/'- 3 -'!$D13*100</f>
        <v>0.14748913209643419</v>
      </c>
      <c r="D13" s="273">
        <f>B13/'- 7 -'!$F13</f>
        <v>16.773798591980409</v>
      </c>
      <c r="E13" s="273">
        <v>2368400</v>
      </c>
      <c r="F13" s="274">
        <f>E13/'- 3 -'!$D13*100</f>
        <v>2.5497318281547066</v>
      </c>
      <c r="G13" s="273">
        <f>E13/'- 7 -'!$F13</f>
        <v>289.97857361493726</v>
      </c>
      <c r="H13" s="273">
        <v>1837900</v>
      </c>
      <c r="I13" s="500">
        <f>H13/'- 3 -'!$D13*100</f>
        <v>1.978615152409025</v>
      </c>
    </row>
    <row r="14" spans="1:9" ht="14.1" customHeight="1">
      <c r="A14" s="16" t="s">
        <v>324</v>
      </c>
      <c r="B14" s="17">
        <v>322397</v>
      </c>
      <c r="C14" s="268">
        <f>B14/'- 3 -'!$D14*100</f>
        <v>0.38874696330811886</v>
      </c>
      <c r="D14" s="17">
        <f>B14/'- 7 -'!$F14</f>
        <v>60.566785647191431</v>
      </c>
      <c r="E14" s="17">
        <v>884279</v>
      </c>
      <c r="F14" s="268">
        <f>E14/'- 3 -'!$D14*100</f>
        <v>1.0662654304076653</v>
      </c>
      <c r="G14" s="17">
        <f>E14/'- 7 -'!$F14</f>
        <v>166.12417809505916</v>
      </c>
      <c r="H14" s="17">
        <v>1112255</v>
      </c>
      <c r="I14" s="499">
        <f>H14/'- 3 -'!$D14*100</f>
        <v>1.3411593584129871</v>
      </c>
    </row>
    <row r="15" spans="1:9" ht="14.1" customHeight="1">
      <c r="A15" s="272" t="s">
        <v>112</v>
      </c>
      <c r="B15" s="273">
        <v>296100</v>
      </c>
      <c r="C15" s="274">
        <f>B15/'- 3 -'!$D15*100</f>
        <v>1.4718874712451298</v>
      </c>
      <c r="D15" s="273">
        <f>B15/'- 7 -'!$F15</f>
        <v>207.57097791798108</v>
      </c>
      <c r="E15" s="273">
        <v>265400</v>
      </c>
      <c r="F15" s="274">
        <f>E15/'- 3 -'!$D15*100</f>
        <v>1.3192804284649018</v>
      </c>
      <c r="G15" s="273">
        <f>E15/'- 7 -'!$F15</f>
        <v>186.04977216964599</v>
      </c>
      <c r="H15" s="273">
        <v>0</v>
      </c>
      <c r="I15" s="500">
        <f>H15/'- 3 -'!$D15*100</f>
        <v>0</v>
      </c>
    </row>
    <row r="16" spans="1:9" ht="14.1" customHeight="1">
      <c r="A16" s="16" t="s">
        <v>113</v>
      </c>
      <c r="B16" s="17">
        <v>188395</v>
      </c>
      <c r="C16" s="268">
        <f>B16/'- 3 -'!$D16*100</f>
        <v>1.3392051407507126</v>
      </c>
      <c r="D16" s="17">
        <f>B16/'- 7 -'!$F16</f>
        <v>200.63365282215122</v>
      </c>
      <c r="E16" s="17">
        <v>184373</v>
      </c>
      <c r="F16" s="268">
        <f>E16/'- 3 -'!$D16*100</f>
        <v>1.3106147690524226</v>
      </c>
      <c r="G16" s="17">
        <f>E16/'- 7 -'!$F16</f>
        <v>196.3503727369542</v>
      </c>
      <c r="H16" s="17">
        <v>166905</v>
      </c>
      <c r="I16" s="499">
        <f>H16/'- 3 -'!$D16*100</f>
        <v>1.1864435575094758</v>
      </c>
    </row>
    <row r="17" spans="1:9" ht="14.1" customHeight="1">
      <c r="A17" s="272" t="s">
        <v>114</v>
      </c>
      <c r="B17" s="273">
        <v>125160</v>
      </c>
      <c r="C17" s="274">
        <f>B17/'- 3 -'!$D17*100</f>
        <v>0.71143286136580219</v>
      </c>
      <c r="D17" s="273">
        <f>B17/'- 7 -'!$F17</f>
        <v>92.131026867868968</v>
      </c>
      <c r="E17" s="273">
        <v>315170</v>
      </c>
      <c r="F17" s="274">
        <f>E17/'- 3 -'!$D17*100</f>
        <v>1.7914852582027792</v>
      </c>
      <c r="G17" s="273">
        <f>E17/'- 7 -'!$F17</f>
        <v>231.99852778800147</v>
      </c>
      <c r="H17" s="273">
        <v>194392</v>
      </c>
      <c r="I17" s="500">
        <f>H17/'- 3 -'!$D17*100</f>
        <v>1.1049605048467641</v>
      </c>
    </row>
    <row r="18" spans="1:9" ht="14.1" customHeight="1">
      <c r="A18" s="16" t="s">
        <v>115</v>
      </c>
      <c r="B18" s="17">
        <v>0</v>
      </c>
      <c r="C18" s="268">
        <f>B18/'- 3 -'!$D18*100</f>
        <v>0</v>
      </c>
      <c r="D18" s="17">
        <f>B18/'- 7 -'!$F18</f>
        <v>0</v>
      </c>
      <c r="E18" s="17">
        <v>3854422</v>
      </c>
      <c r="F18" s="268">
        <f>E18/'- 3 -'!$D18*100</f>
        <v>3.0110342792937552</v>
      </c>
      <c r="G18" s="17">
        <f>E18/'- 7 -'!$F18</f>
        <v>615.56503130190367</v>
      </c>
      <c r="H18" s="17">
        <v>0</v>
      </c>
      <c r="I18" s="499">
        <f>H18/'- 3 -'!$D18*100</f>
        <v>0</v>
      </c>
    </row>
    <row r="19" spans="1:9" ht="14.1" customHeight="1">
      <c r="A19" s="272" t="s">
        <v>116</v>
      </c>
      <c r="B19" s="273">
        <v>179950</v>
      </c>
      <c r="C19" s="274">
        <f>B19/'- 3 -'!$D19*100</f>
        <v>0.40039231549356946</v>
      </c>
      <c r="D19" s="273">
        <f>B19/'- 7 -'!$F19</f>
        <v>42.865650309671274</v>
      </c>
      <c r="E19" s="273">
        <v>929550</v>
      </c>
      <c r="F19" s="274">
        <f>E19/'- 3 -'!$D19*100</f>
        <v>2.0682671679191302</v>
      </c>
      <c r="G19" s="273">
        <f>E19/'- 7 -'!$F19</f>
        <v>221.42686993806575</v>
      </c>
      <c r="H19" s="273">
        <v>1436850</v>
      </c>
      <c r="I19" s="500">
        <f>H19/'- 3 -'!$D19*100</f>
        <v>3.1970197194606018</v>
      </c>
    </row>
    <row r="20" spans="1:9" ht="14.1" customHeight="1">
      <c r="A20" s="16" t="s">
        <v>117</v>
      </c>
      <c r="B20" s="17">
        <v>455800</v>
      </c>
      <c r="C20" s="268">
        <f>B20/'- 3 -'!$D20*100</f>
        <v>0.57852330593449663</v>
      </c>
      <c r="D20" s="17">
        <f>B20/'- 7 -'!$F20</f>
        <v>61.009235711417482</v>
      </c>
      <c r="E20" s="17">
        <v>1474700</v>
      </c>
      <c r="F20" s="268">
        <f>E20/'- 3 -'!$D20*100</f>
        <v>1.8717602441018037</v>
      </c>
      <c r="G20" s="17">
        <f>E20/'- 7 -'!$F20</f>
        <v>197.38990764288582</v>
      </c>
      <c r="H20" s="17">
        <v>870100</v>
      </c>
      <c r="I20" s="499">
        <f>H20/'- 3 -'!$D20*100</f>
        <v>1.1043728137200648</v>
      </c>
    </row>
    <row r="21" spans="1:9" ht="14.1" customHeight="1">
      <c r="A21" s="272" t="s">
        <v>118</v>
      </c>
      <c r="B21" s="273">
        <v>158187</v>
      </c>
      <c r="C21" s="274">
        <f>B21/'- 3 -'!$D21*100</f>
        <v>0.44554719395849196</v>
      </c>
      <c r="D21" s="273">
        <f>B21/'- 7 -'!$F21</f>
        <v>58.652947719688541</v>
      </c>
      <c r="E21" s="273">
        <v>581513</v>
      </c>
      <c r="F21" s="274">
        <f>E21/'- 3 -'!$D21*100</f>
        <v>1.6378810230953524</v>
      </c>
      <c r="G21" s="273">
        <f>E21/'- 7 -'!$F21</f>
        <v>215.61475713756025</v>
      </c>
      <c r="H21" s="273">
        <v>54300</v>
      </c>
      <c r="I21" s="500">
        <f>H21/'- 3 -'!$D21*100</f>
        <v>0.1529405869758331</v>
      </c>
    </row>
    <row r="22" spans="1:9" ht="14.1" customHeight="1">
      <c r="A22" s="16" t="s">
        <v>119</v>
      </c>
      <c r="B22" s="17">
        <v>143105</v>
      </c>
      <c r="C22" s="268">
        <f>B22/'- 3 -'!$D22*100</f>
        <v>0.69367261318671614</v>
      </c>
      <c r="D22" s="17">
        <f>B22/'- 7 -'!$F22</f>
        <v>91.25430429792118</v>
      </c>
      <c r="E22" s="17">
        <v>280240</v>
      </c>
      <c r="F22" s="268">
        <f>E22/'- 3 -'!$D22*100</f>
        <v>1.3584068559410596</v>
      </c>
      <c r="G22" s="17">
        <f>E22/'- 7 -'!$F22</f>
        <v>178.70169621221783</v>
      </c>
      <c r="H22" s="17">
        <v>1524314</v>
      </c>
      <c r="I22" s="499">
        <f>H22/'- 3 -'!$D22*100</f>
        <v>7.3888045539785185</v>
      </c>
    </row>
    <row r="23" spans="1:9" ht="14.1" customHeight="1">
      <c r="A23" s="272" t="s">
        <v>120</v>
      </c>
      <c r="B23" s="273">
        <v>149550</v>
      </c>
      <c r="C23" s="274">
        <f>B23/'- 3 -'!$D23*100</f>
        <v>0.9063527052007071</v>
      </c>
      <c r="D23" s="273">
        <f>B23/'- 7 -'!$F23</f>
        <v>134.24596050269301</v>
      </c>
      <c r="E23" s="273">
        <v>331000</v>
      </c>
      <c r="F23" s="274">
        <f>E23/'- 3 -'!$D23*100</f>
        <v>2.006036412045697</v>
      </c>
      <c r="G23" s="273">
        <f>E23/'- 7 -'!$F23</f>
        <v>297.12746858168759</v>
      </c>
      <c r="H23" s="273">
        <v>0</v>
      </c>
      <c r="I23" s="500">
        <f>H23/'- 3 -'!$D23*100</f>
        <v>0</v>
      </c>
    </row>
    <row r="24" spans="1:9" ht="14.1" customHeight="1">
      <c r="A24" s="16" t="s">
        <v>121</v>
      </c>
      <c r="B24" s="17">
        <v>207560</v>
      </c>
      <c r="C24" s="268">
        <f>B24/'- 3 -'!$D24*100</f>
        <v>0.37125745396911086</v>
      </c>
      <c r="D24" s="17">
        <f>B24/'- 7 -'!$F24</f>
        <v>52.209784932712864</v>
      </c>
      <c r="E24" s="17">
        <v>1497685</v>
      </c>
      <c r="F24" s="268">
        <f>E24/'- 3 -'!$D24*100</f>
        <v>2.6788722294648668</v>
      </c>
      <c r="G24" s="17">
        <f>E24/'- 7 -'!$F24</f>
        <v>376.72871336938749</v>
      </c>
      <c r="H24" s="17">
        <v>242770</v>
      </c>
      <c r="I24" s="499">
        <f>H24/'- 3 -'!$D24*100</f>
        <v>0.43423671275814718</v>
      </c>
    </row>
    <row r="25" spans="1:9" ht="14.1" customHeight="1">
      <c r="A25" s="272" t="s">
        <v>122</v>
      </c>
      <c r="B25" s="273">
        <v>1334893</v>
      </c>
      <c r="C25" s="274">
        <f>B25/'- 3 -'!$D25*100</f>
        <v>0.79865644090690324</v>
      </c>
      <c r="D25" s="273">
        <f>B25/'- 7 -'!$F25</f>
        <v>95.448357227128099</v>
      </c>
      <c r="E25" s="273">
        <v>3200853</v>
      </c>
      <c r="F25" s="274">
        <f>E25/'- 3 -'!$D25*100</f>
        <v>1.9150462732564959</v>
      </c>
      <c r="G25" s="273">
        <f>E25/'- 7 -'!$F25</f>
        <v>228.86940045046654</v>
      </c>
      <c r="H25" s="273">
        <v>8191820</v>
      </c>
      <c r="I25" s="500">
        <f>H25/'- 3 -'!$D25*100</f>
        <v>4.9011042875721031</v>
      </c>
    </row>
    <row r="26" spans="1:9" ht="14.1" customHeight="1">
      <c r="A26" s="16" t="s">
        <v>123</v>
      </c>
      <c r="B26" s="17">
        <v>134160</v>
      </c>
      <c r="C26" s="268">
        <f>B26/'- 3 -'!$D26*100</f>
        <v>0.33634959057284503</v>
      </c>
      <c r="D26" s="17">
        <f>B26/'- 7 -'!$F26</f>
        <v>43.172968624296061</v>
      </c>
      <c r="E26" s="17">
        <v>679716</v>
      </c>
      <c r="F26" s="268">
        <f>E26/'- 3 -'!$D26*100</f>
        <v>1.704101060717143</v>
      </c>
      <c r="G26" s="17">
        <f>E26/'- 7 -'!$F26</f>
        <v>218.7340305711987</v>
      </c>
      <c r="H26" s="17">
        <v>436832</v>
      </c>
      <c r="I26" s="499">
        <f>H26/'- 3 -'!$D26*100</f>
        <v>1.095171916734623</v>
      </c>
    </row>
    <row r="27" spans="1:9" ht="14.1" customHeight="1">
      <c r="A27" s="272" t="s">
        <v>124</v>
      </c>
      <c r="B27" s="273">
        <v>215207</v>
      </c>
      <c r="C27" s="274">
        <f>B27/'- 3 -'!$D27*100</f>
        <v>0.50140715620803888</v>
      </c>
      <c r="D27" s="273">
        <f>B27/'- 7 -'!$F27</f>
        <v>75.237807466600074</v>
      </c>
      <c r="E27" s="273">
        <v>593883</v>
      </c>
      <c r="F27" s="274">
        <f>E27/'- 3 -'!$D27*100</f>
        <v>1.383677975857192</v>
      </c>
      <c r="G27" s="273">
        <f>E27/'- 7 -'!$F27</f>
        <v>207.62547134473718</v>
      </c>
      <c r="H27" s="273">
        <v>1782221</v>
      </c>
      <c r="I27" s="500">
        <f>H27/'- 3 -'!$D27*100</f>
        <v>4.1523666207151591</v>
      </c>
    </row>
    <row r="28" spans="1:9" ht="14.1" customHeight="1">
      <c r="A28" s="16" t="s">
        <v>125</v>
      </c>
      <c r="B28" s="17">
        <v>139823</v>
      </c>
      <c r="C28" s="268">
        <f>B28/'- 3 -'!$D28*100</f>
        <v>0.49921356449331694</v>
      </c>
      <c r="D28" s="17">
        <f>B28/'- 7 -'!$F28</f>
        <v>70.95813245369196</v>
      </c>
      <c r="E28" s="17">
        <v>393402</v>
      </c>
      <c r="F28" s="268">
        <f>E28/'- 3 -'!$D28*100</f>
        <v>1.4045730294643934</v>
      </c>
      <c r="G28" s="17">
        <f>E28/'- 7 -'!$F28</f>
        <v>199.64577518396345</v>
      </c>
      <c r="H28" s="17">
        <v>0</v>
      </c>
      <c r="I28" s="499">
        <f>H28/'- 3 -'!$D28*100</f>
        <v>0</v>
      </c>
    </row>
    <row r="29" spans="1:9" ht="14.1" customHeight="1">
      <c r="A29" s="272" t="s">
        <v>126</v>
      </c>
      <c r="B29" s="273">
        <v>596340</v>
      </c>
      <c r="C29" s="274">
        <f>B29/'- 3 -'!$D29*100</f>
        <v>0.38518275560172244</v>
      </c>
      <c r="D29" s="273">
        <f>B29/'- 7 -'!$F29</f>
        <v>48.310110174983798</v>
      </c>
      <c r="E29" s="273">
        <v>2687559</v>
      </c>
      <c r="F29" s="274">
        <f>E29/'- 3 -'!$D29*100</f>
        <v>1.7359247769094972</v>
      </c>
      <c r="G29" s="273">
        <f>E29/'- 7 -'!$F29</f>
        <v>217.72188917692807</v>
      </c>
      <c r="H29" s="273">
        <v>295000</v>
      </c>
      <c r="I29" s="500">
        <f>H29/'- 3 -'!$D29*100</f>
        <v>0.19054383892160195</v>
      </c>
    </row>
    <row r="30" spans="1:9" ht="14.1" customHeight="1">
      <c r="A30" s="16" t="s">
        <v>127</v>
      </c>
      <c r="B30" s="17">
        <v>144458</v>
      </c>
      <c r="C30" s="268">
        <f>B30/'- 3 -'!$D30*100</f>
        <v>1.0324001319855296</v>
      </c>
      <c r="D30" s="17">
        <f>B30/'- 7 -'!$F30</f>
        <v>140.79727095516569</v>
      </c>
      <c r="E30" s="17">
        <v>149036</v>
      </c>
      <c r="F30" s="268">
        <f>E30/'- 3 -'!$D30*100</f>
        <v>1.0651177925112862</v>
      </c>
      <c r="G30" s="17">
        <f>E30/'- 7 -'!$F30</f>
        <v>145.25925925925927</v>
      </c>
      <c r="H30" s="17">
        <v>0</v>
      </c>
      <c r="I30" s="499">
        <f>H30/'- 3 -'!$D30*100</f>
        <v>0</v>
      </c>
    </row>
    <row r="31" spans="1:9" ht="14.1" customHeight="1">
      <c r="A31" s="272" t="s">
        <v>128</v>
      </c>
      <c r="B31" s="273">
        <v>161261</v>
      </c>
      <c r="C31" s="274">
        <f>B31/'- 3 -'!$D31*100</f>
        <v>0.4453549717542693</v>
      </c>
      <c r="D31" s="273">
        <f>B31/'- 7 -'!$F31</f>
        <v>50.520363408521305</v>
      </c>
      <c r="E31" s="273">
        <v>494789</v>
      </c>
      <c r="F31" s="274">
        <f>E31/'- 3 -'!$D31*100</f>
        <v>1.3664602174073281</v>
      </c>
      <c r="G31" s="273">
        <f>E31/'- 7 -'!$F31</f>
        <v>155.00908521303259</v>
      </c>
      <c r="H31" s="273">
        <v>2206621</v>
      </c>
      <c r="I31" s="500">
        <f>H31/'- 3 -'!$D31*100</f>
        <v>6.0940316203383178</v>
      </c>
    </row>
    <row r="32" spans="1:9" ht="14.1" customHeight="1">
      <c r="A32" s="16" t="s">
        <v>129</v>
      </c>
      <c r="B32" s="17">
        <v>139740</v>
      </c>
      <c r="C32" s="268">
        <f>B32/'- 3 -'!$D32*100</f>
        <v>0.48594041606848537</v>
      </c>
      <c r="D32" s="17">
        <f>B32/'- 7 -'!$F32</f>
        <v>65.978894685899107</v>
      </c>
      <c r="E32" s="17">
        <v>387600</v>
      </c>
      <c r="F32" s="268">
        <f>E32/'- 3 -'!$D32*100</f>
        <v>1.3478639277812003</v>
      </c>
      <c r="G32" s="17">
        <f>E32/'- 7 -'!$F32</f>
        <v>183.00715314336978</v>
      </c>
      <c r="H32" s="17">
        <v>0</v>
      </c>
      <c r="I32" s="499">
        <f>H32/'- 3 -'!$D32*100</f>
        <v>0</v>
      </c>
    </row>
    <row r="33" spans="1:9" ht="14.1" customHeight="1">
      <c r="A33" s="272" t="s">
        <v>130</v>
      </c>
      <c r="B33" s="273">
        <v>207600</v>
      </c>
      <c r="C33" s="274">
        <f>B33/'- 3 -'!$D33*100</f>
        <v>0.76117006064428139</v>
      </c>
      <c r="D33" s="273">
        <f>B33/'- 7 -'!$F33</f>
        <v>104.9810366624526</v>
      </c>
      <c r="E33" s="273">
        <v>479000</v>
      </c>
      <c r="F33" s="274">
        <f>E33/'- 3 -'!$D33*100</f>
        <v>1.7562642536060249</v>
      </c>
      <c r="G33" s="273">
        <f>E33/'- 7 -'!$F33</f>
        <v>242.22503160556258</v>
      </c>
      <c r="H33" s="273">
        <v>0</v>
      </c>
      <c r="I33" s="500">
        <f>H33/'- 3 -'!$D33*100</f>
        <v>0</v>
      </c>
    </row>
    <row r="34" spans="1:9" ht="14.1" customHeight="1">
      <c r="A34" s="16" t="s">
        <v>131</v>
      </c>
      <c r="B34" s="17">
        <v>217838</v>
      </c>
      <c r="C34" s="268">
        <f>B34/'- 3 -'!$D34*100</f>
        <v>0.78728629384646476</v>
      </c>
      <c r="D34" s="17">
        <f>B34/'- 7 -'!$F34</f>
        <v>110.30889203970023</v>
      </c>
      <c r="E34" s="17">
        <v>355107</v>
      </c>
      <c r="F34" s="268">
        <f>E34/'- 3 -'!$D34*100</f>
        <v>1.2833889126274414</v>
      </c>
      <c r="G34" s="17">
        <f>E34/'- 7 -'!$F34</f>
        <v>179.81922219971642</v>
      </c>
      <c r="H34" s="17">
        <v>369056</v>
      </c>
      <c r="I34" s="499">
        <f>H34/'- 3 -'!$D34*100</f>
        <v>1.3338018640540259</v>
      </c>
    </row>
    <row r="35" spans="1:9" ht="14.1" customHeight="1">
      <c r="A35" s="272" t="s">
        <v>132</v>
      </c>
      <c r="B35" s="273">
        <v>1016150</v>
      </c>
      <c r="C35" s="274">
        <f>B35/'- 3 -'!$D35*100</f>
        <v>0.57673870102677371</v>
      </c>
      <c r="D35" s="273">
        <f>B35/'- 7 -'!$F35</f>
        <v>65.050252864733366</v>
      </c>
      <c r="E35" s="273">
        <v>3049775</v>
      </c>
      <c r="F35" s="274">
        <f>E35/'- 3 -'!$D35*100</f>
        <v>1.7309681365191443</v>
      </c>
      <c r="G35" s="273">
        <f>E35/'- 7 -'!$F35</f>
        <v>195.23558030855898</v>
      </c>
      <c r="H35" s="273">
        <v>2959995</v>
      </c>
      <c r="I35" s="500">
        <f>H35/'- 3 -'!$D35*100</f>
        <v>1.6800114858492792</v>
      </c>
    </row>
    <row r="36" spans="1:9" ht="14.1" customHeight="1">
      <c r="A36" s="16" t="s">
        <v>133</v>
      </c>
      <c r="B36" s="17">
        <v>172720</v>
      </c>
      <c r="C36" s="268">
        <f>B36/'- 3 -'!$D36*100</f>
        <v>0.75087229345577755</v>
      </c>
      <c r="D36" s="17">
        <f>B36/'- 7 -'!$F36</f>
        <v>102.96274217585693</v>
      </c>
      <c r="E36" s="17">
        <v>316095</v>
      </c>
      <c r="F36" s="268">
        <f>E36/'- 3 -'!$D36*100</f>
        <v>1.3741719407127375</v>
      </c>
      <c r="G36" s="17">
        <f>E36/'- 7 -'!$F36</f>
        <v>188.43219076005963</v>
      </c>
      <c r="H36" s="17">
        <v>5000</v>
      </c>
      <c r="I36" s="499">
        <f>H36/'- 3 -'!$D36*100</f>
        <v>2.1736692144968085E-2</v>
      </c>
    </row>
    <row r="37" spans="1:9" ht="14.1" customHeight="1">
      <c r="A37" s="272" t="s">
        <v>134</v>
      </c>
      <c r="B37" s="273">
        <v>314525</v>
      </c>
      <c r="C37" s="274">
        <f>B37/'- 3 -'!$D37*100</f>
        <v>0.67246429487727699</v>
      </c>
      <c r="D37" s="273">
        <f>B37/'- 7 -'!$F37</f>
        <v>79.656831708243644</v>
      </c>
      <c r="E37" s="273">
        <v>644925</v>
      </c>
      <c r="F37" s="274">
        <f>E37/'- 3 -'!$D37*100</f>
        <v>1.3788698366544088</v>
      </c>
      <c r="G37" s="273">
        <f>E37/'- 7 -'!$F37</f>
        <v>163.33417753577308</v>
      </c>
      <c r="H37" s="273">
        <v>0</v>
      </c>
      <c r="I37" s="500">
        <f>H37/'- 3 -'!$D37*100</f>
        <v>0</v>
      </c>
    </row>
    <row r="38" spans="1:9" ht="14.1" customHeight="1">
      <c r="A38" s="16" t="s">
        <v>135</v>
      </c>
      <c r="B38" s="17">
        <v>469510</v>
      </c>
      <c r="C38" s="268">
        <f>B38/'- 3 -'!$D38*100</f>
        <v>0.36350096636938234</v>
      </c>
      <c r="D38" s="17">
        <f>B38/'- 7 -'!$F38</f>
        <v>43.655044165504414</v>
      </c>
      <c r="E38" s="17">
        <v>1894540</v>
      </c>
      <c r="F38" s="268">
        <f>E38/'- 3 -'!$D38*100</f>
        <v>1.4667783877349783</v>
      </c>
      <c r="G38" s="17">
        <f>E38/'- 7 -'!$F38</f>
        <v>176.15434681543468</v>
      </c>
      <c r="H38" s="17">
        <v>824590</v>
      </c>
      <c r="I38" s="499">
        <f>H38/'- 3 -'!$D38*100</f>
        <v>0.63840868534968165</v>
      </c>
    </row>
    <row r="39" spans="1:9" ht="14.1" customHeight="1">
      <c r="A39" s="272" t="s">
        <v>136</v>
      </c>
      <c r="B39" s="273">
        <v>211700</v>
      </c>
      <c r="C39" s="274">
        <f>B39/'- 3 -'!$D39*100</f>
        <v>0.96530774257061869</v>
      </c>
      <c r="D39" s="273">
        <f>B39/'- 7 -'!$F39</f>
        <v>136.22908622908622</v>
      </c>
      <c r="E39" s="273">
        <v>358150</v>
      </c>
      <c r="F39" s="274">
        <f>E39/'- 3 -'!$D39*100</f>
        <v>1.6330891261297453</v>
      </c>
      <c r="G39" s="273">
        <f>E39/'- 7 -'!$F39</f>
        <v>230.46975546975548</v>
      </c>
      <c r="H39" s="273">
        <v>0</v>
      </c>
      <c r="I39" s="500">
        <f>H39/'- 3 -'!$D39*100</f>
        <v>0</v>
      </c>
    </row>
    <row r="40" spans="1:9" ht="14.1" customHeight="1">
      <c r="A40" s="16" t="s">
        <v>137</v>
      </c>
      <c r="B40" s="17">
        <v>239450</v>
      </c>
      <c r="C40" s="268">
        <f>B40/'- 3 -'!$D40*100</f>
        <v>0.23462005063638619</v>
      </c>
      <c r="D40" s="17">
        <f>B40/'- 7 -'!$F40</f>
        <v>30.525116134394651</v>
      </c>
      <c r="E40" s="17">
        <v>2466025</v>
      </c>
      <c r="F40" s="268">
        <f>E40/'- 3 -'!$D40*100</f>
        <v>2.416282774569197</v>
      </c>
      <c r="G40" s="17">
        <f>E40/'- 7 -'!$F40</f>
        <v>314.3691773452519</v>
      </c>
      <c r="H40" s="17">
        <v>151520</v>
      </c>
      <c r="I40" s="499">
        <f>H40/'- 3 -'!$D40*100</f>
        <v>0.14846368791992165</v>
      </c>
    </row>
    <row r="41" spans="1:9" ht="14.1" customHeight="1">
      <c r="A41" s="272" t="s">
        <v>138</v>
      </c>
      <c r="B41" s="273">
        <v>346778</v>
      </c>
      <c r="C41" s="274">
        <f>B41/'- 3 -'!$D41*100</f>
        <v>0.55711136077395451</v>
      </c>
      <c r="D41" s="273">
        <f>B41/'- 7 -'!$F41</f>
        <v>79.618413500172196</v>
      </c>
      <c r="E41" s="273">
        <v>1019774</v>
      </c>
      <c r="F41" s="274">
        <f>E41/'- 3 -'!$D41*100</f>
        <v>1.6383037009899668</v>
      </c>
      <c r="G41" s="273">
        <f>E41/'- 7 -'!$F41</f>
        <v>234.1347721271955</v>
      </c>
      <c r="H41" s="273">
        <v>679083</v>
      </c>
      <c r="I41" s="500">
        <f>H41/'- 3 -'!$D41*100</f>
        <v>1.0909713251949644</v>
      </c>
    </row>
    <row r="42" spans="1:9" ht="14.1" customHeight="1">
      <c r="A42" s="16" t="s">
        <v>139</v>
      </c>
      <c r="B42" s="17">
        <v>158547</v>
      </c>
      <c r="C42" s="268">
        <f>B42/'- 3 -'!$D42*100</f>
        <v>0.76913255244972023</v>
      </c>
      <c r="D42" s="17">
        <f>B42/'- 7 -'!$F42</f>
        <v>115.47487254187909</v>
      </c>
      <c r="E42" s="17">
        <v>396236</v>
      </c>
      <c r="F42" s="268">
        <f>E42/'- 3 -'!$D42*100</f>
        <v>1.9221934571607617</v>
      </c>
      <c r="G42" s="17">
        <f>E42/'- 7 -'!$F42</f>
        <v>288.59140568099053</v>
      </c>
      <c r="H42" s="17">
        <v>0</v>
      </c>
      <c r="I42" s="499">
        <f>H42/'- 3 -'!$D42*100</f>
        <v>0</v>
      </c>
    </row>
    <row r="43" spans="1:9" ht="14.1" customHeight="1">
      <c r="A43" s="272" t="s">
        <v>140</v>
      </c>
      <c r="B43" s="273">
        <v>165167</v>
      </c>
      <c r="C43" s="274">
        <f>B43/'- 3 -'!$D43*100</f>
        <v>1.2869148373683161</v>
      </c>
      <c r="D43" s="273">
        <f>B43/'- 7 -'!$F43</f>
        <v>176.27214514407683</v>
      </c>
      <c r="E43" s="273">
        <v>180019</v>
      </c>
      <c r="F43" s="274">
        <f>E43/'- 3 -'!$D43*100</f>
        <v>1.4026356482118518</v>
      </c>
      <c r="G43" s="273">
        <f>E43/'- 7 -'!$F43</f>
        <v>192.12273212379935</v>
      </c>
      <c r="H43" s="273">
        <v>0</v>
      </c>
      <c r="I43" s="500">
        <f>H43/'- 3 -'!$D43*100</f>
        <v>0</v>
      </c>
    </row>
    <row r="44" spans="1:9" ht="14.1" customHeight="1">
      <c r="A44" s="16" t="s">
        <v>141</v>
      </c>
      <c r="B44" s="17">
        <v>88409</v>
      </c>
      <c r="C44" s="268">
        <f>B44/'- 3 -'!$D44*100</f>
        <v>0.80539229953899627</v>
      </c>
      <c r="D44" s="17">
        <f>B44/'- 7 -'!$F44</f>
        <v>124.51971830985916</v>
      </c>
      <c r="E44" s="17">
        <v>174945</v>
      </c>
      <c r="F44" s="268">
        <f>E44/'- 3 -'!$D44*100</f>
        <v>1.5937218591189777</v>
      </c>
      <c r="G44" s="17">
        <f>E44/'- 7 -'!$F44</f>
        <v>246.40140845070422</v>
      </c>
      <c r="H44" s="17">
        <v>0</v>
      </c>
      <c r="I44" s="499">
        <f>H44/'- 3 -'!$D44*100</f>
        <v>0</v>
      </c>
    </row>
    <row r="45" spans="1:9" ht="14.1" customHeight="1">
      <c r="A45" s="272" t="s">
        <v>142</v>
      </c>
      <c r="B45" s="273">
        <v>141088</v>
      </c>
      <c r="C45" s="274">
        <f>B45/'- 3 -'!$D45*100</f>
        <v>0.77042218358073766</v>
      </c>
      <c r="D45" s="273">
        <f>B45/'- 7 -'!$F45</f>
        <v>83.731750741839761</v>
      </c>
      <c r="E45" s="273">
        <v>252694</v>
      </c>
      <c r="F45" s="274">
        <f>E45/'- 3 -'!$D45*100</f>
        <v>1.37985557423559</v>
      </c>
      <c r="G45" s="273">
        <f>E45/'- 7 -'!$F45</f>
        <v>149.96676557863501</v>
      </c>
      <c r="H45" s="273">
        <v>217216</v>
      </c>
      <c r="I45" s="500">
        <f>H45/'- 3 -'!$D45*100</f>
        <v>1.1861251490465063</v>
      </c>
    </row>
    <row r="46" spans="1:9" ht="14.1" customHeight="1">
      <c r="A46" s="16" t="s">
        <v>143</v>
      </c>
      <c r="B46" s="17">
        <v>778200</v>
      </c>
      <c r="C46" s="268">
        <f>B46/'- 3 -'!$D46*100</f>
        <v>0.20320633590148332</v>
      </c>
      <c r="D46" s="17">
        <f>B46/'- 7 -'!$F46</f>
        <v>25.754567116759333</v>
      </c>
      <c r="E46" s="17">
        <v>10751000</v>
      </c>
      <c r="F46" s="268">
        <f>E46/'- 3 -'!$D46*100</f>
        <v>2.8073391381095441</v>
      </c>
      <c r="G46" s="17">
        <f>E46/'- 7 -'!$F46</f>
        <v>355.80487159120997</v>
      </c>
      <c r="H46" s="17">
        <v>33861000</v>
      </c>
      <c r="I46" s="499">
        <f>H46/'- 3 -'!$D46*100</f>
        <v>8.84190406060155</v>
      </c>
    </row>
    <row r="47" spans="1:9" ht="5.0999999999999996" customHeight="1">
      <c r="A47"/>
      <c r="B47"/>
      <c r="C47"/>
      <c r="D47"/>
      <c r="E47"/>
      <c r="F47"/>
      <c r="G47"/>
      <c r="H47"/>
      <c r="I47"/>
    </row>
    <row r="48" spans="1:9" ht="14.1" customHeight="1">
      <c r="A48" s="275" t="s">
        <v>144</v>
      </c>
      <c r="B48" s="276">
        <f>SUM(B11:B46)</f>
        <v>10195033</v>
      </c>
      <c r="C48" s="277">
        <f>B48/'- 3 -'!$D48*100</f>
        <v>0.45674716138135762</v>
      </c>
      <c r="D48" s="276">
        <f>B48/'- 7 -'!$F48</f>
        <v>58.744485298520914</v>
      </c>
      <c r="E48" s="276">
        <f>SUM(E11:E46)</f>
        <v>44837332</v>
      </c>
      <c r="F48" s="277">
        <f>E48/'- 3 -'!$D48*100</f>
        <v>2.0087550589501291</v>
      </c>
      <c r="G48" s="276">
        <f>E48/'- 7 -'!$F48</f>
        <v>258.35580821552037</v>
      </c>
      <c r="H48" s="276">
        <f>SUM(H11:H46)</f>
        <v>59615432</v>
      </c>
      <c r="I48" s="277">
        <f>H48/'- 3 -'!$D48*100</f>
        <v>2.6708279748112003</v>
      </c>
    </row>
    <row r="49" spans="1:9" ht="5.0999999999999996" customHeight="1">
      <c r="A49" s="18" t="s">
        <v>1</v>
      </c>
      <c r="B49" s="19"/>
      <c r="C49" s="267"/>
      <c r="D49" s="19"/>
      <c r="E49" s="19"/>
      <c r="F49" s="267"/>
      <c r="H49" s="19"/>
      <c r="I49" s="19"/>
    </row>
    <row r="50" spans="1:9" ht="14.1" customHeight="1">
      <c r="A50" s="16" t="s">
        <v>145</v>
      </c>
      <c r="B50" s="17">
        <v>34414</v>
      </c>
      <c r="C50" s="268">
        <f>B50/'- 3 -'!$D50*100</f>
        <v>1.0249631114989892</v>
      </c>
      <c r="D50" s="17">
        <f>B50/'- 7 -'!$F50</f>
        <v>212.4320987654321</v>
      </c>
      <c r="E50" s="17">
        <v>28500</v>
      </c>
      <c r="F50" s="268">
        <f>E50/'- 3 -'!$D50*100</f>
        <v>0.84882456784219196</v>
      </c>
      <c r="G50" s="17">
        <f>E50/'- 7 -'!$F50</f>
        <v>175.92592592592592</v>
      </c>
      <c r="H50" s="17">
        <v>0</v>
      </c>
      <c r="I50" s="17">
        <f>H50/'- 3 -'!$D50*100</f>
        <v>0</v>
      </c>
    </row>
    <row r="51" spans="1:9" ht="14.1" customHeight="1">
      <c r="A51" s="364" t="s">
        <v>540</v>
      </c>
      <c r="B51" s="273">
        <v>86936</v>
      </c>
      <c r="C51" s="274">
        <f>B51/'- 3 -'!$D51*100</f>
        <v>0.34321192768041148</v>
      </c>
      <c r="D51" s="273">
        <f>B51/'- 7 -'!$F51</f>
        <v>124.03481238407763</v>
      </c>
      <c r="E51" s="273">
        <v>0</v>
      </c>
      <c r="F51" s="274">
        <f>E51/'- 3 -'!$D51*100</f>
        <v>0</v>
      </c>
      <c r="G51" s="273">
        <f>E51/'- 7 -'!$F51</f>
        <v>0</v>
      </c>
      <c r="H51" s="273">
        <v>0</v>
      </c>
      <c r="I51" s="273">
        <f>H51/'- 3 -'!$D51*100</f>
        <v>0</v>
      </c>
    </row>
    <row r="52" spans="1:9" ht="50.1" customHeight="1">
      <c r="A52" s="165"/>
      <c r="B52" s="165"/>
      <c r="C52" s="165"/>
      <c r="D52" s="165"/>
      <c r="E52" s="165"/>
      <c r="F52" s="165"/>
      <c r="G52" s="165"/>
      <c r="H52" s="165"/>
      <c r="I52" s="165"/>
    </row>
    <row r="53" spans="1:9" ht="15" customHeight="1">
      <c r="A53" s="654"/>
      <c r="B53" s="654"/>
      <c r="C53" s="654"/>
      <c r="D53" s="654"/>
      <c r="E53" s="654"/>
      <c r="F53" s="654"/>
      <c r="G53" s="654"/>
      <c r="H53" s="654"/>
      <c r="I53" s="654"/>
    </row>
    <row r="54" spans="1:9" ht="12" customHeight="1">
      <c r="A54" s="654"/>
      <c r="B54" s="654"/>
      <c r="C54" s="654"/>
      <c r="D54" s="654"/>
      <c r="E54" s="654"/>
      <c r="F54" s="654"/>
      <c r="G54" s="654"/>
      <c r="H54" s="654"/>
      <c r="I54" s="654"/>
    </row>
    <row r="55" spans="1:9" ht="12" customHeight="1">
      <c r="A55" s="654"/>
      <c r="B55" s="654"/>
      <c r="C55" s="654"/>
      <c r="D55" s="654"/>
      <c r="E55" s="654"/>
      <c r="F55" s="654"/>
      <c r="G55" s="654"/>
      <c r="H55" s="654"/>
      <c r="I55" s="654"/>
    </row>
    <row r="56" spans="1:9" ht="14.45" customHeight="1">
      <c r="C56" s="91"/>
      <c r="D56" s="91"/>
      <c r="E56" s="166"/>
      <c r="F56" s="91"/>
      <c r="G56" s="91"/>
      <c r="H56" s="91"/>
      <c r="I56" s="91"/>
    </row>
    <row r="57" spans="1:9" ht="14.45" customHeight="1">
      <c r="C57" s="91"/>
      <c r="D57" s="91"/>
      <c r="E57" s="166"/>
      <c r="F57" s="91"/>
      <c r="G57" s="91"/>
      <c r="H57" s="91"/>
      <c r="I57" s="91"/>
    </row>
    <row r="58" spans="1:9" ht="14.45" customHeight="1"/>
    <row r="59" spans="1:9" ht="14.45" customHeight="1"/>
  </sheetData>
  <mergeCells count="8">
    <mergeCell ref="A53:I55"/>
    <mergeCell ref="B5:I5"/>
    <mergeCell ref="D8:D9"/>
    <mergeCell ref="G8:G9"/>
    <mergeCell ref="I8:I9"/>
    <mergeCell ref="B6:D7"/>
    <mergeCell ref="E6:G7"/>
    <mergeCell ref="H6:I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dimension ref="A1:J58"/>
  <sheetViews>
    <sheetView showGridLines="0" showZeros="0" workbookViewId="0"/>
  </sheetViews>
  <sheetFormatPr defaultColWidth="15.83203125" defaultRowHeight="12"/>
  <cols>
    <col min="1" max="1" width="30.83203125" style="1" customWidth="1"/>
    <col min="2" max="2" width="15.33203125" style="1" customWidth="1"/>
    <col min="3" max="3" width="8.83203125" style="1" customWidth="1"/>
    <col min="4" max="4" width="8.5" style="1" customWidth="1"/>
    <col min="5" max="5" width="15" style="1" customWidth="1"/>
    <col min="6" max="6" width="7.83203125" style="1" customWidth="1"/>
    <col min="7" max="7" width="8.83203125" style="1" customWidth="1"/>
    <col min="8" max="8" width="14.5" style="1" customWidth="1"/>
    <col min="9" max="9" width="7.83203125" style="1" customWidth="1"/>
    <col min="10" max="10" width="8.83203125" style="1" customWidth="1"/>
    <col min="11" max="16384" width="15.83203125" style="1"/>
  </cols>
  <sheetData>
    <row r="1" spans="1:10" ht="6.95" customHeight="1">
      <c r="A1" s="3"/>
      <c r="B1" s="4"/>
      <c r="C1" s="4"/>
      <c r="D1" s="4"/>
      <c r="E1" s="4"/>
      <c r="F1" s="4"/>
      <c r="G1" s="4"/>
      <c r="H1" s="4"/>
      <c r="I1" s="4"/>
      <c r="J1" s="4"/>
    </row>
    <row r="2" spans="1:10" ht="15.95" customHeight="1">
      <c r="A2" s="133"/>
      <c r="B2" s="5" t="str">
        <f>AEXP_BP</f>
        <v>ANALYSIS OF EXPENSE BY PROGRAM</v>
      </c>
      <c r="C2" s="5"/>
      <c r="D2" s="6"/>
      <c r="E2" s="6"/>
      <c r="F2" s="6"/>
      <c r="G2" s="6"/>
      <c r="H2" s="86"/>
      <c r="I2" s="86"/>
      <c r="J2" s="510" t="s">
        <v>565</v>
      </c>
    </row>
    <row r="3" spans="1:10" ht="15.95" customHeight="1">
      <c r="A3" s="136"/>
      <c r="B3" s="7" t="str">
        <f>OPYEAR</f>
        <v>OPERATING FUND 2015/2016 BUDGET</v>
      </c>
      <c r="C3" s="7"/>
      <c r="D3" s="8"/>
      <c r="E3" s="8"/>
      <c r="F3" s="8"/>
      <c r="G3" s="8"/>
      <c r="H3" s="88"/>
      <c r="I3" s="88"/>
      <c r="J3" s="82"/>
    </row>
    <row r="4" spans="1:10" ht="15.95" customHeight="1">
      <c r="B4" s="4"/>
      <c r="C4" s="4"/>
      <c r="D4" s="4"/>
      <c r="E4" s="4"/>
      <c r="F4" s="4"/>
      <c r="G4" s="4"/>
      <c r="H4" s="4"/>
      <c r="I4" s="4"/>
      <c r="J4" s="4"/>
    </row>
    <row r="5" spans="1:10" ht="15.95" customHeight="1">
      <c r="B5" s="655" t="s">
        <v>246</v>
      </c>
      <c r="C5" s="656"/>
      <c r="D5" s="656"/>
      <c r="E5" s="656"/>
      <c r="F5" s="656"/>
      <c r="G5" s="656"/>
      <c r="H5" s="656"/>
      <c r="I5" s="656"/>
      <c r="J5" s="657"/>
    </row>
    <row r="6" spans="1:10" ht="15.95" customHeight="1">
      <c r="B6" s="607" t="s">
        <v>423</v>
      </c>
      <c r="C6" s="661"/>
      <c r="D6" s="662"/>
      <c r="E6" s="607" t="s">
        <v>424</v>
      </c>
      <c r="F6" s="617"/>
      <c r="G6" s="608"/>
      <c r="H6" s="607" t="s">
        <v>426</v>
      </c>
      <c r="I6" s="617"/>
      <c r="J6" s="608"/>
    </row>
    <row r="7" spans="1:10" ht="15.95" customHeight="1">
      <c r="B7" s="663"/>
      <c r="C7" s="664"/>
      <c r="D7" s="665"/>
      <c r="E7" s="609"/>
      <c r="F7" s="618"/>
      <c r="G7" s="610"/>
      <c r="H7" s="609"/>
      <c r="I7" s="618"/>
      <c r="J7" s="610"/>
    </row>
    <row r="8" spans="1:10" ht="15.95" customHeight="1">
      <c r="A8" s="83"/>
      <c r="B8" s="139"/>
      <c r="C8" s="138"/>
      <c r="D8" s="525" t="s">
        <v>410</v>
      </c>
      <c r="E8" s="139"/>
      <c r="F8" s="138"/>
      <c r="G8" s="525" t="s">
        <v>410</v>
      </c>
      <c r="H8" s="139"/>
      <c r="I8" s="138"/>
      <c r="J8" s="525" t="s">
        <v>410</v>
      </c>
    </row>
    <row r="9" spans="1:10" ht="15.95" customHeight="1">
      <c r="A9" s="28" t="s">
        <v>37</v>
      </c>
      <c r="B9" s="90" t="s">
        <v>38</v>
      </c>
      <c r="C9" s="90" t="s">
        <v>39</v>
      </c>
      <c r="D9" s="565"/>
      <c r="E9" s="90" t="s">
        <v>38</v>
      </c>
      <c r="F9" s="90" t="s">
        <v>39</v>
      </c>
      <c r="G9" s="565"/>
      <c r="H9" s="90" t="s">
        <v>38</v>
      </c>
      <c r="I9" s="90" t="s">
        <v>39</v>
      </c>
      <c r="J9" s="565"/>
    </row>
    <row r="10" spans="1:10" ht="5.0999999999999996" customHeight="1">
      <c r="A10" s="30"/>
    </row>
    <row r="11" spans="1:10" ht="14.1" customHeight="1">
      <c r="A11" s="272" t="s">
        <v>109</v>
      </c>
      <c r="B11" s="273">
        <v>677266</v>
      </c>
      <c r="C11" s="274">
        <f>B11/'- 3 -'!$D11*100</f>
        <v>3.6793177519016824</v>
      </c>
      <c r="D11" s="501">
        <f>B11/'- 7 -'!$F11</f>
        <v>411.21190042501519</v>
      </c>
      <c r="E11" s="273">
        <v>859860</v>
      </c>
      <c r="F11" s="274">
        <f>E11/'- 3 -'!$D11*100</f>
        <v>4.6712785850023195</v>
      </c>
      <c r="G11" s="273">
        <f>E11/'- 7 -'!$F11</f>
        <v>522.07650273224044</v>
      </c>
      <c r="H11" s="273">
        <v>261910</v>
      </c>
      <c r="I11" s="274">
        <f>H11/'- 3 -'!$D11*100</f>
        <v>1.4228532251738162</v>
      </c>
      <c r="J11" s="273">
        <f>H11/'- 7 -'!$F11</f>
        <v>159.02246508803887</v>
      </c>
    </row>
    <row r="12" spans="1:10" ht="14.1" customHeight="1">
      <c r="A12" s="16" t="s">
        <v>110</v>
      </c>
      <c r="B12" s="17">
        <v>2401184</v>
      </c>
      <c r="C12" s="499">
        <f>B12/'- 3 -'!$D12*100</f>
        <v>7.4879824907524579</v>
      </c>
      <c r="D12" s="502">
        <f>B12/'- 7 -'!$F12</f>
        <v>1107.0465652374367</v>
      </c>
      <c r="E12" s="17">
        <v>1270156</v>
      </c>
      <c r="F12" s="268">
        <f>E12/'- 3 -'!$D12*100</f>
        <v>3.9609233980087235</v>
      </c>
      <c r="G12" s="17">
        <f>E12/'- 7 -'!$F12</f>
        <v>585.5952051636699</v>
      </c>
      <c r="H12" s="17">
        <v>589140</v>
      </c>
      <c r="I12" s="268">
        <f>H12/'- 3 -'!$D12*100</f>
        <v>1.8372061468849965</v>
      </c>
      <c r="J12" s="17">
        <f>H12/'- 7 -'!$F12</f>
        <v>271.6182572614108</v>
      </c>
    </row>
    <row r="13" spans="1:10" ht="14.1" customHeight="1">
      <c r="A13" s="272" t="s">
        <v>111</v>
      </c>
      <c r="B13" s="273">
        <v>7831900</v>
      </c>
      <c r="C13" s="500">
        <f>B13/'- 3 -'!$D13*100</f>
        <v>8.4315338223800218</v>
      </c>
      <c r="D13" s="503">
        <f>B13/'- 7 -'!$F13</f>
        <v>958.9103152739516</v>
      </c>
      <c r="E13" s="273">
        <v>4873000</v>
      </c>
      <c r="F13" s="274">
        <f>E13/'- 3 -'!$D13*100</f>
        <v>5.2460915379994439</v>
      </c>
      <c r="G13" s="273">
        <f>E13/'- 7 -'!$F13</f>
        <v>596.63299663299665</v>
      </c>
      <c r="H13" s="273">
        <v>2082000</v>
      </c>
      <c r="I13" s="274">
        <f>H13/'- 3 -'!$D13*100</f>
        <v>2.2414041826625986</v>
      </c>
      <c r="J13" s="273">
        <f>H13/'- 7 -'!$F13</f>
        <v>254.91276400367309</v>
      </c>
    </row>
    <row r="14" spans="1:10" ht="14.1" customHeight="1">
      <c r="A14" s="16" t="s">
        <v>324</v>
      </c>
      <c r="B14" s="17">
        <v>3294680</v>
      </c>
      <c r="C14" s="499">
        <f>B14/'- 3 -'!$D14*100</f>
        <v>3.9727318959915667</v>
      </c>
      <c r="D14" s="502">
        <f>B14/'- 7 -'!$F14</f>
        <v>618.95171895547628</v>
      </c>
      <c r="E14" s="17">
        <v>2782190</v>
      </c>
      <c r="F14" s="268">
        <f>E14/'- 3 -'!$D14*100</f>
        <v>3.3547704037141015</v>
      </c>
      <c r="G14" s="17">
        <f>E14/'- 7 -'!$F14</f>
        <v>522.67330452752208</v>
      </c>
      <c r="H14" s="17">
        <v>1579395</v>
      </c>
      <c r="I14" s="268">
        <f>H14/'- 3 -'!$D14*100</f>
        <v>1.9044377277518911</v>
      </c>
      <c r="J14" s="17">
        <f>H14/'- 7 -'!$F14</f>
        <v>296.71144091677627</v>
      </c>
    </row>
    <row r="15" spans="1:10" ht="14.1" customHeight="1">
      <c r="A15" s="272" t="s">
        <v>112</v>
      </c>
      <c r="B15" s="273">
        <v>1483200</v>
      </c>
      <c r="C15" s="500">
        <f>B15/'- 3 -'!$D15*100</f>
        <v>7.372858822528797</v>
      </c>
      <c r="D15" s="503">
        <f>B15/'- 7 -'!$F15</f>
        <v>1039.7476340694006</v>
      </c>
      <c r="E15" s="273">
        <v>927750</v>
      </c>
      <c r="F15" s="274">
        <f>E15/'- 3 -'!$D15*100</f>
        <v>4.611764949164705</v>
      </c>
      <c r="G15" s="273">
        <f>E15/'- 7 -'!$F15</f>
        <v>650.36803364879074</v>
      </c>
      <c r="H15" s="273">
        <v>555250</v>
      </c>
      <c r="I15" s="274">
        <f>H15/'- 3 -'!$D15*100</f>
        <v>2.7600996906749691</v>
      </c>
      <c r="J15" s="273">
        <f>H15/'- 7 -'!$F15</f>
        <v>389.23939712583245</v>
      </c>
    </row>
    <row r="16" spans="1:10" ht="14.1" customHeight="1">
      <c r="A16" s="16" t="s">
        <v>113</v>
      </c>
      <c r="B16" s="17">
        <v>937984</v>
      </c>
      <c r="C16" s="499">
        <f>B16/'- 3 -'!$D16*100</f>
        <v>6.6676556954373325</v>
      </c>
      <c r="D16" s="502">
        <f>B16/'- 7 -'!$F16</f>
        <v>998.9179978700746</v>
      </c>
      <c r="E16" s="17">
        <v>694077</v>
      </c>
      <c r="F16" s="268">
        <f>E16/'- 3 -'!$D16*100</f>
        <v>4.9338437138821751</v>
      </c>
      <c r="G16" s="17">
        <f>E16/'- 7 -'!$F16</f>
        <v>739.16613418530346</v>
      </c>
      <c r="H16" s="17">
        <v>309920</v>
      </c>
      <c r="I16" s="268">
        <f>H16/'- 3 -'!$D16*100</f>
        <v>2.2030651409085213</v>
      </c>
      <c r="J16" s="17">
        <f>H16/'- 7 -'!$F16</f>
        <v>330.05324813631523</v>
      </c>
    </row>
    <row r="17" spans="1:10" ht="14.1" customHeight="1">
      <c r="A17" s="272" t="s">
        <v>114</v>
      </c>
      <c r="B17" s="273">
        <v>686795</v>
      </c>
      <c r="C17" s="500">
        <f>B17/'- 3 -'!$D17*100</f>
        <v>3.9038713009086456</v>
      </c>
      <c r="D17" s="503">
        <f>B17/'- 7 -'!$F17</f>
        <v>505.55391976444611</v>
      </c>
      <c r="E17" s="273">
        <v>891219</v>
      </c>
      <c r="F17" s="274">
        <f>E17/'- 3 -'!$D17*100</f>
        <v>5.0658555710575968</v>
      </c>
      <c r="G17" s="273">
        <f>E17/'- 7 -'!$F17</f>
        <v>656.0316525579683</v>
      </c>
      <c r="H17" s="273">
        <v>290880</v>
      </c>
      <c r="I17" s="274">
        <f>H17/'- 3 -'!$D17*100</f>
        <v>1.6534163527811163</v>
      </c>
      <c r="J17" s="273">
        <f>H17/'- 7 -'!$F17</f>
        <v>214.11851306588147</v>
      </c>
    </row>
    <row r="18" spans="1:10" ht="14.1" customHeight="1">
      <c r="A18" s="16" t="s">
        <v>115</v>
      </c>
      <c r="B18" s="17">
        <v>10076403</v>
      </c>
      <c r="C18" s="499">
        <f>B18/'- 3 -'!$D18*100</f>
        <v>7.871580964663039</v>
      </c>
      <c r="D18" s="502">
        <f>B18/'- 7 -'!$F18</f>
        <v>1609.2377347642773</v>
      </c>
      <c r="E18" s="17">
        <v>3499928</v>
      </c>
      <c r="F18" s="268">
        <f>E18/'- 3 -'!$D18*100</f>
        <v>2.7341072625312006</v>
      </c>
      <c r="G18" s="17">
        <f>E18/'- 7 -'!$F18</f>
        <v>558.95106681998209</v>
      </c>
      <c r="H18" s="17">
        <v>1558242</v>
      </c>
      <c r="I18" s="268">
        <f>H18/'- 3 -'!$D18*100</f>
        <v>1.2172824038040619</v>
      </c>
      <c r="J18" s="17">
        <f>H18/'- 7 -'!$F18</f>
        <v>248.85684170180144</v>
      </c>
    </row>
    <row r="19" spans="1:10" ht="14.1" customHeight="1">
      <c r="A19" s="272" t="s">
        <v>116</v>
      </c>
      <c r="B19" s="273">
        <v>2563550</v>
      </c>
      <c r="C19" s="500">
        <f>B19/'- 3 -'!$D19*100</f>
        <v>5.703949543670686</v>
      </c>
      <c r="D19" s="503">
        <f>B19/'- 7 -'!$F19</f>
        <v>610.65983801810387</v>
      </c>
      <c r="E19" s="273">
        <v>2562800</v>
      </c>
      <c r="F19" s="274">
        <f>E19/'- 3 -'!$D19*100</f>
        <v>5.7022807788103353</v>
      </c>
      <c r="G19" s="273">
        <f>E19/'- 7 -'!$F19</f>
        <v>610.48118151500717</v>
      </c>
      <c r="H19" s="273">
        <v>822800</v>
      </c>
      <c r="I19" s="274">
        <f>H19/'- 3 -'!$D19*100</f>
        <v>1.8307463027958264</v>
      </c>
      <c r="J19" s="273">
        <f>H19/'- 7 -'!$F19</f>
        <v>195.99809433063365</v>
      </c>
    </row>
    <row r="20" spans="1:10" ht="14.1" customHeight="1">
      <c r="A20" s="16" t="s">
        <v>117</v>
      </c>
      <c r="B20" s="17">
        <v>4391500</v>
      </c>
      <c r="C20" s="499">
        <f>B20/'- 3 -'!$D20*100</f>
        <v>5.5739032426751693</v>
      </c>
      <c r="D20" s="502">
        <f>B20/'- 7 -'!$F20</f>
        <v>587.80618391112296</v>
      </c>
      <c r="E20" s="17">
        <v>3701000</v>
      </c>
      <c r="F20" s="268">
        <f>E20/'- 3 -'!$D20*100</f>
        <v>4.6974873963658892</v>
      </c>
      <c r="G20" s="17">
        <f>E20/'- 7 -'!$F20</f>
        <v>495.38214429125952</v>
      </c>
      <c r="H20" s="17">
        <v>1238300</v>
      </c>
      <c r="I20" s="268">
        <f>H20/'- 3 -'!$D20*100</f>
        <v>1.5717099818751363</v>
      </c>
      <c r="J20" s="17">
        <f>H20/'- 7 -'!$F20</f>
        <v>165.74755722125553</v>
      </c>
    </row>
    <row r="21" spans="1:10" ht="14.1" customHeight="1">
      <c r="A21" s="272" t="s">
        <v>118</v>
      </c>
      <c r="B21" s="273">
        <v>1913000</v>
      </c>
      <c r="C21" s="500">
        <f>B21/'- 3 -'!$D21*100</f>
        <v>5.3881278615979511</v>
      </c>
      <c r="D21" s="503">
        <f>B21/'- 7 -'!$F21</f>
        <v>709.30663700407865</v>
      </c>
      <c r="E21" s="273">
        <v>2088000</v>
      </c>
      <c r="F21" s="274">
        <f>E21/'- 3 -'!$D21*100</f>
        <v>5.8810303058110405</v>
      </c>
      <c r="G21" s="273">
        <f>E21/'- 7 -'!$F21</f>
        <v>774.19354838709683</v>
      </c>
      <c r="H21" s="273">
        <v>958000</v>
      </c>
      <c r="I21" s="274">
        <f>H21/'- 3 -'!$D21*100</f>
        <v>2.6982888088922303</v>
      </c>
      <c r="J21" s="273">
        <f>H21/'- 7 -'!$F21</f>
        <v>355.20949202817945</v>
      </c>
    </row>
    <row r="22" spans="1:10" ht="14.1" customHeight="1">
      <c r="A22" s="16" t="s">
        <v>119</v>
      </c>
      <c r="B22" s="17">
        <v>1123800</v>
      </c>
      <c r="C22" s="499">
        <f>B22/'- 3 -'!$D22*100</f>
        <v>5.447393750737092</v>
      </c>
      <c r="D22" s="502">
        <f>B22/'- 7 -'!$F22</f>
        <v>716.61777834459883</v>
      </c>
      <c r="E22" s="17">
        <v>1342271</v>
      </c>
      <c r="F22" s="268">
        <f>E22/'- 3 -'!$D22*100</f>
        <v>6.5063878423168076</v>
      </c>
      <c r="G22" s="17">
        <f>E22/'- 7 -'!$F22</f>
        <v>855.93100369850777</v>
      </c>
      <c r="H22" s="17">
        <v>609130</v>
      </c>
      <c r="I22" s="268">
        <f>H22/'- 3 -'!$D22*100</f>
        <v>2.9526347707656924</v>
      </c>
      <c r="J22" s="17">
        <f>H22/'- 7 -'!$F22</f>
        <v>388.42622114526205</v>
      </c>
    </row>
    <row r="23" spans="1:10" ht="14.1" customHeight="1">
      <c r="A23" s="272" t="s">
        <v>120</v>
      </c>
      <c r="B23" s="273">
        <v>1385000</v>
      </c>
      <c r="C23" s="500">
        <f>B23/'- 3 -'!$D23*100</f>
        <v>8.3938381591640194</v>
      </c>
      <c r="D23" s="503">
        <f>B23/'- 7 -'!$F23</f>
        <v>1243.2675044883304</v>
      </c>
      <c r="E23" s="273">
        <v>603000</v>
      </c>
      <c r="F23" s="274">
        <f>E23/'- 3 -'!$D23*100</f>
        <v>3.6545013790439742</v>
      </c>
      <c r="G23" s="273">
        <f>E23/'- 7 -'!$F23</f>
        <v>541.29263913824059</v>
      </c>
      <c r="H23" s="273">
        <v>322000</v>
      </c>
      <c r="I23" s="274">
        <f>H23/'- 3 -'!$D23*100</f>
        <v>1.9514916153435484</v>
      </c>
      <c r="J23" s="273">
        <f>H23/'- 7 -'!$F23</f>
        <v>289.048473967684</v>
      </c>
    </row>
    <row r="24" spans="1:10" ht="14.1" customHeight="1">
      <c r="A24" s="16" t="s">
        <v>121</v>
      </c>
      <c r="B24" s="17">
        <v>3760020</v>
      </c>
      <c r="C24" s="499">
        <f>B24/'- 3 -'!$D24*100</f>
        <v>6.7254550591295832</v>
      </c>
      <c r="D24" s="502">
        <f>B24/'- 7 -'!$F24</f>
        <v>945.798012828575</v>
      </c>
      <c r="E24" s="17">
        <v>2502445</v>
      </c>
      <c r="F24" s="268">
        <f>E24/'- 3 -'!$D24*100</f>
        <v>4.4760616660133525</v>
      </c>
      <c r="G24" s="17">
        <f>E24/'- 7 -'!$F24</f>
        <v>629.4667337441831</v>
      </c>
      <c r="H24" s="17">
        <v>1167390</v>
      </c>
      <c r="I24" s="268">
        <f>H24/'- 3 -'!$D24*100</f>
        <v>2.088081707405089</v>
      </c>
      <c r="J24" s="17">
        <f>H24/'- 7 -'!$F24</f>
        <v>293.64608225380454</v>
      </c>
    </row>
    <row r="25" spans="1:10" ht="14.1" customHeight="1">
      <c r="A25" s="272" t="s">
        <v>122</v>
      </c>
      <c r="B25" s="273">
        <v>9325707</v>
      </c>
      <c r="C25" s="500">
        <f>B25/'- 3 -'!$D25*100</f>
        <v>5.57950035063529</v>
      </c>
      <c r="D25" s="503">
        <f>B25/'- 7 -'!$F25</f>
        <v>666.81255586142788</v>
      </c>
      <c r="E25" s="273">
        <v>6773505</v>
      </c>
      <c r="F25" s="274">
        <f>E25/'- 3 -'!$D25*100</f>
        <v>4.052537091560982</v>
      </c>
      <c r="G25" s="273">
        <f>E25/'- 7 -'!$F25</f>
        <v>484.32340638518468</v>
      </c>
      <c r="H25" s="273">
        <v>2771361</v>
      </c>
      <c r="I25" s="274">
        <f>H25/'- 3 -'!$D25*100</f>
        <v>1.6580844402721389</v>
      </c>
      <c r="J25" s="273">
        <f>H25/'- 7 -'!$F25</f>
        <v>198.15959386507456</v>
      </c>
    </row>
    <row r="26" spans="1:10" ht="14.1" customHeight="1">
      <c r="A26" s="16" t="s">
        <v>123</v>
      </c>
      <c r="B26" s="17">
        <v>1029597</v>
      </c>
      <c r="C26" s="499">
        <f>B26/'- 3 -'!$D26*100</f>
        <v>2.5812800343249069</v>
      </c>
      <c r="D26" s="502">
        <f>B26/'- 7 -'!$F26</f>
        <v>331.32646822204345</v>
      </c>
      <c r="E26" s="17">
        <v>2252819</v>
      </c>
      <c r="F26" s="268">
        <f>E26/'- 3 -'!$D26*100</f>
        <v>5.6479930551932478</v>
      </c>
      <c r="G26" s="17">
        <f>E26/'- 7 -'!$F26</f>
        <v>724.96186645213197</v>
      </c>
      <c r="H26" s="17">
        <v>1069335</v>
      </c>
      <c r="I26" s="268">
        <f>H26/'- 3 -'!$D26*100</f>
        <v>2.6809063016935988</v>
      </c>
      <c r="J26" s="17">
        <f>H26/'- 7 -'!$F26</f>
        <v>344.11423974255831</v>
      </c>
    </row>
    <row r="27" spans="1:10" ht="14.1" customHeight="1">
      <c r="A27" s="272" t="s">
        <v>124</v>
      </c>
      <c r="B27" s="273">
        <v>2367621</v>
      </c>
      <c r="C27" s="500">
        <f>B27/'- 3 -'!$D27*100</f>
        <v>5.5162801980810707</v>
      </c>
      <c r="D27" s="503">
        <f>B27/'- 7 -'!$F27</f>
        <v>827.73614683481094</v>
      </c>
      <c r="E27" s="273">
        <v>2725192</v>
      </c>
      <c r="F27" s="274">
        <f>E27/'- 3 -'!$D27*100</f>
        <v>6.3493788345216364</v>
      </c>
      <c r="G27" s="273">
        <f>E27/'- 7 -'!$F27</f>
        <v>952.74536146834816</v>
      </c>
      <c r="H27" s="273">
        <v>1005429</v>
      </c>
      <c r="I27" s="274">
        <f>H27/'- 3 -'!$D27*100</f>
        <v>2.3425320535999861</v>
      </c>
      <c r="J27" s="273">
        <f>H27/'- 7 -'!$F27</f>
        <v>351.50470720439506</v>
      </c>
    </row>
    <row r="28" spans="1:10" ht="14.1" customHeight="1">
      <c r="A28" s="16" t="s">
        <v>125</v>
      </c>
      <c r="B28" s="17">
        <v>1252338</v>
      </c>
      <c r="C28" s="499">
        <f>B28/'- 3 -'!$D28*100</f>
        <v>4.4712537774931986</v>
      </c>
      <c r="D28" s="502">
        <f>B28/'- 7 -'!$F28</f>
        <v>635.54326313118497</v>
      </c>
      <c r="E28" s="17">
        <v>1512260</v>
      </c>
      <c r="F28" s="268">
        <f>E28/'- 3 -'!$D28*100</f>
        <v>5.3992598144844806</v>
      </c>
      <c r="G28" s="17">
        <f>E28/'- 7 -'!$F28</f>
        <v>767.44988581578275</v>
      </c>
      <c r="H28" s="17">
        <v>485349</v>
      </c>
      <c r="I28" s="268">
        <f>H28/'- 3 -'!$D28*100</f>
        <v>1.7328537101425865</v>
      </c>
      <c r="J28" s="17">
        <f>H28/'- 7 -'!$F28</f>
        <v>246.30753615833544</v>
      </c>
    </row>
    <row r="29" spans="1:10" ht="14.1" customHeight="1">
      <c r="A29" s="272" t="s">
        <v>126</v>
      </c>
      <c r="B29" s="273">
        <v>11947800</v>
      </c>
      <c r="C29" s="500">
        <f>B29/'- 3 -'!$D29*100</f>
        <v>7.7172192497203929</v>
      </c>
      <c r="D29" s="503">
        <f>B29/'- 7 -'!$F29</f>
        <v>967.90343486714198</v>
      </c>
      <c r="E29" s="273">
        <v>10174679</v>
      </c>
      <c r="F29" s="274">
        <f>E29/'- 3 -'!$D29*100</f>
        <v>6.5719403269661223</v>
      </c>
      <c r="G29" s="273">
        <f>E29/'- 7 -'!$F29</f>
        <v>824.26109850939724</v>
      </c>
      <c r="H29" s="273">
        <v>3056064</v>
      </c>
      <c r="I29" s="274">
        <f>H29/'- 3 -'!$D29*100</f>
        <v>1.9739463272884969</v>
      </c>
      <c r="J29" s="273">
        <f>H29/'- 7 -'!$F29</f>
        <v>247.5748541801685</v>
      </c>
    </row>
    <row r="30" spans="1:10" ht="14.1" customHeight="1">
      <c r="A30" s="16" t="s">
        <v>127</v>
      </c>
      <c r="B30" s="17">
        <v>411085</v>
      </c>
      <c r="C30" s="499">
        <f>B30/'- 3 -'!$D30*100</f>
        <v>2.9379072689451013</v>
      </c>
      <c r="D30" s="502">
        <f>B30/'- 7 -'!$F30</f>
        <v>400.66764132553607</v>
      </c>
      <c r="E30" s="17">
        <v>591602</v>
      </c>
      <c r="F30" s="268">
        <f>E30/'- 3 -'!$D30*100</f>
        <v>4.2280107912535358</v>
      </c>
      <c r="G30" s="17">
        <f>E30/'- 7 -'!$F30</f>
        <v>576.6101364522417</v>
      </c>
      <c r="H30" s="17">
        <v>220792</v>
      </c>
      <c r="I30" s="268">
        <f>H30/'- 3 -'!$D30*100</f>
        <v>1.5779374623859466</v>
      </c>
      <c r="J30" s="17">
        <f>H30/'- 7 -'!$F30</f>
        <v>215.19688109161794</v>
      </c>
    </row>
    <row r="31" spans="1:10" ht="14.1" customHeight="1">
      <c r="A31" s="272" t="s">
        <v>128</v>
      </c>
      <c r="B31" s="273">
        <v>2202302</v>
      </c>
      <c r="C31" s="500">
        <f>B31/'- 3 -'!$D31*100</f>
        <v>6.0821038255025748</v>
      </c>
      <c r="D31" s="503">
        <f>B31/'- 7 -'!$F31</f>
        <v>689.94423558897245</v>
      </c>
      <c r="E31" s="273">
        <v>1034744</v>
      </c>
      <c r="F31" s="274">
        <f>E31/'- 3 -'!$D31*100</f>
        <v>2.8576555081073516</v>
      </c>
      <c r="G31" s="273">
        <f>E31/'- 7 -'!$F31</f>
        <v>324.16791979949875</v>
      </c>
      <c r="H31" s="273">
        <v>957333</v>
      </c>
      <c r="I31" s="274">
        <f>H31/'- 3 -'!$D31*100</f>
        <v>2.6438693247247005</v>
      </c>
      <c r="J31" s="273">
        <f>H31/'- 7 -'!$F31</f>
        <v>299.91635338345867</v>
      </c>
    </row>
    <row r="32" spans="1:10" ht="14.1" customHeight="1">
      <c r="A32" s="16" t="s">
        <v>129</v>
      </c>
      <c r="B32" s="17">
        <v>1039615</v>
      </c>
      <c r="C32" s="499">
        <f>B32/'- 3 -'!$D32*100</f>
        <v>3.6152207360171635</v>
      </c>
      <c r="D32" s="502">
        <f>B32/'- 7 -'!$F32</f>
        <v>490.85908543638902</v>
      </c>
      <c r="E32" s="17">
        <v>2065521</v>
      </c>
      <c r="F32" s="268">
        <f>E32/'- 3 -'!$D32*100</f>
        <v>7.1827689576226854</v>
      </c>
      <c r="G32" s="17">
        <f>E32/'- 7 -'!$F32</f>
        <v>975.24540239382429</v>
      </c>
      <c r="H32" s="17">
        <v>330365</v>
      </c>
      <c r="I32" s="268">
        <f>H32/'- 3 -'!$D32*100</f>
        <v>1.148831440922178</v>
      </c>
      <c r="J32" s="17">
        <f>H32/'- 7 -'!$F32</f>
        <v>155.98338015533889</v>
      </c>
    </row>
    <row r="33" spans="1:10" ht="14.1" customHeight="1">
      <c r="A33" s="272" t="s">
        <v>130</v>
      </c>
      <c r="B33" s="273">
        <v>1573200</v>
      </c>
      <c r="C33" s="500">
        <f>B33/'- 3 -'!$D33*100</f>
        <v>5.7681731185240048</v>
      </c>
      <c r="D33" s="503">
        <f>B33/'- 7 -'!$F33</f>
        <v>795.54993678887479</v>
      </c>
      <c r="E33" s="273">
        <v>1046300</v>
      </c>
      <c r="F33" s="274">
        <f>E33/'- 3 -'!$D33*100</f>
        <v>3.8362824395573774</v>
      </c>
      <c r="G33" s="273">
        <f>E33/'- 7 -'!$F33</f>
        <v>529.102402022756</v>
      </c>
      <c r="H33" s="273">
        <v>377100</v>
      </c>
      <c r="I33" s="274">
        <f>H33/'- 3 -'!$D33*100</f>
        <v>1.3826456159391063</v>
      </c>
      <c r="J33" s="273">
        <f>H33/'- 7 -'!$F33</f>
        <v>190.69532237673832</v>
      </c>
    </row>
    <row r="34" spans="1:10" ht="14.1" customHeight="1">
      <c r="A34" s="16" t="s">
        <v>131</v>
      </c>
      <c r="B34" s="17">
        <v>1220003</v>
      </c>
      <c r="C34" s="499">
        <f>B34/'- 3 -'!$D34*100</f>
        <v>4.4092015183373361</v>
      </c>
      <c r="D34" s="502">
        <f>B34/'- 7 -'!$F34</f>
        <v>617.78559854162449</v>
      </c>
      <c r="E34" s="17">
        <v>1452298</v>
      </c>
      <c r="F34" s="268">
        <f>E34/'- 3 -'!$D34*100</f>
        <v>5.248736721695173</v>
      </c>
      <c r="G34" s="17">
        <f>E34/'- 7 -'!$F34</f>
        <v>735.41523192221996</v>
      </c>
      <c r="H34" s="17">
        <v>598205</v>
      </c>
      <c r="I34" s="268">
        <f>H34/'- 3 -'!$D34*100</f>
        <v>2.1619671380127641</v>
      </c>
      <c r="J34" s="17">
        <f>H34/'- 7 -'!$F34</f>
        <v>302.91928296536361</v>
      </c>
    </row>
    <row r="35" spans="1:10" ht="14.1" customHeight="1">
      <c r="A35" s="272" t="s">
        <v>132</v>
      </c>
      <c r="B35" s="273">
        <v>14731462</v>
      </c>
      <c r="C35" s="500">
        <f>B35/'- 3 -'!$D35*100</f>
        <v>8.3611713409489514</v>
      </c>
      <c r="D35" s="503">
        <f>B35/'- 7 -'!$F35</f>
        <v>943.05499007745982</v>
      </c>
      <c r="E35" s="273">
        <v>9192508</v>
      </c>
      <c r="F35" s="274">
        <f>E35/'- 3 -'!$D35*100</f>
        <v>5.2174138887941988</v>
      </c>
      <c r="G35" s="273">
        <f>E35/'- 7 -'!$F35</f>
        <v>588.47116061711802</v>
      </c>
      <c r="H35" s="273">
        <v>2898992</v>
      </c>
      <c r="I35" s="274">
        <f>H35/'- 3 -'!$D35*100</f>
        <v>1.6453878663258463</v>
      </c>
      <c r="J35" s="273">
        <f>H35/'- 7 -'!$F35</f>
        <v>185.58299724729531</v>
      </c>
    </row>
    <row r="36" spans="1:10" ht="14.1" customHeight="1">
      <c r="A36" s="16" t="s">
        <v>133</v>
      </c>
      <c r="B36" s="17">
        <v>725950</v>
      </c>
      <c r="C36" s="499">
        <f>B36/'- 3 -'!$D36*100</f>
        <v>3.1559503325279166</v>
      </c>
      <c r="D36" s="502">
        <f>B36/'- 7 -'!$F36</f>
        <v>432.7570789865872</v>
      </c>
      <c r="E36" s="17">
        <v>1354960</v>
      </c>
      <c r="F36" s="268">
        <f>E36/'- 3 -'!$D36*100</f>
        <v>5.8904696777491914</v>
      </c>
      <c r="G36" s="17">
        <f>E36/'- 7 -'!$F36</f>
        <v>807.72578241430699</v>
      </c>
      <c r="H36" s="17">
        <v>551825</v>
      </c>
      <c r="I36" s="268">
        <f>H36/'- 3 -'!$D36*100</f>
        <v>2.3989700285794031</v>
      </c>
      <c r="J36" s="17">
        <f>H36/'- 7 -'!$F36</f>
        <v>328.95678092399402</v>
      </c>
    </row>
    <row r="37" spans="1:10" ht="14.1" customHeight="1">
      <c r="A37" s="272" t="s">
        <v>134</v>
      </c>
      <c r="B37" s="273">
        <v>3603470</v>
      </c>
      <c r="C37" s="500">
        <f>B37/'- 3 -'!$D37*100</f>
        <v>7.7043316514153766</v>
      </c>
      <c r="D37" s="503">
        <f>B37/'- 7 -'!$F37</f>
        <v>912.6174496644295</v>
      </c>
      <c r="E37" s="273">
        <v>2171934</v>
      </c>
      <c r="F37" s="274">
        <f>E37/'- 3 -'!$D37*100</f>
        <v>4.6436628752244937</v>
      </c>
      <c r="G37" s="273">
        <f>E37/'- 7 -'!$F37</f>
        <v>550.06559452956822</v>
      </c>
      <c r="H37" s="273">
        <v>1112448</v>
      </c>
      <c r="I37" s="274">
        <f>H37/'- 3 -'!$D37*100</f>
        <v>2.3784486444881554</v>
      </c>
      <c r="J37" s="273">
        <f>H37/'- 7 -'!$F37</f>
        <v>281.7393947068507</v>
      </c>
    </row>
    <row r="38" spans="1:10" ht="14.1" customHeight="1">
      <c r="A38" s="16" t="s">
        <v>135</v>
      </c>
      <c r="B38" s="17">
        <v>11378730</v>
      </c>
      <c r="C38" s="499">
        <f>B38/'- 3 -'!$D38*100</f>
        <v>8.8095660391818758</v>
      </c>
      <c r="D38" s="502">
        <f>B38/'- 7 -'!$F38</f>
        <v>1057.9944211994421</v>
      </c>
      <c r="E38" s="17">
        <v>4818410</v>
      </c>
      <c r="F38" s="268">
        <f>E38/'- 3 -'!$D38*100</f>
        <v>3.7304779266978247</v>
      </c>
      <c r="G38" s="17">
        <f>E38/'- 7 -'!$F38</f>
        <v>448.01580660158066</v>
      </c>
      <c r="H38" s="17">
        <v>2626340</v>
      </c>
      <c r="I38" s="268">
        <f>H38/'- 3 -'!$D38*100</f>
        <v>2.0333478051895884</v>
      </c>
      <c r="J38" s="17">
        <f>H38/'- 7 -'!$F38</f>
        <v>244.19711761971178</v>
      </c>
    </row>
    <row r="39" spans="1:10" ht="14.1" customHeight="1">
      <c r="A39" s="272" t="s">
        <v>136</v>
      </c>
      <c r="B39" s="273">
        <v>1362900</v>
      </c>
      <c r="C39" s="500">
        <f>B39/'- 3 -'!$D39*100</f>
        <v>6.2145390758124526</v>
      </c>
      <c r="D39" s="503">
        <f>B39/'- 7 -'!$F39</f>
        <v>877.02702702702697</v>
      </c>
      <c r="E39" s="273">
        <v>656600</v>
      </c>
      <c r="F39" s="274">
        <f>E39/'- 3 -'!$D39*100</f>
        <v>2.9939587329800106</v>
      </c>
      <c r="G39" s="273">
        <f>E39/'- 7 -'!$F39</f>
        <v>422.52252252252254</v>
      </c>
      <c r="H39" s="273">
        <v>281500</v>
      </c>
      <c r="I39" s="274">
        <f>H39/'- 3 -'!$D39*100</f>
        <v>1.2835811503714176</v>
      </c>
      <c r="J39" s="273">
        <f>H39/'- 7 -'!$F39</f>
        <v>181.14543114543113</v>
      </c>
    </row>
    <row r="40" spans="1:10" ht="14.1" customHeight="1">
      <c r="A40" s="16" t="s">
        <v>137</v>
      </c>
      <c r="B40" s="17">
        <v>10113799</v>
      </c>
      <c r="C40" s="499">
        <f>B40/'- 3 -'!$D40*100</f>
        <v>9.9097934161880641</v>
      </c>
      <c r="D40" s="502">
        <f>B40/'- 7 -'!$F40</f>
        <v>1289.3083693252222</v>
      </c>
      <c r="E40" s="17">
        <v>5707203</v>
      </c>
      <c r="F40" s="268">
        <f>E40/'- 3 -'!$D40*100</f>
        <v>5.5920829269247658</v>
      </c>
      <c r="G40" s="17">
        <f>E40/'- 7 -'!$F40</f>
        <v>727.55495668225331</v>
      </c>
      <c r="H40" s="17">
        <v>2496988</v>
      </c>
      <c r="I40" s="268">
        <f>H40/'- 3 -'!$D40*100</f>
        <v>2.4466212194547867</v>
      </c>
      <c r="J40" s="17">
        <f>H40/'- 7 -'!$F40</f>
        <v>318.31634448189527</v>
      </c>
    </row>
    <row r="41" spans="1:10" ht="14.1" customHeight="1">
      <c r="A41" s="272" t="s">
        <v>138</v>
      </c>
      <c r="B41" s="273">
        <v>5585459</v>
      </c>
      <c r="C41" s="500">
        <f>B41/'- 3 -'!$D41*100</f>
        <v>8.9732412783888584</v>
      </c>
      <c r="D41" s="503">
        <f>B41/'- 7 -'!$F41</f>
        <v>1282.3921478590289</v>
      </c>
      <c r="E41" s="273">
        <v>3127323</v>
      </c>
      <c r="F41" s="274">
        <f>E41/'- 3 -'!$D41*100</f>
        <v>5.024157161381881</v>
      </c>
      <c r="G41" s="273">
        <f>E41/'- 7 -'!$F41</f>
        <v>718.01699001262773</v>
      </c>
      <c r="H41" s="273">
        <v>1047507</v>
      </c>
      <c r="I41" s="274">
        <f>H41/'- 3 -'!$D41*100</f>
        <v>1.6828577654587167</v>
      </c>
      <c r="J41" s="273">
        <f>H41/'- 7 -'!$F41</f>
        <v>240.50212375157847</v>
      </c>
    </row>
    <row r="42" spans="1:10" ht="14.1" customHeight="1">
      <c r="A42" s="16" t="s">
        <v>139</v>
      </c>
      <c r="B42" s="17">
        <v>1756005</v>
      </c>
      <c r="C42" s="499">
        <f>B42/'- 3 -'!$D42*100</f>
        <v>8.5186134569841805</v>
      </c>
      <c r="D42" s="502">
        <f>B42/'- 7 -'!$F42</f>
        <v>1278.9548434085943</v>
      </c>
      <c r="E42" s="17">
        <v>836473</v>
      </c>
      <c r="F42" s="268">
        <f>E42/'- 3 -'!$D42*100</f>
        <v>4.0578416087675881</v>
      </c>
      <c r="G42" s="17">
        <f>E42/'- 7 -'!$F42</f>
        <v>609.23015294974505</v>
      </c>
      <c r="H42" s="17">
        <v>254848</v>
      </c>
      <c r="I42" s="268">
        <f>H42/'- 3 -'!$D42*100</f>
        <v>1.2363014924704112</v>
      </c>
      <c r="J42" s="17">
        <f>H42/'- 7 -'!$F42</f>
        <v>185.61398397669336</v>
      </c>
    </row>
    <row r="43" spans="1:10" ht="14.1" customHeight="1">
      <c r="A43" s="272" t="s">
        <v>140</v>
      </c>
      <c r="B43" s="273">
        <v>559503</v>
      </c>
      <c r="C43" s="500">
        <f>B43/'- 3 -'!$D43*100</f>
        <v>4.3594223558706338</v>
      </c>
      <c r="D43" s="503">
        <f>B43/'- 7 -'!$F43</f>
        <v>597.12166488794026</v>
      </c>
      <c r="E43" s="273">
        <v>1217123</v>
      </c>
      <c r="F43" s="274">
        <f>E43/'- 3 -'!$D43*100</f>
        <v>9.4833329151842509</v>
      </c>
      <c r="G43" s="273">
        <f>E43/'- 7 -'!$F43</f>
        <v>1298.957310565635</v>
      </c>
      <c r="H43" s="273">
        <v>200515</v>
      </c>
      <c r="I43" s="274">
        <f>H43/'- 3 -'!$D43*100</f>
        <v>1.5623322371594079</v>
      </c>
      <c r="J43" s="273">
        <f>H43/'- 7 -'!$F43</f>
        <v>213.99679829242262</v>
      </c>
    </row>
    <row r="44" spans="1:10" ht="14.1" customHeight="1">
      <c r="A44" s="16" t="s">
        <v>141</v>
      </c>
      <c r="B44" s="17">
        <v>706010</v>
      </c>
      <c r="C44" s="499">
        <f>B44/'- 3 -'!$D44*100</f>
        <v>6.4316417717373424</v>
      </c>
      <c r="D44" s="502">
        <f>B44/'- 7 -'!$F44</f>
        <v>994.38028169014081</v>
      </c>
      <c r="E44" s="17">
        <v>722223</v>
      </c>
      <c r="F44" s="268">
        <f>E44/'- 3 -'!$D44*100</f>
        <v>6.5793396910942601</v>
      </c>
      <c r="G44" s="17">
        <f>E44/'- 7 -'!$F44</f>
        <v>1017.2154929577465</v>
      </c>
      <c r="H44" s="17">
        <v>72180</v>
      </c>
      <c r="I44" s="268">
        <f>H44/'- 3 -'!$D44*100</f>
        <v>0.65754862265973768</v>
      </c>
      <c r="J44" s="17">
        <f>H44/'- 7 -'!$F44</f>
        <v>101.66197183098592</v>
      </c>
    </row>
    <row r="45" spans="1:10" ht="14.1" customHeight="1">
      <c r="A45" s="272" t="s">
        <v>142</v>
      </c>
      <c r="B45" s="273">
        <v>724003</v>
      </c>
      <c r="C45" s="500">
        <f>B45/'- 3 -'!$D45*100</f>
        <v>3.9534756476738258</v>
      </c>
      <c r="D45" s="503">
        <f>B45/'- 7 -'!$F45</f>
        <v>429.67537091988129</v>
      </c>
      <c r="E45" s="273">
        <v>926261</v>
      </c>
      <c r="F45" s="274">
        <f>E45/'- 3 -'!$D45*100</f>
        <v>5.0579214545934281</v>
      </c>
      <c r="G45" s="273">
        <f>E45/'- 7 -'!$F45</f>
        <v>549.70979228486647</v>
      </c>
      <c r="H45" s="273">
        <v>468662</v>
      </c>
      <c r="I45" s="274">
        <f>H45/'- 3 -'!$D45*100</f>
        <v>2.559165920569543</v>
      </c>
      <c r="J45" s="273">
        <f>H45/'- 7 -'!$F45</f>
        <v>278.13768545994066</v>
      </c>
    </row>
    <row r="46" spans="1:10" ht="14.1" customHeight="1">
      <c r="A46" s="16" t="s">
        <v>143</v>
      </c>
      <c r="B46" s="17">
        <v>19696100</v>
      </c>
      <c r="C46" s="499">
        <f>B46/'- 3 -'!$D46*100</f>
        <v>5.1431152821243966</v>
      </c>
      <c r="D46" s="502">
        <f>B46/'- 7 -'!$F46</f>
        <v>651.84339422822347</v>
      </c>
      <c r="E46" s="17">
        <v>20047700</v>
      </c>
      <c r="F46" s="268">
        <f>E46/'- 3 -'!$D46*100</f>
        <v>5.2349263174661615</v>
      </c>
      <c r="G46" s="17">
        <f>E46/'- 7 -'!$F46</f>
        <v>663.47961344982787</v>
      </c>
      <c r="H46" s="17">
        <v>5729100</v>
      </c>
      <c r="I46" s="268">
        <f>H46/'- 3 -'!$D46*100</f>
        <v>1.4960028514690158</v>
      </c>
      <c r="J46" s="17">
        <f>H46/'- 7 -'!$F46</f>
        <v>189.60484511517078</v>
      </c>
    </row>
    <row r="47" spans="1:10" ht="5.0999999999999996" customHeight="1">
      <c r="A47"/>
      <c r="B47"/>
      <c r="C47" s="507"/>
      <c r="D47" s="504"/>
      <c r="E47"/>
      <c r="F47"/>
      <c r="G47"/>
      <c r="H47"/>
      <c r="I47"/>
      <c r="J47"/>
    </row>
    <row r="48" spans="1:10" ht="14.1" customHeight="1">
      <c r="A48" s="275" t="s">
        <v>144</v>
      </c>
      <c r="B48" s="276">
        <f>SUM(B11:B46)</f>
        <v>145838941</v>
      </c>
      <c r="C48" s="508">
        <f>B48/'- 3 -'!$D48*100</f>
        <v>6.533723070892786</v>
      </c>
      <c r="D48" s="505">
        <f>B48/'- 7 -'!$F48</f>
        <v>840.33406517922583</v>
      </c>
      <c r="E48" s="276">
        <f>SUM(E11:E46)</f>
        <v>109005334</v>
      </c>
      <c r="F48" s="277">
        <f>E48/'- 3 -'!$D48*100</f>
        <v>4.8835424936757725</v>
      </c>
      <c r="G48" s="276">
        <f>E48/'- 7 -'!$F48</f>
        <v>628.0962740016007</v>
      </c>
      <c r="H48" s="276">
        <f>SUM(H11:H46)</f>
        <v>40956595</v>
      </c>
      <c r="I48" s="277">
        <f>H48/'- 3 -'!$D48*100</f>
        <v>1.8348943555254706</v>
      </c>
      <c r="J48" s="276">
        <f>H48/'- 7 -'!$F48</f>
        <v>235.99473320537317</v>
      </c>
    </row>
    <row r="49" spans="1:10" ht="5.0999999999999996" customHeight="1">
      <c r="A49" s="18" t="s">
        <v>1</v>
      </c>
      <c r="B49" s="19"/>
      <c r="C49" s="509"/>
      <c r="D49" s="506"/>
      <c r="E49" s="19"/>
      <c r="F49" s="267"/>
      <c r="H49" s="19"/>
      <c r="I49" s="267"/>
      <c r="J49" s="19"/>
    </row>
    <row r="50" spans="1:10" ht="14.1" customHeight="1">
      <c r="A50" s="16" t="s">
        <v>145</v>
      </c>
      <c r="B50" s="17">
        <v>176149</v>
      </c>
      <c r="C50" s="499">
        <f>B50/'- 3 -'!$D50*100</f>
        <v>5.2463017123099736</v>
      </c>
      <c r="D50" s="502">
        <f>B50/'- 7 -'!$F50</f>
        <v>1087.3395061728395</v>
      </c>
      <c r="E50" s="17">
        <v>96290</v>
      </c>
      <c r="F50" s="268">
        <f>E50/'- 3 -'!$D50*100</f>
        <v>2.8678357065798123</v>
      </c>
      <c r="G50" s="17">
        <f>E50/'- 7 -'!$F50</f>
        <v>594.38271604938268</v>
      </c>
      <c r="H50" s="17">
        <v>102671</v>
      </c>
      <c r="I50" s="268">
        <f>H50/'- 3 -'!$D50*100</f>
        <v>3.057883059821954</v>
      </c>
      <c r="J50" s="17">
        <f>H50/'- 7 -'!$F50</f>
        <v>633.77160493827159</v>
      </c>
    </row>
    <row r="51" spans="1:10" ht="14.1" customHeight="1">
      <c r="A51" s="364" t="s">
        <v>540</v>
      </c>
      <c r="B51" s="273">
        <v>101951</v>
      </c>
      <c r="C51" s="500">
        <f>B51/'- 3 -'!$D51*100</f>
        <v>0.4024891786940466</v>
      </c>
      <c r="D51" s="503">
        <f>B51/'- 7 -'!$F51</f>
        <v>145.45726922528178</v>
      </c>
      <c r="E51" s="273">
        <v>52895</v>
      </c>
      <c r="F51" s="274">
        <f>E51/'- 3 -'!$D51*100</f>
        <v>0.20882252363411435</v>
      </c>
      <c r="G51" s="273">
        <f>E51/'- 7 -'!$F51</f>
        <v>75.467256384648309</v>
      </c>
      <c r="H51" s="273">
        <v>398533</v>
      </c>
      <c r="I51" s="274">
        <f>H51/'- 3 -'!$D51*100</f>
        <v>1.5733560225252765</v>
      </c>
      <c r="J51" s="273">
        <f>H51/'- 7 -'!$F51</f>
        <v>568.60179768868602</v>
      </c>
    </row>
    <row r="52" spans="1:10" ht="50.1" customHeight="1">
      <c r="A52" s="20"/>
      <c r="B52" s="20"/>
      <c r="C52" s="20"/>
      <c r="D52" s="20"/>
      <c r="E52" s="20"/>
      <c r="F52" s="20"/>
      <c r="G52" s="20"/>
      <c r="H52" s="20"/>
      <c r="I52" s="20"/>
      <c r="J52" s="20"/>
    </row>
    <row r="53" spans="1:10" ht="12" customHeight="1">
      <c r="A53" s="658" t="s">
        <v>421</v>
      </c>
      <c r="B53" s="659"/>
      <c r="C53" s="659"/>
      <c r="D53" s="659"/>
      <c r="E53" s="659"/>
      <c r="F53" s="659"/>
      <c r="G53" s="659"/>
      <c r="H53" s="659"/>
      <c r="I53" s="659"/>
      <c r="J53" s="659"/>
    </row>
    <row r="54" spans="1:10" ht="12" customHeight="1">
      <c r="A54" s="660"/>
      <c r="B54" s="660"/>
      <c r="C54" s="660"/>
      <c r="D54" s="660"/>
      <c r="E54" s="660"/>
      <c r="F54" s="660"/>
      <c r="G54" s="660"/>
      <c r="H54" s="660"/>
      <c r="I54" s="660"/>
      <c r="J54" s="660"/>
    </row>
    <row r="55" spans="1:10" ht="14.45" customHeight="1">
      <c r="B55" s="91"/>
      <c r="C55" s="91"/>
    </row>
    <row r="56" spans="1:10" ht="14.45" customHeight="1">
      <c r="B56" s="91"/>
      <c r="C56" s="91"/>
    </row>
    <row r="57" spans="1:10" ht="14.45" customHeight="1"/>
    <row r="58" spans="1:10" ht="14.45" customHeight="1"/>
  </sheetData>
  <mergeCells count="8">
    <mergeCell ref="A53:J54"/>
    <mergeCell ref="G8:G9"/>
    <mergeCell ref="J8:J9"/>
    <mergeCell ref="B5:J5"/>
    <mergeCell ref="B6:D7"/>
    <mergeCell ref="E6:G7"/>
    <mergeCell ref="H6:J7"/>
    <mergeCell ref="D8:D9"/>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sheetViews>
  <sheetFormatPr defaultColWidth="15.83203125" defaultRowHeight="12"/>
  <cols>
    <col min="1" max="1" width="34.83203125" style="1" customWidth="1"/>
    <col min="2" max="2" width="19.6640625" style="1" customWidth="1"/>
    <col min="3" max="3" width="10.33203125" style="1" customWidth="1"/>
    <col min="4" max="4" width="19" style="1" customWidth="1"/>
    <col min="5" max="5" width="10.6640625" style="1" customWidth="1"/>
    <col min="6" max="6" width="25.83203125" style="1" customWidth="1"/>
    <col min="7" max="16384" width="15.83203125" style="1"/>
  </cols>
  <sheetData>
    <row r="1" spans="1:6" ht="6.95" customHeight="1">
      <c r="A1" s="3"/>
      <c r="B1" s="4"/>
      <c r="C1" s="4"/>
      <c r="D1" s="4"/>
      <c r="E1" s="4"/>
    </row>
    <row r="2" spans="1:6" ht="15.95" customHeight="1">
      <c r="A2" s="133"/>
      <c r="B2" s="5" t="str">
        <f>AEXP_BP</f>
        <v>ANALYSIS OF EXPENSE BY PROGRAM</v>
      </c>
      <c r="C2" s="6"/>
      <c r="D2" s="6"/>
      <c r="E2" s="151"/>
      <c r="F2" s="510" t="s">
        <v>576</v>
      </c>
    </row>
    <row r="3" spans="1:6" ht="15.95" customHeight="1">
      <c r="A3" s="136"/>
      <c r="B3" s="7" t="str">
        <f>OPYEAR</f>
        <v>OPERATING FUND 2015/2016 BUDGET</v>
      </c>
      <c r="C3" s="8"/>
      <c r="D3" s="8"/>
      <c r="E3" s="82"/>
      <c r="F3" s="82"/>
    </row>
    <row r="4" spans="1:6" ht="15.95" customHeight="1">
      <c r="B4" s="4"/>
      <c r="C4" s="4"/>
      <c r="D4" s="4"/>
      <c r="E4" s="4"/>
    </row>
    <row r="5" spans="1:6" ht="15.95" customHeight="1">
      <c r="B5" s="655" t="s">
        <v>191</v>
      </c>
      <c r="C5" s="656"/>
      <c r="D5" s="656"/>
      <c r="E5" s="657"/>
    </row>
    <row r="6" spans="1:6" ht="15.95" customHeight="1">
      <c r="B6" s="607" t="s">
        <v>427</v>
      </c>
      <c r="C6" s="608"/>
      <c r="D6" s="613" t="s">
        <v>72</v>
      </c>
      <c r="E6" s="600"/>
    </row>
    <row r="7" spans="1:6" ht="15.95" customHeight="1">
      <c r="B7" s="609"/>
      <c r="C7" s="610"/>
      <c r="D7" s="614"/>
      <c r="E7" s="602"/>
    </row>
    <row r="8" spans="1:6" ht="15.95" customHeight="1">
      <c r="A8" s="83"/>
      <c r="B8" s="139"/>
      <c r="C8" s="138"/>
      <c r="D8" s="138"/>
      <c r="E8" s="139"/>
    </row>
    <row r="9" spans="1:6" ht="15.95" customHeight="1">
      <c r="A9" s="28" t="s">
        <v>37</v>
      </c>
      <c r="B9" s="90" t="s">
        <v>38</v>
      </c>
      <c r="C9" s="90" t="s">
        <v>39</v>
      </c>
      <c r="D9" s="90" t="s">
        <v>38</v>
      </c>
      <c r="E9" s="90" t="s">
        <v>39</v>
      </c>
    </row>
    <row r="10" spans="1:6" ht="5.0999999999999996" customHeight="1">
      <c r="A10" s="30"/>
    </row>
    <row r="11" spans="1:6" ht="14.1" customHeight="1">
      <c r="A11" s="272" t="s">
        <v>109</v>
      </c>
      <c r="B11" s="273">
        <v>0</v>
      </c>
      <c r="C11" s="274">
        <f>B11/'- 3 -'!$D11*100</f>
        <v>0</v>
      </c>
      <c r="D11" s="273">
        <v>0</v>
      </c>
      <c r="E11" s="274">
        <f>D11/'- 3 -'!$D11*100</f>
        <v>0</v>
      </c>
    </row>
    <row r="12" spans="1:6" ht="14.1" customHeight="1">
      <c r="A12" s="16" t="s">
        <v>110</v>
      </c>
      <c r="B12" s="17">
        <v>134956</v>
      </c>
      <c r="C12" s="268">
        <f>B12/'- 3 -'!$D12*100</f>
        <v>0.42085411406289092</v>
      </c>
      <c r="D12" s="17">
        <v>480219</v>
      </c>
      <c r="E12" s="268">
        <f>D12/'- 3 -'!$D12*100</f>
        <v>1.4975409896645382</v>
      </c>
    </row>
    <row r="13" spans="1:6" ht="14.1" customHeight="1">
      <c r="A13" s="272" t="s">
        <v>111</v>
      </c>
      <c r="B13" s="273">
        <v>0</v>
      </c>
      <c r="C13" s="274">
        <f>B13/'- 3 -'!$D13*100</f>
        <v>0</v>
      </c>
      <c r="D13" s="273">
        <v>0</v>
      </c>
      <c r="E13" s="274">
        <f>D13/'- 3 -'!$D13*100</f>
        <v>0</v>
      </c>
    </row>
    <row r="14" spans="1:6" ht="14.1" customHeight="1">
      <c r="A14" s="16" t="s">
        <v>324</v>
      </c>
      <c r="B14" s="17">
        <v>106152</v>
      </c>
      <c r="C14" s="268">
        <f>B14/'- 3 -'!$D14*100</f>
        <v>0.12799829914386124</v>
      </c>
      <c r="D14" s="17">
        <v>148610</v>
      </c>
      <c r="E14" s="268">
        <f>D14/'- 3 -'!$D14*100</f>
        <v>0.17919424255566754</v>
      </c>
    </row>
    <row r="15" spans="1:6" ht="14.1" customHeight="1">
      <c r="A15" s="272" t="s">
        <v>112</v>
      </c>
      <c r="B15" s="273">
        <v>0</v>
      </c>
      <c r="C15" s="274">
        <f>B15/'- 3 -'!$D15*100</f>
        <v>0</v>
      </c>
      <c r="D15" s="273">
        <v>0</v>
      </c>
      <c r="E15" s="274">
        <f>D15/'- 3 -'!$D15*100</f>
        <v>0</v>
      </c>
    </row>
    <row r="16" spans="1:6" ht="14.1" customHeight="1">
      <c r="A16" s="16" t="s">
        <v>113</v>
      </c>
      <c r="B16" s="17">
        <v>24715</v>
      </c>
      <c r="C16" s="268">
        <f>B16/'- 3 -'!$D16*100</f>
        <v>0.17568648347171562</v>
      </c>
      <c r="D16" s="17">
        <v>67585</v>
      </c>
      <c r="E16" s="268">
        <f>D16/'- 3 -'!$D16*100</f>
        <v>0.48042771537268453</v>
      </c>
    </row>
    <row r="17" spans="1:5" ht="14.1" customHeight="1">
      <c r="A17" s="272" t="s">
        <v>114</v>
      </c>
      <c r="B17" s="273">
        <v>0</v>
      </c>
      <c r="C17" s="274">
        <f>B17/'- 3 -'!$D17*100</f>
        <v>0</v>
      </c>
      <c r="D17" s="273">
        <v>0</v>
      </c>
      <c r="E17" s="274">
        <f>D17/'- 3 -'!$D17*100</f>
        <v>0</v>
      </c>
    </row>
    <row r="18" spans="1:5" ht="14.1" customHeight="1">
      <c r="A18" s="16" t="s">
        <v>115</v>
      </c>
      <c r="B18" s="17">
        <v>239886</v>
      </c>
      <c r="C18" s="268">
        <f>B18/'- 3 -'!$D18*100</f>
        <v>0.18739644209239723</v>
      </c>
      <c r="D18" s="17">
        <v>1882958</v>
      </c>
      <c r="E18" s="268">
        <f>D18/'- 3 -'!$D18*100</f>
        <v>1.4709471574390172</v>
      </c>
    </row>
    <row r="19" spans="1:5" ht="14.1" customHeight="1">
      <c r="A19" s="272" t="s">
        <v>116</v>
      </c>
      <c r="B19" s="273">
        <v>0</v>
      </c>
      <c r="C19" s="274">
        <f>B19/'- 3 -'!$D19*100</f>
        <v>0</v>
      </c>
      <c r="D19" s="273">
        <v>0</v>
      </c>
      <c r="E19" s="274">
        <f>D19/'- 3 -'!$D19*100</f>
        <v>0</v>
      </c>
    </row>
    <row r="20" spans="1:5" ht="14.1" customHeight="1">
      <c r="A20" s="16" t="s">
        <v>117</v>
      </c>
      <c r="B20" s="17">
        <v>0</v>
      </c>
      <c r="C20" s="268">
        <f>B20/'- 3 -'!$D20*100</f>
        <v>0</v>
      </c>
      <c r="D20" s="17">
        <v>0</v>
      </c>
      <c r="E20" s="268">
        <f>D20/'- 3 -'!$D20*100</f>
        <v>0</v>
      </c>
    </row>
    <row r="21" spans="1:5" ht="14.1" customHeight="1">
      <c r="A21" s="272" t="s">
        <v>118</v>
      </c>
      <c r="B21" s="273">
        <v>0</v>
      </c>
      <c r="C21" s="274">
        <f>B21/'- 3 -'!$D21*100</f>
        <v>0</v>
      </c>
      <c r="D21" s="273">
        <v>0</v>
      </c>
      <c r="E21" s="274">
        <f>D21/'- 3 -'!$D21*100</f>
        <v>0</v>
      </c>
    </row>
    <row r="22" spans="1:5" ht="14.1" customHeight="1">
      <c r="A22" s="16" t="s">
        <v>119</v>
      </c>
      <c r="B22" s="17">
        <v>164425</v>
      </c>
      <c r="C22" s="268">
        <f>B22/'- 3 -'!$D22*100</f>
        <v>0.79701701144771886</v>
      </c>
      <c r="D22" s="17">
        <v>443650</v>
      </c>
      <c r="E22" s="268">
        <f>D22/'- 3 -'!$D22*100</f>
        <v>2.1505038596854522</v>
      </c>
    </row>
    <row r="23" spans="1:5" ht="14.1" customHeight="1">
      <c r="A23" s="272" t="s">
        <v>120</v>
      </c>
      <c r="B23" s="273">
        <v>71355</v>
      </c>
      <c r="C23" s="274">
        <f>B23/'- 3 -'!$D23*100</f>
        <v>0.43244932985353696</v>
      </c>
      <c r="D23" s="273">
        <v>158645</v>
      </c>
      <c r="E23" s="274">
        <f>D23/'- 3 -'!$D23*100</f>
        <v>0.96147325253471194</v>
      </c>
    </row>
    <row r="24" spans="1:5" ht="14.1" customHeight="1">
      <c r="A24" s="16" t="s">
        <v>121</v>
      </c>
      <c r="B24" s="17">
        <v>116675</v>
      </c>
      <c r="C24" s="268">
        <f>B24/'- 3 -'!$D24*100</f>
        <v>0.20869369551862596</v>
      </c>
      <c r="D24" s="17">
        <v>215570</v>
      </c>
      <c r="E24" s="268">
        <f>D24/'- 3 -'!$D24*100</f>
        <v>0.38558474345789756</v>
      </c>
    </row>
    <row r="25" spans="1:5" ht="14.1" customHeight="1">
      <c r="A25" s="272" t="s">
        <v>122</v>
      </c>
      <c r="B25" s="273">
        <v>0</v>
      </c>
      <c r="C25" s="274">
        <f>B25/'- 3 -'!$D25*100</f>
        <v>0</v>
      </c>
      <c r="D25" s="273">
        <v>0</v>
      </c>
      <c r="E25" s="274">
        <f>D25/'- 3 -'!$D25*100</f>
        <v>0</v>
      </c>
    </row>
    <row r="26" spans="1:5" ht="14.1" customHeight="1">
      <c r="A26" s="16" t="s">
        <v>123</v>
      </c>
      <c r="B26" s="17">
        <v>0</v>
      </c>
      <c r="C26" s="268">
        <f>B26/'- 3 -'!$D26*100</f>
        <v>0</v>
      </c>
      <c r="D26" s="17">
        <v>0</v>
      </c>
      <c r="E26" s="268">
        <f>D26/'- 3 -'!$D26*100</f>
        <v>0</v>
      </c>
    </row>
    <row r="27" spans="1:5" ht="14.1" customHeight="1">
      <c r="A27" s="272" t="s">
        <v>124</v>
      </c>
      <c r="B27" s="273">
        <v>0</v>
      </c>
      <c r="C27" s="274">
        <f>B27/'- 3 -'!$D27*100</f>
        <v>0</v>
      </c>
      <c r="D27" s="273">
        <v>0</v>
      </c>
      <c r="E27" s="274">
        <f>D27/'- 3 -'!$D27*100</f>
        <v>0</v>
      </c>
    </row>
    <row r="28" spans="1:5" ht="14.1" customHeight="1">
      <c r="A28" s="16" t="s">
        <v>125</v>
      </c>
      <c r="B28" s="17">
        <v>0</v>
      </c>
      <c r="C28" s="268">
        <f>B28/'- 3 -'!$D28*100</f>
        <v>0</v>
      </c>
      <c r="D28" s="17">
        <v>118634</v>
      </c>
      <c r="E28" s="268">
        <f>D28/'- 3 -'!$D28*100</f>
        <v>0.42356194624704208</v>
      </c>
    </row>
    <row r="29" spans="1:5" ht="14.1" customHeight="1">
      <c r="A29" s="272" t="s">
        <v>126</v>
      </c>
      <c r="B29" s="273">
        <v>0</v>
      </c>
      <c r="C29" s="274">
        <f>B29/'- 3 -'!$D29*100</f>
        <v>0</v>
      </c>
      <c r="D29" s="273">
        <v>0</v>
      </c>
      <c r="E29" s="274">
        <f>D29/'- 3 -'!$D29*100</f>
        <v>0</v>
      </c>
    </row>
    <row r="30" spans="1:5" ht="14.1" customHeight="1">
      <c r="A30" s="16" t="s">
        <v>127</v>
      </c>
      <c r="B30" s="17">
        <v>0</v>
      </c>
      <c r="C30" s="268">
        <f>B30/'- 3 -'!$D30*100</f>
        <v>0</v>
      </c>
      <c r="D30" s="17">
        <v>0</v>
      </c>
      <c r="E30" s="268">
        <f>D30/'- 3 -'!$D30*100</f>
        <v>0</v>
      </c>
    </row>
    <row r="31" spans="1:5" ht="14.1" customHeight="1">
      <c r="A31" s="272" t="s">
        <v>128</v>
      </c>
      <c r="B31" s="273">
        <v>0</v>
      </c>
      <c r="C31" s="274">
        <f>B31/'- 3 -'!$D31*100</f>
        <v>0</v>
      </c>
      <c r="D31" s="273">
        <v>0</v>
      </c>
      <c r="E31" s="274">
        <f>D31/'- 3 -'!$D31*100</f>
        <v>0</v>
      </c>
    </row>
    <row r="32" spans="1:5" ht="14.1" customHeight="1">
      <c r="A32" s="16" t="s">
        <v>129</v>
      </c>
      <c r="B32" s="17">
        <v>71805</v>
      </c>
      <c r="C32" s="268">
        <f>B32/'- 3 -'!$D32*100</f>
        <v>0.24969909528980674</v>
      </c>
      <c r="D32" s="17">
        <v>193645</v>
      </c>
      <c r="E32" s="268">
        <f>D32/'- 3 -'!$D32*100</f>
        <v>0.67339295741793226</v>
      </c>
    </row>
    <row r="33" spans="1:5" ht="14.1" customHeight="1">
      <c r="A33" s="272" t="s">
        <v>130</v>
      </c>
      <c r="B33" s="273">
        <v>0</v>
      </c>
      <c r="C33" s="274">
        <f>B33/'- 3 -'!$D33*100</f>
        <v>0</v>
      </c>
      <c r="D33" s="273">
        <v>0</v>
      </c>
      <c r="E33" s="274">
        <f>D33/'- 3 -'!$D33*100</f>
        <v>0</v>
      </c>
    </row>
    <row r="34" spans="1:5" ht="14.1" customHeight="1">
      <c r="A34" s="16" t="s">
        <v>131</v>
      </c>
      <c r="B34" s="17">
        <v>0</v>
      </c>
      <c r="C34" s="268">
        <f>B34/'- 3 -'!$D34*100</f>
        <v>0</v>
      </c>
      <c r="D34" s="17">
        <v>0</v>
      </c>
      <c r="E34" s="268">
        <f>D34/'- 3 -'!$D34*100</f>
        <v>0</v>
      </c>
    </row>
    <row r="35" spans="1:5" ht="14.1" customHeight="1">
      <c r="A35" s="272" t="s">
        <v>132</v>
      </c>
      <c r="B35" s="273">
        <v>0</v>
      </c>
      <c r="C35" s="274">
        <f>B35/'- 3 -'!$D35*100</f>
        <v>0</v>
      </c>
      <c r="D35" s="273">
        <v>0</v>
      </c>
      <c r="E35" s="274">
        <f>D35/'- 3 -'!$D35*100</f>
        <v>0</v>
      </c>
    </row>
    <row r="36" spans="1:5" ht="14.1" customHeight="1">
      <c r="A36" s="16" t="s">
        <v>133</v>
      </c>
      <c r="B36" s="17">
        <v>0</v>
      </c>
      <c r="C36" s="268">
        <f>B36/'- 3 -'!$D36*100</f>
        <v>0</v>
      </c>
      <c r="D36" s="17">
        <v>0</v>
      </c>
      <c r="E36" s="268">
        <f>D36/'- 3 -'!$D36*100</f>
        <v>0</v>
      </c>
    </row>
    <row r="37" spans="1:5" ht="14.1" customHeight="1">
      <c r="A37" s="272" t="s">
        <v>134</v>
      </c>
      <c r="B37" s="273">
        <v>0</v>
      </c>
      <c r="C37" s="274">
        <f>B37/'- 3 -'!$D37*100</f>
        <v>0</v>
      </c>
      <c r="D37" s="273">
        <v>0</v>
      </c>
      <c r="E37" s="274">
        <f>D37/'- 3 -'!$D37*100</f>
        <v>0</v>
      </c>
    </row>
    <row r="38" spans="1:5" ht="14.1" customHeight="1">
      <c r="A38" s="16" t="s">
        <v>135</v>
      </c>
      <c r="B38" s="17">
        <v>169650</v>
      </c>
      <c r="C38" s="268">
        <f>B38/'- 3 -'!$D38*100</f>
        <v>0.1313453152106786</v>
      </c>
      <c r="D38" s="17">
        <v>639370</v>
      </c>
      <c r="E38" s="268">
        <f>D38/'- 3 -'!$D38*100</f>
        <v>0.49500886640879216</v>
      </c>
    </row>
    <row r="39" spans="1:5" ht="14.1" customHeight="1">
      <c r="A39" s="272" t="s">
        <v>136</v>
      </c>
      <c r="B39" s="273">
        <v>0</v>
      </c>
      <c r="C39" s="274">
        <f>B39/'- 3 -'!$D39*100</f>
        <v>0</v>
      </c>
      <c r="D39" s="273">
        <v>0</v>
      </c>
      <c r="E39" s="274">
        <f>D39/'- 3 -'!$D39*100</f>
        <v>0</v>
      </c>
    </row>
    <row r="40" spans="1:5" ht="14.1" customHeight="1">
      <c r="A40" s="16" t="s">
        <v>137</v>
      </c>
      <c r="B40" s="17">
        <v>0</v>
      </c>
      <c r="C40" s="268">
        <f>B40/'- 3 -'!$D40*100</f>
        <v>0</v>
      </c>
      <c r="D40" s="17">
        <v>0</v>
      </c>
      <c r="E40" s="268">
        <f>D40/'- 3 -'!$D40*100</f>
        <v>0</v>
      </c>
    </row>
    <row r="41" spans="1:5" ht="14.1" customHeight="1">
      <c r="A41" s="272" t="s">
        <v>138</v>
      </c>
      <c r="B41" s="273">
        <v>377307</v>
      </c>
      <c r="C41" s="274">
        <f>B41/'- 3 -'!$D41*100</f>
        <v>0.60615730005807311</v>
      </c>
      <c r="D41" s="273">
        <v>609932</v>
      </c>
      <c r="E41" s="274">
        <f>D41/'- 3 -'!$D41*100</f>
        <v>0.9798777503174354</v>
      </c>
    </row>
    <row r="42" spans="1:5" ht="14.1" customHeight="1">
      <c r="A42" s="16" t="s">
        <v>139</v>
      </c>
      <c r="B42" s="17">
        <v>0</v>
      </c>
      <c r="C42" s="268">
        <f>B42/'- 3 -'!$D42*100</f>
        <v>0</v>
      </c>
      <c r="D42" s="17">
        <v>0</v>
      </c>
      <c r="E42" s="268">
        <f>D42/'- 3 -'!$D42*100</f>
        <v>0</v>
      </c>
    </row>
    <row r="43" spans="1:5" ht="14.1" customHeight="1">
      <c r="A43" s="272" t="s">
        <v>140</v>
      </c>
      <c r="B43" s="273">
        <v>0</v>
      </c>
      <c r="C43" s="274">
        <f>B43/'- 3 -'!$D43*100</f>
        <v>0</v>
      </c>
      <c r="D43" s="273">
        <v>205393</v>
      </c>
      <c r="E43" s="274">
        <f>D43/'- 3 -'!$D43*100</f>
        <v>1.6003396513322308</v>
      </c>
    </row>
    <row r="44" spans="1:5" ht="14.1" customHeight="1">
      <c r="A44" s="16" t="s">
        <v>141</v>
      </c>
      <c r="B44" s="17">
        <v>0</v>
      </c>
      <c r="C44" s="268">
        <f>B44/'- 3 -'!$D44*100</f>
        <v>0</v>
      </c>
      <c r="D44" s="17">
        <v>0</v>
      </c>
      <c r="E44" s="268">
        <f>D44/'- 3 -'!$D44*100</f>
        <v>0</v>
      </c>
    </row>
    <row r="45" spans="1:5" ht="14.1" customHeight="1">
      <c r="A45" s="272" t="s">
        <v>142</v>
      </c>
      <c r="B45" s="273">
        <v>163776</v>
      </c>
      <c r="C45" s="274">
        <f>B45/'- 3 -'!$D45*100</f>
        <v>0.89431180212433992</v>
      </c>
      <c r="D45" s="273">
        <v>225124</v>
      </c>
      <c r="E45" s="274">
        <f>D45/'- 3 -'!$D45*100</f>
        <v>1.2293074085423989</v>
      </c>
    </row>
    <row r="46" spans="1:5" ht="14.1" customHeight="1">
      <c r="A46" s="16" t="s">
        <v>143</v>
      </c>
      <c r="B46" s="17">
        <v>117000</v>
      </c>
      <c r="C46" s="268">
        <f>B46/'- 3 -'!$D46*100</f>
        <v>3.0551453740007128E-2</v>
      </c>
      <c r="D46" s="17">
        <v>639700</v>
      </c>
      <c r="E46" s="268">
        <f>D46/'- 3 -'!$D46*100</f>
        <v>0.16704072613232956</v>
      </c>
    </row>
    <row r="47" spans="1:5" ht="5.0999999999999996" customHeight="1">
      <c r="A47"/>
      <c r="B47"/>
      <c r="C47"/>
      <c r="D47"/>
      <c r="E47"/>
    </row>
    <row r="48" spans="1:5" ht="14.1" customHeight="1">
      <c r="A48" s="275" t="s">
        <v>144</v>
      </c>
      <c r="B48" s="276">
        <f>SUM(B11:B46)</f>
        <v>1757702</v>
      </c>
      <c r="C48" s="277">
        <f>B48/'- 3 -'!$D48*100</f>
        <v>7.8746719020363648E-2</v>
      </c>
      <c r="D48" s="276">
        <f>SUM(D11:D46)</f>
        <v>6029035</v>
      </c>
      <c r="E48" s="277">
        <f>D48/'- 3 -'!$D48*100</f>
        <v>0.2701064942231039</v>
      </c>
    </row>
    <row r="49" spans="1:5" ht="5.0999999999999996" customHeight="1">
      <c r="A49" s="18" t="s">
        <v>1</v>
      </c>
      <c r="B49" s="19"/>
      <c r="C49" s="267"/>
      <c r="D49" s="19"/>
      <c r="E49" s="267"/>
    </row>
    <row r="50" spans="1:5" ht="14.1" customHeight="1">
      <c r="A50" s="16" t="s">
        <v>145</v>
      </c>
      <c r="B50" s="17">
        <v>0</v>
      </c>
      <c r="C50" s="268">
        <f>B50/'- 3 -'!$D50*100</f>
        <v>0</v>
      </c>
      <c r="D50" s="17">
        <v>0</v>
      </c>
      <c r="E50" s="268">
        <f>D50/'- 3 -'!$D50*100</f>
        <v>0</v>
      </c>
    </row>
    <row r="51" spans="1:5" ht="14.1" customHeight="1">
      <c r="A51" s="364" t="s">
        <v>540</v>
      </c>
      <c r="B51" s="273">
        <v>2492670</v>
      </c>
      <c r="C51" s="274">
        <f>B51/'- 3 -'!$D51*100</f>
        <v>9.8407342846591881</v>
      </c>
      <c r="D51" s="273">
        <v>295695</v>
      </c>
      <c r="E51" s="274">
        <f>D51/'- 3 -'!$D51*100</f>
        <v>1.1673650841476404</v>
      </c>
    </row>
    <row r="52" spans="1:5" ht="50.1" customHeight="1"/>
    <row r="53" spans="1:5" ht="15" customHeight="1">
      <c r="A53" s="132"/>
    </row>
    <row r="54" spans="1:5" ht="14.45" customHeight="1"/>
    <row r="55" spans="1:5" ht="14.45" customHeight="1"/>
    <row r="56" spans="1:5" ht="14.45" customHeight="1"/>
    <row r="57" spans="1:5" ht="14.45" customHeight="1"/>
    <row r="58" spans="1:5" ht="14.45" customHeight="1">
      <c r="A58" s="21"/>
    </row>
    <row r="59" spans="1:5" ht="14.45" customHeight="1"/>
  </sheetData>
  <mergeCells count="3">
    <mergeCell ref="B6:C7"/>
    <mergeCell ref="B5:E5"/>
    <mergeCell ref="D6:E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BC65536"/>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0.6640625" style="1" customWidth="1"/>
    <col min="5" max="5" width="19.83203125" style="1" customWidth="1"/>
    <col min="6" max="6" width="20.83203125" style="1" customWidth="1"/>
    <col min="7" max="16384" width="15.83203125" style="1"/>
  </cols>
  <sheetData>
    <row r="1" spans="1:55" ht="6.95" customHeight="1">
      <c r="A1" s="3"/>
      <c r="B1" s="4"/>
      <c r="C1" s="4"/>
      <c r="D1" s="4"/>
      <c r="E1" s="4"/>
      <c r="F1" s="4"/>
      <c r="BA1" s="165"/>
      <c r="BB1" s="165"/>
      <c r="BC1" s="165"/>
    </row>
    <row r="2" spans="1:55" ht="15.95" customHeight="1">
      <c r="A2" s="5" t="str">
        <f>IF(Lang=1,BA2,BB2)</f>
        <v>RECONCILIATION  OF  EXPENSES</v>
      </c>
      <c r="B2" s="6"/>
      <c r="C2" s="6"/>
      <c r="D2" s="6"/>
      <c r="E2" s="6"/>
      <c r="F2" s="6"/>
      <c r="BA2" s="463" t="s">
        <v>258</v>
      </c>
      <c r="BB2" s="464" t="s">
        <v>382</v>
      </c>
      <c r="BC2" s="165"/>
    </row>
    <row r="3" spans="1:55" ht="15.95" customHeight="1">
      <c r="A3" s="7" t="str">
        <f>IF(Lang=1,BA3,BB3)</f>
        <v>OPERATING FUND 2015/2016 BUDGET</v>
      </c>
      <c r="B3" s="8"/>
      <c r="C3" s="9"/>
      <c r="D3" s="8"/>
      <c r="E3" s="8"/>
      <c r="F3" s="8"/>
      <c r="BA3" s="464" t="str">
        <f>"OPERATING FUND "&amp;YEAR&amp;"/"&amp;YEAR+1&amp;" BUDGET"</f>
        <v>OPERATING FUND 2015/2016 BUDGET</v>
      </c>
      <c r="BB3" s="464" t="str">
        <f>"FONDS DE FONCTIONNEMENT – BUDGET "&amp;YEAR&amp;" - "&amp;YEAR+1</f>
        <v>FONDS DE FONCTIONNEMENT – BUDGET 2015 - 2016</v>
      </c>
      <c r="BC3" s="165"/>
    </row>
    <row r="4" spans="1:55" ht="15.95" customHeight="1">
      <c r="B4" s="4"/>
      <c r="C4" s="4"/>
      <c r="D4" s="4"/>
      <c r="E4" s="4"/>
      <c r="F4" s="4"/>
      <c r="BA4" s="165"/>
      <c r="BB4" s="165"/>
      <c r="BC4" s="165"/>
    </row>
    <row r="5" spans="1:55" ht="15.95" customHeight="1">
      <c r="B5" s="4"/>
      <c r="C5" s="4"/>
      <c r="D5" s="4"/>
      <c r="E5" s="4"/>
      <c r="F5" s="4"/>
      <c r="BA5" s="165"/>
      <c r="BB5" s="165"/>
      <c r="BC5" s="165"/>
    </row>
    <row r="6" spans="1:55" ht="15.95" customHeight="1">
      <c r="B6" s="10"/>
      <c r="C6" s="525" t="s">
        <v>377</v>
      </c>
      <c r="D6" s="528" t="s">
        <v>378</v>
      </c>
      <c r="E6" s="525" t="s">
        <v>379</v>
      </c>
      <c r="F6" s="525" t="s">
        <v>380</v>
      </c>
      <c r="BA6" s="165"/>
      <c r="BB6" s="165"/>
      <c r="BC6" s="165"/>
    </row>
    <row r="7" spans="1:55" ht="15.95" customHeight="1">
      <c r="B7" s="10"/>
      <c r="C7" s="526"/>
      <c r="D7" s="529"/>
      <c r="E7" s="526"/>
      <c r="F7" s="526"/>
    </row>
    <row r="8" spans="1:55" ht="15.95" customHeight="1">
      <c r="A8" s="13"/>
      <c r="B8" s="531" t="s">
        <v>381</v>
      </c>
      <c r="C8" s="526"/>
      <c r="D8" s="529"/>
      <c r="E8" s="526"/>
      <c r="F8" s="526"/>
    </row>
    <row r="9" spans="1:55">
      <c r="A9" s="14" t="s">
        <v>37</v>
      </c>
      <c r="B9" s="532"/>
      <c r="C9" s="527"/>
      <c r="D9" s="530"/>
      <c r="E9" s="527"/>
      <c r="F9" s="527"/>
    </row>
    <row r="10" spans="1:55" ht="5.0999999999999996" customHeight="1">
      <c r="A10" s="15"/>
    </row>
    <row r="11" spans="1:55" ht="14.1" customHeight="1">
      <c r="A11" s="272" t="s">
        <v>109</v>
      </c>
      <c r="B11" s="273">
        <v>18468380</v>
      </c>
      <c r="C11" s="273">
        <f>-Data!L11</f>
        <v>-61000</v>
      </c>
      <c r="D11" s="273">
        <f>B11+C11</f>
        <v>18407380</v>
      </c>
      <c r="E11" s="273">
        <f>-'- 15 -'!H11-'- 16 -'!B11</f>
        <v>-20600</v>
      </c>
      <c r="F11" s="273">
        <f>D11+E11</f>
        <v>18386780</v>
      </c>
    </row>
    <row r="12" spans="1:55" ht="14.1" customHeight="1">
      <c r="A12" s="16" t="s">
        <v>110</v>
      </c>
      <c r="B12" s="17">
        <v>32439169</v>
      </c>
      <c r="C12" s="17">
        <f>-Data!L12</f>
        <v>-372000</v>
      </c>
      <c r="D12" s="17">
        <f t="shared" ref="D12:D46" si="0">B12+C12</f>
        <v>32067169</v>
      </c>
      <c r="E12" s="17">
        <f>-'- 15 -'!H12-'- 16 -'!B12</f>
        <v>-670057</v>
      </c>
      <c r="F12" s="17">
        <f t="shared" ref="F12:F46" si="1">D12+E12</f>
        <v>31397112</v>
      </c>
    </row>
    <row r="13" spans="1:55" ht="14.1" customHeight="1">
      <c r="A13" s="272" t="s">
        <v>111</v>
      </c>
      <c r="B13" s="273">
        <v>93025700</v>
      </c>
      <c r="C13" s="273">
        <f>-Data!L13</f>
        <v>-137500</v>
      </c>
      <c r="D13" s="273">
        <f t="shared" si="0"/>
        <v>92888200</v>
      </c>
      <c r="E13" s="273">
        <f>-'- 15 -'!H13-'- 16 -'!B13</f>
        <v>-374800</v>
      </c>
      <c r="F13" s="273">
        <f t="shared" si="1"/>
        <v>92513400</v>
      </c>
    </row>
    <row r="14" spans="1:55" ht="14.1" customHeight="1">
      <c r="A14" s="16" t="s">
        <v>324</v>
      </c>
      <c r="B14" s="17">
        <v>83182352</v>
      </c>
      <c r="C14" s="17">
        <f>-Data!L14</f>
        <v>-250000</v>
      </c>
      <c r="D14" s="17">
        <f t="shared" si="0"/>
        <v>82932352</v>
      </c>
      <c r="E14" s="17">
        <f>-'- 15 -'!H14-'- 16 -'!B14</f>
        <v>-1726742</v>
      </c>
      <c r="F14" s="17">
        <f t="shared" si="1"/>
        <v>81205610</v>
      </c>
    </row>
    <row r="15" spans="1:55" ht="14.1" customHeight="1">
      <c r="A15" s="272" t="s">
        <v>112</v>
      </c>
      <c r="B15" s="273">
        <v>20176527</v>
      </c>
      <c r="C15" s="273">
        <f>-Data!L15</f>
        <v>-59500</v>
      </c>
      <c r="D15" s="273">
        <f t="shared" si="0"/>
        <v>20117027</v>
      </c>
      <c r="E15" s="273">
        <f>-'- 15 -'!H15-'- 16 -'!B15</f>
        <v>-72000</v>
      </c>
      <c r="F15" s="273">
        <f t="shared" si="1"/>
        <v>20045027</v>
      </c>
    </row>
    <row r="16" spans="1:55" ht="14.1" customHeight="1">
      <c r="A16" s="16" t="s">
        <v>113</v>
      </c>
      <c r="B16" s="17">
        <v>14067673</v>
      </c>
      <c r="C16" s="17">
        <f>-Data!L16</f>
        <v>0</v>
      </c>
      <c r="D16" s="17">
        <f t="shared" si="0"/>
        <v>14067673</v>
      </c>
      <c r="E16" s="17">
        <f>-'- 15 -'!H16-'- 16 -'!B16</f>
        <v>-104880</v>
      </c>
      <c r="F16" s="17">
        <f t="shared" si="1"/>
        <v>13962793</v>
      </c>
    </row>
    <row r="17" spans="1:6" ht="14.1" customHeight="1">
      <c r="A17" s="272" t="s">
        <v>114</v>
      </c>
      <c r="B17" s="273">
        <v>17669215</v>
      </c>
      <c r="C17" s="273">
        <f>-Data!L17</f>
        <v>-76550</v>
      </c>
      <c r="D17" s="273">
        <f t="shared" si="0"/>
        <v>17592665</v>
      </c>
      <c r="E17" s="273">
        <f>-'- 15 -'!H17-'- 16 -'!B17</f>
        <v>-265810</v>
      </c>
      <c r="F17" s="273">
        <f t="shared" si="1"/>
        <v>17326855</v>
      </c>
    </row>
    <row r="18" spans="1:6" ht="14.1" customHeight="1">
      <c r="A18" s="16" t="s">
        <v>115</v>
      </c>
      <c r="B18" s="17">
        <v>132389718</v>
      </c>
      <c r="C18" s="17">
        <f>-Data!L18</f>
        <v>-4379817</v>
      </c>
      <c r="D18" s="17">
        <f t="shared" si="0"/>
        <v>128009901</v>
      </c>
      <c r="E18" s="17">
        <f>-'- 15 -'!H18-'- 16 -'!B18</f>
        <v>-4555152</v>
      </c>
      <c r="F18" s="17">
        <f t="shared" si="1"/>
        <v>123454749</v>
      </c>
    </row>
    <row r="19" spans="1:6" ht="14.1" customHeight="1">
      <c r="A19" s="272" t="s">
        <v>116</v>
      </c>
      <c r="B19" s="273">
        <v>45295420</v>
      </c>
      <c r="C19" s="273">
        <f>-Data!L19</f>
        <v>-352000</v>
      </c>
      <c r="D19" s="273">
        <f t="shared" si="0"/>
        <v>44943420</v>
      </c>
      <c r="E19" s="273">
        <f>-'- 15 -'!H19-'- 16 -'!B19</f>
        <v>-80300</v>
      </c>
      <c r="F19" s="273">
        <f t="shared" si="1"/>
        <v>44863120</v>
      </c>
    </row>
    <row r="20" spans="1:6" ht="14.1" customHeight="1">
      <c r="A20" s="16" t="s">
        <v>117</v>
      </c>
      <c r="B20" s="17">
        <v>80028300</v>
      </c>
      <c r="C20" s="17">
        <f>-Data!L20</f>
        <v>-1241500</v>
      </c>
      <c r="D20" s="17">
        <f t="shared" si="0"/>
        <v>78786800</v>
      </c>
      <c r="E20" s="17">
        <f>-'- 15 -'!H20-'- 16 -'!B20</f>
        <v>-150700</v>
      </c>
      <c r="F20" s="17">
        <f t="shared" si="1"/>
        <v>78636100</v>
      </c>
    </row>
    <row r="21" spans="1:6" ht="14.1" customHeight="1">
      <c r="A21" s="272" t="s">
        <v>118</v>
      </c>
      <c r="B21" s="273">
        <v>35862000</v>
      </c>
      <c r="C21" s="273">
        <f>-Data!L21</f>
        <v>-358017</v>
      </c>
      <c r="D21" s="273">
        <f t="shared" si="0"/>
        <v>35503983</v>
      </c>
      <c r="E21" s="273">
        <f>-'- 15 -'!H21-'- 16 -'!B21</f>
        <v>-272000</v>
      </c>
      <c r="F21" s="273">
        <f t="shared" si="1"/>
        <v>35231983</v>
      </c>
    </row>
    <row r="22" spans="1:6" ht="14.1" customHeight="1">
      <c r="A22" s="16" t="s">
        <v>119</v>
      </c>
      <c r="B22" s="17">
        <v>20647549</v>
      </c>
      <c r="C22" s="17">
        <f>-Data!L22</f>
        <v>-17500</v>
      </c>
      <c r="D22" s="17">
        <f t="shared" si="0"/>
        <v>20630049</v>
      </c>
      <c r="E22" s="17">
        <f>-'- 15 -'!H22-'- 16 -'!B22</f>
        <v>-688210</v>
      </c>
      <c r="F22" s="17">
        <f t="shared" si="1"/>
        <v>19941839</v>
      </c>
    </row>
    <row r="23" spans="1:6" ht="14.1" customHeight="1">
      <c r="A23" s="272" t="s">
        <v>120</v>
      </c>
      <c r="B23" s="273">
        <v>16535899</v>
      </c>
      <c r="C23" s="273">
        <f>-Data!L23</f>
        <v>-35700</v>
      </c>
      <c r="D23" s="273">
        <f t="shared" si="0"/>
        <v>16500199</v>
      </c>
      <c r="E23" s="273">
        <f>-'- 15 -'!H23-'- 16 -'!B23</f>
        <v>-513228</v>
      </c>
      <c r="F23" s="273">
        <f t="shared" si="1"/>
        <v>15986971</v>
      </c>
    </row>
    <row r="24" spans="1:6" ht="14.1" customHeight="1">
      <c r="A24" s="16" t="s">
        <v>121</v>
      </c>
      <c r="B24" s="17">
        <v>56110815</v>
      </c>
      <c r="C24" s="17">
        <f>-Data!L24</f>
        <v>-203520</v>
      </c>
      <c r="D24" s="17">
        <f t="shared" si="0"/>
        <v>55907295</v>
      </c>
      <c r="E24" s="17">
        <f>-'- 15 -'!H24-'- 16 -'!B24</f>
        <v>-777830</v>
      </c>
      <c r="F24" s="17">
        <f t="shared" si="1"/>
        <v>55129465</v>
      </c>
    </row>
    <row r="25" spans="1:6" ht="14.1" customHeight="1">
      <c r="A25" s="272" t="s">
        <v>122</v>
      </c>
      <c r="B25" s="273">
        <v>168324301</v>
      </c>
      <c r="C25" s="273">
        <f>-Data!L25</f>
        <v>-1181969</v>
      </c>
      <c r="D25" s="273">
        <f t="shared" si="0"/>
        <v>167142332</v>
      </c>
      <c r="E25" s="273">
        <f>-'- 15 -'!H25-'- 16 -'!B25</f>
        <v>-1261859</v>
      </c>
      <c r="F25" s="273">
        <f t="shared" si="1"/>
        <v>165880473</v>
      </c>
    </row>
    <row r="26" spans="1:6" ht="14.1" customHeight="1">
      <c r="A26" s="16" t="s">
        <v>123</v>
      </c>
      <c r="B26" s="17">
        <v>39894571</v>
      </c>
      <c r="C26" s="17">
        <f>-Data!L26</f>
        <v>-7500</v>
      </c>
      <c r="D26" s="17">
        <f t="shared" si="0"/>
        <v>39887071</v>
      </c>
      <c r="E26" s="17">
        <f>-'- 15 -'!H26-'- 16 -'!B26</f>
        <v>-113429</v>
      </c>
      <c r="F26" s="17">
        <f t="shared" si="1"/>
        <v>39773642</v>
      </c>
    </row>
    <row r="27" spans="1:6" ht="14.1" customHeight="1">
      <c r="A27" s="272" t="s">
        <v>124</v>
      </c>
      <c r="B27" s="273">
        <v>42930908</v>
      </c>
      <c r="C27" s="273">
        <f>-Data!L27</f>
        <v>-10300</v>
      </c>
      <c r="D27" s="273">
        <f t="shared" si="0"/>
        <v>42920608</v>
      </c>
      <c r="E27" s="273">
        <f>-'- 15 -'!H27-'- 16 -'!B27</f>
        <v>-57578</v>
      </c>
      <c r="F27" s="273">
        <f t="shared" si="1"/>
        <v>42863030</v>
      </c>
    </row>
    <row r="28" spans="1:6" ht="14.1" customHeight="1">
      <c r="A28" s="16" t="s">
        <v>125</v>
      </c>
      <c r="B28" s="17">
        <v>28148654</v>
      </c>
      <c r="C28" s="17">
        <f>-Data!L28</f>
        <v>-140000</v>
      </c>
      <c r="D28" s="17">
        <f t="shared" si="0"/>
        <v>28008654</v>
      </c>
      <c r="E28" s="17">
        <f>-'- 15 -'!H28-'- 16 -'!B28</f>
        <v>-249942</v>
      </c>
      <c r="F28" s="17">
        <f t="shared" si="1"/>
        <v>27758712</v>
      </c>
    </row>
    <row r="29" spans="1:6" ht="14.1" customHeight="1">
      <c r="A29" s="272" t="s">
        <v>126</v>
      </c>
      <c r="B29" s="273">
        <v>156761515</v>
      </c>
      <c r="C29" s="273">
        <f>-Data!L29</f>
        <v>-1941500</v>
      </c>
      <c r="D29" s="273">
        <f t="shared" si="0"/>
        <v>154820015</v>
      </c>
      <c r="E29" s="273">
        <f>-'- 15 -'!H29-'- 16 -'!B29</f>
        <v>-639249</v>
      </c>
      <c r="F29" s="273">
        <f t="shared" si="1"/>
        <v>154180766</v>
      </c>
    </row>
    <row r="30" spans="1:6" ht="14.1" customHeight="1">
      <c r="A30" s="16" t="s">
        <v>127</v>
      </c>
      <c r="B30" s="17">
        <v>14039741</v>
      </c>
      <c r="C30" s="17">
        <f>-Data!L30</f>
        <v>-47298</v>
      </c>
      <c r="D30" s="17">
        <f t="shared" si="0"/>
        <v>13992443</v>
      </c>
      <c r="E30" s="17">
        <f>-'- 15 -'!H30-'- 16 -'!B30</f>
        <v>-12691</v>
      </c>
      <c r="F30" s="17">
        <f t="shared" si="1"/>
        <v>13979752</v>
      </c>
    </row>
    <row r="31" spans="1:6" ht="14.1" customHeight="1">
      <c r="A31" s="272" t="s">
        <v>128</v>
      </c>
      <c r="B31" s="273">
        <v>36259543</v>
      </c>
      <c r="C31" s="273">
        <f>-Data!L31</f>
        <v>-50000</v>
      </c>
      <c r="D31" s="273">
        <f t="shared" si="0"/>
        <v>36209543</v>
      </c>
      <c r="E31" s="273">
        <f>-'- 15 -'!H31-'- 16 -'!B31</f>
        <v>-53529</v>
      </c>
      <c r="F31" s="273">
        <f t="shared" si="1"/>
        <v>36156014</v>
      </c>
    </row>
    <row r="32" spans="1:6" ht="14.1" customHeight="1">
      <c r="A32" s="16" t="s">
        <v>129</v>
      </c>
      <c r="B32" s="17">
        <v>28960712</v>
      </c>
      <c r="C32" s="17">
        <f>-Data!L32</f>
        <v>-204100</v>
      </c>
      <c r="D32" s="17">
        <f t="shared" si="0"/>
        <v>28756612</v>
      </c>
      <c r="E32" s="17">
        <f>-'- 15 -'!H32-'- 16 -'!B32</f>
        <v>-299135</v>
      </c>
      <c r="F32" s="17">
        <f t="shared" si="1"/>
        <v>28457477</v>
      </c>
    </row>
    <row r="33" spans="1:7" ht="14.1" customHeight="1">
      <c r="A33" s="272" t="s">
        <v>130</v>
      </c>
      <c r="B33" s="273">
        <v>27380800</v>
      </c>
      <c r="C33" s="273">
        <f>-Data!L33</f>
        <v>-107000</v>
      </c>
      <c r="D33" s="273">
        <f t="shared" si="0"/>
        <v>27273800</v>
      </c>
      <c r="E33" s="273">
        <f>-'- 15 -'!H33-'- 16 -'!B33</f>
        <v>-30000</v>
      </c>
      <c r="F33" s="273">
        <f t="shared" si="1"/>
        <v>27243800</v>
      </c>
    </row>
    <row r="34" spans="1:7" ht="14.1" customHeight="1">
      <c r="A34" s="16" t="s">
        <v>131</v>
      </c>
      <c r="B34" s="17">
        <v>28090848</v>
      </c>
      <c r="C34" s="17">
        <f>-Data!L34</f>
        <v>-421371</v>
      </c>
      <c r="D34" s="17">
        <f t="shared" si="0"/>
        <v>27669477</v>
      </c>
      <c r="E34" s="17">
        <f>-'- 15 -'!H34-'- 16 -'!B34</f>
        <v>-59875</v>
      </c>
      <c r="F34" s="17">
        <f t="shared" si="1"/>
        <v>27609602</v>
      </c>
    </row>
    <row r="35" spans="1:7" ht="14.1" customHeight="1">
      <c r="A35" s="272" t="s">
        <v>132</v>
      </c>
      <c r="B35" s="273">
        <v>176236274</v>
      </c>
      <c r="C35" s="273">
        <f>-Data!L35</f>
        <v>-47300</v>
      </c>
      <c r="D35" s="273">
        <f t="shared" si="0"/>
        <v>176188974</v>
      </c>
      <c r="E35" s="273">
        <f>-'- 15 -'!H35-'- 16 -'!B35</f>
        <v>-620298</v>
      </c>
      <c r="F35" s="273">
        <f t="shared" si="1"/>
        <v>175568676</v>
      </c>
    </row>
    <row r="36" spans="1:7" ht="14.1" customHeight="1">
      <c r="A36" s="16" t="s">
        <v>133</v>
      </c>
      <c r="B36" s="17">
        <v>23235580</v>
      </c>
      <c r="C36" s="17">
        <f>-Data!L36</f>
        <v>-233000</v>
      </c>
      <c r="D36" s="17">
        <f t="shared" si="0"/>
        <v>23002580</v>
      </c>
      <c r="E36" s="17">
        <f>-'- 15 -'!H36-'- 16 -'!B36</f>
        <v>-59385</v>
      </c>
      <c r="F36" s="17">
        <f t="shared" si="1"/>
        <v>22943195</v>
      </c>
    </row>
    <row r="37" spans="1:7" ht="14.1" customHeight="1">
      <c r="A37" s="272" t="s">
        <v>134</v>
      </c>
      <c r="B37" s="273">
        <v>47303000</v>
      </c>
      <c r="C37" s="273">
        <f>-Data!L37</f>
        <v>-531000</v>
      </c>
      <c r="D37" s="273">
        <f t="shared" si="0"/>
        <v>46772000</v>
      </c>
      <c r="E37" s="273">
        <f>-'- 15 -'!H37-'- 16 -'!B37</f>
        <v>-299879</v>
      </c>
      <c r="F37" s="273">
        <f t="shared" si="1"/>
        <v>46472121</v>
      </c>
    </row>
    <row r="38" spans="1:7" ht="14.1" customHeight="1">
      <c r="A38" s="16" t="s">
        <v>135</v>
      </c>
      <c r="B38" s="17">
        <v>130365843</v>
      </c>
      <c r="C38" s="17">
        <f>-Data!L38</f>
        <v>-1202500</v>
      </c>
      <c r="D38" s="17">
        <f t="shared" si="0"/>
        <v>129163343</v>
      </c>
      <c r="E38" s="17">
        <f>-'- 15 -'!H38-'- 16 -'!B38</f>
        <v>-2748925</v>
      </c>
      <c r="F38" s="17">
        <f t="shared" si="1"/>
        <v>126414418</v>
      </c>
    </row>
    <row r="39" spans="1:7" ht="14.1" customHeight="1">
      <c r="A39" s="272" t="s">
        <v>136</v>
      </c>
      <c r="B39" s="273">
        <v>22105830</v>
      </c>
      <c r="C39" s="273">
        <f>-Data!L39</f>
        <v>-175000</v>
      </c>
      <c r="D39" s="273">
        <f t="shared" si="0"/>
        <v>21930830</v>
      </c>
      <c r="E39" s="273">
        <f>-'- 15 -'!H39-'- 16 -'!B39</f>
        <v>-147250</v>
      </c>
      <c r="F39" s="273">
        <f t="shared" si="1"/>
        <v>21783580</v>
      </c>
    </row>
    <row r="40" spans="1:7" ht="14.1" customHeight="1">
      <c r="A40" s="16" t="s">
        <v>137</v>
      </c>
      <c r="B40" s="17">
        <v>102544626</v>
      </c>
      <c r="C40" s="17">
        <f>-Data!L40</f>
        <v>-486000</v>
      </c>
      <c r="D40" s="17">
        <f t="shared" si="0"/>
        <v>102058626</v>
      </c>
      <c r="E40" s="17">
        <f>-'- 15 -'!H40-'- 16 -'!B40</f>
        <v>-1121296</v>
      </c>
      <c r="F40" s="17">
        <f t="shared" si="1"/>
        <v>100937330</v>
      </c>
    </row>
    <row r="41" spans="1:7" ht="14.1" customHeight="1">
      <c r="A41" s="272" t="s">
        <v>138</v>
      </c>
      <c r="B41" s="273">
        <v>62924224</v>
      </c>
      <c r="C41" s="273">
        <f>-Data!L41</f>
        <v>-678500</v>
      </c>
      <c r="D41" s="273">
        <f t="shared" si="0"/>
        <v>62245724</v>
      </c>
      <c r="E41" s="273">
        <f>-'- 15 -'!H41-'- 16 -'!B41</f>
        <v>-1260517</v>
      </c>
      <c r="F41" s="273">
        <f t="shared" si="1"/>
        <v>60985207</v>
      </c>
    </row>
    <row r="42" spans="1:7" ht="14.1" customHeight="1">
      <c r="A42" s="16" t="s">
        <v>139</v>
      </c>
      <c r="B42" s="17">
        <v>20616342</v>
      </c>
      <c r="C42" s="17">
        <f>-Data!L42</f>
        <v>-2600</v>
      </c>
      <c r="D42" s="17">
        <f t="shared" si="0"/>
        <v>20613742</v>
      </c>
      <c r="E42" s="17">
        <f>-'- 15 -'!H42-'- 16 -'!B42</f>
        <v>-225600</v>
      </c>
      <c r="F42" s="17">
        <f t="shared" si="1"/>
        <v>20388142</v>
      </c>
    </row>
    <row r="43" spans="1:7" ht="14.1" customHeight="1">
      <c r="A43" s="272" t="s">
        <v>140</v>
      </c>
      <c r="B43" s="273">
        <v>12860338</v>
      </c>
      <c r="C43" s="273">
        <f>-Data!L43</f>
        <v>-26000</v>
      </c>
      <c r="D43" s="273">
        <f t="shared" si="0"/>
        <v>12834338</v>
      </c>
      <c r="E43" s="273">
        <f>-'- 15 -'!H43-'- 16 -'!B43</f>
        <v>-217123</v>
      </c>
      <c r="F43" s="273">
        <f t="shared" si="1"/>
        <v>12617215</v>
      </c>
    </row>
    <row r="44" spans="1:7" ht="14.1" customHeight="1">
      <c r="A44" s="16" t="s">
        <v>141</v>
      </c>
      <c r="B44" s="17">
        <v>11170939</v>
      </c>
      <c r="C44" s="17">
        <f>-Data!L44</f>
        <v>-193804</v>
      </c>
      <c r="D44" s="17">
        <f t="shared" si="0"/>
        <v>10977135</v>
      </c>
      <c r="E44" s="17">
        <f>-'- 15 -'!H44-'- 16 -'!B44</f>
        <v>-12021</v>
      </c>
      <c r="F44" s="17">
        <f t="shared" si="1"/>
        <v>10965114</v>
      </c>
    </row>
    <row r="45" spans="1:7" ht="14.1" customHeight="1">
      <c r="A45" s="272" t="s">
        <v>142</v>
      </c>
      <c r="B45" s="273">
        <v>18537776</v>
      </c>
      <c r="C45" s="273">
        <f>-Data!L45</f>
        <v>-224700</v>
      </c>
      <c r="D45" s="273">
        <f t="shared" si="0"/>
        <v>18313076</v>
      </c>
      <c r="E45" s="273">
        <f>-'- 15 -'!H45-'- 16 -'!B45</f>
        <v>-440807</v>
      </c>
      <c r="F45" s="273">
        <f t="shared" si="1"/>
        <v>17872269</v>
      </c>
    </row>
    <row r="46" spans="1:7" ht="14.1" customHeight="1">
      <c r="A46" s="16" t="s">
        <v>143</v>
      </c>
      <c r="B46" s="17">
        <v>385468000</v>
      </c>
      <c r="C46" s="17">
        <f>-Data!L46</f>
        <v>-2507500</v>
      </c>
      <c r="D46" s="17">
        <f t="shared" si="0"/>
        <v>382960500</v>
      </c>
      <c r="E46" s="17">
        <f>-'- 15 -'!H46-'- 16 -'!B46</f>
        <v>-10103800</v>
      </c>
      <c r="F46" s="17">
        <f t="shared" si="1"/>
        <v>372856700</v>
      </c>
    </row>
    <row r="47" spans="1:7" ht="5.0999999999999996" customHeight="1">
      <c r="A47"/>
      <c r="B47"/>
      <c r="C47"/>
      <c r="D47"/>
      <c r="E47"/>
      <c r="F47"/>
      <c r="G47"/>
    </row>
    <row r="48" spans="1:7" ht="14.1" customHeight="1">
      <c r="A48" s="275" t="s">
        <v>144</v>
      </c>
      <c r="B48" s="276">
        <f>SUM(B11:B46)</f>
        <v>2250059082</v>
      </c>
      <c r="C48" s="276">
        <f>SUM(C11:C46)</f>
        <v>-17963546</v>
      </c>
      <c r="D48" s="276">
        <f>SUM(D11:D46)</f>
        <v>2232095536</v>
      </c>
      <c r="E48" s="276">
        <f>SUM(E11:E46)</f>
        <v>-30306497</v>
      </c>
      <c r="F48" s="276">
        <f>SUM(F11:F46)</f>
        <v>2201789039</v>
      </c>
    </row>
    <row r="49" spans="1:6" ht="5.0999999999999996" customHeight="1">
      <c r="A49" s="18" t="s">
        <v>1</v>
      </c>
      <c r="B49" s="19"/>
      <c r="C49" s="19"/>
      <c r="D49" s="19"/>
      <c r="E49" s="19"/>
      <c r="F49" s="19"/>
    </row>
    <row r="50" spans="1:6" ht="14.1" customHeight="1">
      <c r="A50" s="16" t="s">
        <v>145</v>
      </c>
      <c r="B50" s="17">
        <v>3370584.25</v>
      </c>
      <c r="C50" s="17">
        <f>-Data!L50</f>
        <v>-13000</v>
      </c>
      <c r="D50" s="17">
        <f>B50+C50</f>
        <v>3357584.25</v>
      </c>
      <c r="E50" s="17">
        <f>-'- 15 -'!H50-'- 16 -'!B50</f>
        <v>-177125</v>
      </c>
      <c r="F50" s="17">
        <f>D50+E50</f>
        <v>3180459.25</v>
      </c>
    </row>
    <row r="51" spans="1:6" ht="14.1" customHeight="1">
      <c r="A51" s="364" t="s">
        <v>540</v>
      </c>
      <c r="B51" s="273">
        <v>26076234</v>
      </c>
      <c r="C51" s="273">
        <f>-Data!L51</f>
        <v>-746112</v>
      </c>
      <c r="D51" s="273">
        <f>B51+C51</f>
        <v>25330122</v>
      </c>
      <c r="E51" s="273">
        <f>-'- 15 -'!H51-'- 16 -'!B51</f>
        <v>-12117011</v>
      </c>
      <c r="F51" s="273">
        <f>D51+E51</f>
        <v>13213111</v>
      </c>
    </row>
    <row r="52" spans="1:6" ht="50.1" customHeight="1">
      <c r="A52" s="20"/>
      <c r="B52" s="20"/>
      <c r="C52" s="20"/>
      <c r="D52" s="20"/>
      <c r="E52" s="20"/>
      <c r="F52" s="20"/>
    </row>
    <row r="53" spans="1:6" ht="15" customHeight="1">
      <c r="A53" s="2" t="s">
        <v>332</v>
      </c>
      <c r="B53" s="21"/>
      <c r="C53" s="21"/>
      <c r="D53" s="21"/>
      <c r="E53" s="21"/>
      <c r="F53" s="21"/>
    </row>
    <row r="54" spans="1:6" ht="12" customHeight="1">
      <c r="A54" s="433" t="s">
        <v>333</v>
      </c>
      <c r="B54" s="21"/>
      <c r="C54" s="21"/>
      <c r="D54" s="21"/>
      <c r="E54" s="21"/>
      <c r="F54" s="21"/>
    </row>
    <row r="55" spans="1:6" ht="12" customHeight="1">
      <c r="A55" s="358" t="s">
        <v>370</v>
      </c>
      <c r="B55" s="21"/>
      <c r="C55" s="21"/>
      <c r="D55" s="21"/>
      <c r="E55" s="21"/>
      <c r="F55" s="21"/>
    </row>
    <row r="56" spans="1:6" ht="12" customHeight="1">
      <c r="A56" s="433" t="s">
        <v>334</v>
      </c>
      <c r="B56" s="21"/>
      <c r="C56" s="21"/>
      <c r="D56" s="21"/>
      <c r="E56" s="21"/>
      <c r="F56" s="21"/>
    </row>
    <row r="57" spans="1:6" ht="12" customHeight="1">
      <c r="A57" s="433" t="s">
        <v>335</v>
      </c>
    </row>
    <row r="58" spans="1:6" ht="12" customHeight="1">
      <c r="A58" s="433" t="s">
        <v>336</v>
      </c>
    </row>
    <row r="59" spans="1:6" ht="14.45" customHeight="1"/>
    <row r="64" spans="1:6">
      <c r="B64" s="1">
        <v>0</v>
      </c>
    </row>
    <row r="65536" spans="2:2">
      <c r="B65536" s="1">
        <v>0</v>
      </c>
    </row>
  </sheetData>
  <mergeCells count="5">
    <mergeCell ref="C6:C9"/>
    <mergeCell ref="D6:D9"/>
    <mergeCell ref="E6:E9"/>
    <mergeCell ref="F6:F9"/>
    <mergeCell ref="B8:B9"/>
  </mergeCells>
  <phoneticPr fontId="0" type="noConversion"/>
  <printOptions horizontalCentered="1"/>
  <pageMargins left="0.5" right="0.5" top="0.6" bottom="0" header="0.3" footer="0"/>
  <pageSetup scale="90" orientation="portrait" horizontalDpi="1200" verticalDpi="1200"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9"/>
  <sheetViews>
    <sheetView showGridLines="0" showZeros="0" workbookViewId="0"/>
  </sheetViews>
  <sheetFormatPr defaultColWidth="15.83203125" defaultRowHeight="12"/>
  <cols>
    <col min="1" max="1" width="29.33203125" style="1" customWidth="1"/>
    <col min="2" max="2" width="12.83203125" style="1" customWidth="1"/>
    <col min="3" max="3" width="8.83203125" style="1" customWidth="1"/>
    <col min="4" max="4" width="16.83203125" style="1" customWidth="1"/>
    <col min="5" max="5" width="8.83203125" style="1" customWidth="1"/>
    <col min="6" max="6" width="16.1640625" style="1" customWidth="1"/>
    <col min="7" max="7" width="8.83203125" style="1" customWidth="1"/>
    <col min="8" max="8" width="15.33203125" style="1" customWidth="1"/>
    <col min="9" max="9" width="8.83203125" style="1" customWidth="1"/>
    <col min="10" max="16384" width="15.83203125" style="1"/>
  </cols>
  <sheetData>
    <row r="1" spans="1:9" ht="6.95" customHeight="1">
      <c r="A1" s="3"/>
      <c r="B1" s="4"/>
      <c r="C1" s="4"/>
      <c r="D1" s="4"/>
      <c r="E1" s="4"/>
      <c r="F1" s="4"/>
      <c r="G1" s="4"/>
      <c r="H1" s="4"/>
      <c r="I1" s="4"/>
    </row>
    <row r="2" spans="1:9" ht="15.95" customHeight="1">
      <c r="A2" s="133"/>
      <c r="B2" s="5" t="str">
        <f>AEXP_BP</f>
        <v>ANALYSIS OF EXPENSE BY PROGRAM</v>
      </c>
      <c r="C2" s="6"/>
      <c r="D2" s="6"/>
      <c r="E2" s="6"/>
      <c r="F2" s="6"/>
      <c r="G2" s="86"/>
      <c r="H2" s="86"/>
      <c r="I2" s="510" t="s">
        <v>566</v>
      </c>
    </row>
    <row r="3" spans="1:9" ht="15.95" customHeight="1">
      <c r="A3" s="136"/>
      <c r="B3" s="7" t="str">
        <f>OPYEAR</f>
        <v>OPERATING FUND 2015/2016 BUDGET</v>
      </c>
      <c r="C3" s="8"/>
      <c r="D3" s="8"/>
      <c r="E3" s="8"/>
      <c r="F3" s="8"/>
      <c r="G3" s="88"/>
      <c r="H3" s="88"/>
      <c r="I3" s="82"/>
    </row>
    <row r="4" spans="1:9" ht="15.95" customHeight="1">
      <c r="B4" s="4"/>
      <c r="C4" s="4"/>
      <c r="D4" s="4"/>
      <c r="E4" s="4"/>
      <c r="F4" s="4"/>
      <c r="G4" s="4"/>
      <c r="H4" s="4"/>
      <c r="I4" s="4"/>
    </row>
    <row r="5" spans="1:9" ht="15.95" customHeight="1">
      <c r="B5" s="666" t="s">
        <v>7</v>
      </c>
      <c r="C5" s="667"/>
      <c r="D5" s="656"/>
      <c r="E5" s="656"/>
      <c r="F5" s="656"/>
      <c r="G5" s="656"/>
      <c r="H5" s="656"/>
      <c r="I5" s="657"/>
    </row>
    <row r="6" spans="1:9" ht="15.95" customHeight="1">
      <c r="B6" s="511"/>
      <c r="C6" s="512"/>
      <c r="D6" s="617" t="s">
        <v>430</v>
      </c>
      <c r="E6" s="608"/>
      <c r="F6" s="302"/>
      <c r="G6" s="303"/>
      <c r="H6" s="269"/>
      <c r="I6" s="271"/>
    </row>
    <row r="7" spans="1:9" ht="15.95" customHeight="1">
      <c r="B7" s="668" t="s">
        <v>428</v>
      </c>
      <c r="C7" s="669"/>
      <c r="D7" s="672"/>
      <c r="E7" s="673"/>
      <c r="F7" s="674" t="s">
        <v>431</v>
      </c>
      <c r="G7" s="673"/>
      <c r="H7" s="674" t="s">
        <v>432</v>
      </c>
      <c r="I7" s="673"/>
    </row>
    <row r="8" spans="1:9" ht="15.95" customHeight="1">
      <c r="A8" s="250"/>
      <c r="B8" s="670"/>
      <c r="C8" s="671"/>
      <c r="D8" s="618"/>
      <c r="E8" s="610"/>
      <c r="F8" s="609"/>
      <c r="G8" s="610"/>
      <c r="H8" s="609"/>
      <c r="I8" s="610"/>
    </row>
    <row r="9" spans="1:9" ht="15.95" customHeight="1">
      <c r="A9" s="28" t="s">
        <v>37</v>
      </c>
      <c r="B9" s="90" t="s">
        <v>38</v>
      </c>
      <c r="C9" s="90" t="s">
        <v>39</v>
      </c>
      <c r="D9" s="152" t="s">
        <v>38</v>
      </c>
      <c r="E9" s="152" t="s">
        <v>39</v>
      </c>
      <c r="F9" s="152" t="s">
        <v>38</v>
      </c>
      <c r="G9" s="152" t="s">
        <v>39</v>
      </c>
      <c r="H9" s="152" t="s">
        <v>38</v>
      </c>
      <c r="I9" s="152" t="s">
        <v>39</v>
      </c>
    </row>
    <row r="10" spans="1:9" ht="5.0999999999999996" customHeight="1">
      <c r="A10" s="30"/>
    </row>
    <row r="11" spans="1:9" ht="14.1" customHeight="1">
      <c r="A11" s="272" t="s">
        <v>109</v>
      </c>
      <c r="B11" s="273">
        <v>0</v>
      </c>
      <c r="C11" s="274">
        <f>B11/'- 3 -'!$D11*100</f>
        <v>0</v>
      </c>
      <c r="D11" s="273">
        <v>0</v>
      </c>
      <c r="E11" s="274">
        <f>D11/'- 3 -'!$D11*100</f>
        <v>0</v>
      </c>
      <c r="F11" s="273">
        <v>0</v>
      </c>
      <c r="G11" s="274">
        <f>F11/'- 3 -'!$D11*100</f>
        <v>0</v>
      </c>
      <c r="H11" s="273">
        <v>20600</v>
      </c>
      <c r="I11" s="274">
        <f>H11/'- 3 -'!$D11*100</f>
        <v>0.11191163544187169</v>
      </c>
    </row>
    <row r="12" spans="1:9" ht="14.1" customHeight="1">
      <c r="A12" s="16" t="s">
        <v>110</v>
      </c>
      <c r="B12" s="17">
        <v>0</v>
      </c>
      <c r="C12" s="268">
        <f>B12/'- 3 -'!$D12*100</f>
        <v>0</v>
      </c>
      <c r="D12" s="17">
        <v>0</v>
      </c>
      <c r="E12" s="268">
        <f>D12/'- 3 -'!$D12*100</f>
        <v>0</v>
      </c>
      <c r="F12" s="17">
        <v>0</v>
      </c>
      <c r="G12" s="268">
        <f>F12/'- 3 -'!$D12*100</f>
        <v>0</v>
      </c>
      <c r="H12" s="17">
        <v>54882</v>
      </c>
      <c r="I12" s="268">
        <f>H12/'- 3 -'!$D12*100</f>
        <v>0.17114700708378716</v>
      </c>
    </row>
    <row r="13" spans="1:9" ht="14.1" customHeight="1">
      <c r="A13" s="272" t="s">
        <v>111</v>
      </c>
      <c r="B13" s="273">
        <v>0</v>
      </c>
      <c r="C13" s="274">
        <f>B13/'- 3 -'!$D13*100</f>
        <v>0</v>
      </c>
      <c r="D13" s="273">
        <v>0</v>
      </c>
      <c r="E13" s="274">
        <f>D13/'- 3 -'!$D13*100</f>
        <v>0</v>
      </c>
      <c r="F13" s="273">
        <v>166000</v>
      </c>
      <c r="G13" s="274">
        <f>F13/'- 3 -'!$D13*100</f>
        <v>0.17870945932852611</v>
      </c>
      <c r="H13" s="273">
        <v>208800</v>
      </c>
      <c r="I13" s="274">
        <f>H13/'- 3 -'!$D13*100</f>
        <v>0.22478635607106179</v>
      </c>
    </row>
    <row r="14" spans="1:9" ht="14.1" customHeight="1">
      <c r="A14" s="16" t="s">
        <v>324</v>
      </c>
      <c r="B14" s="17">
        <v>0</v>
      </c>
      <c r="C14" s="268">
        <f>B14/'- 3 -'!$D14*100</f>
        <v>0</v>
      </c>
      <c r="D14" s="17">
        <v>0</v>
      </c>
      <c r="E14" s="268">
        <f>D14/'- 3 -'!$D14*100</f>
        <v>0</v>
      </c>
      <c r="F14" s="17">
        <v>0</v>
      </c>
      <c r="G14" s="268">
        <f>F14/'- 3 -'!$D14*100</f>
        <v>0</v>
      </c>
      <c r="H14" s="17">
        <v>1471980</v>
      </c>
      <c r="I14" s="268">
        <f>H14/'- 3 -'!$D14*100</f>
        <v>1.7749165006196856</v>
      </c>
    </row>
    <row r="15" spans="1:9" ht="14.1" customHeight="1">
      <c r="A15" s="272" t="s">
        <v>112</v>
      </c>
      <c r="B15" s="273">
        <v>0</v>
      </c>
      <c r="C15" s="274">
        <f>B15/'- 3 -'!$D15*100</f>
        <v>0</v>
      </c>
      <c r="D15" s="273">
        <v>0</v>
      </c>
      <c r="E15" s="274">
        <f>D15/'- 3 -'!$D15*100</f>
        <v>0</v>
      </c>
      <c r="F15" s="273">
        <v>0</v>
      </c>
      <c r="G15" s="274">
        <f>F15/'- 3 -'!$D15*100</f>
        <v>0</v>
      </c>
      <c r="H15" s="273">
        <v>72000</v>
      </c>
      <c r="I15" s="274">
        <f>H15/'- 3 -'!$D15*100</f>
        <v>0.35790576808392216</v>
      </c>
    </row>
    <row r="16" spans="1:9" ht="14.1" customHeight="1">
      <c r="A16" s="16" t="s">
        <v>113</v>
      </c>
      <c r="B16" s="17">
        <v>0</v>
      </c>
      <c r="C16" s="268">
        <f>B16/'- 3 -'!$D16*100</f>
        <v>0</v>
      </c>
      <c r="D16" s="17">
        <v>0</v>
      </c>
      <c r="E16" s="268">
        <f>D16/'- 3 -'!$D16*100</f>
        <v>0</v>
      </c>
      <c r="F16" s="17">
        <v>0</v>
      </c>
      <c r="G16" s="268">
        <f>F16/'- 3 -'!$D16*100</f>
        <v>0</v>
      </c>
      <c r="H16" s="17">
        <v>12580</v>
      </c>
      <c r="I16" s="268">
        <f>H16/'- 3 -'!$D16*100</f>
        <v>8.9424882139355955E-2</v>
      </c>
    </row>
    <row r="17" spans="1:9" ht="14.1" customHeight="1">
      <c r="A17" s="272" t="s">
        <v>114</v>
      </c>
      <c r="B17" s="273">
        <v>0</v>
      </c>
      <c r="C17" s="274">
        <f>B17/'- 3 -'!$D17*100</f>
        <v>0</v>
      </c>
      <c r="D17" s="273">
        <v>0</v>
      </c>
      <c r="E17" s="274">
        <f>D17/'- 3 -'!$D17*100</f>
        <v>0</v>
      </c>
      <c r="F17" s="273">
        <v>0</v>
      </c>
      <c r="G17" s="274">
        <f>F17/'- 3 -'!$D17*100</f>
        <v>0</v>
      </c>
      <c r="H17" s="273">
        <v>265810</v>
      </c>
      <c r="I17" s="274">
        <f>H17/'- 3 -'!$D17*100</f>
        <v>1.5109137813969629</v>
      </c>
    </row>
    <row r="18" spans="1:9" ht="14.1" customHeight="1">
      <c r="A18" s="16" t="s">
        <v>115</v>
      </c>
      <c r="B18" s="17">
        <v>0</v>
      </c>
      <c r="C18" s="268">
        <f>B18/'- 3 -'!$D18*100</f>
        <v>0</v>
      </c>
      <c r="D18" s="17">
        <v>0</v>
      </c>
      <c r="E18" s="268">
        <f>D18/'- 3 -'!$D18*100</f>
        <v>0</v>
      </c>
      <c r="F18" s="17">
        <v>888439</v>
      </c>
      <c r="G18" s="268">
        <f>F18/'- 3 -'!$D18*100</f>
        <v>0.69403928372696733</v>
      </c>
      <c r="H18" s="17">
        <v>1543869</v>
      </c>
      <c r="I18" s="268">
        <f>H18/'- 3 -'!$D18*100</f>
        <v>1.2060543660603253</v>
      </c>
    </row>
    <row r="19" spans="1:9" ht="14.1" customHeight="1">
      <c r="A19" s="272" t="s">
        <v>116</v>
      </c>
      <c r="B19" s="273">
        <v>0</v>
      </c>
      <c r="C19" s="274">
        <f>B19/'- 3 -'!$D19*100</f>
        <v>0</v>
      </c>
      <c r="D19" s="273">
        <v>0</v>
      </c>
      <c r="E19" s="274">
        <f>D19/'- 3 -'!$D19*100</f>
        <v>0</v>
      </c>
      <c r="F19" s="273">
        <v>0</v>
      </c>
      <c r="G19" s="274">
        <f>F19/'- 3 -'!$D19*100</f>
        <v>0</v>
      </c>
      <c r="H19" s="273">
        <v>80300</v>
      </c>
      <c r="I19" s="274">
        <f>H19/'- 3 -'!$D19*100</f>
        <v>0.17866909104825579</v>
      </c>
    </row>
    <row r="20" spans="1:9" ht="14.1" customHeight="1">
      <c r="A20" s="16" t="s">
        <v>117</v>
      </c>
      <c r="B20" s="17">
        <v>0</v>
      </c>
      <c r="C20" s="268">
        <f>B20/'- 3 -'!$D20*100</f>
        <v>0</v>
      </c>
      <c r="D20" s="17">
        <v>0</v>
      </c>
      <c r="E20" s="268">
        <f>D20/'- 3 -'!$D20*100</f>
        <v>0</v>
      </c>
      <c r="F20" s="17">
        <v>0</v>
      </c>
      <c r="G20" s="268">
        <f>F20/'- 3 -'!$D20*100</f>
        <v>0</v>
      </c>
      <c r="H20" s="17">
        <v>150700</v>
      </c>
      <c r="I20" s="268">
        <f>H20/'- 3 -'!$D20*100</f>
        <v>0.19127569592875965</v>
      </c>
    </row>
    <row r="21" spans="1:9" ht="14.1" customHeight="1">
      <c r="A21" s="272" t="s">
        <v>118</v>
      </c>
      <c r="B21" s="273">
        <v>175000</v>
      </c>
      <c r="C21" s="274">
        <f>B21/'- 3 -'!$D21*100</f>
        <v>0.4929024442130901</v>
      </c>
      <c r="D21" s="273">
        <v>0</v>
      </c>
      <c r="E21" s="274">
        <f>D21/'- 3 -'!$D21*100</f>
        <v>0</v>
      </c>
      <c r="F21" s="273">
        <v>0</v>
      </c>
      <c r="G21" s="274">
        <f>F21/'- 3 -'!$D21*100</f>
        <v>0</v>
      </c>
      <c r="H21" s="273">
        <v>97000</v>
      </c>
      <c r="I21" s="274">
        <f>H21/'- 3 -'!$D21*100</f>
        <v>0.27320878336382709</v>
      </c>
    </row>
    <row r="22" spans="1:9" ht="14.1" customHeight="1">
      <c r="A22" s="16" t="s">
        <v>119</v>
      </c>
      <c r="B22" s="17">
        <v>0</v>
      </c>
      <c r="C22" s="268">
        <f>B22/'- 3 -'!$D22*100</f>
        <v>0</v>
      </c>
      <c r="D22" s="17">
        <v>0</v>
      </c>
      <c r="E22" s="268">
        <f>D22/'- 3 -'!$D22*100</f>
        <v>0</v>
      </c>
      <c r="F22" s="17">
        <v>80135</v>
      </c>
      <c r="G22" s="268">
        <f>F22/'- 3 -'!$D22*100</f>
        <v>0.38843824365128748</v>
      </c>
      <c r="H22" s="17">
        <v>0</v>
      </c>
      <c r="I22" s="268">
        <f>H22/'- 3 -'!$D22*100</f>
        <v>0</v>
      </c>
    </row>
    <row r="23" spans="1:9" ht="14.1" customHeight="1">
      <c r="A23" s="272" t="s">
        <v>120</v>
      </c>
      <c r="B23" s="273">
        <v>126228</v>
      </c>
      <c r="C23" s="274">
        <f>B23/'- 3 -'!$D23*100</f>
        <v>0.76500895534653857</v>
      </c>
      <c r="D23" s="273">
        <v>0</v>
      </c>
      <c r="E23" s="274">
        <f>D23/'- 3 -'!$D23*100</f>
        <v>0</v>
      </c>
      <c r="F23" s="273">
        <v>117000</v>
      </c>
      <c r="G23" s="274">
        <f>F23/'- 3 -'!$D23*100</f>
        <v>0.70908235712793521</v>
      </c>
      <c r="H23" s="273">
        <v>40000</v>
      </c>
      <c r="I23" s="274">
        <f>H23/'- 3 -'!$D23*100</f>
        <v>0.24242131867621719</v>
      </c>
    </row>
    <row r="24" spans="1:9" ht="14.1" customHeight="1">
      <c r="A24" s="16" t="s">
        <v>121</v>
      </c>
      <c r="B24" s="17">
        <v>208610</v>
      </c>
      <c r="C24" s="268">
        <f>B24/'- 3 -'!$D24*100</f>
        <v>0.37313556307812784</v>
      </c>
      <c r="D24" s="17">
        <v>0</v>
      </c>
      <c r="E24" s="268">
        <f>D24/'- 3 -'!$D24*100</f>
        <v>0</v>
      </c>
      <c r="F24" s="17">
        <v>236975</v>
      </c>
      <c r="G24" s="268">
        <f>F24/'- 3 -'!$D24*100</f>
        <v>0.42387133915171538</v>
      </c>
      <c r="H24" s="17">
        <v>0</v>
      </c>
      <c r="I24" s="268">
        <f>H24/'- 3 -'!$D24*100</f>
        <v>0</v>
      </c>
    </row>
    <row r="25" spans="1:9" ht="14.1" customHeight="1">
      <c r="A25" s="272" t="s">
        <v>122</v>
      </c>
      <c r="B25" s="273">
        <v>345453</v>
      </c>
      <c r="C25" s="274">
        <f>B25/'- 3 -'!$D25*100</f>
        <v>0.20668193142117938</v>
      </c>
      <c r="D25" s="273">
        <v>0</v>
      </c>
      <c r="E25" s="274">
        <f>D25/'- 3 -'!$D25*100</f>
        <v>0</v>
      </c>
      <c r="F25" s="273">
        <v>178700</v>
      </c>
      <c r="G25" s="274">
        <f>F25/'- 3 -'!$D25*100</f>
        <v>0.10691486582824511</v>
      </c>
      <c r="H25" s="273">
        <v>737706</v>
      </c>
      <c r="I25" s="274">
        <f>H25/'- 3 -'!$D25*100</f>
        <v>0.44136395081528473</v>
      </c>
    </row>
    <row r="26" spans="1:9" ht="14.1" customHeight="1">
      <c r="A26" s="16" t="s">
        <v>123</v>
      </c>
      <c r="B26" s="17">
        <v>0</v>
      </c>
      <c r="C26" s="268">
        <f>B26/'- 3 -'!$D26*100</f>
        <v>0</v>
      </c>
      <c r="D26" s="17">
        <v>0</v>
      </c>
      <c r="E26" s="268">
        <f>D26/'- 3 -'!$D26*100</f>
        <v>0</v>
      </c>
      <c r="F26" s="17">
        <v>0</v>
      </c>
      <c r="G26" s="268">
        <f>F26/'- 3 -'!$D26*100</f>
        <v>0</v>
      </c>
      <c r="H26" s="17">
        <v>113429</v>
      </c>
      <c r="I26" s="268">
        <f>H26/'- 3 -'!$D26*100</f>
        <v>0.28437535561335153</v>
      </c>
    </row>
    <row r="27" spans="1:9" ht="14.1" customHeight="1">
      <c r="A27" s="272" t="s">
        <v>124</v>
      </c>
      <c r="B27" s="273">
        <v>0</v>
      </c>
      <c r="C27" s="274">
        <f>B27/'- 3 -'!$D27*100</f>
        <v>0</v>
      </c>
      <c r="D27" s="273">
        <v>0</v>
      </c>
      <c r="E27" s="274">
        <f>D27/'- 3 -'!$D27*100</f>
        <v>0</v>
      </c>
      <c r="F27" s="273">
        <v>0</v>
      </c>
      <c r="G27" s="274">
        <f>F27/'- 3 -'!$D27*100</f>
        <v>0</v>
      </c>
      <c r="H27" s="273">
        <v>57578</v>
      </c>
      <c r="I27" s="274">
        <f>H27/'- 3 -'!$D27*100</f>
        <v>0.13415001017692946</v>
      </c>
    </row>
    <row r="28" spans="1:9" ht="14.1" customHeight="1">
      <c r="A28" s="16" t="s">
        <v>125</v>
      </c>
      <c r="B28" s="17">
        <v>0</v>
      </c>
      <c r="C28" s="268">
        <f>B28/'- 3 -'!$D28*100</f>
        <v>0</v>
      </c>
      <c r="D28" s="17">
        <v>0</v>
      </c>
      <c r="E28" s="268">
        <f>D28/'- 3 -'!$D28*100</f>
        <v>0</v>
      </c>
      <c r="F28" s="17">
        <v>0</v>
      </c>
      <c r="G28" s="268">
        <f>F28/'- 3 -'!$D28*100</f>
        <v>0</v>
      </c>
      <c r="H28" s="17">
        <v>131308</v>
      </c>
      <c r="I28" s="268">
        <f>H28/'- 3 -'!$D28*100</f>
        <v>0.46881224638642044</v>
      </c>
    </row>
    <row r="29" spans="1:9" ht="14.1" customHeight="1">
      <c r="A29" s="272" t="s">
        <v>126</v>
      </c>
      <c r="B29" s="273">
        <v>0</v>
      </c>
      <c r="C29" s="274">
        <f>B29/'- 3 -'!$D29*100</f>
        <v>0</v>
      </c>
      <c r="D29" s="273">
        <v>0</v>
      </c>
      <c r="E29" s="274">
        <f>D29/'- 3 -'!$D29*100</f>
        <v>0</v>
      </c>
      <c r="F29" s="273">
        <v>303167</v>
      </c>
      <c r="G29" s="274">
        <f>F29/'- 3 -'!$D29*100</f>
        <v>0.19581899665879762</v>
      </c>
      <c r="H29" s="273">
        <v>336082</v>
      </c>
      <c r="I29" s="274">
        <f>H29/'- 3 -'!$D29*100</f>
        <v>0.21707916770321978</v>
      </c>
    </row>
    <row r="30" spans="1:9" ht="14.1" customHeight="1">
      <c r="A30" s="16" t="s">
        <v>127</v>
      </c>
      <c r="B30" s="17">
        <v>0</v>
      </c>
      <c r="C30" s="268">
        <f>B30/'- 3 -'!$D30*100</f>
        <v>0</v>
      </c>
      <c r="D30" s="17">
        <v>0</v>
      </c>
      <c r="E30" s="268">
        <f>D30/'- 3 -'!$D30*100</f>
        <v>0</v>
      </c>
      <c r="F30" s="17">
        <v>0</v>
      </c>
      <c r="G30" s="268">
        <f>F30/'- 3 -'!$D30*100</f>
        <v>0</v>
      </c>
      <c r="H30" s="17">
        <v>12691</v>
      </c>
      <c r="I30" s="268">
        <f>H30/'- 3 -'!$D30*100</f>
        <v>9.0698958001829991E-2</v>
      </c>
    </row>
    <row r="31" spans="1:9" ht="14.1" customHeight="1">
      <c r="A31" s="272" t="s">
        <v>128</v>
      </c>
      <c r="B31" s="273">
        <v>0</v>
      </c>
      <c r="C31" s="274">
        <f>B31/'- 3 -'!$D31*100</f>
        <v>0</v>
      </c>
      <c r="D31" s="273">
        <v>0</v>
      </c>
      <c r="E31" s="274">
        <f>D31/'- 3 -'!$D31*100</f>
        <v>0</v>
      </c>
      <c r="F31" s="273">
        <v>0</v>
      </c>
      <c r="G31" s="274">
        <f>F31/'- 3 -'!$D31*100</f>
        <v>0</v>
      </c>
      <c r="H31" s="273">
        <v>53529</v>
      </c>
      <c r="I31" s="274">
        <f>H31/'- 3 -'!$D31*100</f>
        <v>0.14783119466600284</v>
      </c>
    </row>
    <row r="32" spans="1:9" ht="14.1" customHeight="1">
      <c r="A32" s="16" t="s">
        <v>129</v>
      </c>
      <c r="B32" s="17">
        <v>0</v>
      </c>
      <c r="C32" s="268">
        <f>B32/'- 3 -'!$D32*100</f>
        <v>0</v>
      </c>
      <c r="D32" s="17">
        <v>0</v>
      </c>
      <c r="E32" s="268">
        <f>D32/'- 3 -'!$D32*100</f>
        <v>0</v>
      </c>
      <c r="F32" s="17">
        <v>0</v>
      </c>
      <c r="G32" s="268">
        <f>F32/'- 3 -'!$D32*100</f>
        <v>0</v>
      </c>
      <c r="H32" s="17">
        <v>33685</v>
      </c>
      <c r="I32" s="268">
        <f>H32/'- 3 -'!$D32*100</f>
        <v>0.1171382776246381</v>
      </c>
    </row>
    <row r="33" spans="1:9" ht="14.1" customHeight="1">
      <c r="A33" s="272" t="s">
        <v>130</v>
      </c>
      <c r="B33" s="273">
        <v>0</v>
      </c>
      <c r="C33" s="274">
        <f>B33/'- 3 -'!$D33*100</f>
        <v>0</v>
      </c>
      <c r="D33" s="273">
        <v>0</v>
      </c>
      <c r="E33" s="274">
        <f>D33/'- 3 -'!$D33*100</f>
        <v>0</v>
      </c>
      <c r="F33" s="273">
        <v>0</v>
      </c>
      <c r="G33" s="274">
        <f>F33/'- 3 -'!$D33*100</f>
        <v>0</v>
      </c>
      <c r="H33" s="273">
        <v>30000</v>
      </c>
      <c r="I33" s="274">
        <f>H33/'- 3 -'!$D33*100</f>
        <v>0.10999567350350886</v>
      </c>
    </row>
    <row r="34" spans="1:9" ht="14.1" customHeight="1">
      <c r="A34" s="16" t="s">
        <v>131</v>
      </c>
      <c r="B34" s="17">
        <v>0</v>
      </c>
      <c r="C34" s="268">
        <f>B34/'- 3 -'!$D34*100</f>
        <v>0</v>
      </c>
      <c r="D34" s="17">
        <v>0</v>
      </c>
      <c r="E34" s="268">
        <f>D34/'- 3 -'!$D34*100</f>
        <v>0</v>
      </c>
      <c r="F34" s="17">
        <v>0</v>
      </c>
      <c r="G34" s="268">
        <f>F34/'- 3 -'!$D34*100</f>
        <v>0</v>
      </c>
      <c r="H34" s="17">
        <v>59875</v>
      </c>
      <c r="I34" s="268">
        <f>H34/'- 3 -'!$D34*100</f>
        <v>0.2163936817454121</v>
      </c>
    </row>
    <row r="35" spans="1:9" ht="14.1" customHeight="1">
      <c r="A35" s="272" t="s">
        <v>132</v>
      </c>
      <c r="B35" s="273">
        <v>361900</v>
      </c>
      <c r="C35" s="274">
        <f>B35/'- 3 -'!$D35*100</f>
        <v>0.20540445396997428</v>
      </c>
      <c r="D35" s="273">
        <v>0</v>
      </c>
      <c r="E35" s="274">
        <f>D35/'- 3 -'!$D35*100</f>
        <v>0</v>
      </c>
      <c r="F35" s="273">
        <v>45000</v>
      </c>
      <c r="G35" s="274">
        <f>F35/'- 3 -'!$D35*100</f>
        <v>2.5540758299665223E-2</v>
      </c>
      <c r="H35" s="273">
        <v>213398</v>
      </c>
      <c r="I35" s="274">
        <f>H35/'- 3 -'!$D35*100</f>
        <v>0.12111881643626576</v>
      </c>
    </row>
    <row r="36" spans="1:9" ht="14.1" customHeight="1">
      <c r="A36" s="16" t="s">
        <v>133</v>
      </c>
      <c r="B36" s="17">
        <v>0</v>
      </c>
      <c r="C36" s="268">
        <f>B36/'- 3 -'!$D36*100</f>
        <v>0</v>
      </c>
      <c r="D36" s="17">
        <v>0</v>
      </c>
      <c r="E36" s="268">
        <f>D36/'- 3 -'!$D36*100</f>
        <v>0</v>
      </c>
      <c r="F36" s="17">
        <v>0</v>
      </c>
      <c r="G36" s="268">
        <f>F36/'- 3 -'!$D36*100</f>
        <v>0</v>
      </c>
      <c r="H36" s="17">
        <v>59385</v>
      </c>
      <c r="I36" s="268">
        <f>H36/'- 3 -'!$D36*100</f>
        <v>0.25816669260578595</v>
      </c>
    </row>
    <row r="37" spans="1:9" ht="14.1" customHeight="1">
      <c r="A37" s="272" t="s">
        <v>134</v>
      </c>
      <c r="B37" s="273">
        <v>0</v>
      </c>
      <c r="C37" s="274">
        <f>B37/'- 3 -'!$D37*100</f>
        <v>0</v>
      </c>
      <c r="D37" s="273">
        <v>0</v>
      </c>
      <c r="E37" s="274">
        <f>D37/'- 3 -'!$D37*100</f>
        <v>0</v>
      </c>
      <c r="F37" s="273">
        <v>5000</v>
      </c>
      <c r="G37" s="274">
        <f>F37/'- 3 -'!$D37*100</f>
        <v>1.0690156503891216E-2</v>
      </c>
      <c r="H37" s="273">
        <v>294879</v>
      </c>
      <c r="I37" s="274">
        <f>H37/'- 3 -'!$D37*100</f>
        <v>0.63046053194218765</v>
      </c>
    </row>
    <row r="38" spans="1:9" ht="14.1" customHeight="1">
      <c r="A38" s="16" t="s">
        <v>135</v>
      </c>
      <c r="B38" s="17">
        <v>109680</v>
      </c>
      <c r="C38" s="268">
        <f>B38/'- 3 -'!$D38*100</f>
        <v>8.4915733405878158E-2</v>
      </c>
      <c r="D38" s="17">
        <v>640600</v>
      </c>
      <c r="E38" s="268">
        <f>D38/'- 3 -'!$D38*100</f>
        <v>0.49596114897707477</v>
      </c>
      <c r="F38" s="17">
        <v>772035</v>
      </c>
      <c r="G38" s="268">
        <f>F38/'- 3 -'!$D38*100</f>
        <v>0.59771989642603163</v>
      </c>
      <c r="H38" s="17">
        <v>417590</v>
      </c>
      <c r="I38" s="268">
        <f>H38/'- 3 -'!$D38*100</f>
        <v>0.32330380299927669</v>
      </c>
    </row>
    <row r="39" spans="1:9" ht="14.1" customHeight="1">
      <c r="A39" s="272" t="s">
        <v>136</v>
      </c>
      <c r="B39" s="273">
        <v>0</v>
      </c>
      <c r="C39" s="274">
        <f>B39/'- 3 -'!$D39*100</f>
        <v>0</v>
      </c>
      <c r="D39" s="273">
        <v>0</v>
      </c>
      <c r="E39" s="274">
        <f>D39/'- 3 -'!$D39*100</f>
        <v>0</v>
      </c>
      <c r="F39" s="273">
        <v>0</v>
      </c>
      <c r="G39" s="274">
        <f>F39/'- 3 -'!$D39*100</f>
        <v>0</v>
      </c>
      <c r="H39" s="273">
        <v>147250</v>
      </c>
      <c r="I39" s="274">
        <f>H39/'- 3 -'!$D39*100</f>
        <v>0.67142921631329044</v>
      </c>
    </row>
    <row r="40" spans="1:9" ht="14.1" customHeight="1">
      <c r="A40" s="16" t="s">
        <v>137</v>
      </c>
      <c r="B40" s="17">
        <v>533593</v>
      </c>
      <c r="C40" s="268">
        <f>B40/'- 3 -'!$D40*100</f>
        <v>0.52282988799006558</v>
      </c>
      <c r="D40" s="17">
        <v>0</v>
      </c>
      <c r="E40" s="268">
        <f>D40/'- 3 -'!$D40*100</f>
        <v>0</v>
      </c>
      <c r="F40" s="17">
        <v>497301</v>
      </c>
      <c r="G40" s="268">
        <f>F40/'- 3 -'!$D40*100</f>
        <v>0.48726993443944666</v>
      </c>
      <c r="H40" s="17">
        <v>90402</v>
      </c>
      <c r="I40" s="268">
        <f>H40/'- 3 -'!$D40*100</f>
        <v>8.8578499969223568E-2</v>
      </c>
    </row>
    <row r="41" spans="1:9" ht="14.1" customHeight="1">
      <c r="A41" s="272" t="s">
        <v>138</v>
      </c>
      <c r="B41" s="273">
        <v>0</v>
      </c>
      <c r="C41" s="274">
        <f>B41/'- 3 -'!$D41*100</f>
        <v>0</v>
      </c>
      <c r="D41" s="273">
        <v>0</v>
      </c>
      <c r="E41" s="274">
        <f>D41/'- 3 -'!$D41*100</f>
        <v>0</v>
      </c>
      <c r="F41" s="273">
        <v>0</v>
      </c>
      <c r="G41" s="274">
        <f>F41/'- 3 -'!$D41*100</f>
        <v>0</v>
      </c>
      <c r="H41" s="273">
        <v>273278</v>
      </c>
      <c r="I41" s="274">
        <f>H41/'- 3 -'!$D41*100</f>
        <v>0.4390309605845375</v>
      </c>
    </row>
    <row r="42" spans="1:9" ht="14.1" customHeight="1">
      <c r="A42" s="16" t="s">
        <v>139</v>
      </c>
      <c r="B42" s="17">
        <v>0</v>
      </c>
      <c r="C42" s="268">
        <f>B42/'- 3 -'!$D42*100</f>
        <v>0</v>
      </c>
      <c r="D42" s="17">
        <v>0</v>
      </c>
      <c r="E42" s="268">
        <f>D42/'- 3 -'!$D42*100</f>
        <v>0</v>
      </c>
      <c r="F42" s="17">
        <v>0</v>
      </c>
      <c r="G42" s="268">
        <f>F42/'- 3 -'!$D42*100</f>
        <v>0</v>
      </c>
      <c r="H42" s="17">
        <v>225600</v>
      </c>
      <c r="I42" s="268">
        <f>H42/'- 3 -'!$D42*100</f>
        <v>1.0944155602607233</v>
      </c>
    </row>
    <row r="43" spans="1:9" ht="14.1" customHeight="1">
      <c r="A43" s="272" t="s">
        <v>140</v>
      </c>
      <c r="B43" s="273">
        <v>0</v>
      </c>
      <c r="C43" s="274">
        <f>B43/'- 3 -'!$D43*100</f>
        <v>0</v>
      </c>
      <c r="D43" s="273">
        <v>0</v>
      </c>
      <c r="E43" s="274">
        <f>D43/'- 3 -'!$D43*100</f>
        <v>0</v>
      </c>
      <c r="F43" s="273">
        <v>0</v>
      </c>
      <c r="G43" s="274">
        <f>F43/'- 3 -'!$D43*100</f>
        <v>0</v>
      </c>
      <c r="H43" s="273">
        <v>11730</v>
      </c>
      <c r="I43" s="274">
        <f>H43/'- 3 -'!$D43*100</f>
        <v>9.1395442445103128E-2</v>
      </c>
    </row>
    <row r="44" spans="1:9" ht="14.1" customHeight="1">
      <c r="A44" s="16" t="s">
        <v>141</v>
      </c>
      <c r="B44" s="17">
        <v>0</v>
      </c>
      <c r="C44" s="268">
        <f>B44/'- 3 -'!$D44*100</f>
        <v>0</v>
      </c>
      <c r="D44" s="17">
        <v>0</v>
      </c>
      <c r="E44" s="268">
        <f>D44/'- 3 -'!$D44*100</f>
        <v>0</v>
      </c>
      <c r="F44" s="17">
        <v>0</v>
      </c>
      <c r="G44" s="268">
        <f>F44/'- 3 -'!$D44*100</f>
        <v>0</v>
      </c>
      <c r="H44" s="17">
        <v>12021</v>
      </c>
      <c r="I44" s="268">
        <f>H44/'- 3 -'!$D44*100</f>
        <v>0.10950944850363961</v>
      </c>
    </row>
    <row r="45" spans="1:9" ht="14.1" customHeight="1">
      <c r="A45" s="272" t="s">
        <v>142</v>
      </c>
      <c r="B45" s="273">
        <v>0</v>
      </c>
      <c r="C45" s="274">
        <f>B45/'- 3 -'!$D45*100</f>
        <v>0</v>
      </c>
      <c r="D45" s="273">
        <v>0</v>
      </c>
      <c r="E45" s="274">
        <f>D45/'- 3 -'!$D45*100</f>
        <v>0</v>
      </c>
      <c r="F45" s="273">
        <v>4000</v>
      </c>
      <c r="G45" s="274">
        <f>F45/'- 3 -'!$D45*100</f>
        <v>2.1842316386389705E-2</v>
      </c>
      <c r="H45" s="273">
        <v>47907</v>
      </c>
      <c r="I45" s="274">
        <f>H45/'- 3 -'!$D45*100</f>
        <v>0.26159996278069286</v>
      </c>
    </row>
    <row r="46" spans="1:9" ht="14.1" customHeight="1">
      <c r="A46" s="16" t="s">
        <v>143</v>
      </c>
      <c r="B46" s="17">
        <v>0</v>
      </c>
      <c r="C46" s="268">
        <f>B46/'- 3 -'!$D46*100</f>
        <v>0</v>
      </c>
      <c r="D46" s="17">
        <v>3500000</v>
      </c>
      <c r="E46" s="268">
        <f>D46/'- 3 -'!$D46*100</f>
        <v>0.91393237683782014</v>
      </c>
      <c r="F46" s="17">
        <v>216900</v>
      </c>
      <c r="G46" s="268">
        <f>F46/'- 3 -'!$D46*100</f>
        <v>5.6637695010320906E-2</v>
      </c>
      <c r="H46" s="17">
        <v>5630200</v>
      </c>
      <c r="I46" s="268">
        <f>H46/'- 3 -'!$D46*100</f>
        <v>1.4701777337349413</v>
      </c>
    </row>
    <row r="47" spans="1:9" ht="5.0999999999999996" customHeight="1">
      <c r="A47"/>
      <c r="B47"/>
      <c r="C47"/>
      <c r="D47"/>
      <c r="E47"/>
      <c r="F47"/>
      <c r="G47"/>
      <c r="H47"/>
      <c r="I47"/>
    </row>
    <row r="48" spans="1:9" ht="14.1" customHeight="1">
      <c r="A48" s="275" t="s">
        <v>144</v>
      </c>
      <c r="B48" s="276">
        <f>SUM(B11:B46)</f>
        <v>1860464</v>
      </c>
      <c r="C48" s="277">
        <f>B48/'- 3 -'!$D48*100</f>
        <v>8.3350554221080619E-2</v>
      </c>
      <c r="D48" s="276">
        <f>SUM(D11:D46)</f>
        <v>4140600</v>
      </c>
      <c r="E48" s="277">
        <f>D48/'- 3 -'!$D48*100</f>
        <v>0.18550281263588353</v>
      </c>
      <c r="F48" s="276">
        <f>SUM(F11:F46)</f>
        <v>3510652</v>
      </c>
      <c r="G48" s="277">
        <f>F48/'- 3 -'!$D48*100</f>
        <v>0.15728054392739935</v>
      </c>
      <c r="H48" s="276">
        <f>SUM(H11:H46)</f>
        <v>13008044</v>
      </c>
      <c r="I48" s="277">
        <f>H48/'- 3 -'!$D48*100</f>
        <v>0.58277272590719431</v>
      </c>
    </row>
    <row r="49" spans="1:9" ht="5.0999999999999996" customHeight="1">
      <c r="A49" s="18" t="s">
        <v>1</v>
      </c>
      <c r="B49" s="19"/>
      <c r="C49" s="267"/>
      <c r="D49" s="19"/>
      <c r="E49" s="267"/>
      <c r="F49" s="19"/>
      <c r="G49" s="267"/>
      <c r="H49" s="19"/>
      <c r="I49" s="267"/>
    </row>
    <row r="50" spans="1:9" ht="14.1" customHeight="1">
      <c r="A50" s="16" t="s">
        <v>145</v>
      </c>
      <c r="B50" s="17">
        <v>53110</v>
      </c>
      <c r="C50" s="268">
        <f>B50/'- 3 -'!$D50*100</f>
        <v>1.5817920280034672</v>
      </c>
      <c r="D50" s="17">
        <v>0</v>
      </c>
      <c r="E50" s="268">
        <f>D50/'- 3 -'!$D50*100</f>
        <v>0</v>
      </c>
      <c r="F50" s="17">
        <v>46489</v>
      </c>
      <c r="G50" s="268">
        <f>F50/'- 3 -'!$D50*100</f>
        <v>1.3845966784005495</v>
      </c>
      <c r="H50" s="17">
        <v>77526</v>
      </c>
      <c r="I50" s="268">
        <f>H50/'- 3 -'!$D50*100</f>
        <v>2.3089815244397816</v>
      </c>
    </row>
    <row r="51" spans="1:9" ht="14.1" customHeight="1">
      <c r="A51" s="364" t="s">
        <v>540</v>
      </c>
      <c r="B51" s="273">
        <v>0</v>
      </c>
      <c r="C51" s="274">
        <f>B51/'- 3 -'!$D51*100</f>
        <v>0</v>
      </c>
      <c r="D51" s="273">
        <v>3926033</v>
      </c>
      <c r="E51" s="274">
        <f>D51/'- 3 -'!$D51*100</f>
        <v>15.499463445142506</v>
      </c>
      <c r="F51" s="273">
        <v>5402613</v>
      </c>
      <c r="G51" s="274">
        <f>F51/'- 3 -'!$D51*100</f>
        <v>21.328807654380817</v>
      </c>
      <c r="H51" s="273">
        <v>0</v>
      </c>
      <c r="I51" s="274">
        <f>H51/'- 3 -'!$D51*100</f>
        <v>0</v>
      </c>
    </row>
    <row r="52" spans="1:9" ht="50.1" customHeight="1"/>
    <row r="53" spans="1:9" ht="15" customHeight="1"/>
    <row r="54" spans="1:9" ht="14.45" customHeight="1"/>
    <row r="55" spans="1:9" ht="14.45" customHeight="1"/>
    <row r="56" spans="1:9" ht="14.45" customHeight="1"/>
    <row r="57" spans="1:9" ht="14.45" customHeight="1"/>
    <row r="58" spans="1:9" ht="14.45" customHeight="1"/>
    <row r="59" spans="1:9" ht="14.45" customHeight="1"/>
  </sheetData>
  <mergeCells count="5">
    <mergeCell ref="B5:I5"/>
    <mergeCell ref="B7:C8"/>
    <mergeCell ref="D6:E8"/>
    <mergeCell ref="F7:G8"/>
    <mergeCell ref="H7:I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9"/>
  <sheetViews>
    <sheetView showGridLines="0" showZeros="0" workbookViewId="0"/>
  </sheetViews>
  <sheetFormatPr defaultColWidth="15.83203125" defaultRowHeight="12"/>
  <cols>
    <col min="1" max="1" width="30.83203125" style="1" customWidth="1"/>
    <col min="2" max="2" width="15.1640625" style="1" customWidth="1"/>
    <col min="3" max="3" width="7.83203125" style="1" customWidth="1"/>
    <col min="4" max="4" width="8" style="1" customWidth="1"/>
    <col min="5" max="5" width="12.6640625" style="1" customWidth="1"/>
    <col min="6" max="6" width="7.83203125" style="1" customWidth="1"/>
    <col min="7" max="7" width="7.33203125" style="1" customWidth="1"/>
    <col min="8" max="8" width="12.6640625" style="1" customWidth="1"/>
    <col min="9" max="9" width="7.83203125" style="1" customWidth="1"/>
    <col min="10" max="10" width="9.5" style="1" customWidth="1"/>
    <col min="11" max="16384" width="15.83203125" style="1"/>
  </cols>
  <sheetData>
    <row r="1" spans="1:10" ht="6.95" customHeight="1">
      <c r="A1" s="3"/>
      <c r="B1" s="4"/>
      <c r="C1" s="4"/>
      <c r="D1" s="4"/>
      <c r="E1" s="4"/>
      <c r="F1" s="4"/>
      <c r="G1" s="4"/>
      <c r="H1" s="4"/>
      <c r="I1" s="4"/>
      <c r="J1" s="4"/>
    </row>
    <row r="2" spans="1:10" ht="15.95" customHeight="1">
      <c r="A2" s="133"/>
      <c r="B2" s="5" t="str">
        <f>AEXP_BP</f>
        <v>ANALYSIS OF EXPENSE BY PROGRAM</v>
      </c>
      <c r="C2" s="6"/>
      <c r="D2" s="6"/>
      <c r="E2" s="6"/>
      <c r="F2" s="6"/>
      <c r="G2" s="86"/>
      <c r="H2" s="86"/>
      <c r="I2" s="142"/>
      <c r="J2" s="510" t="s">
        <v>567</v>
      </c>
    </row>
    <row r="3" spans="1:10" ht="15.95" customHeight="1">
      <c r="A3" s="136"/>
      <c r="B3" s="7" t="str">
        <f>OPYEAR</f>
        <v>OPERATING FUND 2015/2016 BUDGET</v>
      </c>
      <c r="C3" s="8"/>
      <c r="D3" s="8"/>
      <c r="E3" s="8"/>
      <c r="F3" s="8"/>
      <c r="G3" s="88"/>
      <c r="H3" s="88"/>
      <c r="I3" s="88"/>
      <c r="J3" s="82"/>
    </row>
    <row r="4" spans="1:10" ht="15.95" customHeight="1">
      <c r="B4" s="4"/>
      <c r="C4" s="4"/>
      <c r="D4" s="4"/>
      <c r="E4" s="4"/>
      <c r="F4" s="4"/>
      <c r="G4" s="4"/>
      <c r="H4" s="4"/>
      <c r="I4" s="4"/>
      <c r="J4" s="4"/>
    </row>
    <row r="5" spans="1:10" ht="15.95" customHeight="1">
      <c r="B5" s="655" t="s">
        <v>88</v>
      </c>
      <c r="C5" s="656"/>
      <c r="D5" s="656"/>
      <c r="E5" s="656"/>
      <c r="F5" s="656"/>
      <c r="G5" s="656"/>
      <c r="H5" s="656"/>
      <c r="I5" s="656"/>
      <c r="J5" s="657"/>
    </row>
    <row r="6" spans="1:10" ht="15.95" customHeight="1">
      <c r="B6" s="269"/>
      <c r="C6" s="270"/>
      <c r="D6" s="271"/>
      <c r="E6" s="607" t="s">
        <v>433</v>
      </c>
      <c r="F6" s="617"/>
      <c r="G6" s="608"/>
      <c r="H6" s="607" t="s">
        <v>434</v>
      </c>
      <c r="I6" s="617"/>
      <c r="J6" s="608"/>
    </row>
    <row r="7" spans="1:10" ht="15.95" customHeight="1">
      <c r="B7" s="614" t="s">
        <v>18</v>
      </c>
      <c r="C7" s="616"/>
      <c r="D7" s="602"/>
      <c r="E7" s="609"/>
      <c r="F7" s="618"/>
      <c r="G7" s="610"/>
      <c r="H7" s="609"/>
      <c r="I7" s="618"/>
      <c r="J7" s="610"/>
    </row>
    <row r="8" spans="1:10" ht="15.95" customHeight="1">
      <c r="A8" s="83"/>
      <c r="B8" s="139"/>
      <c r="C8" s="138"/>
      <c r="D8" s="525" t="s">
        <v>410</v>
      </c>
      <c r="E8" s="139"/>
      <c r="F8" s="138"/>
      <c r="G8" s="525" t="s">
        <v>410</v>
      </c>
      <c r="H8" s="139"/>
      <c r="I8" s="138"/>
      <c r="J8" s="525" t="s">
        <v>410</v>
      </c>
    </row>
    <row r="9" spans="1:10" ht="15.95" customHeight="1">
      <c r="A9" s="28" t="s">
        <v>37</v>
      </c>
      <c r="B9" s="90" t="s">
        <v>38</v>
      </c>
      <c r="C9" s="90" t="s">
        <v>39</v>
      </c>
      <c r="D9" s="565"/>
      <c r="E9" s="90" t="s">
        <v>38</v>
      </c>
      <c r="F9" s="90" t="s">
        <v>39</v>
      </c>
      <c r="G9" s="565"/>
      <c r="H9" s="90" t="s">
        <v>38</v>
      </c>
      <c r="I9" s="90" t="s">
        <v>39</v>
      </c>
      <c r="J9" s="565"/>
    </row>
    <row r="10" spans="1:10" ht="5.0999999999999996" customHeight="1">
      <c r="A10" s="30"/>
    </row>
    <row r="11" spans="1:10" ht="14.1" customHeight="1">
      <c r="A11" s="272" t="s">
        <v>109</v>
      </c>
      <c r="B11" s="273">
        <v>118450</v>
      </c>
      <c r="C11" s="274">
        <f>B11/'- 3 -'!$D11*100</f>
        <v>0.64349190379076227</v>
      </c>
      <c r="D11" s="273">
        <f>B11/'- 7 -'!$F11</f>
        <v>71.91863995142684</v>
      </c>
      <c r="E11" s="273">
        <v>130015</v>
      </c>
      <c r="F11" s="274">
        <f>E11/'- 3 -'!$D11*100</f>
        <v>0.70631996514441486</v>
      </c>
      <c r="G11" s="273">
        <f>E11/'- 7 -'!$F11</f>
        <v>78.940497874924105</v>
      </c>
      <c r="H11" s="273">
        <v>362250</v>
      </c>
      <c r="I11" s="274">
        <f>H11/'- 3 -'!$D11*100</f>
        <v>1.9679606766416513</v>
      </c>
      <c r="J11" s="273">
        <f>H11/'- 7 -'!$F11</f>
        <v>219.94535519125682</v>
      </c>
    </row>
    <row r="12" spans="1:10" ht="14.1" customHeight="1">
      <c r="A12" s="16" t="s">
        <v>110</v>
      </c>
      <c r="B12" s="17">
        <v>142734</v>
      </c>
      <c r="C12" s="268">
        <f>B12/'- 3 -'!$D12*100</f>
        <v>0.44510945135194191</v>
      </c>
      <c r="D12" s="17">
        <f>B12/'- 7 -'!$F12</f>
        <v>65.806362378976488</v>
      </c>
      <c r="E12" s="17">
        <v>176214</v>
      </c>
      <c r="F12" s="268">
        <f>E12/'- 3 -'!$D12*100</f>
        <v>0.54951530021250083</v>
      </c>
      <c r="G12" s="17">
        <f>E12/'- 7 -'!$F12</f>
        <v>81.242047026279394</v>
      </c>
      <c r="H12" s="17">
        <v>553297</v>
      </c>
      <c r="I12" s="268">
        <f>H12/'- 3 -'!$D12*100</f>
        <v>1.7254313905914178</v>
      </c>
      <c r="J12" s="17">
        <f>H12/'- 7 -'!$F12</f>
        <v>255.09313047487322</v>
      </c>
    </row>
    <row r="13" spans="1:10" ht="14.1" customHeight="1">
      <c r="A13" s="272" t="s">
        <v>111</v>
      </c>
      <c r="B13" s="273">
        <v>345400</v>
      </c>
      <c r="C13" s="274">
        <f>B13/'- 3 -'!$D13*100</f>
        <v>0.3718448629642947</v>
      </c>
      <c r="D13" s="273">
        <f>B13/'- 7 -'!$F13</f>
        <v>42.289562289562291</v>
      </c>
      <c r="E13" s="273">
        <v>771200</v>
      </c>
      <c r="F13" s="274">
        <f>E13/'- 3 -'!$D13*100</f>
        <v>0.83024539177204426</v>
      </c>
      <c r="G13" s="273">
        <f>E13/'- 7 -'!$F13</f>
        <v>94.42301805938169</v>
      </c>
      <c r="H13" s="273">
        <v>1851900</v>
      </c>
      <c r="I13" s="274">
        <f>H13/'- 3 -'!$D13*100</f>
        <v>1.9936870345210695</v>
      </c>
      <c r="J13" s="273">
        <f>H13/'- 7 -'!$F13</f>
        <v>226.74012855831037</v>
      </c>
    </row>
    <row r="14" spans="1:10" ht="14.1" customHeight="1">
      <c r="A14" s="16" t="s">
        <v>324</v>
      </c>
      <c r="B14" s="17">
        <v>707616</v>
      </c>
      <c r="C14" s="268">
        <f>B14/'- 3 -'!$D14*100</f>
        <v>0.85324482296124915</v>
      </c>
      <c r="D14" s="17">
        <f>B14/'- 7 -'!$F14</f>
        <v>132.93556265263948</v>
      </c>
      <c r="E14" s="17">
        <v>1377340</v>
      </c>
      <c r="F14" s="268">
        <f>E14/'- 3 -'!$D14*100</f>
        <v>1.6607993946680784</v>
      </c>
      <c r="G14" s="17">
        <f>E14/'- 7 -'!$F14</f>
        <v>258.75258312981401</v>
      </c>
      <c r="H14" s="17">
        <v>936965</v>
      </c>
      <c r="I14" s="268">
        <f>H14/'- 3 -'!$D14*100</f>
        <v>1.1297943171803448</v>
      </c>
      <c r="J14" s="17">
        <f>H14/'- 7 -'!$F14</f>
        <v>176.02198008641744</v>
      </c>
    </row>
    <row r="15" spans="1:10" ht="14.1" customHeight="1">
      <c r="A15" s="272" t="s">
        <v>112</v>
      </c>
      <c r="B15" s="273">
        <v>188800</v>
      </c>
      <c r="C15" s="274">
        <f>B15/'- 3 -'!$D15*100</f>
        <v>0.93850845853117371</v>
      </c>
      <c r="D15" s="273">
        <f>B15/'- 7 -'!$F15</f>
        <v>132.35191026989133</v>
      </c>
      <c r="E15" s="273">
        <v>189600</v>
      </c>
      <c r="F15" s="274">
        <f>E15/'- 3 -'!$D15*100</f>
        <v>0.94248518928766156</v>
      </c>
      <c r="G15" s="273">
        <f>E15/'- 7 -'!$F15</f>
        <v>132.91272344900105</v>
      </c>
      <c r="H15" s="273">
        <v>393800</v>
      </c>
      <c r="I15" s="274">
        <f>H15/'- 3 -'!$D15*100</f>
        <v>1.9575457148812296</v>
      </c>
      <c r="J15" s="273">
        <f>H15/'- 7 -'!$F15</f>
        <v>276.06028741675431</v>
      </c>
    </row>
    <row r="16" spans="1:10" ht="14.1" customHeight="1">
      <c r="A16" s="16" t="s">
        <v>113</v>
      </c>
      <c r="B16" s="17">
        <v>113825</v>
      </c>
      <c r="C16" s="268">
        <f>B16/'- 3 -'!$D16*100</f>
        <v>0.80912457945247951</v>
      </c>
      <c r="D16" s="17">
        <f>B16/'- 7 -'!$F16</f>
        <v>121.21938232161874</v>
      </c>
      <c r="E16" s="17">
        <v>196089</v>
      </c>
      <c r="F16" s="268">
        <f>E16/'- 3 -'!$D16*100</f>
        <v>1.3938979104788689</v>
      </c>
      <c r="G16" s="17">
        <f>E16/'- 7 -'!$F16</f>
        <v>208.82747603833866</v>
      </c>
      <c r="H16" s="17">
        <v>322170</v>
      </c>
      <c r="I16" s="268">
        <f>H16/'- 3 -'!$D16*100</f>
        <v>2.2901442193033632</v>
      </c>
      <c r="J16" s="17">
        <f>H16/'- 7 -'!$F16</f>
        <v>343.09904153354631</v>
      </c>
    </row>
    <row r="17" spans="1:10" ht="14.1" customHeight="1">
      <c r="A17" s="272" t="s">
        <v>114</v>
      </c>
      <c r="B17" s="273">
        <v>226460</v>
      </c>
      <c r="C17" s="274">
        <f>B17/'- 3 -'!$D17*100</f>
        <v>1.2872410177764426</v>
      </c>
      <c r="D17" s="273">
        <f>B17/'- 7 -'!$F17</f>
        <v>166.69856459330143</v>
      </c>
      <c r="E17" s="273">
        <v>164394</v>
      </c>
      <c r="F17" s="274">
        <f>E17/'- 3 -'!$D17*100</f>
        <v>0.9344462592790802</v>
      </c>
      <c r="G17" s="273">
        <f>E17/'- 7 -'!$F17</f>
        <v>121.0114096429886</v>
      </c>
      <c r="H17" s="273">
        <v>307413</v>
      </c>
      <c r="I17" s="274">
        <f>H17/'- 3 -'!$D17*100</f>
        <v>1.7473930186245232</v>
      </c>
      <c r="J17" s="273">
        <f>H17/'- 7 -'!$F17</f>
        <v>226.28855355171146</v>
      </c>
    </row>
    <row r="18" spans="1:10" ht="14.1" customHeight="1">
      <c r="A18" s="16" t="s">
        <v>115</v>
      </c>
      <c r="B18" s="17">
        <v>1209036</v>
      </c>
      <c r="C18" s="268">
        <f>B18/'- 3 -'!$D18*100</f>
        <v>0.94448631750758094</v>
      </c>
      <c r="D18" s="17">
        <f>B18/'- 7 -'!$F18</f>
        <v>193.08738980452279</v>
      </c>
      <c r="E18" s="17">
        <v>2107342</v>
      </c>
      <c r="F18" s="268">
        <f>E18/'- 3 -'!$D18*100</f>
        <v>1.6462335987588961</v>
      </c>
      <c r="G18" s="17">
        <f>E18/'- 7 -'!$F18</f>
        <v>336.55008304586687</v>
      </c>
      <c r="H18" s="17">
        <v>3156381</v>
      </c>
      <c r="I18" s="268">
        <f>H18/'- 3 -'!$D18*100</f>
        <v>2.4657319280326604</v>
      </c>
      <c r="J18" s="17">
        <f>H18/'- 7 -'!$F18</f>
        <v>504.08537753928704</v>
      </c>
    </row>
    <row r="19" spans="1:10" ht="14.1" customHeight="1">
      <c r="A19" s="272" t="s">
        <v>116</v>
      </c>
      <c r="B19" s="273">
        <v>212605</v>
      </c>
      <c r="C19" s="274">
        <f>B19/'- 3 -'!$D19*100</f>
        <v>0.47305033751325559</v>
      </c>
      <c r="D19" s="273">
        <f>B19/'- 7 -'!$F19</f>
        <v>50.644354454502142</v>
      </c>
      <c r="E19" s="273">
        <v>464250</v>
      </c>
      <c r="F19" s="274">
        <f>E19/'- 3 -'!$D19*100</f>
        <v>1.0329654485573194</v>
      </c>
      <c r="G19" s="273">
        <f>E19/'- 7 -'!$F19</f>
        <v>110.58837541686518</v>
      </c>
      <c r="H19" s="273">
        <v>760215</v>
      </c>
      <c r="I19" s="274">
        <f>H19/'- 3 -'!$D19*100</f>
        <v>1.6914934377490631</v>
      </c>
      <c r="J19" s="273">
        <f>H19/'- 7 -'!$F19</f>
        <v>181.08980466888994</v>
      </c>
    </row>
    <row r="20" spans="1:10" ht="14.1" customHeight="1">
      <c r="A20" s="16" t="s">
        <v>117</v>
      </c>
      <c r="B20" s="17">
        <v>283500</v>
      </c>
      <c r="C20" s="268">
        <f>B20/'- 3 -'!$D20*100</f>
        <v>0.35983185000533086</v>
      </c>
      <c r="D20" s="17">
        <f>B20/'- 7 -'!$F20</f>
        <v>37.946727345736846</v>
      </c>
      <c r="E20" s="17">
        <v>572900</v>
      </c>
      <c r="F20" s="268">
        <f>E20/'- 3 -'!$D20*100</f>
        <v>0.72715226408484668</v>
      </c>
      <c r="G20" s="17">
        <f>E20/'- 7 -'!$F20</f>
        <v>76.683174943113372</v>
      </c>
      <c r="H20" s="17">
        <v>1310500</v>
      </c>
      <c r="I20" s="268">
        <f>H20/'- 3 -'!$D20*100</f>
        <v>1.6633496981727904</v>
      </c>
      <c r="J20" s="17">
        <f>H20/'- 7 -'!$F20</f>
        <v>175.4115914870834</v>
      </c>
    </row>
    <row r="21" spans="1:10" ht="14.1" customHeight="1">
      <c r="A21" s="272" t="s">
        <v>118</v>
      </c>
      <c r="B21" s="273">
        <v>214100</v>
      </c>
      <c r="C21" s="274">
        <f>B21/'- 3 -'!$D21*100</f>
        <v>0.60303093317727197</v>
      </c>
      <c r="D21" s="273">
        <f>B21/'- 7 -'!$F21</f>
        <v>79.384501297738225</v>
      </c>
      <c r="E21" s="273">
        <v>386000</v>
      </c>
      <c r="F21" s="274">
        <f>E21/'- 3 -'!$D21*100</f>
        <v>1.0872019626643017</v>
      </c>
      <c r="G21" s="273">
        <f>E21/'- 7 -'!$F21</f>
        <v>143.12198739340008</v>
      </c>
      <c r="H21" s="273">
        <v>675000</v>
      </c>
      <c r="I21" s="274">
        <f>H21/'- 3 -'!$D21*100</f>
        <v>1.9011951419647759</v>
      </c>
      <c r="J21" s="273">
        <f>H21/'- 7 -'!$F21</f>
        <v>250.27808676307006</v>
      </c>
    </row>
    <row r="22" spans="1:10" ht="14.1" customHeight="1">
      <c r="A22" s="16" t="s">
        <v>119</v>
      </c>
      <c r="B22" s="17">
        <v>125000</v>
      </c>
      <c r="C22" s="268">
        <f>B22/'- 3 -'!$D22*100</f>
        <v>0.60591227873477171</v>
      </c>
      <c r="D22" s="17">
        <f>B22/'- 7 -'!$F22</f>
        <v>79.709220762657822</v>
      </c>
      <c r="E22" s="17">
        <v>155660</v>
      </c>
      <c r="F22" s="268">
        <f>E22/'- 3 -'!$D22*100</f>
        <v>0.75453044246283663</v>
      </c>
      <c r="G22" s="17">
        <f>E22/'- 7 -'!$F22</f>
        <v>99.260298431322539</v>
      </c>
      <c r="H22" s="17">
        <v>545430</v>
      </c>
      <c r="I22" s="268">
        <f>H22/'- 3 -'!$D22*100</f>
        <v>2.6438618735224528</v>
      </c>
      <c r="J22" s="17">
        <f>H22/'- 7 -'!$F22</f>
        <v>347.80640224461166</v>
      </c>
    </row>
    <row r="23" spans="1:10" ht="14.1" customHeight="1">
      <c r="A23" s="272" t="s">
        <v>120</v>
      </c>
      <c r="B23" s="273">
        <v>111200</v>
      </c>
      <c r="C23" s="274">
        <f>B23/'- 3 -'!$D23*100</f>
        <v>0.67393126591988373</v>
      </c>
      <c r="D23" s="273">
        <f>B23/'- 7 -'!$F23</f>
        <v>99.820466786355482</v>
      </c>
      <c r="E23" s="273">
        <v>169650</v>
      </c>
      <c r="F23" s="274">
        <f>E23/'- 3 -'!$D23*100</f>
        <v>1.0281694178355061</v>
      </c>
      <c r="G23" s="273">
        <f>E23/'- 7 -'!$F23</f>
        <v>152.28904847396768</v>
      </c>
      <c r="H23" s="273">
        <v>313650</v>
      </c>
      <c r="I23" s="274">
        <f>H23/'- 3 -'!$D23*100</f>
        <v>1.9008861650698878</v>
      </c>
      <c r="J23" s="273">
        <f>H23/'- 7 -'!$F23</f>
        <v>281.55296229802514</v>
      </c>
    </row>
    <row r="24" spans="1:10" ht="14.1" customHeight="1">
      <c r="A24" s="16" t="s">
        <v>121</v>
      </c>
      <c r="B24" s="17">
        <v>345585</v>
      </c>
      <c r="C24" s="268">
        <f>B24/'- 3 -'!$D24*100</f>
        <v>0.61813936803774894</v>
      </c>
      <c r="D24" s="17">
        <f>B24/'- 7 -'!$F24</f>
        <v>86.928688215318829</v>
      </c>
      <c r="E24" s="17">
        <v>335835</v>
      </c>
      <c r="F24" s="268">
        <f>E24/'- 3 -'!$D24*100</f>
        <v>0.60069978345401975</v>
      </c>
      <c r="G24" s="17">
        <f>E24/'- 7 -'!$F24</f>
        <v>84.476166519934594</v>
      </c>
      <c r="H24" s="17">
        <v>1069685</v>
      </c>
      <c r="I24" s="268">
        <f>H24/'- 3 -'!$D24*100</f>
        <v>1.9133191831227032</v>
      </c>
      <c r="J24" s="17">
        <f>H24/'- 7 -'!$F24</f>
        <v>269.0692994591875</v>
      </c>
    </row>
    <row r="25" spans="1:10" ht="14.1" customHeight="1">
      <c r="A25" s="272" t="s">
        <v>122</v>
      </c>
      <c r="B25" s="273">
        <v>454970</v>
      </c>
      <c r="C25" s="274">
        <f>B25/'- 3 -'!$D25*100</f>
        <v>0.27220512874021646</v>
      </c>
      <c r="D25" s="273">
        <f>B25/'- 7 -'!$F25</f>
        <v>32.531550534482143</v>
      </c>
      <c r="E25" s="273">
        <v>576926</v>
      </c>
      <c r="F25" s="274">
        <f>E25/'- 3 -'!$D25*100</f>
        <v>0.34517048619376689</v>
      </c>
      <c r="G25" s="273">
        <f>E25/'- 7 -'!$F25</f>
        <v>41.251725000893785</v>
      </c>
      <c r="H25" s="273">
        <v>3700850</v>
      </c>
      <c r="I25" s="274">
        <f>H25/'- 3 -'!$D25*100</f>
        <v>2.2141907174060487</v>
      </c>
      <c r="J25" s="273">
        <f>H25/'- 7 -'!$F25</f>
        <v>264.62049980336775</v>
      </c>
    </row>
    <row r="26" spans="1:10" ht="14.1" customHeight="1">
      <c r="A26" s="16" t="s">
        <v>123</v>
      </c>
      <c r="B26" s="17">
        <v>224858</v>
      </c>
      <c r="C26" s="268">
        <f>B26/'- 3 -'!$D26*100</f>
        <v>0.56373655513587351</v>
      </c>
      <c r="D26" s="17">
        <f>B26/'- 7 -'!$F26</f>
        <v>72.359774738535805</v>
      </c>
      <c r="E26" s="17">
        <v>418118</v>
      </c>
      <c r="F26" s="268">
        <f>E26/'- 3 -'!$D26*100</f>
        <v>1.0482544581927311</v>
      </c>
      <c r="G26" s="17">
        <f>E26/'- 7 -'!$F26</f>
        <v>134.55124698310539</v>
      </c>
      <c r="H26" s="17">
        <v>722966</v>
      </c>
      <c r="I26" s="268">
        <f>H26/'- 3 -'!$D26*100</f>
        <v>1.8125321861813319</v>
      </c>
      <c r="J26" s="17">
        <f>H26/'- 7 -'!$F26</f>
        <v>232.65197103781173</v>
      </c>
    </row>
    <row r="27" spans="1:10" ht="14.1" customHeight="1">
      <c r="A27" s="272" t="s">
        <v>124</v>
      </c>
      <c r="B27" s="273">
        <v>257289</v>
      </c>
      <c r="C27" s="274">
        <f>B27/'- 3 -'!$D27*100</f>
        <v>0.599453297586092</v>
      </c>
      <c r="D27" s="273">
        <f>B27/'- 7 -'!$F27</f>
        <v>89.949956299163446</v>
      </c>
      <c r="E27" s="273">
        <v>518160</v>
      </c>
      <c r="F27" s="274">
        <f>E27/'- 3 -'!$D27*100</f>
        <v>1.2072522365014029</v>
      </c>
      <c r="G27" s="273">
        <f>E27/'- 7 -'!$F27</f>
        <v>181.15220377075792</v>
      </c>
      <c r="H27" s="273">
        <v>940261</v>
      </c>
      <c r="I27" s="274">
        <f>H27/'- 3 -'!$D27*100</f>
        <v>2.1906982305562863</v>
      </c>
      <c r="J27" s="273">
        <f>H27/'- 7 -'!$F27</f>
        <v>328.72153826944691</v>
      </c>
    </row>
    <row r="28" spans="1:10" ht="14.1" customHeight="1">
      <c r="A28" s="16" t="s">
        <v>125</v>
      </c>
      <c r="B28" s="17">
        <v>169150</v>
      </c>
      <c r="C28" s="268">
        <f>B28/'- 3 -'!$D28*100</f>
        <v>0.60392048828908385</v>
      </c>
      <c r="D28" s="17">
        <f>B28/'- 7 -'!$F28</f>
        <v>85.841157066734326</v>
      </c>
      <c r="E28" s="17">
        <v>374630</v>
      </c>
      <c r="F28" s="268">
        <f>E28/'- 3 -'!$D28*100</f>
        <v>1.3375508869508688</v>
      </c>
      <c r="G28" s="17">
        <f>E28/'- 7 -'!$F28</f>
        <v>190.11925907130171</v>
      </c>
      <c r="H28" s="17">
        <v>513248</v>
      </c>
      <c r="I28" s="268">
        <f>H28/'- 3 -'!$D28*100</f>
        <v>1.8324622097156116</v>
      </c>
      <c r="J28" s="17">
        <f>H28/'- 7 -'!$F28</f>
        <v>260.46587160619134</v>
      </c>
    </row>
    <row r="29" spans="1:10" ht="14.1" customHeight="1">
      <c r="A29" s="272" t="s">
        <v>126</v>
      </c>
      <c r="B29" s="273">
        <v>410564</v>
      </c>
      <c r="C29" s="274">
        <f>B29/'- 3 -'!$D29*100</f>
        <v>0.26518793451867317</v>
      </c>
      <c r="D29" s="273">
        <f>B29/'- 7 -'!$F29</f>
        <v>33.260207388204797</v>
      </c>
      <c r="E29" s="273">
        <v>2127796</v>
      </c>
      <c r="F29" s="274">
        <f>E29/'- 3 -'!$D29*100</f>
        <v>1.3743675196000982</v>
      </c>
      <c r="G29" s="273">
        <f>E29/'- 7 -'!$F29</f>
        <v>172.3749189889825</v>
      </c>
      <c r="H29" s="273">
        <v>1685685</v>
      </c>
      <c r="I29" s="274">
        <f>H29/'- 3 -'!$D29*100</f>
        <v>1.0888030207205444</v>
      </c>
      <c r="J29" s="273">
        <f>H29/'- 7 -'!$F29</f>
        <v>136.55905703175631</v>
      </c>
    </row>
    <row r="30" spans="1:10" ht="14.1" customHeight="1">
      <c r="A30" s="16" t="s">
        <v>127</v>
      </c>
      <c r="B30" s="17">
        <v>101969</v>
      </c>
      <c r="C30" s="268">
        <f>B30/'- 3 -'!$D30*100</f>
        <v>0.7287433652579467</v>
      </c>
      <c r="D30" s="17">
        <f>B30/'- 7 -'!$F30</f>
        <v>99.384990253411303</v>
      </c>
      <c r="E30" s="17">
        <v>104556</v>
      </c>
      <c r="F30" s="268">
        <f>E30/'- 3 -'!$D30*100</f>
        <v>0.7472319165423793</v>
      </c>
      <c r="G30" s="17">
        <f>E30/'- 7 -'!$F30</f>
        <v>101.90643274853801</v>
      </c>
      <c r="H30" s="17">
        <v>257091</v>
      </c>
      <c r="I30" s="268">
        <f>H30/'- 3 -'!$D30*100</f>
        <v>1.8373560642698346</v>
      </c>
      <c r="J30" s="17">
        <f>H30/'- 7 -'!$F30</f>
        <v>250.57602339181287</v>
      </c>
    </row>
    <row r="31" spans="1:10" ht="14.1" customHeight="1">
      <c r="A31" s="272" t="s">
        <v>128</v>
      </c>
      <c r="B31" s="273">
        <v>162127</v>
      </c>
      <c r="C31" s="274">
        <f>B31/'- 3 -'!$D31*100</f>
        <v>0.44774660646780323</v>
      </c>
      <c r="D31" s="273">
        <f>B31/'- 7 -'!$F31</f>
        <v>50.791666666666664</v>
      </c>
      <c r="E31" s="273">
        <v>319321</v>
      </c>
      <c r="F31" s="274">
        <f>E31/'- 3 -'!$D31*100</f>
        <v>0.8818697325177508</v>
      </c>
      <c r="G31" s="273">
        <f>E31/'- 7 -'!$F31</f>
        <v>100.03790726817043</v>
      </c>
      <c r="H31" s="273">
        <v>592268</v>
      </c>
      <c r="I31" s="274">
        <f>H31/'- 3 -'!$D31*100</f>
        <v>1.6356682546366301</v>
      </c>
      <c r="J31" s="273">
        <f>H31/'- 7 -'!$F31</f>
        <v>185.54761904761904</v>
      </c>
    </row>
    <row r="32" spans="1:10" ht="14.1" customHeight="1">
      <c r="A32" s="16" t="s">
        <v>129</v>
      </c>
      <c r="B32" s="17">
        <v>192575</v>
      </c>
      <c r="C32" s="268">
        <f>B32/'- 3 -'!$D32*100</f>
        <v>0.66967207402596662</v>
      </c>
      <c r="D32" s="17">
        <f>B32/'- 7 -'!$F32</f>
        <v>90.925187091291122</v>
      </c>
      <c r="E32" s="17">
        <v>214500</v>
      </c>
      <c r="F32" s="268">
        <f>E32/'- 3 -'!$D32*100</f>
        <v>0.74591540895012254</v>
      </c>
      <c r="G32" s="17">
        <f>E32/'- 7 -'!$F32</f>
        <v>101.27717840364504</v>
      </c>
      <c r="H32" s="17">
        <v>617175</v>
      </c>
      <c r="I32" s="268">
        <f>H32/'- 3 -'!$D32*100</f>
        <v>2.1462020630246705</v>
      </c>
      <c r="J32" s="17">
        <f>H32/'- 7 -'!$F32</f>
        <v>291.40206331594231</v>
      </c>
    </row>
    <row r="33" spans="1:10" ht="14.1" customHeight="1">
      <c r="A33" s="272" t="s">
        <v>130</v>
      </c>
      <c r="B33" s="273">
        <v>212500</v>
      </c>
      <c r="C33" s="274">
        <f>B33/'- 3 -'!$D33*100</f>
        <v>0.77913602064985443</v>
      </c>
      <c r="D33" s="273">
        <f>B33/'- 7 -'!$F33</f>
        <v>107.45891276864728</v>
      </c>
      <c r="E33" s="273">
        <v>227900</v>
      </c>
      <c r="F33" s="274">
        <f>E33/'- 3 -'!$D33*100</f>
        <v>0.83560046638165553</v>
      </c>
      <c r="G33" s="273">
        <f>E33/'- 7 -'!$F33</f>
        <v>115.2465233881163</v>
      </c>
      <c r="H33" s="273">
        <v>386900</v>
      </c>
      <c r="I33" s="274">
        <f>H33/'- 3 -'!$D33*100</f>
        <v>1.4185775359502526</v>
      </c>
      <c r="J33" s="273">
        <f>H33/'- 7 -'!$F33</f>
        <v>195.65107458912769</v>
      </c>
    </row>
    <row r="34" spans="1:10" ht="14.1" customHeight="1">
      <c r="A34" s="16" t="s">
        <v>131</v>
      </c>
      <c r="B34" s="17">
        <v>192700</v>
      </c>
      <c r="C34" s="268">
        <f>B34/'- 3 -'!$D34*100</f>
        <v>0.6964352813752136</v>
      </c>
      <c r="D34" s="17">
        <f>B34/'- 7 -'!$F34</f>
        <v>97.579501721693333</v>
      </c>
      <c r="E34" s="17">
        <v>281770</v>
      </c>
      <c r="F34" s="268">
        <f>E34/'- 3 -'!$D34*100</f>
        <v>1.0183423416351527</v>
      </c>
      <c r="G34" s="17">
        <f>E34/'- 7 -'!$F34</f>
        <v>142.68280332185537</v>
      </c>
      <c r="H34" s="17">
        <v>579162</v>
      </c>
      <c r="I34" s="268">
        <f>H34/'- 3 -'!$D34*100</f>
        <v>2.0931440084682484</v>
      </c>
      <c r="J34" s="17">
        <f>H34/'- 7 -'!$F34</f>
        <v>293.27628114239417</v>
      </c>
    </row>
    <row r="35" spans="1:10" ht="14.1" customHeight="1">
      <c r="A35" s="272" t="s">
        <v>132</v>
      </c>
      <c r="B35" s="273">
        <v>455400</v>
      </c>
      <c r="C35" s="274">
        <f>B35/'- 3 -'!$D35*100</f>
        <v>0.25847247399261203</v>
      </c>
      <c r="D35" s="273">
        <f>B35/'- 7 -'!$F35</f>
        <v>29.153063184175149</v>
      </c>
      <c r="E35" s="273">
        <v>1196350</v>
      </c>
      <c r="F35" s="274">
        <f>E35/'- 3 -'!$D35*100</f>
        <v>0.67901524870676633</v>
      </c>
      <c r="G35" s="273">
        <f>E35/'- 7 -'!$F35</f>
        <v>76.586006017540484</v>
      </c>
      <c r="H35" s="273">
        <v>2114000</v>
      </c>
      <c r="I35" s="274">
        <f>H35/'- 3 -'!$D35*100</f>
        <v>1.1998480676776062</v>
      </c>
      <c r="J35" s="273">
        <f>H35/'- 7 -'!$F35</f>
        <v>135.33064464502914</v>
      </c>
    </row>
    <row r="36" spans="1:10" ht="14.1" customHeight="1">
      <c r="A36" s="16" t="s">
        <v>133</v>
      </c>
      <c r="B36" s="17">
        <v>227350</v>
      </c>
      <c r="C36" s="268">
        <f>B36/'- 3 -'!$D36*100</f>
        <v>0.98836739183169897</v>
      </c>
      <c r="D36" s="17">
        <f>B36/'- 7 -'!$F36</f>
        <v>135.52906110283161</v>
      </c>
      <c r="E36" s="17">
        <v>206660</v>
      </c>
      <c r="F36" s="268">
        <f>E36/'- 3 -'!$D36*100</f>
        <v>0.89842095973582092</v>
      </c>
      <c r="G36" s="17">
        <f>E36/'- 7 -'!$F36</f>
        <v>123.19523099850969</v>
      </c>
      <c r="H36" s="17">
        <v>463675</v>
      </c>
      <c r="I36" s="268">
        <f>H36/'- 3 -'!$D36*100</f>
        <v>2.0157521460636154</v>
      </c>
      <c r="J36" s="17">
        <f>H36/'- 7 -'!$F36</f>
        <v>276.40834575260806</v>
      </c>
    </row>
    <row r="37" spans="1:10" ht="14.1" customHeight="1">
      <c r="A37" s="272" t="s">
        <v>134</v>
      </c>
      <c r="B37" s="273">
        <v>183500</v>
      </c>
      <c r="C37" s="274">
        <f>B37/'- 3 -'!$D37*100</f>
        <v>0.39232874369280762</v>
      </c>
      <c r="D37" s="273">
        <f>B37/'- 7 -'!$F37</f>
        <v>46.47334430796505</v>
      </c>
      <c r="E37" s="273">
        <v>433885</v>
      </c>
      <c r="F37" s="274">
        <f>E37/'- 3 -'!$D37*100</f>
        <v>0.92765971093816812</v>
      </c>
      <c r="G37" s="273">
        <f>E37/'- 7 -'!$F37</f>
        <v>109.88603267063442</v>
      </c>
      <c r="H37" s="273">
        <v>769575</v>
      </c>
      <c r="I37" s="274">
        <f>H37/'- 3 -'!$D37*100</f>
        <v>1.6453754382964167</v>
      </c>
      <c r="J37" s="273">
        <f>H37/'- 7 -'!$F37</f>
        <v>194.90312777003925</v>
      </c>
    </row>
    <row r="38" spans="1:10" ht="14.1" customHeight="1">
      <c r="A38" s="16" t="s">
        <v>135</v>
      </c>
      <c r="B38" s="17">
        <v>414890</v>
      </c>
      <c r="C38" s="268">
        <f>B38/'- 3 -'!$D38*100</f>
        <v>0.32121342662987595</v>
      </c>
      <c r="D38" s="17">
        <f>B38/'- 7 -'!$F38</f>
        <v>38.576476057647604</v>
      </c>
      <c r="E38" s="17">
        <v>1066260</v>
      </c>
      <c r="F38" s="268">
        <f>E38/'- 3 -'!$D38*100</f>
        <v>0.8255128546804491</v>
      </c>
      <c r="G38" s="17">
        <f>E38/'- 7 -'!$F38</f>
        <v>99.140864714086476</v>
      </c>
      <c r="H38" s="17">
        <v>1780590</v>
      </c>
      <c r="I38" s="268">
        <f>H38/'- 3 -'!$D38*100</f>
        <v>1.3785567628115665</v>
      </c>
      <c r="J38" s="17">
        <f>H38/'- 7 -'!$F38</f>
        <v>165.55927475592748</v>
      </c>
    </row>
    <row r="39" spans="1:10" ht="14.1" customHeight="1">
      <c r="A39" s="272" t="s">
        <v>136</v>
      </c>
      <c r="B39" s="273">
        <v>200800</v>
      </c>
      <c r="C39" s="274">
        <f>B39/'- 3 -'!$D39*100</f>
        <v>0.91560602129513569</v>
      </c>
      <c r="D39" s="273">
        <f>B39/'- 7 -'!$F39</f>
        <v>129.21492921492921</v>
      </c>
      <c r="E39" s="273">
        <v>232700</v>
      </c>
      <c r="F39" s="274">
        <f>E39/'- 3 -'!$D39*100</f>
        <v>1.0610633523674207</v>
      </c>
      <c r="G39" s="273">
        <f>E39/'- 7 -'!$F39</f>
        <v>149.74259974259974</v>
      </c>
      <c r="H39" s="273">
        <v>422700</v>
      </c>
      <c r="I39" s="274">
        <f>H39/'- 3 -'!$D39*100</f>
        <v>1.927423631481344</v>
      </c>
      <c r="J39" s="273">
        <f>H39/'- 7 -'!$F39</f>
        <v>272.00772200772201</v>
      </c>
    </row>
    <row r="40" spans="1:10" ht="14.1" customHeight="1">
      <c r="A40" s="16" t="s">
        <v>137</v>
      </c>
      <c r="B40" s="17">
        <v>436751</v>
      </c>
      <c r="C40" s="268">
        <f>B40/'- 3 -'!$D40*100</f>
        <v>0.42794128935265113</v>
      </c>
      <c r="D40" s="17">
        <f>B40/'- 7 -'!$F40</f>
        <v>55.677072444405923</v>
      </c>
      <c r="E40" s="17">
        <v>1267327</v>
      </c>
      <c r="F40" s="268">
        <f>E40/'- 3 -'!$D40*100</f>
        <v>1.2417637290159089</v>
      </c>
      <c r="G40" s="17">
        <f>E40/'- 7 -'!$F40</f>
        <v>161.55900545105018</v>
      </c>
      <c r="H40" s="17">
        <v>1568515</v>
      </c>
      <c r="I40" s="268">
        <f>H40/'- 3 -'!$D40*100</f>
        <v>1.5368764615741544</v>
      </c>
      <c r="J40" s="17">
        <f>H40/'- 7 -'!$F40</f>
        <v>199.95448959507215</v>
      </c>
    </row>
    <row r="41" spans="1:10" ht="14.1" customHeight="1">
      <c r="A41" s="272" t="s">
        <v>138</v>
      </c>
      <c r="B41" s="273">
        <v>361282</v>
      </c>
      <c r="C41" s="274">
        <f>B41/'- 3 -'!$D41*100</f>
        <v>0.58041255974466621</v>
      </c>
      <c r="D41" s="273">
        <f>B41/'- 7 -'!$F41</f>
        <v>82.948455975203771</v>
      </c>
      <c r="E41" s="273">
        <v>680938</v>
      </c>
      <c r="F41" s="274">
        <f>E41/'- 3 -'!$D41*100</f>
        <v>1.0939514495806972</v>
      </c>
      <c r="G41" s="273">
        <f>E41/'- 7 -'!$F41</f>
        <v>156.33980025255426</v>
      </c>
      <c r="H41" s="273">
        <v>913900</v>
      </c>
      <c r="I41" s="274">
        <f>H41/'- 3 -'!$D41*100</f>
        <v>1.4682133024912682</v>
      </c>
      <c r="J41" s="273">
        <f>H41/'- 7 -'!$F41</f>
        <v>209.82665595224429</v>
      </c>
    </row>
    <row r="42" spans="1:10" ht="14.1" customHeight="1">
      <c r="A42" s="16" t="s">
        <v>139</v>
      </c>
      <c r="B42" s="17">
        <v>202520</v>
      </c>
      <c r="C42" s="268">
        <f>B42/'- 3 -'!$D42*100</f>
        <v>0.98245141517731227</v>
      </c>
      <c r="D42" s="17">
        <f>B42/'- 7 -'!$F42</f>
        <v>147.50182083029861</v>
      </c>
      <c r="E42" s="17">
        <v>213960</v>
      </c>
      <c r="F42" s="268">
        <f>E42/'- 3 -'!$D42*100</f>
        <v>1.0379483744387603</v>
      </c>
      <c r="G42" s="17">
        <f>E42/'- 7 -'!$F42</f>
        <v>155.83394027676621</v>
      </c>
      <c r="H42" s="17">
        <v>396354</v>
      </c>
      <c r="I42" s="268">
        <f>H42/'- 3 -'!$D42*100</f>
        <v>1.9227658908314658</v>
      </c>
      <c r="J42" s="17">
        <f>H42/'- 7 -'!$F42</f>
        <v>288.6773488710852</v>
      </c>
    </row>
    <row r="43" spans="1:10" ht="14.1" customHeight="1">
      <c r="A43" s="272" t="s">
        <v>140</v>
      </c>
      <c r="B43" s="273">
        <v>85900</v>
      </c>
      <c r="C43" s="274">
        <f>B43/'- 3 -'!$D43*100</f>
        <v>0.66929825285885414</v>
      </c>
      <c r="D43" s="273">
        <f>B43/'- 7 -'!$F43</f>
        <v>91.675560298826042</v>
      </c>
      <c r="E43" s="273">
        <v>128531</v>
      </c>
      <c r="F43" s="274">
        <f>E43/'- 3 -'!$D43*100</f>
        <v>1.0014618595832523</v>
      </c>
      <c r="G43" s="273">
        <f>E43/'- 7 -'!$F43</f>
        <v>137.17289220917823</v>
      </c>
      <c r="H43" s="273">
        <v>298859</v>
      </c>
      <c r="I43" s="274">
        <f>H43/'- 3 -'!$D43*100</f>
        <v>2.3285891333078497</v>
      </c>
      <c r="J43" s="273">
        <f>H43/'- 7 -'!$F43</f>
        <v>318.9530416221985</v>
      </c>
    </row>
    <row r="44" spans="1:10" ht="14.1" customHeight="1">
      <c r="A44" s="16" t="s">
        <v>141</v>
      </c>
      <c r="B44" s="17">
        <v>96150</v>
      </c>
      <c r="C44" s="268">
        <f>B44/'- 3 -'!$D44*100</f>
        <v>0.8759116108164835</v>
      </c>
      <c r="D44" s="17">
        <f>B44/'- 7 -'!$F44</f>
        <v>135.42253521126761</v>
      </c>
      <c r="E44" s="17">
        <v>52105</v>
      </c>
      <c r="F44" s="268">
        <f>E44/'- 3 -'!$D44*100</f>
        <v>0.4746684813478198</v>
      </c>
      <c r="G44" s="17">
        <f>E44/'- 7 -'!$F44</f>
        <v>73.387323943661968</v>
      </c>
      <c r="H44" s="17">
        <v>248091</v>
      </c>
      <c r="I44" s="268">
        <f>H44/'- 3 -'!$D44*100</f>
        <v>2.260070592190039</v>
      </c>
      <c r="J44" s="17">
        <f>H44/'- 7 -'!$F44</f>
        <v>349.4239436619718</v>
      </c>
    </row>
    <row r="45" spans="1:10" ht="14.1" customHeight="1">
      <c r="A45" s="272" t="s">
        <v>142</v>
      </c>
      <c r="B45" s="273">
        <v>136791</v>
      </c>
      <c r="C45" s="274">
        <f>B45/'- 3 -'!$D45*100</f>
        <v>0.74695807520265856</v>
      </c>
      <c r="D45" s="273">
        <f>B45/'- 7 -'!$F45</f>
        <v>81.181602373887245</v>
      </c>
      <c r="E45" s="273">
        <v>166780</v>
      </c>
      <c r="F45" s="274">
        <f>E45/'- 3 -'!$D45*100</f>
        <v>0.91071538173051869</v>
      </c>
      <c r="G45" s="273">
        <f>E45/'- 7 -'!$F45</f>
        <v>98.979228486646889</v>
      </c>
      <c r="H45" s="273">
        <v>378032</v>
      </c>
      <c r="I45" s="274">
        <f>H45/'- 3 -'!$D45*100</f>
        <v>2.0642736370449182</v>
      </c>
      <c r="J45" s="273">
        <f>H45/'- 7 -'!$F45</f>
        <v>224.35133531157271</v>
      </c>
    </row>
    <row r="46" spans="1:10" ht="14.1" customHeight="1">
      <c r="A46" s="16" t="s">
        <v>143</v>
      </c>
      <c r="B46" s="17">
        <v>849700</v>
      </c>
      <c r="C46" s="268">
        <f>B46/'- 3 -'!$D46*100</f>
        <v>0.22187666874259876</v>
      </c>
      <c r="D46" s="17">
        <f>B46/'- 7 -'!$F46</f>
        <v>28.120863118877416</v>
      </c>
      <c r="E46" s="17">
        <v>2118400</v>
      </c>
      <c r="F46" s="268">
        <f>E46/'- 3 -'!$D46*100</f>
        <v>0.5531640991694966</v>
      </c>
      <c r="G46" s="17">
        <f>E46/'- 7 -'!$F46</f>
        <v>70.10855176065661</v>
      </c>
      <c r="H46" s="17">
        <v>6170500</v>
      </c>
      <c r="I46" s="268">
        <f>H46/'- 3 -'!$D46*100</f>
        <v>1.6112627803650768</v>
      </c>
      <c r="J46" s="17">
        <f>H46/'- 7 -'!$F46</f>
        <v>204.21299973523961</v>
      </c>
    </row>
    <row r="47" spans="1:10" ht="5.0999999999999996" customHeight="1">
      <c r="A47"/>
      <c r="B47"/>
      <c r="C47"/>
      <c r="D47"/>
      <c r="E47"/>
      <c r="F47"/>
      <c r="G47"/>
      <c r="H47"/>
      <c r="I47"/>
      <c r="J47"/>
    </row>
    <row r="48" spans="1:10" ht="14.1" customHeight="1">
      <c r="A48" s="275" t="s">
        <v>144</v>
      </c>
      <c r="B48" s="276">
        <f>SUM(B11:B46)</f>
        <v>10374047</v>
      </c>
      <c r="C48" s="277">
        <f>B48/'- 3 -'!$D48*100</f>
        <v>0.4647671586042722</v>
      </c>
      <c r="D48" s="276">
        <f>B48/'- 7 -'!$F48</f>
        <v>59.7759763482536</v>
      </c>
      <c r="E48" s="276">
        <f>SUM(E11:E46)</f>
        <v>20124062</v>
      </c>
      <c r="F48" s="277">
        <f>E48/'- 3 -'!$D48*100</f>
        <v>0.90157709091892557</v>
      </c>
      <c r="G48" s="276">
        <f>E48/'- 7 -'!$F48</f>
        <v>115.95623715053432</v>
      </c>
      <c r="H48" s="276">
        <f>SUM(H11:H46)</f>
        <v>38079053</v>
      </c>
      <c r="I48" s="277">
        <f>H48/'- 3 -'!$D48*100</f>
        <v>1.7059777409097421</v>
      </c>
      <c r="J48" s="276">
        <f>H48/'- 7 -'!$F48</f>
        <v>219.41413717249358</v>
      </c>
    </row>
    <row r="49" spans="1:10" ht="5.0999999999999996" customHeight="1">
      <c r="A49" s="18" t="s">
        <v>1</v>
      </c>
      <c r="B49" s="19"/>
      <c r="C49" s="267"/>
      <c r="D49" s="19"/>
      <c r="E49" s="19"/>
      <c r="F49" s="267"/>
      <c r="H49" s="19"/>
      <c r="I49" s="267"/>
      <c r="J49" s="19"/>
    </row>
    <row r="50" spans="1:10" ht="14.1" customHeight="1">
      <c r="A50" s="16" t="s">
        <v>145</v>
      </c>
      <c r="B50" s="17">
        <v>43600</v>
      </c>
      <c r="C50" s="268">
        <f>B50/'- 3 -'!$D50*100</f>
        <v>1.2985526722077041</v>
      </c>
      <c r="D50" s="17">
        <f>B50/'- 7 -'!$F50</f>
        <v>269.1358024691358</v>
      </c>
      <c r="E50" s="17">
        <v>22810</v>
      </c>
      <c r="F50" s="268">
        <f>E50/'- 3 -'!$D50*100</f>
        <v>0.67935748745545255</v>
      </c>
      <c r="G50" s="17">
        <f>E50/'- 7 -'!$F50</f>
        <v>140.80246913580248</v>
      </c>
      <c r="H50" s="17">
        <v>82710</v>
      </c>
      <c r="I50" s="268">
        <f>H50/'- 3 -'!$D50*100</f>
        <v>2.4633782458325504</v>
      </c>
      <c r="J50" s="17">
        <f>H50/'- 7 -'!$F50</f>
        <v>510.55555555555554</v>
      </c>
    </row>
    <row r="51" spans="1:10" ht="14.1" customHeight="1">
      <c r="A51" s="364" t="s">
        <v>540</v>
      </c>
      <c r="B51" s="273">
        <v>94176</v>
      </c>
      <c r="C51" s="274">
        <f>B51/'- 3 -'!$D51*100</f>
        <v>0.37179449826574068</v>
      </c>
      <c r="D51" s="273">
        <f>B51/'- 7 -'!$F51</f>
        <v>134.36438864317307</v>
      </c>
      <c r="E51" s="273">
        <v>433862</v>
      </c>
      <c r="F51" s="274">
        <f>E51/'- 3 -'!$D51*100</f>
        <v>1.712830281670179</v>
      </c>
      <c r="G51" s="273">
        <f>E51/'- 7 -'!$F51</f>
        <v>619.00699101155658</v>
      </c>
      <c r="H51" s="273">
        <v>2026284</v>
      </c>
      <c r="I51" s="274">
        <f>H51/'- 3 -'!$D51*100</f>
        <v>7.9995035160114902</v>
      </c>
      <c r="J51" s="273">
        <f>H51/'- 7 -'!$F51</f>
        <v>2890.9744614067627</v>
      </c>
    </row>
    <row r="52" spans="1:10" ht="50.1" customHeight="1">
      <c r="B52"/>
      <c r="C52"/>
      <c r="D52"/>
      <c r="E52"/>
      <c r="F52"/>
      <c r="G52"/>
      <c r="H52"/>
      <c r="I52"/>
      <c r="J52"/>
    </row>
    <row r="53" spans="1:10" ht="15" customHeight="1"/>
    <row r="54" spans="1:10" ht="14.45" customHeight="1"/>
    <row r="55" spans="1:10" ht="14.45" customHeight="1"/>
    <row r="56" spans="1:10" ht="14.45" customHeight="1"/>
    <row r="57" spans="1:10" ht="14.45" customHeight="1"/>
    <row r="58" spans="1:10" ht="14.45" customHeight="1"/>
    <row r="59" spans="1:10" ht="14.45" customHeight="1"/>
  </sheetData>
  <mergeCells count="7">
    <mergeCell ref="B5:J5"/>
    <mergeCell ref="D8:D9"/>
    <mergeCell ref="G8:G9"/>
    <mergeCell ref="J8:J9"/>
    <mergeCell ref="B7: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9"/>
  <sheetViews>
    <sheetView showGridLines="0" showZeros="0" workbookViewId="0"/>
  </sheetViews>
  <sheetFormatPr defaultColWidth="15.83203125" defaultRowHeight="12"/>
  <cols>
    <col min="1" max="1" width="36.83203125" style="1" customWidth="1"/>
    <col min="2" max="2" width="19.83203125" style="1" customWidth="1"/>
    <col min="3" max="3" width="11.5" style="1" customWidth="1"/>
    <col min="4" max="4" width="12.6640625" style="1" customWidth="1"/>
    <col min="5" max="5" width="44.83203125" style="1" customWidth="1"/>
    <col min="6" max="16384" width="15.83203125" style="1"/>
  </cols>
  <sheetData>
    <row r="1" spans="1:5" ht="6.95" customHeight="1">
      <c r="A1" s="3"/>
      <c r="B1" s="4"/>
      <c r="C1" s="4"/>
      <c r="D1" s="4"/>
      <c r="E1" s="4"/>
    </row>
    <row r="2" spans="1:5" ht="15.95" customHeight="1">
      <c r="A2" s="133"/>
      <c r="B2" s="5" t="str">
        <f>AEXP_BP</f>
        <v>ANALYSIS OF EXPENSE BY PROGRAM</v>
      </c>
      <c r="C2" s="6"/>
      <c r="D2" s="6"/>
      <c r="E2" s="510" t="s">
        <v>568</v>
      </c>
    </row>
    <row r="3" spans="1:5" ht="15.95" customHeight="1">
      <c r="A3" s="136"/>
      <c r="B3" s="7" t="str">
        <f>OPYEAR</f>
        <v>OPERATING FUND 2015/2016 BUDGET</v>
      </c>
      <c r="C3" s="8"/>
      <c r="D3" s="8"/>
      <c r="E3" s="82"/>
    </row>
    <row r="4" spans="1:5" ht="15.95" customHeight="1">
      <c r="B4" s="4"/>
      <c r="C4" s="4"/>
      <c r="D4" s="4"/>
      <c r="E4" s="4"/>
    </row>
    <row r="5" spans="1:5" ht="15.95" customHeight="1">
      <c r="B5" s="655" t="s">
        <v>240</v>
      </c>
      <c r="C5" s="656"/>
      <c r="D5" s="657"/>
      <c r="E5" s="56"/>
    </row>
    <row r="6" spans="1:5" ht="15.95" customHeight="1">
      <c r="B6" s="607" t="s">
        <v>435</v>
      </c>
      <c r="C6" s="617"/>
      <c r="D6" s="608"/>
      <c r="E6" s="85"/>
    </row>
    <row r="7" spans="1:5" ht="15.95" customHeight="1">
      <c r="B7" s="609"/>
      <c r="C7" s="618"/>
      <c r="D7" s="610"/>
      <c r="E7" s="85"/>
    </row>
    <row r="8" spans="1:5" ht="15.95" customHeight="1">
      <c r="A8" s="83"/>
      <c r="B8" s="139"/>
      <c r="C8" s="138"/>
      <c r="D8" s="525" t="s">
        <v>410</v>
      </c>
      <c r="E8" s="85"/>
    </row>
    <row r="9" spans="1:5" ht="15.95" customHeight="1">
      <c r="A9" s="28" t="s">
        <v>37</v>
      </c>
      <c r="B9" s="90" t="s">
        <v>38</v>
      </c>
      <c r="C9" s="90" t="s">
        <v>39</v>
      </c>
      <c r="D9" s="565"/>
    </row>
    <row r="10" spans="1:5" ht="5.0999999999999996" customHeight="1">
      <c r="A10" s="30"/>
    </row>
    <row r="11" spans="1:5" ht="14.1" customHeight="1">
      <c r="A11" s="272" t="s">
        <v>109</v>
      </c>
      <c r="B11" s="273">
        <v>6800</v>
      </c>
      <c r="C11" s="274">
        <f>B11/'- 3 -'!$D11*100</f>
        <v>3.6941704903142109E-2</v>
      </c>
      <c r="D11" s="273">
        <f>B11/'- 7 -'!$F11</f>
        <v>4.1287188828172434</v>
      </c>
    </row>
    <row r="12" spans="1:5" ht="14.1" customHeight="1">
      <c r="A12" s="16" t="s">
        <v>110</v>
      </c>
      <c r="B12" s="17">
        <v>201594</v>
      </c>
      <c r="C12" s="268">
        <f>B12/'- 3 -'!$D12*100</f>
        <v>0.62866166951002123</v>
      </c>
      <c r="D12" s="17">
        <f>B12/'- 7 -'!$F12</f>
        <v>92.943291839557403</v>
      </c>
    </row>
    <row r="13" spans="1:5" ht="14.1" customHeight="1">
      <c r="A13" s="272" t="s">
        <v>111</v>
      </c>
      <c r="B13" s="273">
        <v>263000</v>
      </c>
      <c r="C13" s="274">
        <f>B13/'- 3 -'!$D13*100</f>
        <v>0.28313607110483352</v>
      </c>
      <c r="D13" s="273">
        <f>B13/'- 7 -'!$F13</f>
        <v>32.200795837159475</v>
      </c>
    </row>
    <row r="14" spans="1:5" ht="14.1" customHeight="1">
      <c r="A14" s="16" t="s">
        <v>324</v>
      </c>
      <c r="B14" s="17">
        <v>119909</v>
      </c>
      <c r="C14" s="268">
        <f>B14/'- 3 -'!$D14*100</f>
        <v>0.1445865179369325</v>
      </c>
      <c r="D14" s="17">
        <f>B14/'- 7 -'!$F14</f>
        <v>22.526582754086043</v>
      </c>
    </row>
    <row r="15" spans="1:5" ht="14.1" customHeight="1">
      <c r="A15" s="272" t="s">
        <v>112</v>
      </c>
      <c r="B15" s="273">
        <v>45000</v>
      </c>
      <c r="C15" s="274">
        <f>B15/'- 3 -'!$D15*100</f>
        <v>0.22369110505245132</v>
      </c>
      <c r="D15" s="273">
        <f>B15/'- 7 -'!$F15</f>
        <v>31.545741324921135</v>
      </c>
    </row>
    <row r="16" spans="1:5" ht="14.1" customHeight="1">
      <c r="A16" s="16" t="s">
        <v>113</v>
      </c>
      <c r="B16" s="17">
        <v>22229</v>
      </c>
      <c r="C16" s="268">
        <f>B16/'- 3 -'!$D16*100</f>
        <v>0.15801476192970934</v>
      </c>
      <c r="D16" s="17">
        <f>B16/'- 7 -'!$F16</f>
        <v>23.673056443024493</v>
      </c>
    </row>
    <row r="17" spans="1:4" ht="14.1" customHeight="1">
      <c r="A17" s="272" t="s">
        <v>114</v>
      </c>
      <c r="B17" s="273">
        <v>69500</v>
      </c>
      <c r="C17" s="274">
        <f>B17/'- 3 -'!$D17*100</f>
        <v>0.39505100563217682</v>
      </c>
      <c r="D17" s="273">
        <f>B17/'- 7 -'!$F17</f>
        <v>51.159366948840635</v>
      </c>
    </row>
    <row r="18" spans="1:4" ht="14.1" customHeight="1">
      <c r="A18" s="16" t="s">
        <v>115</v>
      </c>
      <c r="B18" s="17">
        <v>631094</v>
      </c>
      <c r="C18" s="268">
        <f>B18/'- 3 -'!$D18*100</f>
        <v>0.49300405286619198</v>
      </c>
      <c r="D18" s="17">
        <f>B18/'- 7 -'!$F18</f>
        <v>100.7879775137345</v>
      </c>
    </row>
    <row r="19" spans="1:4" ht="14.1" customHeight="1">
      <c r="A19" s="272" t="s">
        <v>116</v>
      </c>
      <c r="B19" s="273">
        <v>61300</v>
      </c>
      <c r="C19" s="274">
        <f>B19/'- 3 -'!$D19*100</f>
        <v>0.13639371458602839</v>
      </c>
      <c r="D19" s="273">
        <f>B19/'- 7 -'!$F19</f>
        <v>14.602191519771319</v>
      </c>
    </row>
    <row r="20" spans="1:4" ht="14.1" customHeight="1">
      <c r="A20" s="16" t="s">
        <v>117</v>
      </c>
      <c r="B20" s="17">
        <v>73400</v>
      </c>
      <c r="C20" s="268">
        <f>B20/'- 3 -'!$D20*100</f>
        <v>9.3162814075454264E-2</v>
      </c>
      <c r="D20" s="17">
        <f>B20/'- 7 -'!$F20</f>
        <v>9.8246553339579705</v>
      </c>
    </row>
    <row r="21" spans="1:4" ht="14.1" customHeight="1">
      <c r="A21" s="272" t="s">
        <v>118</v>
      </c>
      <c r="B21" s="273">
        <v>63000</v>
      </c>
      <c r="C21" s="274">
        <f>B21/'- 3 -'!$D21*100</f>
        <v>0.17744487991671246</v>
      </c>
      <c r="D21" s="273">
        <f>B21/'- 7 -'!$F21</f>
        <v>23.359288097886541</v>
      </c>
    </row>
    <row r="22" spans="1:4" ht="14.1" customHeight="1">
      <c r="A22" s="16" t="s">
        <v>119</v>
      </c>
      <c r="B22" s="17">
        <v>55000</v>
      </c>
      <c r="C22" s="268">
        <f>B22/'- 3 -'!$D22*100</f>
        <v>0.26660140264329957</v>
      </c>
      <c r="D22" s="17">
        <f>B22/'- 7 -'!$F22</f>
        <v>35.072057135569445</v>
      </c>
    </row>
    <row r="23" spans="1:4" ht="14.1" customHeight="1">
      <c r="A23" s="272" t="s">
        <v>120</v>
      </c>
      <c r="B23" s="273">
        <v>45000</v>
      </c>
      <c r="C23" s="274">
        <f>B23/'- 3 -'!$D23*100</f>
        <v>0.27272398351074428</v>
      </c>
      <c r="D23" s="273">
        <f>B23/'- 7 -'!$F23</f>
        <v>40.394973070017954</v>
      </c>
    </row>
    <row r="24" spans="1:4" ht="14.1" customHeight="1">
      <c r="A24" s="16" t="s">
        <v>121</v>
      </c>
      <c r="B24" s="17">
        <v>186485</v>
      </c>
      <c r="C24" s="268">
        <f>B24/'- 3 -'!$D24*100</f>
        <v>0.33356112113812697</v>
      </c>
      <c r="D24" s="17">
        <f>B24/'- 7 -'!$F24</f>
        <v>46.908564960382343</v>
      </c>
    </row>
    <row r="25" spans="1:4" ht="14.1" customHeight="1">
      <c r="A25" s="272" t="s">
        <v>122</v>
      </c>
      <c r="B25" s="273">
        <v>778839</v>
      </c>
      <c r="C25" s="274">
        <f>B25/'- 3 -'!$D25*100</f>
        <v>0.46597351531507891</v>
      </c>
      <c r="D25" s="273">
        <f>B25/'- 7 -'!$F25</f>
        <v>55.689035072038898</v>
      </c>
    </row>
    <row r="26" spans="1:4" ht="14.1" customHeight="1">
      <c r="A26" s="16" t="s">
        <v>123</v>
      </c>
      <c r="B26" s="17">
        <v>25000</v>
      </c>
      <c r="C26" s="268">
        <f>B26/'- 3 -'!$D26*100</f>
        <v>6.2676951135369155E-2</v>
      </c>
      <c r="D26" s="17">
        <f>B26/'- 7 -'!$F26</f>
        <v>8.0450522928399035</v>
      </c>
    </row>
    <row r="27" spans="1:4" ht="14.1" customHeight="1">
      <c r="A27" s="272" t="s">
        <v>124</v>
      </c>
      <c r="B27" s="273">
        <v>157683</v>
      </c>
      <c r="C27" s="274">
        <f>B27/'- 3 -'!$D27*100</f>
        <v>0.36738295971948953</v>
      </c>
      <c r="D27" s="273">
        <f>B27/'- 7 -'!$F27</f>
        <v>55.127032088899995</v>
      </c>
    </row>
    <row r="28" spans="1:4" ht="14.1" customHeight="1">
      <c r="A28" s="16" t="s">
        <v>125</v>
      </c>
      <c r="B28" s="17">
        <v>67000</v>
      </c>
      <c r="C28" s="268">
        <f>B28/'- 3 -'!$D28*100</f>
        <v>0.23921178075890404</v>
      </c>
      <c r="D28" s="17">
        <f>B28/'- 7 -'!$F28</f>
        <v>34.001522456229381</v>
      </c>
    </row>
    <row r="29" spans="1:4" ht="14.1" customHeight="1">
      <c r="A29" s="272" t="s">
        <v>126</v>
      </c>
      <c r="B29" s="273">
        <v>1081401</v>
      </c>
      <c r="C29" s="274">
        <f>B29/'- 3 -'!$D29*100</f>
        <v>0.6984891456056247</v>
      </c>
      <c r="D29" s="273">
        <f>B29/'- 7 -'!$F29</f>
        <v>87.605395333765387</v>
      </c>
    </row>
    <row r="30" spans="1:4" ht="14.1" customHeight="1">
      <c r="A30" s="16" t="s">
        <v>127</v>
      </c>
      <c r="B30" s="17">
        <v>41000</v>
      </c>
      <c r="C30" s="268">
        <f>B30/'- 3 -'!$D30*100</f>
        <v>0.29301530833464895</v>
      </c>
      <c r="D30" s="17">
        <f>B30/'- 7 -'!$F30</f>
        <v>39.96101364522417</v>
      </c>
    </row>
    <row r="31" spans="1:4" ht="14.1" customHeight="1">
      <c r="A31" s="272" t="s">
        <v>128</v>
      </c>
      <c r="B31" s="273">
        <v>137410</v>
      </c>
      <c r="C31" s="274">
        <f>B31/'- 3 -'!$D31*100</f>
        <v>0.37948559582759717</v>
      </c>
      <c r="D31" s="273">
        <f>B31/'- 7 -'!$F31</f>
        <v>43.048245614035089</v>
      </c>
    </row>
    <row r="32" spans="1:4" ht="14.1" customHeight="1">
      <c r="A32" s="16" t="s">
        <v>129</v>
      </c>
      <c r="B32" s="17">
        <v>61200</v>
      </c>
      <c r="C32" s="268">
        <f>B32/'- 3 -'!$D32*100</f>
        <v>0.212820620175979</v>
      </c>
      <c r="D32" s="17">
        <f>B32/'- 7 -'!$F32</f>
        <v>28.895866285795229</v>
      </c>
    </row>
    <row r="33" spans="1:5" ht="14.1" customHeight="1">
      <c r="A33" s="272" t="s">
        <v>130</v>
      </c>
      <c r="B33" s="273">
        <v>62000</v>
      </c>
      <c r="C33" s="274">
        <f>B33/'- 3 -'!$D33*100</f>
        <v>0.22732439190725162</v>
      </c>
      <c r="D33" s="273">
        <f>B33/'- 7 -'!$F33</f>
        <v>31.352718078381795</v>
      </c>
    </row>
    <row r="34" spans="1:5" ht="14.1" customHeight="1">
      <c r="A34" s="16" t="s">
        <v>131</v>
      </c>
      <c r="B34" s="17">
        <v>43600</v>
      </c>
      <c r="C34" s="268">
        <f>B34/'- 3 -'!$D34*100</f>
        <v>0.15757435530855896</v>
      </c>
      <c r="D34" s="17">
        <f>B34/'- 7 -'!$F34</f>
        <v>22.078185132671663</v>
      </c>
    </row>
    <row r="35" spans="1:5" ht="14.1" customHeight="1">
      <c r="A35" s="272" t="s">
        <v>132</v>
      </c>
      <c r="B35" s="273">
        <v>1195725</v>
      </c>
      <c r="C35" s="274">
        <f>B35/'- 3 -'!$D35*100</f>
        <v>0.67866051595260435</v>
      </c>
      <c r="D35" s="273">
        <f>B35/'- 7 -'!$F35</f>
        <v>76.545995774918381</v>
      </c>
    </row>
    <row r="36" spans="1:5" ht="14.1" customHeight="1">
      <c r="A36" s="16" t="s">
        <v>133</v>
      </c>
      <c r="B36" s="17">
        <v>34000</v>
      </c>
      <c r="C36" s="268">
        <f>B36/'- 3 -'!$D36*100</f>
        <v>0.14780950658578298</v>
      </c>
      <c r="D36" s="17">
        <f>B36/'- 7 -'!$F36</f>
        <v>20.268256333830106</v>
      </c>
    </row>
    <row r="37" spans="1:5" ht="14.1" customHeight="1">
      <c r="A37" s="272" t="s">
        <v>134</v>
      </c>
      <c r="B37" s="273">
        <v>201081</v>
      </c>
      <c r="C37" s="274">
        <f>B37/'- 3 -'!$D37*100</f>
        <v>0.42991747199178998</v>
      </c>
      <c r="D37" s="273">
        <f>B37/'- 7 -'!$F37</f>
        <v>50.925921235912369</v>
      </c>
    </row>
    <row r="38" spans="1:5" ht="14.1" customHeight="1">
      <c r="A38" s="16" t="s">
        <v>135</v>
      </c>
      <c r="B38" s="17">
        <v>504943</v>
      </c>
      <c r="C38" s="268">
        <f>B38/'- 3 -'!$D38*100</f>
        <v>0.39093367225715114</v>
      </c>
      <c r="D38" s="17">
        <f>B38/'- 7 -'!$F38</f>
        <v>46.949604834960482</v>
      </c>
    </row>
    <row r="39" spans="1:5" ht="14.1" customHeight="1">
      <c r="A39" s="272" t="s">
        <v>136</v>
      </c>
      <c r="B39" s="273">
        <v>62000</v>
      </c>
      <c r="C39" s="274">
        <f>B39/'- 3 -'!$D39*100</f>
        <v>0.28270703844770123</v>
      </c>
      <c r="D39" s="273">
        <f>B39/'- 7 -'!$F39</f>
        <v>39.897039897039896</v>
      </c>
    </row>
    <row r="40" spans="1:5" ht="14.1" customHeight="1">
      <c r="A40" s="16" t="s">
        <v>137</v>
      </c>
      <c r="B40" s="17">
        <v>419958</v>
      </c>
      <c r="C40" s="268">
        <f>B40/'- 3 -'!$D40*100</f>
        <v>0.41148702119505315</v>
      </c>
      <c r="D40" s="17">
        <f>B40/'- 7 -'!$F40</f>
        <v>53.536298691034069</v>
      </c>
    </row>
    <row r="41" spans="1:5" ht="14.1" customHeight="1">
      <c r="A41" s="272" t="s">
        <v>138</v>
      </c>
      <c r="B41" s="273">
        <v>182985</v>
      </c>
      <c r="C41" s="274">
        <f>B41/'- 3 -'!$D41*100</f>
        <v>0.29397200038993843</v>
      </c>
      <c r="D41" s="273">
        <f>B41/'- 7 -'!$F41</f>
        <v>42.012398117322924</v>
      </c>
    </row>
    <row r="42" spans="1:5" ht="14.1" customHeight="1">
      <c r="A42" s="16" t="s">
        <v>139</v>
      </c>
      <c r="B42" s="17">
        <v>32800</v>
      </c>
      <c r="C42" s="268">
        <f>B42/'- 3 -'!$D42*100</f>
        <v>0.15911715592443137</v>
      </c>
      <c r="D42" s="17">
        <f>B42/'- 7 -'!$F42</f>
        <v>23.889293517844138</v>
      </c>
    </row>
    <row r="43" spans="1:5" ht="14.1" customHeight="1">
      <c r="A43" s="272" t="s">
        <v>140</v>
      </c>
      <c r="B43" s="273">
        <v>31300</v>
      </c>
      <c r="C43" s="274">
        <f>B43/'- 3 -'!$D43*100</f>
        <v>0.24387701181003649</v>
      </c>
      <c r="D43" s="273">
        <f>B43/'- 7 -'!$F43</f>
        <v>33.404482390608322</v>
      </c>
    </row>
    <row r="44" spans="1:5" ht="14.1" customHeight="1">
      <c r="A44" s="16" t="s">
        <v>141</v>
      </c>
      <c r="B44" s="17">
        <v>8000</v>
      </c>
      <c r="C44" s="268">
        <f>B44/'- 3 -'!$D44*100</f>
        <v>7.287876117037824E-2</v>
      </c>
      <c r="D44" s="17">
        <f>B44/'- 7 -'!$F44</f>
        <v>11.267605633802816</v>
      </c>
    </row>
    <row r="45" spans="1:5" ht="14.1" customHeight="1">
      <c r="A45" s="272" t="s">
        <v>142</v>
      </c>
      <c r="B45" s="273">
        <v>64000</v>
      </c>
      <c r="C45" s="274">
        <f>B45/'- 3 -'!$D45*100</f>
        <v>0.34947706218223529</v>
      </c>
      <c r="D45" s="273">
        <f>B45/'- 7 -'!$F45</f>
        <v>37.982195845697326</v>
      </c>
    </row>
    <row r="46" spans="1:5" ht="14.1" customHeight="1">
      <c r="A46" s="16" t="s">
        <v>143</v>
      </c>
      <c r="B46" s="17">
        <v>1518600</v>
      </c>
      <c r="C46" s="268">
        <f>B46/'- 3 -'!$D46*100</f>
        <v>0.39654220213311814</v>
      </c>
      <c r="D46" s="17">
        <f>B46/'- 7 -'!$F46</f>
        <v>50.258141382049246</v>
      </c>
    </row>
    <row r="47" spans="1:5" ht="5.0999999999999996" customHeight="1">
      <c r="A47"/>
      <c r="B47"/>
      <c r="C47"/>
      <c r="D47"/>
    </row>
    <row r="48" spans="1:5" ht="14.1" customHeight="1">
      <c r="A48" s="275" t="s">
        <v>144</v>
      </c>
      <c r="B48" s="276">
        <f>SUM(B11:B46)</f>
        <v>8553836</v>
      </c>
      <c r="C48" s="277">
        <f>B48/'- 3 -'!$D48*100</f>
        <v>0.38321997701446053</v>
      </c>
      <c r="D48" s="276">
        <f>B48/'- 7 -'!$F48</f>
        <v>49.287794669027448</v>
      </c>
      <c r="E48" s="30"/>
    </row>
    <row r="49" spans="1:4" ht="5.0999999999999996" customHeight="1">
      <c r="A49" s="18" t="s">
        <v>1</v>
      </c>
      <c r="B49" s="19"/>
      <c r="C49" s="267"/>
      <c r="D49" s="19"/>
    </row>
    <row r="50" spans="1:4" ht="14.1" customHeight="1">
      <c r="A50" s="16" t="s">
        <v>145</v>
      </c>
      <c r="B50" s="17">
        <v>1900</v>
      </c>
      <c r="C50" s="268">
        <f>B50/'- 3 -'!$D50*100</f>
        <v>5.6588304522812799E-2</v>
      </c>
      <c r="D50" s="17">
        <f>B50/'- 7 -'!$F50</f>
        <v>11.728395061728396</v>
      </c>
    </row>
    <row r="51" spans="1:4" ht="14.1" customHeight="1">
      <c r="A51" s="364" t="s">
        <v>540</v>
      </c>
      <c r="B51" s="273">
        <v>620249</v>
      </c>
      <c r="C51" s="274">
        <f>B51/'- 3 -'!$D51*100</f>
        <v>2.4486617158811947</v>
      </c>
      <c r="D51" s="273">
        <f>B51/'- 7 -'!$F51</f>
        <v>884.93222999001284</v>
      </c>
    </row>
    <row r="52" spans="1:4" ht="50.1" customHeight="1"/>
    <row r="53" spans="1:4" ht="15" customHeight="1"/>
    <row r="54" spans="1:4" ht="14.45" customHeight="1"/>
    <row r="55" spans="1:4" ht="14.45" customHeight="1"/>
    <row r="56" spans="1:4" ht="14.45" customHeight="1"/>
    <row r="57" spans="1:4" ht="14.45" customHeight="1"/>
    <row r="58" spans="1:4" ht="14.45" customHeight="1"/>
    <row r="59" spans="1:4" ht="14.45" customHeight="1"/>
  </sheetData>
  <mergeCells count="3">
    <mergeCell ref="D8:D9"/>
    <mergeCell ref="B6:D7"/>
    <mergeCell ref="B5:D5"/>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9"/>
  <sheetViews>
    <sheetView showGridLines="0" showZeros="0" workbookViewId="0"/>
  </sheetViews>
  <sheetFormatPr defaultColWidth="15.83203125" defaultRowHeight="12"/>
  <cols>
    <col min="1" max="1" width="29.83203125" style="1" customWidth="1"/>
    <col min="2" max="2" width="15" style="1" customWidth="1"/>
    <col min="3" max="3" width="9.1640625" style="1" customWidth="1"/>
    <col min="4" max="4" width="9.83203125" style="1" customWidth="1"/>
    <col min="5" max="5" width="12.6640625" style="1" customWidth="1"/>
    <col min="6" max="6" width="8.1640625" style="1" customWidth="1"/>
    <col min="7" max="7" width="9.1640625" style="1" customWidth="1"/>
    <col min="8" max="8" width="12.6640625" style="1" customWidth="1"/>
    <col min="9" max="9" width="8.5" style="1" customWidth="1"/>
    <col min="10" max="10" width="9.1640625" style="1" customWidth="1"/>
    <col min="11" max="16384" width="15.83203125" style="1"/>
  </cols>
  <sheetData>
    <row r="1" spans="1:10" ht="6.95" customHeight="1">
      <c r="A1" s="3"/>
      <c r="B1" s="4"/>
      <c r="C1" s="4"/>
      <c r="D1" s="4"/>
      <c r="E1" s="4"/>
      <c r="F1" s="4"/>
      <c r="G1" s="4"/>
      <c r="H1" s="4"/>
      <c r="I1" s="4"/>
      <c r="J1" s="4"/>
    </row>
    <row r="2" spans="1:10" ht="15.95" customHeight="1">
      <c r="A2" s="133"/>
      <c r="B2" s="5" t="str">
        <f>AEXP_BP</f>
        <v>ANALYSIS OF EXPENSE BY PROGRAM</v>
      </c>
      <c r="C2" s="6"/>
      <c r="D2" s="134"/>
      <c r="E2" s="6"/>
      <c r="F2" s="6"/>
      <c r="G2" s="6"/>
      <c r="H2" s="86"/>
      <c r="I2" s="86"/>
      <c r="J2" s="510" t="s">
        <v>569</v>
      </c>
    </row>
    <row r="3" spans="1:10" ht="15.95" customHeight="1">
      <c r="A3" s="136"/>
      <c r="B3" s="7" t="str">
        <f>OPYEAR</f>
        <v>OPERATING FUND 2015/2016 BUDGET</v>
      </c>
      <c r="C3" s="8"/>
      <c r="D3" s="145"/>
      <c r="E3" s="8"/>
      <c r="F3" s="8"/>
      <c r="G3" s="8"/>
      <c r="H3" s="88"/>
      <c r="I3" s="88"/>
      <c r="J3" s="8"/>
    </row>
    <row r="4" spans="1:10" ht="15.95" customHeight="1">
      <c r="B4" s="4"/>
      <c r="C4" s="4"/>
      <c r="D4" s="4"/>
      <c r="E4" s="4"/>
      <c r="F4" s="4"/>
      <c r="G4" s="4"/>
      <c r="H4" s="4"/>
      <c r="I4" s="4"/>
      <c r="J4" s="4"/>
    </row>
    <row r="5" spans="1:10" ht="15.95" customHeight="1">
      <c r="B5" s="675" t="s">
        <v>254</v>
      </c>
      <c r="C5" s="676"/>
      <c r="D5" s="676"/>
      <c r="E5" s="676"/>
      <c r="F5" s="676"/>
      <c r="G5" s="676"/>
      <c r="H5" s="676"/>
      <c r="I5" s="676"/>
      <c r="J5" s="677"/>
    </row>
    <row r="6" spans="1:10" ht="15.95" customHeight="1">
      <c r="B6" s="611" t="s">
        <v>436</v>
      </c>
      <c r="C6" s="617"/>
      <c r="D6" s="608"/>
      <c r="E6" s="611" t="s">
        <v>437</v>
      </c>
      <c r="F6" s="617"/>
      <c r="G6" s="608"/>
      <c r="H6" s="607" t="s">
        <v>438</v>
      </c>
      <c r="I6" s="615"/>
      <c r="J6" s="600"/>
    </row>
    <row r="7" spans="1:10" ht="15.95" customHeight="1">
      <c r="B7" s="609"/>
      <c r="C7" s="618"/>
      <c r="D7" s="610"/>
      <c r="E7" s="609"/>
      <c r="F7" s="618"/>
      <c r="G7" s="610"/>
      <c r="H7" s="614"/>
      <c r="I7" s="616"/>
      <c r="J7" s="602"/>
    </row>
    <row r="8" spans="1:10" ht="15.95" customHeight="1">
      <c r="A8" s="83"/>
      <c r="B8" s="139"/>
      <c r="C8" s="138"/>
      <c r="D8" s="525" t="s">
        <v>410</v>
      </c>
      <c r="E8" s="139"/>
      <c r="F8" s="138"/>
      <c r="G8" s="525" t="s">
        <v>410</v>
      </c>
      <c r="H8" s="139"/>
      <c r="I8" s="138"/>
      <c r="J8" s="525" t="s">
        <v>410</v>
      </c>
    </row>
    <row r="9" spans="1:10" ht="15.95" customHeight="1">
      <c r="A9" s="28" t="s">
        <v>37</v>
      </c>
      <c r="B9" s="90" t="s">
        <v>38</v>
      </c>
      <c r="C9" s="90" t="s">
        <v>39</v>
      </c>
      <c r="D9" s="565"/>
      <c r="E9" s="90" t="s">
        <v>38</v>
      </c>
      <c r="F9" s="90" t="s">
        <v>39</v>
      </c>
      <c r="G9" s="565"/>
      <c r="H9" s="90" t="s">
        <v>38</v>
      </c>
      <c r="I9" s="90" t="s">
        <v>39</v>
      </c>
      <c r="J9" s="565"/>
    </row>
    <row r="10" spans="1:10" ht="5.0999999999999996" customHeight="1">
      <c r="A10" s="30"/>
    </row>
    <row r="11" spans="1:10" ht="14.1" customHeight="1">
      <c r="A11" s="272" t="s">
        <v>109</v>
      </c>
      <c r="B11" s="273">
        <v>15279</v>
      </c>
      <c r="C11" s="274">
        <f>B11/'- 3 -'!$D11*100</f>
        <v>8.3004751355162984E-2</v>
      </c>
      <c r="D11" s="273">
        <f>B11/'- 7 -'!$C11</f>
        <v>9.2768670309653913</v>
      </c>
      <c r="E11" s="273">
        <v>0</v>
      </c>
      <c r="F11" s="274">
        <f>E11/'- 3 -'!$D11*100</f>
        <v>0</v>
      </c>
      <c r="G11" s="273">
        <f>E11/'- 7 -'!$F11</f>
        <v>0</v>
      </c>
      <c r="H11" s="273">
        <v>230490</v>
      </c>
      <c r="I11" s="274">
        <f>H11/'- 3 -'!$D11*100</f>
        <v>1.2521608181066508</v>
      </c>
      <c r="J11" s="273">
        <f>H11/'- 7 -'!$F11</f>
        <v>139.94535519125682</v>
      </c>
    </row>
    <row r="12" spans="1:10" ht="14.1" customHeight="1">
      <c r="A12" s="16" t="s">
        <v>110</v>
      </c>
      <c r="B12" s="17">
        <v>0</v>
      </c>
      <c r="C12" s="268">
        <f>B12/'- 3 -'!$D12*100</f>
        <v>0</v>
      </c>
      <c r="D12" s="17">
        <f>B12/'- 7 -'!$C12</f>
        <v>0</v>
      </c>
      <c r="E12" s="17">
        <v>0</v>
      </c>
      <c r="F12" s="268">
        <f>E12/'- 3 -'!$D12*100</f>
        <v>0</v>
      </c>
      <c r="G12" s="17">
        <f>E12/'- 7 -'!$F12</f>
        <v>0</v>
      </c>
      <c r="H12" s="17">
        <v>251029</v>
      </c>
      <c r="I12" s="268">
        <f>H12/'- 3 -'!$D12*100</f>
        <v>0.78282245620123181</v>
      </c>
      <c r="J12" s="17">
        <f>H12/'- 7 -'!$F12</f>
        <v>115.73490087597972</v>
      </c>
    </row>
    <row r="13" spans="1:10" ht="14.1" customHeight="1">
      <c r="A13" s="272" t="s">
        <v>111</v>
      </c>
      <c r="B13" s="273">
        <v>0</v>
      </c>
      <c r="C13" s="274">
        <f>B13/'- 3 -'!$D13*100</f>
        <v>0</v>
      </c>
      <c r="D13" s="273">
        <f>B13/'- 7 -'!$C13</f>
        <v>0</v>
      </c>
      <c r="E13" s="273">
        <v>445100</v>
      </c>
      <c r="F13" s="274">
        <f>E13/'- 3 -'!$D13*100</f>
        <v>0.47917819486221075</v>
      </c>
      <c r="G13" s="273">
        <f>E13/'- 7 -'!$F13</f>
        <v>54.496479951025407</v>
      </c>
      <c r="H13" s="273">
        <v>1074200</v>
      </c>
      <c r="I13" s="274">
        <f>H13/'- 3 -'!$D13*100</f>
        <v>1.1564439831970046</v>
      </c>
      <c r="J13" s="273">
        <f>H13/'- 7 -'!$F13</f>
        <v>131.52127333945515</v>
      </c>
    </row>
    <row r="14" spans="1:10" ht="14.1" customHeight="1">
      <c r="A14" s="16" t="s">
        <v>324</v>
      </c>
      <c r="B14" s="17">
        <v>156093</v>
      </c>
      <c r="C14" s="268">
        <f>B14/'- 3 -'!$D14*100</f>
        <v>0.18821725929104241</v>
      </c>
      <c r="D14" s="17">
        <f>B14/'- 7 -'!$C14</f>
        <v>29.324253240653768</v>
      </c>
      <c r="E14" s="17">
        <v>1642803</v>
      </c>
      <c r="F14" s="268">
        <f>E14/'- 3 -'!$D14*100</f>
        <v>1.9808952240978288</v>
      </c>
      <c r="G14" s="17">
        <f>E14/'- 7 -'!$F14</f>
        <v>308.6235205711065</v>
      </c>
      <c r="H14" s="17">
        <v>887434</v>
      </c>
      <c r="I14" s="268">
        <f>H14/'- 3 -'!$D14*100</f>
        <v>1.0700697358734019</v>
      </c>
      <c r="J14" s="17">
        <f>H14/'- 7 -'!$F14</f>
        <v>166.716888972384</v>
      </c>
    </row>
    <row r="15" spans="1:10" ht="14.1" customHeight="1">
      <c r="A15" s="272" t="s">
        <v>112</v>
      </c>
      <c r="B15" s="273">
        <v>52400</v>
      </c>
      <c r="C15" s="274">
        <f>B15/'- 3 -'!$D15*100</f>
        <v>0.26047586454996552</v>
      </c>
      <c r="D15" s="273">
        <f>B15/'- 7 -'!$C15</f>
        <v>36.733263231685946</v>
      </c>
      <c r="E15" s="273">
        <v>100700</v>
      </c>
      <c r="F15" s="274">
        <f>E15/'- 3 -'!$D15*100</f>
        <v>0.50057098397292998</v>
      </c>
      <c r="G15" s="273">
        <f>E15/'- 7 -'!$F15</f>
        <v>70.592358920434634</v>
      </c>
      <c r="H15" s="273">
        <v>218600</v>
      </c>
      <c r="I15" s="274">
        <f>H15/'- 3 -'!$D15*100</f>
        <v>1.0866416792103526</v>
      </c>
      <c r="J15" s="273">
        <f>H15/'- 7 -'!$F15</f>
        <v>153.24220119172801</v>
      </c>
    </row>
    <row r="16" spans="1:10" ht="14.1" customHeight="1">
      <c r="A16" s="16" t="s">
        <v>113</v>
      </c>
      <c r="B16" s="17">
        <v>0</v>
      </c>
      <c r="C16" s="268">
        <f>B16/'- 3 -'!$D16*100</f>
        <v>0</v>
      </c>
      <c r="D16" s="17">
        <f>B16/'- 7 -'!$C16</f>
        <v>0</v>
      </c>
      <c r="E16" s="17">
        <v>0</v>
      </c>
      <c r="F16" s="268">
        <f>E16/'- 3 -'!$D16*100</f>
        <v>0</v>
      </c>
      <c r="G16" s="17">
        <f>E16/'- 7 -'!$F16</f>
        <v>0</v>
      </c>
      <c r="H16" s="17">
        <v>152867</v>
      </c>
      <c r="I16" s="268">
        <f>H16/'- 3 -'!$D16*100</f>
        <v>1.0866544879170847</v>
      </c>
      <c r="J16" s="17">
        <f>H16/'- 7 -'!$F16</f>
        <v>162.79765708200213</v>
      </c>
    </row>
    <row r="17" spans="1:10" ht="14.1" customHeight="1">
      <c r="A17" s="272" t="s">
        <v>114</v>
      </c>
      <c r="B17" s="273">
        <v>0</v>
      </c>
      <c r="C17" s="274">
        <f>B17/'- 3 -'!$D17*100</f>
        <v>0</v>
      </c>
      <c r="D17" s="273">
        <f>B17/'- 7 -'!$C17</f>
        <v>0</v>
      </c>
      <c r="E17" s="273">
        <v>109810</v>
      </c>
      <c r="F17" s="274">
        <f>E17/'- 3 -'!$D17*100</f>
        <v>0.62418058889883943</v>
      </c>
      <c r="G17" s="273">
        <f>E17/'- 7 -'!$F17</f>
        <v>80.831799779168193</v>
      </c>
      <c r="H17" s="273">
        <v>223460</v>
      </c>
      <c r="I17" s="274">
        <f>H17/'- 3 -'!$D17*100</f>
        <v>1.2701884563822481</v>
      </c>
      <c r="J17" s="273">
        <f>H17/'- 7 -'!$F17</f>
        <v>164.49024659550975</v>
      </c>
    </row>
    <row r="18" spans="1:10" ht="14.1" customHeight="1">
      <c r="A18" s="16" t="s">
        <v>115</v>
      </c>
      <c r="B18" s="17">
        <v>0</v>
      </c>
      <c r="C18" s="268">
        <f>B18/'- 3 -'!$D18*100</f>
        <v>0</v>
      </c>
      <c r="D18" s="17">
        <f>B18/'- 7 -'!$C18</f>
        <v>0</v>
      </c>
      <c r="E18" s="17">
        <v>2519128</v>
      </c>
      <c r="F18" s="268">
        <f>E18/'- 3 -'!$D18*100</f>
        <v>1.9679165285816445</v>
      </c>
      <c r="G18" s="17">
        <f>E18/'- 7 -'!$F18</f>
        <v>402.31378561390056</v>
      </c>
      <c r="H18" s="17">
        <v>1982876</v>
      </c>
      <c r="I18" s="268">
        <f>H18/'- 3 -'!$D18*100</f>
        <v>1.5490020572705545</v>
      </c>
      <c r="J18" s="17">
        <f>H18/'- 7 -'!$F18</f>
        <v>316.67241599591159</v>
      </c>
    </row>
    <row r="19" spans="1:10" ht="14.1" customHeight="1">
      <c r="A19" s="272" t="s">
        <v>116</v>
      </c>
      <c r="B19" s="273">
        <v>0</v>
      </c>
      <c r="C19" s="274">
        <f>B19/'- 3 -'!$D19*100</f>
        <v>0</v>
      </c>
      <c r="D19" s="273">
        <f>B19/'- 7 -'!$C19</f>
        <v>0</v>
      </c>
      <c r="E19" s="273">
        <v>190200</v>
      </c>
      <c r="F19" s="274">
        <f>E19/'- 3 -'!$D19*100</f>
        <v>0.42319876858503425</v>
      </c>
      <c r="G19" s="273">
        <f>E19/'- 7 -'!$F19</f>
        <v>45.307289185326347</v>
      </c>
      <c r="H19" s="273">
        <v>470800</v>
      </c>
      <c r="I19" s="274">
        <f>H19/'- 3 -'!$D19*100</f>
        <v>1.047539328337719</v>
      </c>
      <c r="J19" s="273">
        <f>H19/'- 7 -'!$F19</f>
        <v>112.14864221057647</v>
      </c>
    </row>
    <row r="20" spans="1:10" ht="14.1" customHeight="1">
      <c r="A20" s="16" t="s">
        <v>117</v>
      </c>
      <c r="B20" s="17">
        <v>33400</v>
      </c>
      <c r="C20" s="268">
        <f>B20/'- 3 -'!$D20*100</f>
        <v>4.2392888148776189E-2</v>
      </c>
      <c r="D20" s="17">
        <f>B20/'- 7 -'!$C20</f>
        <v>4.4706197296212018</v>
      </c>
      <c r="E20" s="17">
        <v>491800</v>
      </c>
      <c r="F20" s="268">
        <f>E20/'- 3 -'!$D20*100</f>
        <v>0.62421623926850689</v>
      </c>
      <c r="G20" s="17">
        <f>E20/'- 7 -'!$F20</f>
        <v>65.827867755320568</v>
      </c>
      <c r="H20" s="17">
        <v>793400</v>
      </c>
      <c r="I20" s="268">
        <f>H20/'- 3 -'!$D20*100</f>
        <v>1.0070214807556594</v>
      </c>
      <c r="J20" s="17">
        <f>H20/'- 7 -'!$F20</f>
        <v>106.19729621201981</v>
      </c>
    </row>
    <row r="21" spans="1:10" ht="14.1" customHeight="1">
      <c r="A21" s="272" t="s">
        <v>118</v>
      </c>
      <c r="B21" s="273">
        <v>0</v>
      </c>
      <c r="C21" s="274">
        <f>B21/'- 3 -'!$D21*100</f>
        <v>0</v>
      </c>
      <c r="D21" s="273">
        <f>B21/'- 7 -'!$C21</f>
        <v>0</v>
      </c>
      <c r="E21" s="273">
        <v>98600</v>
      </c>
      <c r="F21" s="274">
        <f>E21/'- 3 -'!$D21*100</f>
        <v>0.27771531999663246</v>
      </c>
      <c r="G21" s="273">
        <f>E21/'- 7 -'!$F21</f>
        <v>36.55913978494624</v>
      </c>
      <c r="H21" s="273">
        <v>587742</v>
      </c>
      <c r="I21" s="274">
        <f>H21/'- 3 -'!$D21*100</f>
        <v>1.6554255335239429</v>
      </c>
      <c r="J21" s="273">
        <f>H21/'- 7 -'!$F21</f>
        <v>217.92436040044493</v>
      </c>
    </row>
    <row r="22" spans="1:10" ht="14.1" customHeight="1">
      <c r="A22" s="16" t="s">
        <v>119</v>
      </c>
      <c r="B22" s="17">
        <v>26130</v>
      </c>
      <c r="C22" s="268">
        <f>B22/'- 3 -'!$D22*100</f>
        <v>0.12665990274671671</v>
      </c>
      <c r="D22" s="17">
        <f>B22/'- 7 -'!$C22</f>
        <v>16.66241550822599</v>
      </c>
      <c r="E22" s="17">
        <v>80080</v>
      </c>
      <c r="F22" s="268">
        <f>E22/'- 3 -'!$D22*100</f>
        <v>0.3881716422486442</v>
      </c>
      <c r="G22" s="17">
        <f>E22/'- 7 -'!$F22</f>
        <v>51.064915189389104</v>
      </c>
      <c r="H22" s="17">
        <v>196765</v>
      </c>
      <c r="I22" s="268">
        <f>H22/'- 3 -'!$D22*100</f>
        <v>0.953778636201979</v>
      </c>
      <c r="J22" s="17">
        <f>H22/'- 7 -'!$F22</f>
        <v>125.47187858691493</v>
      </c>
    </row>
    <row r="23" spans="1:10" ht="14.1" customHeight="1">
      <c r="A23" s="272" t="s">
        <v>120</v>
      </c>
      <c r="B23" s="273">
        <v>0</v>
      </c>
      <c r="C23" s="274">
        <f>B23/'- 3 -'!$D23*100</f>
        <v>0</v>
      </c>
      <c r="D23" s="273">
        <f>B23/'- 7 -'!$C23</f>
        <v>0</v>
      </c>
      <c r="E23" s="273">
        <v>0</v>
      </c>
      <c r="F23" s="274">
        <f>E23/'- 3 -'!$D23*100</f>
        <v>0</v>
      </c>
      <c r="G23" s="273">
        <f>E23/'- 7 -'!$F23</f>
        <v>0</v>
      </c>
      <c r="H23" s="273">
        <v>187800</v>
      </c>
      <c r="I23" s="274">
        <f>H23/'- 3 -'!$D23*100</f>
        <v>1.1381680911848397</v>
      </c>
      <c r="J23" s="273">
        <f>H23/'- 7 -'!$F23</f>
        <v>168.58168761220827</v>
      </c>
    </row>
    <row r="24" spans="1:10" ht="14.1" customHeight="1">
      <c r="A24" s="16" t="s">
        <v>121</v>
      </c>
      <c r="B24" s="17">
        <v>0</v>
      </c>
      <c r="C24" s="268">
        <f>B24/'- 3 -'!$D24*100</f>
        <v>0</v>
      </c>
      <c r="D24" s="17">
        <f>B24/'- 7 -'!$C24</f>
        <v>0</v>
      </c>
      <c r="E24" s="17">
        <v>114350</v>
      </c>
      <c r="F24" s="268">
        <f>E24/'- 3 -'!$D24*100</f>
        <v>0.20453502534865975</v>
      </c>
      <c r="G24" s="17">
        <f>E24/'- 7 -'!$F24</f>
        <v>28.763677524839643</v>
      </c>
      <c r="H24" s="17">
        <v>695085</v>
      </c>
      <c r="I24" s="268">
        <f>H24/'- 3 -'!$D24*100</f>
        <v>1.2432814000391184</v>
      </c>
      <c r="J24" s="17">
        <f>H24/'- 7 -'!$F24</f>
        <v>174.84215821909194</v>
      </c>
    </row>
    <row r="25" spans="1:10" ht="14.1" customHeight="1">
      <c r="A25" s="272" t="s">
        <v>122</v>
      </c>
      <c r="B25" s="273">
        <v>161168</v>
      </c>
      <c r="C25" s="274">
        <f>B25/'- 3 -'!$D25*100</f>
        <v>9.6425602103002842E-2</v>
      </c>
      <c r="D25" s="273">
        <f>B25/'- 7 -'!$C25</f>
        <v>11.523935504629796</v>
      </c>
      <c r="E25" s="273">
        <v>1583500</v>
      </c>
      <c r="F25" s="274">
        <f>E25/'- 3 -'!$D25*100</f>
        <v>0.94739613899846742</v>
      </c>
      <c r="G25" s="273">
        <f>E25/'- 7 -'!$F25</f>
        <v>113.22441099710414</v>
      </c>
      <c r="H25" s="273">
        <v>3860821</v>
      </c>
      <c r="I25" s="274">
        <f>H25/'- 3 -'!$D25*100</f>
        <v>2.3099001634128213</v>
      </c>
      <c r="J25" s="273">
        <f>H25/'- 7 -'!$F25</f>
        <v>276.05884666261483</v>
      </c>
    </row>
    <row r="26" spans="1:10" ht="14.1" customHeight="1">
      <c r="A26" s="16" t="s">
        <v>123</v>
      </c>
      <c r="B26" s="17">
        <v>16059</v>
      </c>
      <c r="C26" s="268">
        <f>B26/'- 3 -'!$D26*100</f>
        <v>4.0261166331315733E-2</v>
      </c>
      <c r="D26" s="17">
        <f>B26/'- 7 -'!$C26</f>
        <v>5.1678197908286405</v>
      </c>
      <c r="E26" s="17">
        <v>184608</v>
      </c>
      <c r="F26" s="268">
        <f>E26/'- 3 -'!$D26*100</f>
        <v>0.46282666380792914</v>
      </c>
      <c r="G26" s="17">
        <f>E26/'- 7 -'!$F26</f>
        <v>59.407240547063559</v>
      </c>
      <c r="H26" s="17">
        <v>542411</v>
      </c>
      <c r="I26" s="268">
        <f>H26/'- 3 -'!$D26*100</f>
        <v>1.3598667096914687</v>
      </c>
      <c r="J26" s="17">
        <f>H26/'- 7 -'!$F26</f>
        <v>174.54899436846338</v>
      </c>
    </row>
    <row r="27" spans="1:10" ht="14.1" customHeight="1">
      <c r="A27" s="272" t="s">
        <v>124</v>
      </c>
      <c r="B27" s="273">
        <v>0</v>
      </c>
      <c r="C27" s="274">
        <f>B27/'- 3 -'!$D27*100</f>
        <v>0</v>
      </c>
      <c r="D27" s="273">
        <f>B27/'- 7 -'!$C27</f>
        <v>0</v>
      </c>
      <c r="E27" s="273">
        <v>743983</v>
      </c>
      <c r="F27" s="274">
        <f>E27/'- 3 -'!$D27*100</f>
        <v>1.7333934318917383</v>
      </c>
      <c r="G27" s="273">
        <f>E27/'- 7 -'!$F27</f>
        <v>260.10143588462984</v>
      </c>
      <c r="H27" s="273">
        <v>1188934</v>
      </c>
      <c r="I27" s="274">
        <f>H27/'- 3 -'!$D27*100</f>
        <v>2.7700772551963846</v>
      </c>
      <c r="J27" s="273">
        <f>H27/'- 7 -'!$F27</f>
        <v>415.65928330628049</v>
      </c>
    </row>
    <row r="28" spans="1:10" ht="14.1" customHeight="1">
      <c r="A28" s="16" t="s">
        <v>125</v>
      </c>
      <c r="B28" s="17">
        <v>107928</v>
      </c>
      <c r="C28" s="268">
        <f>B28/'- 3 -'!$D28*100</f>
        <v>0.3853380458768208</v>
      </c>
      <c r="D28" s="17">
        <f>B28/'- 7 -'!$C28</f>
        <v>54.771885308297385</v>
      </c>
      <c r="E28" s="17">
        <v>0</v>
      </c>
      <c r="F28" s="268">
        <f>E28/'- 3 -'!$D28*100</f>
        <v>0</v>
      </c>
      <c r="G28" s="17">
        <f>E28/'- 7 -'!$F28</f>
        <v>0</v>
      </c>
      <c r="H28" s="17">
        <v>274335</v>
      </c>
      <c r="I28" s="268">
        <f>H28/'- 3 -'!$D28*100</f>
        <v>0.97946513245513334</v>
      </c>
      <c r="J28" s="17">
        <f>H28/'- 7 -'!$F28</f>
        <v>139.22100989596549</v>
      </c>
    </row>
    <row r="29" spans="1:10" ht="14.1" customHeight="1">
      <c r="A29" s="272" t="s">
        <v>126</v>
      </c>
      <c r="B29" s="273">
        <v>366613</v>
      </c>
      <c r="C29" s="274">
        <f>B29/'- 3 -'!$D29*100</f>
        <v>0.23679948616462798</v>
      </c>
      <c r="D29" s="273">
        <f>B29/'- 7 -'!$C29</f>
        <v>29.699692158133505</v>
      </c>
      <c r="E29" s="273">
        <v>526711</v>
      </c>
      <c r="F29" s="274">
        <f>E29/'- 3 -'!$D29*100</f>
        <v>0.34020859641435897</v>
      </c>
      <c r="G29" s="273">
        <f>E29/'- 7 -'!$F29</f>
        <v>42.669394037589115</v>
      </c>
      <c r="H29" s="273">
        <v>3481270</v>
      </c>
      <c r="I29" s="274">
        <f>H29/'- 3 -'!$D29*100</f>
        <v>2.2485916953308651</v>
      </c>
      <c r="J29" s="273">
        <f>H29/'- 7 -'!$F29</f>
        <v>282.02122488658455</v>
      </c>
    </row>
    <row r="30" spans="1:10" ht="14.1" customHeight="1">
      <c r="A30" s="16" t="s">
        <v>127</v>
      </c>
      <c r="B30" s="17">
        <v>0</v>
      </c>
      <c r="C30" s="268">
        <f>B30/'- 3 -'!$D30*100</f>
        <v>0</v>
      </c>
      <c r="D30" s="17">
        <f>B30/'- 7 -'!$C30</f>
        <v>0</v>
      </c>
      <c r="E30" s="17">
        <v>0</v>
      </c>
      <c r="F30" s="268">
        <f>E30/'- 3 -'!$D30*100</f>
        <v>0</v>
      </c>
      <c r="G30" s="17">
        <f>E30/'- 7 -'!$F30</f>
        <v>0</v>
      </c>
      <c r="H30" s="17">
        <v>392204</v>
      </c>
      <c r="I30" s="268">
        <f>H30/'- 3 -'!$D30*100</f>
        <v>2.8029701460995766</v>
      </c>
      <c r="J30" s="17">
        <f>H30/'- 7 -'!$F30</f>
        <v>382.26510721247564</v>
      </c>
    </row>
    <row r="31" spans="1:10" ht="14.1" customHeight="1">
      <c r="A31" s="272" t="s">
        <v>128</v>
      </c>
      <c r="B31" s="273">
        <v>0</v>
      </c>
      <c r="C31" s="274">
        <f>B31/'- 3 -'!$D31*100</f>
        <v>0</v>
      </c>
      <c r="D31" s="273">
        <f>B31/'- 7 -'!$C31</f>
        <v>0</v>
      </c>
      <c r="E31" s="273">
        <v>105134</v>
      </c>
      <c r="F31" s="274">
        <f>E31/'- 3 -'!$D31*100</f>
        <v>0.29034887294766465</v>
      </c>
      <c r="G31" s="273">
        <f>E31/'- 7 -'!$F31</f>
        <v>32.936716791979947</v>
      </c>
      <c r="H31" s="273">
        <v>485906</v>
      </c>
      <c r="I31" s="274">
        <f>H31/'- 3 -'!$D31*100</f>
        <v>1.3419280105247393</v>
      </c>
      <c r="J31" s="273">
        <f>H31/'- 7 -'!$F31</f>
        <v>152.22619047619048</v>
      </c>
    </row>
    <row r="32" spans="1:10" ht="14.1" customHeight="1">
      <c r="A32" s="16" t="s">
        <v>129</v>
      </c>
      <c r="B32" s="17">
        <v>0</v>
      </c>
      <c r="C32" s="268">
        <f>B32/'- 3 -'!$D32*100</f>
        <v>0</v>
      </c>
      <c r="D32" s="17">
        <f>B32/'- 7 -'!$C32</f>
        <v>0</v>
      </c>
      <c r="E32" s="17">
        <v>66995</v>
      </c>
      <c r="F32" s="268">
        <f>E32/'- 3 -'!$D32*100</f>
        <v>0.23297250733153124</v>
      </c>
      <c r="G32" s="17">
        <f>E32/'- 7 -'!$F32</f>
        <v>31.632002644066198</v>
      </c>
      <c r="H32" s="17">
        <v>323540</v>
      </c>
      <c r="I32" s="268">
        <f>H32/'- 3 -'!$D32*100</f>
        <v>1.1250977688192196</v>
      </c>
      <c r="J32" s="17">
        <f>H32/'- 7 -'!$F32</f>
        <v>152.76092447885929</v>
      </c>
    </row>
    <row r="33" spans="1:10" ht="14.1" customHeight="1">
      <c r="A33" s="272" t="s">
        <v>130</v>
      </c>
      <c r="B33" s="273">
        <v>0</v>
      </c>
      <c r="C33" s="274">
        <f>B33/'- 3 -'!$D33*100</f>
        <v>0</v>
      </c>
      <c r="D33" s="273">
        <f>B33/'- 7 -'!$C33</f>
        <v>0</v>
      </c>
      <c r="E33" s="273">
        <v>134600</v>
      </c>
      <c r="F33" s="274">
        <f>E33/'- 3 -'!$D33*100</f>
        <v>0.49351392178574305</v>
      </c>
      <c r="G33" s="273">
        <f>E33/'- 7 -'!$F33</f>
        <v>68.065739570164354</v>
      </c>
      <c r="H33" s="273">
        <v>367600</v>
      </c>
      <c r="I33" s="274">
        <f>H33/'- 3 -'!$D33*100</f>
        <v>1.3478136526629954</v>
      </c>
      <c r="J33" s="273">
        <f>H33/'- 7 -'!$F33</f>
        <v>185.89127686472818</v>
      </c>
    </row>
    <row r="34" spans="1:10" ht="14.1" customHeight="1">
      <c r="A34" s="16" t="s">
        <v>131</v>
      </c>
      <c r="B34" s="17">
        <v>6987</v>
      </c>
      <c r="C34" s="268">
        <f>B34/'- 3 -'!$D34*100</f>
        <v>2.5251651847268384E-2</v>
      </c>
      <c r="D34" s="17">
        <f>B34/'- 7 -'!$C34</f>
        <v>3.5380798055499292</v>
      </c>
      <c r="E34" s="17">
        <v>114184</v>
      </c>
      <c r="F34" s="268">
        <f>E34/'- 3 -'!$D34*100</f>
        <v>0.41267133455395638</v>
      </c>
      <c r="G34" s="17">
        <f>E34/'- 7 -'!$F34</f>
        <v>57.820538788738098</v>
      </c>
      <c r="H34" s="17">
        <v>242821</v>
      </c>
      <c r="I34" s="268">
        <f>H34/'- 3 -'!$D34*100</f>
        <v>0.87757712225641271</v>
      </c>
      <c r="J34" s="17">
        <f>H34/'- 7 -'!$F34</f>
        <v>122.95979339679968</v>
      </c>
    </row>
    <row r="35" spans="1:10" ht="14.1" customHeight="1">
      <c r="A35" s="272" t="s">
        <v>132</v>
      </c>
      <c r="B35" s="273">
        <v>399875</v>
      </c>
      <c r="C35" s="274">
        <f>B35/'- 3 -'!$D35*100</f>
        <v>0.22695801611285846</v>
      </c>
      <c r="D35" s="273">
        <f>B35/'- 7 -'!$C35</f>
        <v>25.598553229626784</v>
      </c>
      <c r="E35" s="273">
        <v>592544</v>
      </c>
      <c r="F35" s="274">
        <f>E35/'- 3 -'!$D35*100</f>
        <v>0.33631162413148513</v>
      </c>
      <c r="G35" s="273">
        <f>E35/'- 7 -'!$F35</f>
        <v>37.93252672684207</v>
      </c>
      <c r="H35" s="273">
        <v>3873688</v>
      </c>
      <c r="I35" s="274">
        <f>H35/'- 3 -'!$D35*100</f>
        <v>2.1985984208069684</v>
      </c>
      <c r="J35" s="273">
        <f>H35/'- 7 -'!$F35</f>
        <v>247.97951475577747</v>
      </c>
    </row>
    <row r="36" spans="1:10" ht="14.1" customHeight="1">
      <c r="A36" s="16" t="s">
        <v>133</v>
      </c>
      <c r="B36" s="17">
        <v>19585</v>
      </c>
      <c r="C36" s="268">
        <f>B36/'- 3 -'!$D36*100</f>
        <v>8.5142623131839998E-2</v>
      </c>
      <c r="D36" s="17">
        <f>B36/'- 7 -'!$C36</f>
        <v>11.675111773472429</v>
      </c>
      <c r="E36" s="17">
        <v>290390</v>
      </c>
      <c r="F36" s="268">
        <f>E36/'- 3 -'!$D36*100</f>
        <v>1.2624236063954564</v>
      </c>
      <c r="G36" s="17">
        <f>E36/'- 7 -'!$F36</f>
        <v>173.10879284649778</v>
      </c>
      <c r="H36" s="17">
        <v>281300</v>
      </c>
      <c r="I36" s="268">
        <f>H36/'- 3 -'!$D36*100</f>
        <v>1.2229063000759046</v>
      </c>
      <c r="J36" s="17">
        <f>H36/'- 7 -'!$F36</f>
        <v>167.69001490312965</v>
      </c>
    </row>
    <row r="37" spans="1:10" ht="14.1" customHeight="1">
      <c r="A37" s="272" t="s">
        <v>134</v>
      </c>
      <c r="B37" s="273">
        <v>49800</v>
      </c>
      <c r="C37" s="274">
        <f>B37/'- 3 -'!$D37*100</f>
        <v>0.10647395877875653</v>
      </c>
      <c r="D37" s="273">
        <f>B37/'- 7 -'!$C37</f>
        <v>12.61238444979106</v>
      </c>
      <c r="E37" s="273">
        <v>538299</v>
      </c>
      <c r="F37" s="274">
        <f>E37/'- 3 -'!$D37*100</f>
        <v>1.1509001111776278</v>
      </c>
      <c r="G37" s="273">
        <f>E37/'- 7 -'!$F37</f>
        <v>136.32999873369633</v>
      </c>
      <c r="H37" s="273">
        <v>530467</v>
      </c>
      <c r="I37" s="274">
        <f>H37/'- 3 -'!$D37*100</f>
        <v>1.1341550500299324</v>
      </c>
      <c r="J37" s="273">
        <f>H37/'- 7 -'!$F37</f>
        <v>134.34646068127137</v>
      </c>
    </row>
    <row r="38" spans="1:10" ht="14.1" customHeight="1">
      <c r="A38" s="16" t="s">
        <v>135</v>
      </c>
      <c r="B38" s="17">
        <v>80980</v>
      </c>
      <c r="C38" s="268">
        <f>B38/'- 3 -'!$D38*100</f>
        <v>6.2695806812618646E-2</v>
      </c>
      <c r="D38" s="17">
        <f>B38/'- 7 -'!$C38</f>
        <v>7.5295211529521149</v>
      </c>
      <c r="E38" s="17">
        <v>412380</v>
      </c>
      <c r="F38" s="268">
        <f>E38/'- 3 -'!$D38*100</f>
        <v>0.31927015081980342</v>
      </c>
      <c r="G38" s="17">
        <f>E38/'- 7 -'!$F38</f>
        <v>38.343096234309627</v>
      </c>
      <c r="H38" s="17">
        <v>1697695</v>
      </c>
      <c r="I38" s="268">
        <f>H38/'- 3 -'!$D38*100</f>
        <v>1.3143783372036135</v>
      </c>
      <c r="J38" s="17">
        <f>H38/'- 7 -'!$F38</f>
        <v>157.8516968851697</v>
      </c>
    </row>
    <row r="39" spans="1:10" ht="14.1" customHeight="1">
      <c r="A39" s="272" t="s">
        <v>136</v>
      </c>
      <c r="B39" s="273">
        <v>0</v>
      </c>
      <c r="C39" s="274">
        <f>B39/'- 3 -'!$D39*100</f>
        <v>0</v>
      </c>
      <c r="D39" s="273">
        <f>B39/'- 7 -'!$C39</f>
        <v>0</v>
      </c>
      <c r="E39" s="273">
        <v>136675</v>
      </c>
      <c r="F39" s="274">
        <f>E39/'- 3 -'!$D39*100</f>
        <v>0.62320942709418659</v>
      </c>
      <c r="G39" s="273">
        <f>E39/'- 7 -'!$F39</f>
        <v>87.950450450450447</v>
      </c>
      <c r="H39" s="273">
        <v>279700</v>
      </c>
      <c r="I39" s="274">
        <f>H39/'- 3 -'!$D39*100</f>
        <v>1.2753735266745492</v>
      </c>
      <c r="J39" s="273">
        <f>H39/'- 7 -'!$F39</f>
        <v>179.98712998712998</v>
      </c>
    </row>
    <row r="40" spans="1:10" ht="14.1" customHeight="1">
      <c r="A40" s="16" t="s">
        <v>137</v>
      </c>
      <c r="B40" s="17">
        <v>0</v>
      </c>
      <c r="C40" s="268">
        <f>B40/'- 3 -'!$D40*100</f>
        <v>0</v>
      </c>
      <c r="D40" s="17">
        <f>B40/'- 7 -'!$C40</f>
        <v>0</v>
      </c>
      <c r="E40" s="17">
        <v>1168087</v>
      </c>
      <c r="F40" s="268">
        <f>E40/'- 3 -'!$D40*100</f>
        <v>1.1445255004706805</v>
      </c>
      <c r="G40" s="17">
        <f>E40/'- 7 -'!$F40</f>
        <v>148.90787776185692</v>
      </c>
      <c r="H40" s="17">
        <v>1360298</v>
      </c>
      <c r="I40" s="268">
        <f>H40/'- 3 -'!$D40*100</f>
        <v>1.3328594096495088</v>
      </c>
      <c r="J40" s="17">
        <f>H40/'- 7 -'!$F40</f>
        <v>173.41096023129995</v>
      </c>
    </row>
    <row r="41" spans="1:10" ht="14.1" customHeight="1">
      <c r="A41" s="272" t="s">
        <v>138</v>
      </c>
      <c r="B41" s="273">
        <v>33504</v>
      </c>
      <c r="C41" s="274">
        <f>B41/'- 3 -'!$D41*100</f>
        <v>5.3825384053690174E-2</v>
      </c>
      <c r="D41" s="273">
        <f>B41/'- 7 -'!$C41</f>
        <v>7.6923430145792677</v>
      </c>
      <c r="E41" s="273">
        <v>478475</v>
      </c>
      <c r="F41" s="274">
        <f>E41/'- 3 -'!$D41*100</f>
        <v>0.76868733987253479</v>
      </c>
      <c r="G41" s="273">
        <f>E41/'- 7 -'!$F41</f>
        <v>109.85535529789921</v>
      </c>
      <c r="H41" s="273">
        <v>601335</v>
      </c>
      <c r="I41" s="274">
        <f>H41/'- 3 -'!$D41*100</f>
        <v>0.96606635983541611</v>
      </c>
      <c r="J41" s="273">
        <f>H41/'- 7 -'!$F41</f>
        <v>138.06336815520606</v>
      </c>
    </row>
    <row r="42" spans="1:10" ht="14.1" customHeight="1">
      <c r="A42" s="16" t="s">
        <v>139</v>
      </c>
      <c r="B42" s="17">
        <v>0</v>
      </c>
      <c r="C42" s="268">
        <f>B42/'- 3 -'!$D42*100</f>
        <v>0</v>
      </c>
      <c r="D42" s="17">
        <f>B42/'- 7 -'!$C42</f>
        <v>0</v>
      </c>
      <c r="E42" s="17">
        <v>0</v>
      </c>
      <c r="F42" s="268">
        <f>E42/'- 3 -'!$D42*100</f>
        <v>0</v>
      </c>
      <c r="G42" s="17">
        <f>E42/'- 7 -'!$F42</f>
        <v>0</v>
      </c>
      <c r="H42" s="17">
        <v>317406</v>
      </c>
      <c r="I42" s="268">
        <f>H42/'- 3 -'!$D42*100</f>
        <v>1.5397786583338435</v>
      </c>
      <c r="J42" s="17">
        <f>H42/'- 7 -'!$F42</f>
        <v>231.17698470502549</v>
      </c>
    </row>
    <row r="43" spans="1:10" ht="14.1" customHeight="1">
      <c r="A43" s="272" t="s">
        <v>140</v>
      </c>
      <c r="B43" s="273">
        <v>0</v>
      </c>
      <c r="C43" s="274">
        <f>B43/'- 3 -'!$D43*100</f>
        <v>0</v>
      </c>
      <c r="D43" s="273">
        <f>B43/'- 7 -'!$C43</f>
        <v>0</v>
      </c>
      <c r="E43" s="273">
        <v>51414</v>
      </c>
      <c r="F43" s="274">
        <f>E43/'- 3 -'!$D43*100</f>
        <v>0.40059721038981522</v>
      </c>
      <c r="G43" s="273">
        <f>E43/'- 7 -'!$F43</f>
        <v>54.87086446104589</v>
      </c>
      <c r="H43" s="273">
        <v>264308</v>
      </c>
      <c r="I43" s="274">
        <f>H43/'- 3 -'!$D43*100</f>
        <v>2.0593816369804192</v>
      </c>
      <c r="J43" s="273">
        <f>H43/'- 7 -'!$F43</f>
        <v>282.07897545357525</v>
      </c>
    </row>
    <row r="44" spans="1:10" ht="14.1" customHeight="1">
      <c r="A44" s="16" t="s">
        <v>141</v>
      </c>
      <c r="B44" s="17">
        <v>0</v>
      </c>
      <c r="C44" s="268">
        <f>B44/'- 3 -'!$D44*100</f>
        <v>0</v>
      </c>
      <c r="D44" s="17">
        <f>B44/'- 7 -'!$C44</f>
        <v>0</v>
      </c>
      <c r="E44" s="17">
        <v>0</v>
      </c>
      <c r="F44" s="268">
        <f>E44/'- 3 -'!$D44*100</f>
        <v>0</v>
      </c>
      <c r="G44" s="17">
        <f>E44/'- 7 -'!$F44</f>
        <v>0</v>
      </c>
      <c r="H44" s="17">
        <v>126719</v>
      </c>
      <c r="I44" s="268">
        <f>H44/'- 3 -'!$D44*100</f>
        <v>1.1543904670936451</v>
      </c>
      <c r="J44" s="17">
        <f>H44/'- 7 -'!$F44</f>
        <v>178.47746478873239</v>
      </c>
    </row>
    <row r="45" spans="1:10" ht="14.1" customHeight="1">
      <c r="A45" s="272" t="s">
        <v>142</v>
      </c>
      <c r="B45" s="273">
        <v>0</v>
      </c>
      <c r="C45" s="274">
        <f>B45/'- 3 -'!$D45*100</f>
        <v>0</v>
      </c>
      <c r="D45" s="273">
        <f>B45/'- 7 -'!$C45</f>
        <v>0</v>
      </c>
      <c r="E45" s="273">
        <v>5000</v>
      </c>
      <c r="F45" s="274">
        <f>E45/'- 3 -'!$D45*100</f>
        <v>2.730289548298713E-2</v>
      </c>
      <c r="G45" s="273">
        <f>E45/'- 7 -'!$F45</f>
        <v>2.9673590504451037</v>
      </c>
      <c r="H45" s="273">
        <v>235040</v>
      </c>
      <c r="I45" s="274">
        <f>H45/'- 3 -'!$D45*100</f>
        <v>1.283454510864259</v>
      </c>
      <c r="J45" s="273">
        <f>H45/'- 7 -'!$F45</f>
        <v>139.48961424332344</v>
      </c>
    </row>
    <row r="46" spans="1:10" ht="14.1" customHeight="1">
      <c r="A46" s="16" t="s">
        <v>143</v>
      </c>
      <c r="B46" s="17">
        <v>181300</v>
      </c>
      <c r="C46" s="268">
        <f>B46/'- 3 -'!$D46*100</f>
        <v>4.7341697120199082E-2</v>
      </c>
      <c r="D46" s="17">
        <f>B46/'- 7 -'!$C46</f>
        <v>6.0001323801959225</v>
      </c>
      <c r="E46" s="17">
        <v>750800</v>
      </c>
      <c r="F46" s="268">
        <f>E46/'- 3 -'!$D46*100</f>
        <v>0.19605155100852439</v>
      </c>
      <c r="G46" s="17">
        <f>E46/'- 7 -'!$F46</f>
        <v>24.847762774688906</v>
      </c>
      <c r="H46" s="17">
        <v>2375900</v>
      </c>
      <c r="I46" s="268">
        <f>H46/'- 3 -'!$D46*100</f>
        <v>0.62040340975113628</v>
      </c>
      <c r="J46" s="17">
        <f>H46/'- 7 -'!$F46</f>
        <v>78.630526873179775</v>
      </c>
    </row>
    <row r="47" spans="1:10" ht="5.0999999999999996" customHeight="1">
      <c r="A47"/>
      <c r="B47"/>
      <c r="C47"/>
      <c r="D47"/>
      <c r="E47"/>
      <c r="F47"/>
      <c r="G47"/>
      <c r="H47"/>
      <c r="I47"/>
      <c r="J47"/>
    </row>
    <row r="48" spans="1:10" ht="14.1" customHeight="1">
      <c r="A48" s="275" t="s">
        <v>144</v>
      </c>
      <c r="B48" s="276">
        <f>SUM(B11:B46)</f>
        <v>1707101</v>
      </c>
      <c r="C48" s="277">
        <f>B48/'- 3 -'!$D48*100</f>
        <v>7.6479746160829212E-2</v>
      </c>
      <c r="D48" s="276">
        <f>B48/'- 7 -'!$C48</f>
        <v>9.83643403582807</v>
      </c>
      <c r="E48" s="276">
        <f>SUM(E11:E46)</f>
        <v>13676350</v>
      </c>
      <c r="F48" s="277">
        <f>E48/'- 3 -'!$D48*100</f>
        <v>0.61271346944712501</v>
      </c>
      <c r="G48" s="276">
        <f>E48/'- 7 -'!$F48</f>
        <v>78.804074642272028</v>
      </c>
      <c r="H48" s="276">
        <f>SUM(H11:H46)</f>
        <v>31056246</v>
      </c>
      <c r="I48" s="277">
        <f>H48/'- 3 -'!$D48*100</f>
        <v>1.3913493172274325</v>
      </c>
      <c r="J48" s="276">
        <f>H48/'- 7 -'!$F48</f>
        <v>178.94823749704869</v>
      </c>
    </row>
    <row r="49" spans="1:10" ht="5.0999999999999996" customHeight="1">
      <c r="A49" s="18" t="s">
        <v>1</v>
      </c>
      <c r="B49" s="19"/>
      <c r="C49" s="267"/>
      <c r="D49" s="19"/>
      <c r="E49" s="19"/>
      <c r="F49" s="267"/>
      <c r="H49" s="19"/>
      <c r="I49" s="267"/>
      <c r="J49" s="19"/>
    </row>
    <row r="50" spans="1:10" ht="14.1" customHeight="1">
      <c r="A50" s="16" t="s">
        <v>145</v>
      </c>
      <c r="B50" s="17">
        <v>0</v>
      </c>
      <c r="C50" s="268">
        <f>B50/'- 3 -'!$D50*100</f>
        <v>0</v>
      </c>
      <c r="D50" s="17">
        <f>B50/'- 7 -'!$C50</f>
        <v>0</v>
      </c>
      <c r="E50" s="17">
        <v>0</v>
      </c>
      <c r="F50" s="268">
        <f>E50/'- 3 -'!$D50*100</f>
        <v>0</v>
      </c>
      <c r="G50" s="17">
        <f>E50/'- 7 -'!$F50</f>
        <v>0</v>
      </c>
      <c r="H50" s="17">
        <v>23493</v>
      </c>
      <c r="I50" s="268">
        <f>H50/'- 3 -'!$D50*100</f>
        <v>0.69969949376549523</v>
      </c>
      <c r="J50" s="17">
        <f>H50/'- 7 -'!$F50</f>
        <v>145.0185185185185</v>
      </c>
    </row>
    <row r="51" spans="1:10" ht="14.1" customHeight="1">
      <c r="A51" s="364" t="s">
        <v>540</v>
      </c>
      <c r="B51" s="273">
        <v>0</v>
      </c>
      <c r="C51" s="274">
        <f>B51/'- 3 -'!$D51*100</f>
        <v>0</v>
      </c>
      <c r="D51" s="273">
        <f>B51/'- 7 -'!$C51</f>
        <v>0</v>
      </c>
      <c r="E51" s="273">
        <v>256758</v>
      </c>
      <c r="F51" s="274">
        <f>E51/'- 3 -'!$D51*100</f>
        <v>1.0136469141364579</v>
      </c>
      <c r="G51" s="273">
        <f>E51/'- 7 -'!$F51</f>
        <v>366.32615209016978</v>
      </c>
      <c r="H51" s="273">
        <v>38300</v>
      </c>
      <c r="I51" s="274">
        <f>H51/'- 3 -'!$D51*100</f>
        <v>0.15120337754393759</v>
      </c>
      <c r="J51" s="273">
        <f>H51/'- 7 -'!$F51</f>
        <v>54.64402910543587</v>
      </c>
    </row>
    <row r="52" spans="1:10" ht="50.1" customHeight="1">
      <c r="A52" s="165"/>
      <c r="B52" s="165"/>
      <c r="C52" s="165"/>
      <c r="D52" s="165"/>
      <c r="E52" s="165"/>
      <c r="F52" s="165"/>
      <c r="G52" s="165"/>
      <c r="H52" s="165"/>
      <c r="I52" s="165"/>
      <c r="J52" s="165"/>
    </row>
    <row r="53" spans="1:10" ht="15" customHeight="1">
      <c r="A53" s="131"/>
      <c r="B53" s="165"/>
      <c r="C53" s="165"/>
      <c r="D53" s="165"/>
      <c r="E53" s="165"/>
      <c r="F53" s="165"/>
      <c r="G53" s="165"/>
      <c r="H53" s="165"/>
      <c r="I53" s="165"/>
      <c r="J53" s="165"/>
    </row>
    <row r="54" spans="1:10" ht="14.45" customHeight="1"/>
    <row r="55" spans="1:10" ht="14.45" customHeight="1"/>
    <row r="56" spans="1:10" ht="14.45" customHeight="1"/>
    <row r="57" spans="1:10" ht="14.45" customHeight="1"/>
    <row r="58" spans="1:10" ht="14.45" customHeight="1"/>
    <row r="59" spans="1:10" ht="14.45" customHeight="1"/>
  </sheetData>
  <mergeCells count="7">
    <mergeCell ref="D8:D9"/>
    <mergeCell ref="G8:G9"/>
    <mergeCell ref="J8:J9"/>
    <mergeCell ref="B5:J5"/>
    <mergeCell ref="B6:D7"/>
    <mergeCell ref="E6:G7"/>
    <mergeCell ref="H6:J7"/>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G59"/>
  <sheetViews>
    <sheetView showGridLines="0" showZeros="0" workbookViewId="0"/>
  </sheetViews>
  <sheetFormatPr defaultColWidth="15.83203125" defaultRowHeight="12"/>
  <cols>
    <col min="1" max="1" width="35.83203125" style="1" customWidth="1"/>
    <col min="2" max="2" width="15.6640625" style="1" customWidth="1"/>
    <col min="3" max="3" width="8.6640625" style="1" customWidth="1"/>
    <col min="4" max="4" width="11.6640625" style="1" customWidth="1"/>
    <col min="5" max="5" width="16.83203125" style="1" customWidth="1"/>
    <col min="6" max="6" width="8.33203125" style="1" customWidth="1"/>
    <col min="7" max="7" width="11.6640625" style="1" customWidth="1"/>
    <col min="8" max="16384" width="15.83203125" style="1"/>
  </cols>
  <sheetData>
    <row r="1" spans="1:7" ht="6.95" customHeight="1">
      <c r="A1" s="3"/>
      <c r="B1" s="33"/>
      <c r="C1" s="33"/>
      <c r="D1" s="33"/>
      <c r="E1" s="33"/>
      <c r="F1" s="33"/>
      <c r="G1" s="33"/>
    </row>
    <row r="2" spans="1:7" ht="15.95" customHeight="1">
      <c r="A2" s="133"/>
      <c r="B2" s="5" t="str">
        <f>AEXP_BP</f>
        <v>ANALYSIS OF EXPENSE BY PROGRAM</v>
      </c>
      <c r="C2" s="156"/>
      <c r="D2" s="36"/>
      <c r="E2" s="36"/>
      <c r="F2" s="36"/>
      <c r="G2" s="510" t="s">
        <v>570</v>
      </c>
    </row>
    <row r="3" spans="1:7" ht="15.95" customHeight="1">
      <c r="A3" s="136"/>
      <c r="B3" s="176" t="str">
        <f>OPYEAR</f>
        <v>OPERATING FUND 2015/2016 BUDGET</v>
      </c>
      <c r="C3" s="40"/>
      <c r="D3" s="157"/>
      <c r="E3" s="40"/>
      <c r="F3" s="40"/>
      <c r="G3" s="42"/>
    </row>
    <row r="4" spans="1:7" ht="15.95" customHeight="1">
      <c r="B4" s="33"/>
      <c r="C4" s="33"/>
      <c r="D4" s="33"/>
      <c r="E4" s="33"/>
      <c r="F4" s="33"/>
      <c r="G4" s="33"/>
    </row>
    <row r="5" spans="1:7" ht="15.95" customHeight="1">
      <c r="B5" s="371" t="s">
        <v>255</v>
      </c>
      <c r="C5" s="158"/>
      <c r="D5" s="159"/>
      <c r="E5" s="159"/>
      <c r="F5" s="159"/>
      <c r="G5" s="160"/>
    </row>
    <row r="6" spans="1:7" ht="15.95" customHeight="1">
      <c r="B6" s="633" t="s">
        <v>439</v>
      </c>
      <c r="C6" s="634"/>
      <c r="D6" s="635"/>
      <c r="E6" s="347"/>
      <c r="F6" s="348"/>
      <c r="G6" s="349"/>
    </row>
    <row r="7" spans="1:7" ht="15.95" customHeight="1">
      <c r="B7" s="636"/>
      <c r="C7" s="637"/>
      <c r="D7" s="638"/>
      <c r="E7" s="630" t="s">
        <v>303</v>
      </c>
      <c r="F7" s="631"/>
      <c r="G7" s="632"/>
    </row>
    <row r="8" spans="1:7" ht="15.95" customHeight="1">
      <c r="A8" s="83"/>
      <c r="B8" s="161"/>
      <c r="C8" s="162"/>
      <c r="D8" s="525" t="s">
        <v>410</v>
      </c>
      <c r="E8" s="163"/>
      <c r="F8" s="162"/>
      <c r="G8" s="525" t="s">
        <v>410</v>
      </c>
    </row>
    <row r="9" spans="1:7" ht="15.95" customHeight="1">
      <c r="A9" s="28" t="s">
        <v>37</v>
      </c>
      <c r="B9" s="44" t="s">
        <v>38</v>
      </c>
      <c r="C9" s="44" t="s">
        <v>39</v>
      </c>
      <c r="D9" s="565"/>
      <c r="E9" s="164" t="s">
        <v>38</v>
      </c>
      <c r="F9" s="44" t="s">
        <v>39</v>
      </c>
      <c r="G9" s="565"/>
    </row>
    <row r="10" spans="1:7" ht="5.0999999999999996" customHeight="1">
      <c r="A10" s="30"/>
      <c r="B10" s="47"/>
      <c r="C10" s="47"/>
      <c r="D10" s="47"/>
      <c r="E10" s="47"/>
      <c r="F10" s="47"/>
      <c r="G10" s="47"/>
    </row>
    <row r="11" spans="1:7" ht="14.1" customHeight="1">
      <c r="A11" s="272" t="s">
        <v>109</v>
      </c>
      <c r="B11" s="273">
        <v>146180</v>
      </c>
      <c r="C11" s="274">
        <f>B11/'- 3 -'!$D11*100</f>
        <v>0.79413800334431073</v>
      </c>
      <c r="D11" s="273">
        <f>B11/'- 7 -'!$F11</f>
        <v>88.755312689738915</v>
      </c>
      <c r="E11" s="273">
        <v>8760</v>
      </c>
      <c r="F11" s="274">
        <f>E11/'- 3 -'!$D11*100</f>
        <v>4.7589608081106599E-2</v>
      </c>
      <c r="G11" s="273">
        <f>E11/'- 7 -'!$F11</f>
        <v>5.3187613843351551</v>
      </c>
    </row>
    <row r="12" spans="1:7" ht="14.1" customHeight="1">
      <c r="A12" s="16" t="s">
        <v>110</v>
      </c>
      <c r="B12" s="17">
        <v>364950</v>
      </c>
      <c r="C12" s="268">
        <f>B12/'- 3 -'!$D12*100</f>
        <v>1.1380798847568989</v>
      </c>
      <c r="D12" s="17">
        <f>B12/'- 7 -'!$F12</f>
        <v>168.25726141078837</v>
      </c>
      <c r="E12" s="17">
        <v>126974</v>
      </c>
      <c r="F12" s="268">
        <f>E12/'- 3 -'!$D12*100</f>
        <v>0.39596261210336342</v>
      </c>
      <c r="G12" s="17">
        <f>E12/'- 7 -'!$F12</f>
        <v>58.540341171046563</v>
      </c>
    </row>
    <row r="13" spans="1:7" ht="14.1" customHeight="1">
      <c r="A13" s="272" t="s">
        <v>111</v>
      </c>
      <c r="B13" s="273">
        <v>1205200</v>
      </c>
      <c r="C13" s="274">
        <f>B13/'- 3 -'!$D13*100</f>
        <v>1.2974737372454197</v>
      </c>
      <c r="D13" s="273">
        <f>B13/'- 7 -'!$F13</f>
        <v>147.56045301499847</v>
      </c>
      <c r="E13" s="273">
        <v>73300</v>
      </c>
      <c r="F13" s="274">
        <f>E13/'- 3 -'!$D13*100</f>
        <v>7.891206848663232E-2</v>
      </c>
      <c r="G13" s="273">
        <f>E13/'- 7 -'!$F13</f>
        <v>8.9745944291398843</v>
      </c>
    </row>
    <row r="14" spans="1:7" ht="14.1" customHeight="1">
      <c r="A14" s="16" t="s">
        <v>324</v>
      </c>
      <c r="B14" s="17">
        <v>575079</v>
      </c>
      <c r="C14" s="268">
        <f>B14/'- 3 -'!$D14*100</f>
        <v>0.69343143674497498</v>
      </c>
      <c r="D14" s="17">
        <f>B14/'- 7 -'!$F14</f>
        <v>108.03663347736239</v>
      </c>
      <c r="E14" s="17">
        <v>5700</v>
      </c>
      <c r="F14" s="268">
        <f>E14/'- 3 -'!$D14*100</f>
        <v>6.8730716813626604E-3</v>
      </c>
      <c r="G14" s="17">
        <f>E14/'- 7 -'!$F14</f>
        <v>1.07082472290062</v>
      </c>
    </row>
    <row r="15" spans="1:7" ht="14.1" customHeight="1">
      <c r="A15" s="272" t="s">
        <v>112</v>
      </c>
      <c r="B15" s="273">
        <v>301671</v>
      </c>
      <c r="C15" s="274">
        <f>B15/'- 3 -'!$D15*100</f>
        <v>1.4995804300506232</v>
      </c>
      <c r="D15" s="273">
        <f>B15/'- 7 -'!$F15</f>
        <v>211.4763406940063</v>
      </c>
      <c r="E15" s="273">
        <v>5700</v>
      </c>
      <c r="F15" s="274">
        <f>E15/'- 3 -'!$D15*100</f>
        <v>2.8334206639977169E-2</v>
      </c>
      <c r="G15" s="273">
        <f>E15/'- 7 -'!$F15</f>
        <v>3.9957939011566772</v>
      </c>
    </row>
    <row r="16" spans="1:7" ht="14.1" customHeight="1">
      <c r="A16" s="16" t="s">
        <v>113</v>
      </c>
      <c r="B16" s="17">
        <v>120778</v>
      </c>
      <c r="C16" s="268">
        <f>B16/'- 3 -'!$D16*100</f>
        <v>0.85854995349977214</v>
      </c>
      <c r="D16" s="17">
        <f>B16/'- 7 -'!$F16</f>
        <v>128.62406815761449</v>
      </c>
      <c r="E16" s="17">
        <v>53091</v>
      </c>
      <c r="F16" s="268">
        <f>E16/'- 3 -'!$D16*100</f>
        <v>0.37739717151514679</v>
      </c>
      <c r="G16" s="17">
        <f>E16/'- 7 -'!$F16</f>
        <v>56.539936102236425</v>
      </c>
    </row>
    <row r="17" spans="1:7" ht="14.1" customHeight="1">
      <c r="A17" s="272" t="s">
        <v>114</v>
      </c>
      <c r="B17" s="273">
        <v>141740</v>
      </c>
      <c r="C17" s="274">
        <f>B17/'- 3 -'!$D17*100</f>
        <v>0.80567668400438486</v>
      </c>
      <c r="D17" s="273">
        <f>B17/'- 7 -'!$F17</f>
        <v>104.33566433566433</v>
      </c>
      <c r="E17" s="273">
        <v>1500</v>
      </c>
      <c r="F17" s="274">
        <f>E17/'- 3 -'!$D17*100</f>
        <v>8.5262806970973406E-3</v>
      </c>
      <c r="G17" s="273">
        <f>E17/'- 7 -'!$F17</f>
        <v>1.1041589988958409</v>
      </c>
    </row>
    <row r="18" spans="1:7" ht="14.1" customHeight="1">
      <c r="A18" s="16" t="s">
        <v>115</v>
      </c>
      <c r="B18" s="17">
        <v>855681</v>
      </c>
      <c r="C18" s="268">
        <f>B18/'- 3 -'!$D18*100</f>
        <v>0.66844907566954537</v>
      </c>
      <c r="D18" s="17">
        <f>B18/'- 7 -'!$F18</f>
        <v>136.65532771176694</v>
      </c>
      <c r="E18" s="17">
        <v>1600105</v>
      </c>
      <c r="F18" s="268">
        <f>E18/'- 3 -'!$D18*100</f>
        <v>1.2499853429306222</v>
      </c>
      <c r="G18" s="17">
        <f>E18/'- 7 -'!$F18</f>
        <v>255.54251309569437</v>
      </c>
    </row>
    <row r="19" spans="1:7" ht="14.1" customHeight="1">
      <c r="A19" s="272" t="s">
        <v>116</v>
      </c>
      <c r="B19" s="273">
        <v>271600</v>
      </c>
      <c r="C19" s="274">
        <f>B19/'- 3 -'!$D19*100</f>
        <v>0.60431538142847163</v>
      </c>
      <c r="D19" s="273">
        <f>B19/'- 7 -'!$F19</f>
        <v>64.697474988089567</v>
      </c>
      <c r="E19" s="273">
        <v>191150</v>
      </c>
      <c r="F19" s="274">
        <f>E19/'- 3 -'!$D19*100</f>
        <v>0.42531253740814556</v>
      </c>
      <c r="G19" s="273">
        <f>E19/'- 7 -'!$F19</f>
        <v>45.53358742258218</v>
      </c>
    </row>
    <row r="20" spans="1:7" ht="14.1" customHeight="1">
      <c r="A20" s="16" t="s">
        <v>117</v>
      </c>
      <c r="B20" s="17">
        <v>683700</v>
      </c>
      <c r="C20" s="268">
        <f>B20/'- 3 -'!$D20*100</f>
        <v>0.8677849589017449</v>
      </c>
      <c r="D20" s="17">
        <f>B20/'- 7 -'!$F20</f>
        <v>91.513853567126219</v>
      </c>
      <c r="E20" s="17">
        <v>459000</v>
      </c>
      <c r="F20" s="268">
        <f>E20/'- 3 -'!$D20*100</f>
        <v>0.58258490000863083</v>
      </c>
      <c r="G20" s="17">
        <f>E20/'- 7 -'!$F20</f>
        <v>61.437558559764419</v>
      </c>
    </row>
    <row r="21" spans="1:7" ht="14.1" customHeight="1">
      <c r="A21" s="272" t="s">
        <v>118</v>
      </c>
      <c r="B21" s="273">
        <v>639108</v>
      </c>
      <c r="C21" s="274">
        <f>B21/'- 3 -'!$D21*100</f>
        <v>1.8001022589493691</v>
      </c>
      <c r="D21" s="273">
        <f>B21/'- 7 -'!$F21</f>
        <v>236.96996662958844</v>
      </c>
      <c r="E21" s="273">
        <v>153193</v>
      </c>
      <c r="F21" s="274">
        <f>E21/'- 3 -'!$D21*100</f>
        <v>0.43148116649334806</v>
      </c>
      <c r="G21" s="273">
        <f>E21/'- 7 -'!$F21</f>
        <v>56.801260659992586</v>
      </c>
    </row>
    <row r="22" spans="1:7" ht="14.1" customHeight="1">
      <c r="A22" s="16" t="s">
        <v>119</v>
      </c>
      <c r="B22" s="17">
        <v>124000</v>
      </c>
      <c r="C22" s="268">
        <f>B22/'- 3 -'!$D22*100</f>
        <v>0.60106498050489365</v>
      </c>
      <c r="D22" s="17">
        <f>B22/'- 7 -'!$F22</f>
        <v>79.071546996556563</v>
      </c>
      <c r="E22" s="17">
        <v>29040</v>
      </c>
      <c r="F22" s="268">
        <f>E22/'- 3 -'!$D22*100</f>
        <v>0.14076554059566218</v>
      </c>
      <c r="G22" s="17">
        <f>E22/'- 7 -'!$F22</f>
        <v>18.518046167580664</v>
      </c>
    </row>
    <row r="23" spans="1:7" ht="14.1" customHeight="1">
      <c r="A23" s="272" t="s">
        <v>120</v>
      </c>
      <c r="B23" s="273">
        <v>196000</v>
      </c>
      <c r="C23" s="274">
        <f>B23/'- 3 -'!$D23*100</f>
        <v>1.1878644615134641</v>
      </c>
      <c r="D23" s="273">
        <f>B23/'- 7 -'!$F23</f>
        <v>175.94254937163376</v>
      </c>
      <c r="E23" s="273">
        <v>7000</v>
      </c>
      <c r="F23" s="274">
        <f>E23/'- 3 -'!$D23*100</f>
        <v>4.2423730768338004E-2</v>
      </c>
      <c r="G23" s="273">
        <f>E23/'- 7 -'!$F23</f>
        <v>6.2836624775583481</v>
      </c>
    </row>
    <row r="24" spans="1:7" ht="14.1" customHeight="1">
      <c r="A24" s="16" t="s">
        <v>121</v>
      </c>
      <c r="B24" s="17">
        <v>624005</v>
      </c>
      <c r="C24" s="268">
        <f>B24/'- 3 -'!$D24*100</f>
        <v>1.1161423567353776</v>
      </c>
      <c r="D24" s="17">
        <f>B24/'- 7 -'!$F24</f>
        <v>156.96264620802415</v>
      </c>
      <c r="E24" s="17">
        <v>180080</v>
      </c>
      <c r="F24" s="268">
        <f>E24/'- 3 -'!$D24*100</f>
        <v>0.32210465557312329</v>
      </c>
      <c r="G24" s="17">
        <f>E24/'- 7 -'!$F24</f>
        <v>45.297446862029936</v>
      </c>
    </row>
    <row r="25" spans="1:7" ht="14.1" customHeight="1">
      <c r="A25" s="272" t="s">
        <v>122</v>
      </c>
      <c r="B25" s="273">
        <v>1589298</v>
      </c>
      <c r="C25" s="274">
        <f>B25/'- 3 -'!$D25*100</f>
        <v>0.95086503878622441</v>
      </c>
      <c r="D25" s="273">
        <f>B25/'- 7 -'!$F25</f>
        <v>113.63898323263381</v>
      </c>
      <c r="E25" s="273">
        <v>196735</v>
      </c>
      <c r="F25" s="274">
        <f>E25/'- 3 -'!$D25*100</f>
        <v>0.11770507066994854</v>
      </c>
      <c r="G25" s="273">
        <f>E25/'- 7 -'!$F25</f>
        <v>14.067069464802831</v>
      </c>
    </row>
    <row r="26" spans="1:7" ht="14.1" customHeight="1">
      <c r="A26" s="16" t="s">
        <v>123</v>
      </c>
      <c r="B26" s="17">
        <v>289500</v>
      </c>
      <c r="C26" s="268">
        <f>B26/'- 3 -'!$D26*100</f>
        <v>0.72579909414757482</v>
      </c>
      <c r="D26" s="17">
        <f>B26/'- 7 -'!$F26</f>
        <v>93.161705551086087</v>
      </c>
      <c r="E26" s="17">
        <v>288833</v>
      </c>
      <c r="F26" s="268">
        <f>E26/'- 3 -'!$D26*100</f>
        <v>0.7241268730912831</v>
      </c>
      <c r="G26" s="17">
        <f>E26/'- 7 -'!$F26</f>
        <v>92.947063555913118</v>
      </c>
    </row>
    <row r="27" spans="1:7" ht="14.1" customHeight="1">
      <c r="A27" s="272" t="s">
        <v>124</v>
      </c>
      <c r="B27" s="273">
        <v>247965</v>
      </c>
      <c r="C27" s="274">
        <f>B27/'- 3 -'!$D27*100</f>
        <v>0.57772946739244702</v>
      </c>
      <c r="D27" s="273">
        <f>B27/'- 7 -'!$F27</f>
        <v>86.690223498564123</v>
      </c>
      <c r="E27" s="273">
        <v>54000</v>
      </c>
      <c r="F27" s="274">
        <f>E27/'- 3 -'!$D27*100</f>
        <v>0.12581368838018325</v>
      </c>
      <c r="G27" s="273">
        <f>E27/'- 7 -'!$F27</f>
        <v>18.878761393432391</v>
      </c>
    </row>
    <row r="28" spans="1:7" ht="14.1" customHeight="1">
      <c r="A28" s="16" t="s">
        <v>125</v>
      </c>
      <c r="B28" s="17">
        <v>339494</v>
      </c>
      <c r="C28" s="268">
        <f>B28/'- 3 -'!$D28*100</f>
        <v>1.2121039447307964</v>
      </c>
      <c r="D28" s="17">
        <f>B28/'- 7 -'!$F28</f>
        <v>172.28825171276327</v>
      </c>
      <c r="E28" s="17">
        <v>0</v>
      </c>
      <c r="F28" s="268">
        <f>E28/'- 3 -'!$D28*100</f>
        <v>0</v>
      </c>
      <c r="G28" s="17">
        <f>E28/'- 7 -'!$F28</f>
        <v>0</v>
      </c>
    </row>
    <row r="29" spans="1:7" ht="14.1" customHeight="1">
      <c r="A29" s="272" t="s">
        <v>126</v>
      </c>
      <c r="B29" s="273">
        <v>1497790</v>
      </c>
      <c r="C29" s="274">
        <f>B29/'- 3 -'!$D29*100</f>
        <v>0.96743951355385149</v>
      </c>
      <c r="D29" s="273">
        <f>B29/'- 7 -'!$F29</f>
        <v>121.33749189889825</v>
      </c>
      <c r="E29" s="273">
        <v>405059</v>
      </c>
      <c r="F29" s="274">
        <f>E29/'- 3 -'!$D29*100</f>
        <v>0.26163219271100058</v>
      </c>
      <c r="G29" s="273">
        <f>E29/'- 7 -'!$F29</f>
        <v>32.814241736876212</v>
      </c>
    </row>
    <row r="30" spans="1:7" ht="14.1" customHeight="1">
      <c r="A30" s="16" t="s">
        <v>127</v>
      </c>
      <c r="B30" s="17">
        <v>90903</v>
      </c>
      <c r="C30" s="268">
        <f>B30/'- 3 -'!$D30*100</f>
        <v>0.64965781886694129</v>
      </c>
      <c r="D30" s="17">
        <f>B30/'- 7 -'!$F30</f>
        <v>88.599415204678365</v>
      </c>
      <c r="E30" s="17">
        <v>5320</v>
      </c>
      <c r="F30" s="268">
        <f>E30/'- 3 -'!$D30*100</f>
        <v>3.8020522935130051E-2</v>
      </c>
      <c r="G30" s="17">
        <f>E30/'- 7 -'!$F30</f>
        <v>5.1851851851851851</v>
      </c>
    </row>
    <row r="31" spans="1:7" ht="14.1" customHeight="1">
      <c r="A31" s="272" t="s">
        <v>128</v>
      </c>
      <c r="B31" s="273">
        <v>260128</v>
      </c>
      <c r="C31" s="274">
        <f>B31/'- 3 -'!$D31*100</f>
        <v>0.7183962526121912</v>
      </c>
      <c r="D31" s="273">
        <f>B31/'- 7 -'!$F31</f>
        <v>81.493734335839605</v>
      </c>
      <c r="E31" s="273">
        <v>476330</v>
      </c>
      <c r="F31" s="274">
        <f>E31/'- 3 -'!$D31*100</f>
        <v>1.3154819435307428</v>
      </c>
      <c r="G31" s="273">
        <f>E31/'- 7 -'!$F31</f>
        <v>149.22619047619048</v>
      </c>
    </row>
    <row r="32" spans="1:7" ht="14.1" customHeight="1">
      <c r="A32" s="16" t="s">
        <v>129</v>
      </c>
      <c r="B32" s="17">
        <v>323660</v>
      </c>
      <c r="C32" s="268">
        <f>B32/'- 3 -'!$D32*100</f>
        <v>1.1255150641528981</v>
      </c>
      <c r="D32" s="17">
        <f>B32/'- 7 -'!$F32</f>
        <v>152.81758304020397</v>
      </c>
      <c r="E32" s="17">
        <v>2800</v>
      </c>
      <c r="F32" s="268">
        <f>E32/'- 3 -'!$D32*100</f>
        <v>9.7368911191624379E-3</v>
      </c>
      <c r="G32" s="17">
        <f>E32/'- 7 -'!$F32</f>
        <v>1.3220330980429189</v>
      </c>
    </row>
    <row r="33" spans="1:7" ht="14.1" customHeight="1">
      <c r="A33" s="272" t="s">
        <v>130</v>
      </c>
      <c r="B33" s="273">
        <v>266000</v>
      </c>
      <c r="C33" s="274">
        <f>B33/'- 3 -'!$D33*100</f>
        <v>0.9752949717311119</v>
      </c>
      <c r="D33" s="273">
        <f>B33/'- 7 -'!$F33</f>
        <v>134.51327433628319</v>
      </c>
      <c r="E33" s="273">
        <v>6000</v>
      </c>
      <c r="F33" s="274">
        <f>E33/'- 3 -'!$D33*100</f>
        <v>2.1999134700701771E-2</v>
      </c>
      <c r="G33" s="273">
        <f>E33/'- 7 -'!$F33</f>
        <v>3.0341340075853349</v>
      </c>
    </row>
    <row r="34" spans="1:7" ht="14.1" customHeight="1">
      <c r="A34" s="16" t="s">
        <v>131</v>
      </c>
      <c r="B34" s="17">
        <v>284008</v>
      </c>
      <c r="C34" s="268">
        <f>B34/'- 3 -'!$D34*100</f>
        <v>1.0264306766622295</v>
      </c>
      <c r="D34" s="17">
        <f>B34/'- 7 -'!$F34</f>
        <v>143.81608264128013</v>
      </c>
      <c r="E34" s="17">
        <v>41000</v>
      </c>
      <c r="F34" s="268">
        <f>E34/'- 3 -'!$D34*100</f>
        <v>0.14817771944153479</v>
      </c>
      <c r="G34" s="17">
        <f>E34/'- 7 -'!$F34</f>
        <v>20.761596110998582</v>
      </c>
    </row>
    <row r="35" spans="1:7" ht="14.1" customHeight="1">
      <c r="A35" s="272" t="s">
        <v>132</v>
      </c>
      <c r="B35" s="273">
        <v>2127252</v>
      </c>
      <c r="C35" s="274">
        <f>B35/'- 3 -'!$D35*100</f>
        <v>1.2073695372106543</v>
      </c>
      <c r="D35" s="273">
        <f>B35/'- 7 -'!$F35</f>
        <v>136.17898982139428</v>
      </c>
      <c r="E35" s="273">
        <v>435000</v>
      </c>
      <c r="F35" s="274">
        <f>E35/'- 3 -'!$D35*100</f>
        <v>0.24689399689676381</v>
      </c>
      <c r="G35" s="273">
        <f>E35/'- 7 -'!$F35</f>
        <v>27.847128864989436</v>
      </c>
    </row>
    <row r="36" spans="1:7" ht="14.1" customHeight="1">
      <c r="A36" s="16" t="s">
        <v>133</v>
      </c>
      <c r="B36" s="17">
        <v>195500</v>
      </c>
      <c r="C36" s="268">
        <f>B36/'- 3 -'!$D36*100</f>
        <v>0.84990466286825228</v>
      </c>
      <c r="D36" s="17">
        <f>B36/'- 7 -'!$F36</f>
        <v>116.5424739195231</v>
      </c>
      <c r="E36" s="17">
        <v>11900</v>
      </c>
      <c r="F36" s="268">
        <f>E36/'- 3 -'!$D36*100</f>
        <v>5.1733327305024043E-2</v>
      </c>
      <c r="G36" s="17">
        <f>E36/'- 7 -'!$F36</f>
        <v>7.0938897168405362</v>
      </c>
    </row>
    <row r="37" spans="1:7" ht="14.1" customHeight="1">
      <c r="A37" s="272" t="s">
        <v>134</v>
      </c>
      <c r="B37" s="273">
        <v>366182</v>
      </c>
      <c r="C37" s="274">
        <f>B37/'- 3 -'!$D37*100</f>
        <v>0.78290857778157874</v>
      </c>
      <c r="D37" s="273">
        <f>B37/'- 7 -'!$F37</f>
        <v>92.739521337216658</v>
      </c>
      <c r="E37" s="273">
        <v>25410</v>
      </c>
      <c r="F37" s="274">
        <f>E37/'- 3 -'!$D37*100</f>
        <v>5.432737535277516E-2</v>
      </c>
      <c r="G37" s="273">
        <f>E37/'- 7 -'!$F37</f>
        <v>6.4353551981765227</v>
      </c>
    </row>
    <row r="38" spans="1:7" ht="14.1" customHeight="1">
      <c r="A38" s="16" t="s">
        <v>135</v>
      </c>
      <c r="B38" s="17">
        <v>1139720</v>
      </c>
      <c r="C38" s="268">
        <f>B38/'- 3 -'!$D38*100</f>
        <v>0.88238657619755156</v>
      </c>
      <c r="D38" s="17">
        <f>B38/'- 7 -'!$F38</f>
        <v>105.97117619711761</v>
      </c>
      <c r="E38" s="17">
        <v>1831920</v>
      </c>
      <c r="F38" s="268">
        <f>E38/'- 3 -'!$D38*100</f>
        <v>1.4182971402342845</v>
      </c>
      <c r="G38" s="17">
        <f>E38/'- 7 -'!$F38</f>
        <v>170.33193863319386</v>
      </c>
    </row>
    <row r="39" spans="1:7" ht="14.1" customHeight="1">
      <c r="A39" s="272" t="s">
        <v>136</v>
      </c>
      <c r="B39" s="273">
        <v>159000</v>
      </c>
      <c r="C39" s="274">
        <f>B39/'- 3 -'!$D39*100</f>
        <v>0.72500675989007257</v>
      </c>
      <c r="D39" s="273">
        <f>B39/'- 7 -'!$F39</f>
        <v>102.31660231660231</v>
      </c>
      <c r="E39" s="273">
        <v>64000</v>
      </c>
      <c r="F39" s="274">
        <f>E39/'- 3 -'!$D39*100</f>
        <v>0.29182662033311096</v>
      </c>
      <c r="G39" s="273">
        <f>E39/'- 7 -'!$F39</f>
        <v>41.184041184041185</v>
      </c>
    </row>
    <row r="40" spans="1:7" ht="14.1" customHeight="1">
      <c r="A40" s="16" t="s">
        <v>137</v>
      </c>
      <c r="B40" s="17">
        <v>893855</v>
      </c>
      <c r="C40" s="268">
        <f>B40/'- 3 -'!$D40*100</f>
        <v>0.87582503805214862</v>
      </c>
      <c r="D40" s="17">
        <f>B40/'- 7 -'!$F40</f>
        <v>113.94874789020392</v>
      </c>
      <c r="E40" s="17">
        <v>268386</v>
      </c>
      <c r="F40" s="268">
        <f>E40/'- 3 -'!$D40*100</f>
        <v>0.26297238216787283</v>
      </c>
      <c r="G40" s="17">
        <f>E40/'- 7 -'!$F40</f>
        <v>34.213881055943382</v>
      </c>
    </row>
    <row r="41" spans="1:7" ht="14.1" customHeight="1">
      <c r="A41" s="272" t="s">
        <v>138</v>
      </c>
      <c r="B41" s="273">
        <v>651636</v>
      </c>
      <c r="C41" s="274">
        <f>B41/'- 3 -'!$D41*100</f>
        <v>1.0468767300385162</v>
      </c>
      <c r="D41" s="273">
        <f>B41/'- 7 -'!$F41</f>
        <v>149.61221444151073</v>
      </c>
      <c r="E41" s="273">
        <v>20599</v>
      </c>
      <c r="F41" s="274">
        <f>E41/'- 3 -'!$D41*100</f>
        <v>3.3093036238119745E-2</v>
      </c>
      <c r="G41" s="273">
        <f>E41/'- 7 -'!$F41</f>
        <v>4.7294225691654228</v>
      </c>
    </row>
    <row r="42" spans="1:7" ht="14.1" customHeight="1">
      <c r="A42" s="16" t="s">
        <v>139</v>
      </c>
      <c r="B42" s="17">
        <v>112964</v>
      </c>
      <c r="C42" s="268">
        <f>B42/'- 3 -'!$D42*100</f>
        <v>0.54800336590998378</v>
      </c>
      <c r="D42" s="17">
        <f>B42/'- 7 -'!$F42</f>
        <v>82.275309541150762</v>
      </c>
      <c r="E42" s="17">
        <v>2500</v>
      </c>
      <c r="F42" s="268">
        <f>E42/'- 3 -'!$D42*100</f>
        <v>1.2127832006435317E-2</v>
      </c>
      <c r="G42" s="17">
        <f>E42/'- 7 -'!$F42</f>
        <v>1.8208302986161691</v>
      </c>
    </row>
    <row r="43" spans="1:7" ht="14.1" customHeight="1">
      <c r="A43" s="272" t="s">
        <v>140</v>
      </c>
      <c r="B43" s="273">
        <v>140060</v>
      </c>
      <c r="C43" s="274">
        <f>B43/'- 3 -'!$D43*100</f>
        <v>1.0912911908662526</v>
      </c>
      <c r="D43" s="273">
        <f>B43/'- 7 -'!$F43</f>
        <v>149.47705442902881</v>
      </c>
      <c r="E43" s="273">
        <v>16557</v>
      </c>
      <c r="F43" s="274">
        <f>E43/'- 3 -'!$D43*100</f>
        <v>0.12900548512903431</v>
      </c>
      <c r="G43" s="273">
        <f>E43/'- 7 -'!$F43</f>
        <v>17.670224119530417</v>
      </c>
    </row>
    <row r="44" spans="1:7" ht="14.1" customHeight="1">
      <c r="A44" s="16" t="s">
        <v>141</v>
      </c>
      <c r="B44" s="17">
        <v>28041</v>
      </c>
      <c r="C44" s="268">
        <f>B44/'- 3 -'!$D44*100</f>
        <v>0.25544916774732207</v>
      </c>
      <c r="D44" s="17">
        <f>B44/'- 7 -'!$F44</f>
        <v>39.494366197183098</v>
      </c>
      <c r="E44" s="17">
        <v>80000</v>
      </c>
      <c r="F44" s="268">
        <f>E44/'- 3 -'!$D44*100</f>
        <v>0.72878761170378248</v>
      </c>
      <c r="G44" s="17">
        <f>E44/'- 7 -'!$F44</f>
        <v>112.67605633802818</v>
      </c>
    </row>
    <row r="45" spans="1:7" ht="14.1" customHeight="1">
      <c r="A45" s="272" t="s">
        <v>142</v>
      </c>
      <c r="B45" s="273">
        <v>121431</v>
      </c>
      <c r="C45" s="274">
        <f>B45/'- 3 -'!$D45*100</f>
        <v>0.663083580278922</v>
      </c>
      <c r="D45" s="273">
        <f>B45/'- 7 -'!$F45</f>
        <v>72.065875370919883</v>
      </c>
      <c r="E45" s="273">
        <v>191683</v>
      </c>
      <c r="F45" s="274">
        <f>E45/'- 3 -'!$D45*100</f>
        <v>1.0467001829730842</v>
      </c>
      <c r="G45" s="273">
        <f>E45/'- 7 -'!$F45</f>
        <v>113.75845697329378</v>
      </c>
    </row>
    <row r="46" spans="1:7" ht="14.1" customHeight="1">
      <c r="A46" s="16" t="s">
        <v>143</v>
      </c>
      <c r="B46" s="17">
        <v>3947400</v>
      </c>
      <c r="C46" s="268">
        <f>B46/'- 3 -'!$D46*100</f>
        <v>1.0307590469513175</v>
      </c>
      <c r="D46" s="17">
        <f>B46/'- 7 -'!$F46</f>
        <v>130.6393963463066</v>
      </c>
      <c r="E46" s="17">
        <v>3093700</v>
      </c>
      <c r="F46" s="268">
        <f>E46/'- 3 -'!$D46*100</f>
        <v>0.80783788406376122</v>
      </c>
      <c r="G46" s="17">
        <f>E46/'- 7 -'!$F46</f>
        <v>102.38615303150648</v>
      </c>
    </row>
    <row r="47" spans="1:7" ht="5.0999999999999996" customHeight="1">
      <c r="A47"/>
      <c r="B47"/>
      <c r="C47"/>
      <c r="D47"/>
      <c r="E47"/>
      <c r="F47"/>
      <c r="G47"/>
    </row>
    <row r="48" spans="1:7" ht="14.1" customHeight="1">
      <c r="A48" s="275" t="s">
        <v>144</v>
      </c>
      <c r="B48" s="276">
        <f>SUM(B11:B46)</f>
        <v>21321479</v>
      </c>
      <c r="C48" s="277">
        <f>B48/'- 3 -'!$D48*100</f>
        <v>0.95522250979493906</v>
      </c>
      <c r="D48" s="276">
        <f>B48/'- 7 -'!$F48</f>
        <v>122.85583672541544</v>
      </c>
      <c r="E48" s="276">
        <f>SUM(E11:E46)</f>
        <v>10412325</v>
      </c>
      <c r="F48" s="277">
        <f>E48/'- 3 -'!$D48*100</f>
        <v>0.46648204935973669</v>
      </c>
      <c r="G48" s="276">
        <f>E48/'- 7 -'!$F48</f>
        <v>59.996536831800519</v>
      </c>
    </row>
    <row r="49" spans="1:7" ht="5.0999999999999996" customHeight="1">
      <c r="A49" s="18" t="s">
        <v>1</v>
      </c>
      <c r="B49" s="19"/>
      <c r="C49" s="267"/>
      <c r="D49" s="19"/>
      <c r="E49" s="19"/>
      <c r="F49" s="267"/>
    </row>
    <row r="50" spans="1:7" ht="14.1" customHeight="1">
      <c r="A50" s="16" t="s">
        <v>145</v>
      </c>
      <c r="B50" s="17">
        <v>45610</v>
      </c>
      <c r="C50" s="268">
        <f>B50/'- 3 -'!$D50*100</f>
        <v>1.3584171417292061</v>
      </c>
      <c r="D50" s="17">
        <f>B50/'- 7 -'!$F50</f>
        <v>281.54320987654319</v>
      </c>
      <c r="E50" s="17">
        <v>64946</v>
      </c>
      <c r="F50" s="268">
        <f>E50/'- 3 -'!$D50*100</f>
        <v>1.9343073818624208</v>
      </c>
      <c r="G50" s="17">
        <f>E50/'- 7 -'!$F50</f>
        <v>400.90123456790121</v>
      </c>
    </row>
    <row r="51" spans="1:7" ht="14.1" customHeight="1">
      <c r="A51" s="364" t="s">
        <v>540</v>
      </c>
      <c r="B51" s="273">
        <v>37000</v>
      </c>
      <c r="C51" s="274">
        <f>B51/'- 3 -'!$D51*100</f>
        <v>0.14607114801894755</v>
      </c>
      <c r="D51" s="273">
        <f>B51/'- 7 -'!$F51</f>
        <v>52.789270937366247</v>
      </c>
      <c r="E51" s="273">
        <v>64620</v>
      </c>
      <c r="F51" s="274">
        <f>E51/'- 3 -'!$D51*100</f>
        <v>0.25511128608065919</v>
      </c>
      <c r="G51" s="273">
        <f>E51/'- 7 -'!$F51</f>
        <v>92.19574832358397</v>
      </c>
    </row>
    <row r="52" spans="1:7" ht="50.1" customHeight="1">
      <c r="A52" s="20"/>
      <c r="B52" s="52"/>
      <c r="C52" s="52"/>
      <c r="D52" s="52"/>
      <c r="E52" s="52"/>
      <c r="F52" s="52"/>
      <c r="G52" s="52"/>
    </row>
    <row r="53" spans="1:7" ht="15" customHeight="1">
      <c r="A53" s="553" t="s">
        <v>440</v>
      </c>
      <c r="B53" s="584"/>
      <c r="C53" s="584"/>
      <c r="D53" s="584"/>
      <c r="E53" s="584"/>
      <c r="F53" s="584"/>
      <c r="G53" s="584"/>
    </row>
    <row r="54" spans="1:7">
      <c r="A54" s="574"/>
      <c r="B54" s="574"/>
      <c r="C54" s="574"/>
      <c r="D54" s="574"/>
      <c r="E54" s="574"/>
      <c r="F54" s="574"/>
      <c r="G54" s="574"/>
    </row>
    <row r="56" spans="1:7" ht="14.45" customHeight="1"/>
    <row r="57" spans="1:7" ht="14.45" customHeight="1"/>
    <row r="58" spans="1:7" ht="14.45" customHeight="1"/>
    <row r="59" spans="1:7" ht="14.45" customHeight="1"/>
  </sheetData>
  <mergeCells count="5">
    <mergeCell ref="D8:D9"/>
    <mergeCell ref="G8:G9"/>
    <mergeCell ref="E7:G7"/>
    <mergeCell ref="B6:D7"/>
    <mergeCell ref="A53:G54"/>
  </mergeCells>
  <phoneticPr fontId="0" type="noConversion"/>
  <printOptions horizontalCentered="1"/>
  <pageMargins left="0.51181102362204722" right="0.51181102362204722" top="0.59055118110236227" bottom="0" header="0.31496062992125984" footer="0"/>
  <pageSetup scale="91" orientation="portrait"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G66"/>
  <sheetViews>
    <sheetView showGridLines="0" showZeros="0" workbookViewId="0"/>
  </sheetViews>
  <sheetFormatPr defaultColWidth="15.83203125" defaultRowHeight="12"/>
  <cols>
    <col min="1" max="1" width="33.83203125" style="1" customWidth="1"/>
    <col min="2" max="2" width="16.83203125" style="1" customWidth="1"/>
    <col min="3" max="3" width="12.83203125" style="1" customWidth="1"/>
    <col min="4" max="4" width="16.83203125" style="1" customWidth="1"/>
    <col min="5" max="5" width="12.5" style="1" customWidth="1"/>
    <col min="6" max="6" width="17.83203125" style="1" customWidth="1"/>
    <col min="7" max="7" width="13.5" style="1" customWidth="1"/>
    <col min="8" max="16384" width="15.83203125" style="1"/>
  </cols>
  <sheetData>
    <row r="1" spans="1:7" ht="6.95" customHeight="1">
      <c r="A1" s="3"/>
      <c r="B1" s="4"/>
      <c r="C1" s="4"/>
      <c r="D1" s="4"/>
      <c r="E1" s="4"/>
      <c r="F1" s="4"/>
      <c r="G1" s="4"/>
    </row>
    <row r="2" spans="1:7" ht="15.95" customHeight="1">
      <c r="A2" s="133"/>
      <c r="B2" s="5" t="str">
        <f>AEXP_BP</f>
        <v>ANALYSIS OF EXPENSE BY PROGRAM</v>
      </c>
      <c r="C2" s="6"/>
      <c r="D2" s="6"/>
      <c r="E2" s="6"/>
      <c r="F2" s="86"/>
      <c r="G2" s="510" t="s">
        <v>571</v>
      </c>
    </row>
    <row r="3" spans="1:7" ht="15.95" customHeight="1">
      <c r="A3" s="136"/>
      <c r="B3" s="7" t="str">
        <f>OPYEAR</f>
        <v>OPERATING FUND 2015/2016 BUDGET</v>
      </c>
      <c r="C3" s="8"/>
      <c r="D3" s="8"/>
      <c r="E3" s="8"/>
      <c r="F3" s="88"/>
      <c r="G3" s="82"/>
    </row>
    <row r="4" spans="1:7" ht="15.95" customHeight="1">
      <c r="B4" s="4"/>
      <c r="C4" s="4"/>
      <c r="D4" s="4"/>
      <c r="E4" s="4"/>
      <c r="F4" s="4"/>
      <c r="G4" s="4"/>
    </row>
    <row r="5" spans="1:7" ht="15.95" customHeight="1">
      <c r="B5" s="4"/>
      <c r="C5" s="4"/>
      <c r="D5" s="4"/>
      <c r="E5" s="4"/>
      <c r="F5" s="4"/>
      <c r="G5" s="4"/>
    </row>
    <row r="6" spans="1:7" ht="15.95" customHeight="1">
      <c r="B6" s="655" t="s">
        <v>8</v>
      </c>
      <c r="C6" s="656"/>
      <c r="D6" s="656"/>
      <c r="E6" s="656"/>
      <c r="F6" s="656"/>
      <c r="G6" s="657"/>
    </row>
    <row r="7" spans="1:7" ht="15.95" customHeight="1">
      <c r="B7" s="278"/>
      <c r="C7" s="271"/>
      <c r="D7" s="269"/>
      <c r="E7" s="271"/>
      <c r="F7" s="607" t="s">
        <v>441</v>
      </c>
      <c r="G7" s="608"/>
    </row>
    <row r="8" spans="1:7" ht="15.95" customHeight="1">
      <c r="A8" s="83"/>
      <c r="B8" s="601" t="s">
        <v>14</v>
      </c>
      <c r="C8" s="602"/>
      <c r="D8" s="614" t="s">
        <v>29</v>
      </c>
      <c r="E8" s="602"/>
      <c r="F8" s="609"/>
      <c r="G8" s="610"/>
    </row>
    <row r="9" spans="1:7" ht="15.95" customHeight="1">
      <c r="A9" s="28" t="s">
        <v>37</v>
      </c>
      <c r="B9" s="152" t="s">
        <v>38</v>
      </c>
      <c r="C9" s="152" t="s">
        <v>39</v>
      </c>
      <c r="D9" s="152" t="s">
        <v>38</v>
      </c>
      <c r="E9" s="152" t="s">
        <v>39</v>
      </c>
      <c r="F9" s="152" t="s">
        <v>38</v>
      </c>
      <c r="G9" s="152" t="s">
        <v>39</v>
      </c>
    </row>
    <row r="10" spans="1:7" ht="5.0999999999999996" customHeight="1">
      <c r="A10" s="30"/>
    </row>
    <row r="11" spans="1:7" ht="14.1" customHeight="1">
      <c r="A11" s="272" t="s">
        <v>109</v>
      </c>
      <c r="B11" s="273">
        <v>81235</v>
      </c>
      <c r="C11" s="274">
        <f>B11/'- 3 -'!$D11*100</f>
        <v>0.44131755850099252</v>
      </c>
      <c r="D11" s="273">
        <v>1061950</v>
      </c>
      <c r="E11" s="274">
        <f>D11/'- 3 -'!$D11*100</f>
        <v>5.7691534591017302</v>
      </c>
      <c r="F11" s="273">
        <v>7000</v>
      </c>
      <c r="G11" s="274">
        <f>F11/'- 3 -'!$D11*100</f>
        <v>3.8028225635587463E-2</v>
      </c>
    </row>
    <row r="12" spans="1:7" ht="14.1" customHeight="1">
      <c r="A12" s="16" t="s">
        <v>110</v>
      </c>
      <c r="B12" s="17">
        <v>99629</v>
      </c>
      <c r="C12" s="268">
        <f>B12/'- 3 -'!$D12*100</f>
        <v>0.31068848017110584</v>
      </c>
      <c r="D12" s="17">
        <v>2155275</v>
      </c>
      <c r="E12" s="268">
        <f>D12/'- 3 -'!$D12*100</f>
        <v>6.7211265203984798</v>
      </c>
      <c r="F12" s="17">
        <v>0</v>
      </c>
      <c r="G12" s="268">
        <f>F12/'- 3 -'!$D12*100</f>
        <v>0</v>
      </c>
    </row>
    <row r="13" spans="1:7" ht="14.1" customHeight="1">
      <c r="A13" s="272" t="s">
        <v>111</v>
      </c>
      <c r="B13" s="273">
        <v>201200</v>
      </c>
      <c r="C13" s="274">
        <f>B13/'- 3 -'!$D13*100</f>
        <v>0.21660447721023771</v>
      </c>
      <c r="D13" s="273">
        <v>2022500</v>
      </c>
      <c r="E13" s="274">
        <f>D13/'- 3 -'!$D13*100</f>
        <v>2.17734868368641</v>
      </c>
      <c r="F13" s="273">
        <v>0</v>
      </c>
      <c r="G13" s="274">
        <f>F13/'- 3 -'!$D13*100</f>
        <v>0</v>
      </c>
    </row>
    <row r="14" spans="1:7" ht="14.1" customHeight="1">
      <c r="A14" s="16" t="s">
        <v>324</v>
      </c>
      <c r="B14" s="17">
        <v>249340</v>
      </c>
      <c r="C14" s="268">
        <f>B14/'- 3 -'!$D14*100</f>
        <v>0.30065468298788878</v>
      </c>
      <c r="D14" s="17">
        <v>7759727</v>
      </c>
      <c r="E14" s="268">
        <f>D14/'- 3 -'!$D14*100</f>
        <v>9.3566947190886367</v>
      </c>
      <c r="F14" s="17">
        <v>297727</v>
      </c>
      <c r="G14" s="268">
        <f>F14/'- 3 -'!$D14*100</f>
        <v>0.35899982675036157</v>
      </c>
    </row>
    <row r="15" spans="1:7" ht="14.1" customHeight="1">
      <c r="A15" s="272" t="s">
        <v>112</v>
      </c>
      <c r="B15" s="273">
        <v>79000</v>
      </c>
      <c r="C15" s="274">
        <f>B15/'- 3 -'!$D15*100</f>
        <v>0.39270216220319237</v>
      </c>
      <c r="D15" s="273">
        <v>1331950</v>
      </c>
      <c r="E15" s="274">
        <f>D15/'- 3 -'!$D15*100</f>
        <v>6.6210081638802789</v>
      </c>
      <c r="F15" s="273">
        <v>3000</v>
      </c>
      <c r="G15" s="274">
        <f>F15/'- 3 -'!$D15*100</f>
        <v>1.4912740336830091E-2</v>
      </c>
    </row>
    <row r="16" spans="1:7" ht="14.1" customHeight="1">
      <c r="A16" s="16" t="s">
        <v>113</v>
      </c>
      <c r="B16" s="17">
        <v>0</v>
      </c>
      <c r="C16" s="268">
        <f>B16/'- 3 -'!$D16*100</f>
        <v>0</v>
      </c>
      <c r="D16" s="17">
        <v>318994</v>
      </c>
      <c r="E16" s="268">
        <f>D16/'- 3 -'!$D16*100</f>
        <v>2.267567635386464</v>
      </c>
      <c r="F16" s="17">
        <v>0</v>
      </c>
      <c r="G16" s="268">
        <f>F16/'- 3 -'!$D16*100</f>
        <v>0</v>
      </c>
    </row>
    <row r="17" spans="1:7" ht="14.1" customHeight="1">
      <c r="A17" s="272" t="s">
        <v>114</v>
      </c>
      <c r="B17" s="273">
        <v>55843</v>
      </c>
      <c r="C17" s="274">
        <f>B17/'- 3 -'!$D17*100</f>
        <v>0.31742206197867123</v>
      </c>
      <c r="D17" s="273">
        <v>1336140</v>
      </c>
      <c r="E17" s="274">
        <f>D17/'- 3 -'!$D17*100</f>
        <v>7.5948697937464278</v>
      </c>
      <c r="F17" s="273">
        <v>16500</v>
      </c>
      <c r="G17" s="274">
        <f>F17/'- 3 -'!$D17*100</f>
        <v>9.3789087668070759E-2</v>
      </c>
    </row>
    <row r="18" spans="1:7" ht="14.1" customHeight="1">
      <c r="A18" s="16" t="s">
        <v>115</v>
      </c>
      <c r="B18" s="17">
        <v>325686</v>
      </c>
      <c r="C18" s="268">
        <f>B18/'- 3 -'!$D18*100</f>
        <v>0.25442250752150802</v>
      </c>
      <c r="D18" s="17">
        <v>6972312</v>
      </c>
      <c r="E18" s="268">
        <f>D18/'- 3 -'!$D18*100</f>
        <v>5.4466974394425947</v>
      </c>
      <c r="F18" s="17">
        <v>120165</v>
      </c>
      <c r="G18" s="268">
        <f>F18/'- 3 -'!$D18*100</f>
        <v>9.387164513157463E-2</v>
      </c>
    </row>
    <row r="19" spans="1:7" ht="14.1" customHeight="1">
      <c r="A19" s="272" t="s">
        <v>116</v>
      </c>
      <c r="B19" s="273">
        <v>167200</v>
      </c>
      <c r="C19" s="274">
        <f>B19/'- 3 -'!$D19*100</f>
        <v>0.37202331286760104</v>
      </c>
      <c r="D19" s="273">
        <v>2567000</v>
      </c>
      <c r="E19" s="274">
        <f>D19/'- 3 -'!$D19*100</f>
        <v>5.7116258620283018</v>
      </c>
      <c r="F19" s="273">
        <v>30000</v>
      </c>
      <c r="G19" s="274">
        <f>F19/'- 3 -'!$D19*100</f>
        <v>6.6750594414043254E-2</v>
      </c>
    </row>
    <row r="20" spans="1:7" ht="14.1" customHeight="1">
      <c r="A20" s="16" t="s">
        <v>117</v>
      </c>
      <c r="B20" s="17">
        <v>227700</v>
      </c>
      <c r="C20" s="268">
        <f>B20/'- 3 -'!$D20*100</f>
        <v>0.28900780333761494</v>
      </c>
      <c r="D20" s="17">
        <v>3530700</v>
      </c>
      <c r="E20" s="268">
        <f>D20/'- 3 -'!$D20*100</f>
        <v>4.4813344367330563</v>
      </c>
      <c r="F20" s="17">
        <v>3100</v>
      </c>
      <c r="G20" s="268">
        <f>F20/'- 3 -'!$D20*100</f>
        <v>3.9346692593175501E-3</v>
      </c>
    </row>
    <row r="21" spans="1:7" ht="14.1" customHeight="1">
      <c r="A21" s="272" t="s">
        <v>118</v>
      </c>
      <c r="B21" s="273">
        <v>114000</v>
      </c>
      <c r="C21" s="274">
        <f>B21/'- 3 -'!$D21*100</f>
        <v>0.32109073508738439</v>
      </c>
      <c r="D21" s="273">
        <v>1871000</v>
      </c>
      <c r="E21" s="274">
        <f>D21/'- 3 -'!$D21*100</f>
        <v>5.2698312749868093</v>
      </c>
      <c r="F21" s="273">
        <v>6000</v>
      </c>
      <c r="G21" s="274">
        <f>F21/'- 3 -'!$D21*100</f>
        <v>1.6899512373020231E-2</v>
      </c>
    </row>
    <row r="22" spans="1:7" ht="14.1" customHeight="1">
      <c r="A22" s="16" t="s">
        <v>119</v>
      </c>
      <c r="B22" s="17">
        <v>95400</v>
      </c>
      <c r="C22" s="268">
        <f>B22/'- 3 -'!$D22*100</f>
        <v>0.46243225113037784</v>
      </c>
      <c r="D22" s="17">
        <v>438790</v>
      </c>
      <c r="E22" s="268">
        <f>D22/'- 3 -'!$D22*100</f>
        <v>2.1269459902882439</v>
      </c>
      <c r="F22" s="17">
        <v>10000</v>
      </c>
      <c r="G22" s="268">
        <f>F22/'- 3 -'!$D22*100</f>
        <v>4.847298229878174E-2</v>
      </c>
    </row>
    <row r="23" spans="1:7" ht="14.1" customHeight="1">
      <c r="A23" s="272" t="s">
        <v>120</v>
      </c>
      <c r="B23" s="273">
        <v>70225</v>
      </c>
      <c r="C23" s="274">
        <f>B23/'- 3 -'!$D23*100</f>
        <v>0.42560092760093376</v>
      </c>
      <c r="D23" s="273">
        <v>1550890</v>
      </c>
      <c r="E23" s="274">
        <f>D23/'- 3 -'!$D23*100</f>
        <v>9.3992199730439605</v>
      </c>
      <c r="F23" s="273">
        <v>4500</v>
      </c>
      <c r="G23" s="274">
        <f>F23/'- 3 -'!$D23*100</f>
        <v>2.727239835107443E-2</v>
      </c>
    </row>
    <row r="24" spans="1:7" ht="14.1" customHeight="1">
      <c r="A24" s="16" t="s">
        <v>121</v>
      </c>
      <c r="B24" s="17">
        <v>174710</v>
      </c>
      <c r="C24" s="268">
        <f>B24/'- 3 -'!$D24*100</f>
        <v>0.31249946898700787</v>
      </c>
      <c r="D24" s="17">
        <v>2351205</v>
      </c>
      <c r="E24" s="268">
        <f>D24/'- 3 -'!$D24*100</f>
        <v>4.2055424073012295</v>
      </c>
      <c r="F24" s="17">
        <v>5000</v>
      </c>
      <c r="G24" s="268">
        <f>F24/'- 3 -'!$D24*100</f>
        <v>8.9433767096047112E-3</v>
      </c>
    </row>
    <row r="25" spans="1:7" ht="14.1" customHeight="1">
      <c r="A25" s="272" t="s">
        <v>122</v>
      </c>
      <c r="B25" s="273">
        <v>268119</v>
      </c>
      <c r="C25" s="274">
        <f>B25/'- 3 -'!$D25*100</f>
        <v>0.16041358092335339</v>
      </c>
      <c r="D25" s="273">
        <v>3547759</v>
      </c>
      <c r="E25" s="274">
        <f>D25/'- 3 -'!$D25*100</f>
        <v>2.1225975236482881</v>
      </c>
      <c r="F25" s="273">
        <v>10000</v>
      </c>
      <c r="G25" s="274">
        <f>F25/'- 3 -'!$D25*100</f>
        <v>5.9829247805397376E-3</v>
      </c>
    </row>
    <row r="26" spans="1:7" ht="14.1" customHeight="1">
      <c r="A26" s="16" t="s">
        <v>123</v>
      </c>
      <c r="B26" s="17">
        <v>224202</v>
      </c>
      <c r="C26" s="268">
        <f>B26/'- 3 -'!$D26*100</f>
        <v>0.56209191193808139</v>
      </c>
      <c r="D26" s="17">
        <v>2630031</v>
      </c>
      <c r="E26" s="268">
        <f>D26/'- 3 -'!$D26*100</f>
        <v>6.5936929788602425</v>
      </c>
      <c r="F26" s="17">
        <v>10500</v>
      </c>
      <c r="G26" s="268">
        <f>F26/'- 3 -'!$D26*100</f>
        <v>2.6324319476855044E-2</v>
      </c>
    </row>
    <row r="27" spans="1:7" ht="14.1" customHeight="1">
      <c r="A27" s="272" t="s">
        <v>124</v>
      </c>
      <c r="B27" s="273">
        <v>0</v>
      </c>
      <c r="C27" s="274">
        <f>B27/'- 3 -'!$D27*100</f>
        <v>0</v>
      </c>
      <c r="D27" s="273">
        <v>0</v>
      </c>
      <c r="E27" s="274">
        <f>D27/'- 3 -'!$D27*100</f>
        <v>0</v>
      </c>
      <c r="F27" s="273">
        <v>250000</v>
      </c>
      <c r="G27" s="274">
        <f>F27/'- 3 -'!$D27*100</f>
        <v>0.5824707795378854</v>
      </c>
    </row>
    <row r="28" spans="1:7" ht="14.1" customHeight="1">
      <c r="A28" s="16" t="s">
        <v>125</v>
      </c>
      <c r="B28" s="17">
        <v>57158</v>
      </c>
      <c r="C28" s="268">
        <f>B28/'- 3 -'!$D28*100</f>
        <v>0.2040726412629468</v>
      </c>
      <c r="D28" s="17">
        <v>2007520</v>
      </c>
      <c r="E28" s="268">
        <f>D28/'- 3 -'!$D28*100</f>
        <v>7.1674990165539549</v>
      </c>
      <c r="F28" s="17">
        <v>13650</v>
      </c>
      <c r="G28" s="268">
        <f>F28/'- 3 -'!$D28*100</f>
        <v>4.8734937423269252E-2</v>
      </c>
    </row>
    <row r="29" spans="1:7" ht="14.1" customHeight="1">
      <c r="A29" s="272" t="s">
        <v>126</v>
      </c>
      <c r="B29" s="273">
        <v>183111</v>
      </c>
      <c r="C29" s="274">
        <f>B29/'- 3 -'!$D29*100</f>
        <v>0.11827346741957105</v>
      </c>
      <c r="D29" s="273">
        <v>2519155</v>
      </c>
      <c r="E29" s="274">
        <f>D29/'- 3 -'!$D29*100</f>
        <v>1.6271507272493158</v>
      </c>
      <c r="F29" s="273">
        <v>70000</v>
      </c>
      <c r="G29" s="274">
        <f>F29/'- 3 -'!$D29*100</f>
        <v>4.521379228648182E-2</v>
      </c>
    </row>
    <row r="30" spans="1:7" ht="14.1" customHeight="1">
      <c r="A30" s="16" t="s">
        <v>127</v>
      </c>
      <c r="B30" s="17">
        <v>60932</v>
      </c>
      <c r="C30" s="268">
        <f>B30/'- 3 -'!$D30*100</f>
        <v>0.43546362847431286</v>
      </c>
      <c r="D30" s="17">
        <v>1130421</v>
      </c>
      <c r="E30" s="268">
        <f>D30/'- 3 -'!$D30*100</f>
        <v>8.0787965332429792</v>
      </c>
      <c r="F30" s="17">
        <v>0</v>
      </c>
      <c r="G30" s="268">
        <f>F30/'- 3 -'!$D30*100</f>
        <v>0</v>
      </c>
    </row>
    <row r="31" spans="1:7" ht="14.1" customHeight="1">
      <c r="A31" s="272" t="s">
        <v>128</v>
      </c>
      <c r="B31" s="273">
        <v>92850</v>
      </c>
      <c r="C31" s="274">
        <f>B31/'- 3 -'!$D31*100</f>
        <v>0.25642411449379521</v>
      </c>
      <c r="D31" s="273">
        <v>995375</v>
      </c>
      <c r="E31" s="274">
        <f>D31/'- 3 -'!$D31*100</f>
        <v>2.7489300265402408</v>
      </c>
      <c r="F31" s="273">
        <v>5000</v>
      </c>
      <c r="G31" s="274">
        <f>F31/'- 3 -'!$D31*100</f>
        <v>1.3808514512320689E-2</v>
      </c>
    </row>
    <row r="32" spans="1:7" ht="14.1" customHeight="1">
      <c r="A32" s="16" t="s">
        <v>129</v>
      </c>
      <c r="B32" s="17">
        <v>88304</v>
      </c>
      <c r="C32" s="268">
        <f>B32/'- 3 -'!$D32*100</f>
        <v>0.30707372620947138</v>
      </c>
      <c r="D32" s="17">
        <v>1977061</v>
      </c>
      <c r="E32" s="268">
        <f>D32/'- 3 -'!$D32*100</f>
        <v>6.8751527474794321</v>
      </c>
      <c r="F32" s="17">
        <v>7000</v>
      </c>
      <c r="G32" s="268">
        <f>F32/'- 3 -'!$D32*100</f>
        <v>2.4342227797906096E-2</v>
      </c>
    </row>
    <row r="33" spans="1:7" ht="14.1" customHeight="1">
      <c r="A33" s="272" t="s">
        <v>130</v>
      </c>
      <c r="B33" s="273">
        <v>108500</v>
      </c>
      <c r="C33" s="274">
        <f>B33/'- 3 -'!$D33*100</f>
        <v>0.39781768583769039</v>
      </c>
      <c r="D33" s="273">
        <v>2207300</v>
      </c>
      <c r="E33" s="274">
        <f>D33/'- 3 -'!$D33*100</f>
        <v>8.0931150041431703</v>
      </c>
      <c r="F33" s="273">
        <v>0</v>
      </c>
      <c r="G33" s="274">
        <f>F33/'- 3 -'!$D33*100</f>
        <v>0</v>
      </c>
    </row>
    <row r="34" spans="1:7" ht="14.1" customHeight="1">
      <c r="A34" s="16" t="s">
        <v>131</v>
      </c>
      <c r="B34" s="17">
        <v>114828</v>
      </c>
      <c r="C34" s="268">
        <f>B34/'- 3 -'!$D34*100</f>
        <v>0.41499880897640384</v>
      </c>
      <c r="D34" s="17">
        <v>2454017</v>
      </c>
      <c r="E34" s="268">
        <f>D34/'- 3 -'!$D34*100</f>
        <v>8.8690400617257783</v>
      </c>
      <c r="F34" s="17">
        <v>0</v>
      </c>
      <c r="G34" s="268">
        <f>F34/'- 3 -'!$D34*100</f>
        <v>0</v>
      </c>
    </row>
    <row r="35" spans="1:7" ht="14.1" customHeight="1">
      <c r="A35" s="272" t="s">
        <v>132</v>
      </c>
      <c r="B35" s="273">
        <v>361100</v>
      </c>
      <c r="C35" s="274">
        <f>B35/'- 3 -'!$D35*100</f>
        <v>0.2049503960446469</v>
      </c>
      <c r="D35" s="273">
        <v>3591000</v>
      </c>
      <c r="E35" s="274">
        <f>D35/'- 3 -'!$D35*100</f>
        <v>2.0381525123132849</v>
      </c>
      <c r="F35" s="273">
        <v>25700</v>
      </c>
      <c r="G35" s="274">
        <f>F35/'- 3 -'!$D35*100</f>
        <v>1.4586610851142138E-2</v>
      </c>
    </row>
    <row r="36" spans="1:7" ht="14.1" customHeight="1">
      <c r="A36" s="16" t="s">
        <v>133</v>
      </c>
      <c r="B36" s="17">
        <v>53190</v>
      </c>
      <c r="C36" s="268">
        <f>B36/'- 3 -'!$D36*100</f>
        <v>0.23123493103817053</v>
      </c>
      <c r="D36" s="17">
        <v>1435060</v>
      </c>
      <c r="E36" s="268">
        <f>D36/'- 3 -'!$D36*100</f>
        <v>6.2386914859115805</v>
      </c>
      <c r="F36" s="17">
        <v>6000</v>
      </c>
      <c r="G36" s="268">
        <f>F36/'- 3 -'!$D36*100</f>
        <v>2.6084030573961702E-2</v>
      </c>
    </row>
    <row r="37" spans="1:7" ht="14.1" customHeight="1">
      <c r="A37" s="272" t="s">
        <v>134</v>
      </c>
      <c r="B37" s="273">
        <v>186498</v>
      </c>
      <c r="C37" s="274">
        <f>B37/'- 3 -'!$D37*100</f>
        <v>0.39873856153254084</v>
      </c>
      <c r="D37" s="273">
        <v>2763204</v>
      </c>
      <c r="E37" s="274">
        <f>D37/'- 3 -'!$D37*100</f>
        <v>5.9078166424356455</v>
      </c>
      <c r="F37" s="273">
        <v>2000</v>
      </c>
      <c r="G37" s="274">
        <f>F37/'- 3 -'!$D37*100</f>
        <v>4.2760626015564867E-3</v>
      </c>
    </row>
    <row r="38" spans="1:7" ht="14.1" customHeight="1">
      <c r="A38" s="16" t="s">
        <v>135</v>
      </c>
      <c r="B38" s="17">
        <v>292050</v>
      </c>
      <c r="C38" s="268">
        <f>B38/'- 3 -'!$D38*100</f>
        <v>0.22610904395684461</v>
      </c>
      <c r="D38" s="17">
        <v>2906655</v>
      </c>
      <c r="E38" s="268">
        <f>D38/'- 3 -'!$D38*100</f>
        <v>2.2503714540742412</v>
      </c>
      <c r="F38" s="17">
        <v>190000</v>
      </c>
      <c r="G38" s="268">
        <f>F38/'- 3 -'!$D38*100</f>
        <v>0.14710055932819888</v>
      </c>
    </row>
    <row r="39" spans="1:7" ht="14.1" customHeight="1">
      <c r="A39" s="272" t="s">
        <v>136</v>
      </c>
      <c r="B39" s="273">
        <v>89300</v>
      </c>
      <c r="C39" s="274">
        <f>B39/'- 3 -'!$D39*100</f>
        <v>0.40718933118354383</v>
      </c>
      <c r="D39" s="273">
        <v>2038640</v>
      </c>
      <c r="E39" s="274">
        <f>D39/'- 3 -'!$D39*100</f>
        <v>9.2957722074358333</v>
      </c>
      <c r="F39" s="273">
        <v>1000</v>
      </c>
      <c r="G39" s="274">
        <f>F39/'- 3 -'!$D39*100</f>
        <v>4.5597909427048588E-3</v>
      </c>
    </row>
    <row r="40" spans="1:7" ht="14.1" customHeight="1">
      <c r="A40" s="16" t="s">
        <v>137</v>
      </c>
      <c r="B40" s="17">
        <v>145070</v>
      </c>
      <c r="C40" s="268">
        <f>B40/'- 3 -'!$D40*100</f>
        <v>0.14214379096187324</v>
      </c>
      <c r="D40" s="17">
        <v>1855560</v>
      </c>
      <c r="E40" s="268">
        <f>D40/'- 3 -'!$D40*100</f>
        <v>1.8181314727870233</v>
      </c>
      <c r="F40" s="17">
        <v>5000</v>
      </c>
      <c r="G40" s="268">
        <f>F40/'- 3 -'!$D40*100</f>
        <v>4.8991449287196951E-3</v>
      </c>
    </row>
    <row r="41" spans="1:7" ht="14.1" customHeight="1">
      <c r="A41" s="272" t="s">
        <v>138</v>
      </c>
      <c r="B41" s="273">
        <v>327305</v>
      </c>
      <c r="C41" s="274">
        <f>B41/'- 3 -'!$D41*100</f>
        <v>0.52582728413601543</v>
      </c>
      <c r="D41" s="273">
        <v>4580326</v>
      </c>
      <c r="E41" s="274">
        <f>D41/'- 3 -'!$D41*100</f>
        <v>7.3584588718094119</v>
      </c>
      <c r="F41" s="273">
        <v>8000</v>
      </c>
      <c r="G41" s="274">
        <f>F41/'- 3 -'!$D41*100</f>
        <v>1.2852288455990969E-2</v>
      </c>
    </row>
    <row r="42" spans="1:7" ht="14.1" customHeight="1">
      <c r="A42" s="16" t="s">
        <v>139</v>
      </c>
      <c r="B42" s="17">
        <v>106501</v>
      </c>
      <c r="C42" s="268">
        <f>B42/'- 3 -'!$D42*100</f>
        <v>0.51665049460694712</v>
      </c>
      <c r="D42" s="17">
        <v>1661971</v>
      </c>
      <c r="E42" s="268">
        <f>D42/'- 3 -'!$D42*100</f>
        <v>8.0624420350269244</v>
      </c>
      <c r="F42" s="17">
        <v>0</v>
      </c>
      <c r="G42" s="268">
        <f>F42/'- 3 -'!$D42*100</f>
        <v>0</v>
      </c>
    </row>
    <row r="43" spans="1:7" ht="14.1" customHeight="1">
      <c r="A43" s="272" t="s">
        <v>140</v>
      </c>
      <c r="B43" s="273">
        <v>10909</v>
      </c>
      <c r="C43" s="274">
        <f>B43/'- 3 -'!$D43*100</f>
        <v>8.4998540633728054E-2</v>
      </c>
      <c r="D43" s="273">
        <v>1159323</v>
      </c>
      <c r="E43" s="274">
        <f>D43/'- 3 -'!$D43*100</f>
        <v>9.0329785611069298</v>
      </c>
      <c r="F43" s="273">
        <v>15000</v>
      </c>
      <c r="G43" s="274">
        <f>F43/'- 3 -'!$D43*100</f>
        <v>0.11687396732110375</v>
      </c>
    </row>
    <row r="44" spans="1:7" ht="14.1" customHeight="1">
      <c r="A44" s="16" t="s">
        <v>141</v>
      </c>
      <c r="B44" s="17">
        <v>31534</v>
      </c>
      <c r="C44" s="268">
        <f>B44/'- 3 -'!$D44*100</f>
        <v>0.28726985684333844</v>
      </c>
      <c r="D44" s="17">
        <v>1040385</v>
      </c>
      <c r="E44" s="268">
        <f>D44/'- 3 -'!$D44*100</f>
        <v>9.4777462425304968</v>
      </c>
      <c r="F44" s="17">
        <v>3500</v>
      </c>
      <c r="G44" s="268">
        <f>F44/'- 3 -'!$D44*100</f>
        <v>3.1884458012040484E-2</v>
      </c>
    </row>
    <row r="45" spans="1:7" ht="14.1" customHeight="1">
      <c r="A45" s="272" t="s">
        <v>142</v>
      </c>
      <c r="B45" s="273">
        <v>47462</v>
      </c>
      <c r="C45" s="274">
        <f>B45/'- 3 -'!$D45*100</f>
        <v>0.25917000508270699</v>
      </c>
      <c r="D45" s="273">
        <v>676813</v>
      </c>
      <c r="E45" s="274">
        <f>D45/'- 3 -'!$D45*100</f>
        <v>3.6957909201053933</v>
      </c>
      <c r="F45" s="273">
        <v>18000</v>
      </c>
      <c r="G45" s="274">
        <f>F45/'- 3 -'!$D45*100</f>
        <v>9.8290423738753671E-2</v>
      </c>
    </row>
    <row r="46" spans="1:7" ht="14.1" customHeight="1">
      <c r="A46" s="16" t="s">
        <v>143</v>
      </c>
      <c r="B46" s="17">
        <v>550900</v>
      </c>
      <c r="C46" s="268">
        <f>B46/'- 3 -'!$D46*100</f>
        <v>0.1438529561142729</v>
      </c>
      <c r="D46" s="17">
        <v>4536400</v>
      </c>
      <c r="E46" s="268">
        <f>D46/'- 3 -'!$D46*100</f>
        <v>1.1845608097963105</v>
      </c>
      <c r="F46" s="17">
        <v>0</v>
      </c>
      <c r="G46" s="268">
        <f>F46/'- 3 -'!$D46*100</f>
        <v>0</v>
      </c>
    </row>
    <row r="47" spans="1:7" ht="5.0999999999999996" customHeight="1">
      <c r="A47"/>
      <c r="B47"/>
      <c r="C47"/>
      <c r="D47"/>
      <c r="E47"/>
      <c r="F47"/>
      <c r="G47"/>
    </row>
    <row r="48" spans="1:7" ht="14.1" customHeight="1">
      <c r="A48" s="275" t="s">
        <v>144</v>
      </c>
      <c r="B48" s="276">
        <f>SUM(B11:B46)</f>
        <v>5340991</v>
      </c>
      <c r="C48" s="277">
        <f>B48/'- 3 -'!$D48*100</f>
        <v>0.23928146953652615</v>
      </c>
      <c r="D48" s="276">
        <f>SUM(D11:D46)</f>
        <v>82982409</v>
      </c>
      <c r="E48" s="277">
        <f>D48/'- 3 -'!$D48*100</f>
        <v>3.7176907377677759</v>
      </c>
      <c r="F48" s="276">
        <f>SUM(F11:F46)</f>
        <v>1143342</v>
      </c>
      <c r="G48" s="277">
        <f>F48/'- 3 -'!$D48*100</f>
        <v>5.1222807516962843E-2</v>
      </c>
    </row>
    <row r="49" spans="1:7" ht="5.0999999999999996" customHeight="1">
      <c r="A49" s="18" t="s">
        <v>1</v>
      </c>
      <c r="B49" s="19"/>
      <c r="C49" s="267"/>
      <c r="D49" s="19"/>
      <c r="E49" s="267"/>
      <c r="F49" s="19"/>
      <c r="G49" s="267"/>
    </row>
    <row r="50" spans="1:7" ht="14.1" customHeight="1">
      <c r="A50" s="16" t="s">
        <v>145</v>
      </c>
      <c r="B50" s="17">
        <v>0</v>
      </c>
      <c r="C50" s="268">
        <f>B50/'- 3 -'!$D50*100</f>
        <v>0</v>
      </c>
      <c r="D50" s="17">
        <v>0</v>
      </c>
      <c r="E50" s="268">
        <f>D50/'- 3 -'!$D50*100</f>
        <v>0</v>
      </c>
      <c r="F50" s="17">
        <v>12000</v>
      </c>
      <c r="G50" s="268">
        <f>F50/'- 3 -'!$D50*100</f>
        <v>0.35739981803881765</v>
      </c>
    </row>
    <row r="51" spans="1:7" ht="14.1" customHeight="1">
      <c r="A51" s="364" t="s">
        <v>540</v>
      </c>
      <c r="B51" s="273">
        <v>0</v>
      </c>
      <c r="C51" s="274">
        <f>B51/'- 3 -'!$D51*100</f>
        <v>0</v>
      </c>
      <c r="D51" s="273">
        <v>0</v>
      </c>
      <c r="E51" s="274">
        <f>D51/'- 3 -'!$D51*100</f>
        <v>0</v>
      </c>
      <c r="F51" s="273">
        <v>0</v>
      </c>
      <c r="G51" s="274">
        <f>F51/'- 3 -'!$D51*100</f>
        <v>0</v>
      </c>
    </row>
    <row r="52" spans="1:7" ht="50.1" customHeight="1"/>
    <row r="53" spans="1:7" ht="15" customHeight="1">
      <c r="D53" s="73"/>
      <c r="E53" s="73"/>
    </row>
    <row r="54" spans="1:7" ht="14.45" customHeight="1">
      <c r="D54" s="73"/>
      <c r="E54" s="73"/>
    </row>
    <row r="55" spans="1:7" ht="14.45" customHeight="1">
      <c r="D55" s="73"/>
      <c r="E55" s="73"/>
    </row>
    <row r="56" spans="1:7" ht="14.45" customHeight="1">
      <c r="D56" s="73"/>
      <c r="E56" s="73"/>
    </row>
    <row r="57" spans="1:7" ht="14.45" customHeight="1"/>
    <row r="58" spans="1:7" ht="14.45" customHeight="1"/>
    <row r="59" spans="1:7" ht="14.45" customHeight="1"/>
    <row r="60" spans="1:7" ht="12" customHeight="1"/>
    <row r="61" spans="1:7" ht="12" customHeight="1"/>
    <row r="62" spans="1:7" ht="12" customHeight="1"/>
    <row r="63" spans="1:7" ht="12" customHeight="1"/>
    <row r="64" spans="1:7" ht="12" customHeight="1"/>
    <row r="65" ht="12" customHeight="1"/>
    <row r="66" ht="12" customHeight="1"/>
  </sheetData>
  <mergeCells count="4">
    <mergeCell ref="B6:G6"/>
    <mergeCell ref="B8:C8"/>
    <mergeCell ref="D8:E8"/>
    <mergeCell ref="F7: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2" style="1" customWidth="1"/>
    <col min="4" max="4" width="19.83203125" style="1" customWidth="1"/>
    <col min="5" max="5" width="12.1640625" style="1" customWidth="1"/>
    <col min="6" max="6" width="25.83203125" style="1" customWidth="1"/>
    <col min="7" max="16384" width="15.83203125" style="1"/>
  </cols>
  <sheetData>
    <row r="1" spans="1:6" ht="6.95" customHeight="1">
      <c r="A1" s="3"/>
      <c r="B1" s="4"/>
      <c r="C1" s="4"/>
      <c r="D1" s="4"/>
      <c r="E1" s="4"/>
      <c r="F1" s="4"/>
    </row>
    <row r="2" spans="1:6" ht="15.95" customHeight="1">
      <c r="A2" s="133"/>
      <c r="B2" s="5" t="str">
        <f>AEXP_BP</f>
        <v>ANALYSIS OF EXPENSE BY PROGRAM</v>
      </c>
      <c r="C2" s="6"/>
      <c r="D2" s="6"/>
      <c r="E2" s="6"/>
      <c r="F2" s="510" t="s">
        <v>572</v>
      </c>
    </row>
    <row r="3" spans="1:6" ht="15.95" customHeight="1">
      <c r="A3" s="136"/>
      <c r="B3" s="7" t="str">
        <f>OPYEAR</f>
        <v>OPERATING FUND 2015/2016 BUDGET</v>
      </c>
      <c r="C3" s="8"/>
      <c r="D3" s="8"/>
      <c r="E3" s="8"/>
      <c r="F3" s="82"/>
    </row>
    <row r="4" spans="1:6" ht="15.95" customHeight="1">
      <c r="B4" s="4"/>
      <c r="C4" s="4"/>
      <c r="D4" s="4"/>
      <c r="E4" s="4"/>
      <c r="F4" s="4"/>
    </row>
    <row r="5" spans="1:6" ht="15.95" customHeight="1">
      <c r="B5" s="4"/>
      <c r="C5" s="4"/>
      <c r="D5" s="4"/>
      <c r="E5" s="4"/>
      <c r="F5" s="4"/>
    </row>
    <row r="6" spans="1:6" ht="15.95" customHeight="1">
      <c r="B6" s="666" t="s">
        <v>239</v>
      </c>
      <c r="C6" s="667"/>
      <c r="D6" s="656"/>
      <c r="E6" s="657"/>
      <c r="F6" s="56"/>
    </row>
    <row r="7" spans="1:6" ht="15.95" customHeight="1">
      <c r="B7" s="678" t="s">
        <v>442</v>
      </c>
      <c r="C7" s="679"/>
      <c r="D7" s="661" t="s">
        <v>443</v>
      </c>
      <c r="E7" s="600"/>
      <c r="F7" s="4"/>
    </row>
    <row r="8" spans="1:6" ht="15.95" customHeight="1">
      <c r="A8" s="250"/>
      <c r="B8" s="680"/>
      <c r="C8" s="681"/>
      <c r="D8" s="616"/>
      <c r="E8" s="602"/>
      <c r="F8" s="4"/>
    </row>
    <row r="9" spans="1:6" ht="15.95" customHeight="1">
      <c r="A9" s="28" t="s">
        <v>37</v>
      </c>
      <c r="B9" s="90" t="s">
        <v>38</v>
      </c>
      <c r="C9" s="90" t="s">
        <v>39</v>
      </c>
      <c r="D9" s="152" t="s">
        <v>38</v>
      </c>
      <c r="E9" s="152" t="s">
        <v>39</v>
      </c>
    </row>
    <row r="10" spans="1:6" ht="5.0999999999999996" customHeight="1">
      <c r="A10" s="30"/>
    </row>
    <row r="11" spans="1:6" ht="14.1" customHeight="1">
      <c r="A11" s="272" t="s">
        <v>109</v>
      </c>
      <c r="B11" s="273">
        <v>0</v>
      </c>
      <c r="C11" s="274">
        <f>B11/'- 3 -'!$D11*100</f>
        <v>0</v>
      </c>
      <c r="D11" s="273">
        <v>134000</v>
      </c>
      <c r="E11" s="274">
        <f>D11/'- 3 -'!$D11*100</f>
        <v>0.72796889073838866</v>
      </c>
    </row>
    <row r="12" spans="1:6" ht="14.1" customHeight="1">
      <c r="A12" s="16" t="s">
        <v>110</v>
      </c>
      <c r="B12" s="17">
        <v>0</v>
      </c>
      <c r="C12" s="268">
        <f>B12/'- 3 -'!$D12*100</f>
        <v>0</v>
      </c>
      <c r="D12" s="17">
        <v>251000</v>
      </c>
      <c r="E12" s="268">
        <f>D12/'- 3 -'!$D12*100</f>
        <v>0.78273202102748762</v>
      </c>
    </row>
    <row r="13" spans="1:6" ht="14.1" customHeight="1">
      <c r="A13" s="272" t="s">
        <v>111</v>
      </c>
      <c r="B13" s="273">
        <v>0</v>
      </c>
      <c r="C13" s="274">
        <f>B13/'- 3 -'!$D13*100</f>
        <v>0</v>
      </c>
      <c r="D13" s="273">
        <v>70300</v>
      </c>
      <c r="E13" s="274">
        <f>D13/'- 3 -'!$D13*100</f>
        <v>7.5682379462622809E-2</v>
      </c>
    </row>
    <row r="14" spans="1:6" ht="14.1" customHeight="1">
      <c r="A14" s="16" t="s">
        <v>324</v>
      </c>
      <c r="B14" s="17">
        <v>5006</v>
      </c>
      <c r="C14" s="268">
        <f>B14/'- 3 -'!$D14*100</f>
        <v>6.0362450591055225E-3</v>
      </c>
      <c r="D14" s="17">
        <v>151640</v>
      </c>
      <c r="E14" s="268">
        <f>D14/'- 3 -'!$D14*100</f>
        <v>0.18284782276523401</v>
      </c>
    </row>
    <row r="15" spans="1:6" ht="14.1" customHeight="1">
      <c r="A15" s="272" t="s">
        <v>112</v>
      </c>
      <c r="B15" s="273">
        <v>0</v>
      </c>
      <c r="C15" s="274">
        <f>B15/'- 3 -'!$D15*100</f>
        <v>0</v>
      </c>
      <c r="D15" s="273">
        <v>24000</v>
      </c>
      <c r="E15" s="274">
        <f>D15/'- 3 -'!$D15*100</f>
        <v>0.11930192269464072</v>
      </c>
    </row>
    <row r="16" spans="1:6" ht="14.1" customHeight="1">
      <c r="A16" s="16" t="s">
        <v>113</v>
      </c>
      <c r="B16" s="17">
        <v>0</v>
      </c>
      <c r="C16" s="268">
        <f>B16/'- 3 -'!$D16*100</f>
        <v>0</v>
      </c>
      <c r="D16" s="17">
        <v>196852</v>
      </c>
      <c r="E16" s="268">
        <f>D16/'- 3 -'!$D16*100</f>
        <v>1.3993216930760333</v>
      </c>
    </row>
    <row r="17" spans="1:5" ht="14.1" customHeight="1">
      <c r="A17" s="272" t="s">
        <v>114</v>
      </c>
      <c r="B17" s="273">
        <v>0</v>
      </c>
      <c r="C17" s="274">
        <f>B17/'- 3 -'!$D17*100</f>
        <v>0</v>
      </c>
      <c r="D17" s="273">
        <v>21750</v>
      </c>
      <c r="E17" s="274">
        <f>D17/'- 3 -'!$D17*100</f>
        <v>0.12363107010791145</v>
      </c>
    </row>
    <row r="18" spans="1:5" ht="14.1" customHeight="1">
      <c r="A18" s="16" t="s">
        <v>115</v>
      </c>
      <c r="B18" s="17">
        <v>2878960</v>
      </c>
      <c r="C18" s="268">
        <f>B18/'- 3 -'!$D18*100</f>
        <v>2.2490135352889618</v>
      </c>
      <c r="D18" s="17">
        <v>798574</v>
      </c>
      <c r="E18" s="268">
        <f>D18/'- 3 -'!$D18*100</f>
        <v>0.62383768268049822</v>
      </c>
    </row>
    <row r="19" spans="1:5" ht="14.1" customHeight="1">
      <c r="A19" s="272" t="s">
        <v>116</v>
      </c>
      <c r="B19" s="273">
        <v>4800</v>
      </c>
      <c r="C19" s="274">
        <f>B19/'- 3 -'!$D19*100</f>
        <v>1.0680095106246922E-2</v>
      </c>
      <c r="D19" s="273">
        <v>140000</v>
      </c>
      <c r="E19" s="274">
        <f>D19/'- 3 -'!$D19*100</f>
        <v>0.31150277393220188</v>
      </c>
    </row>
    <row r="20" spans="1:5" ht="14.1" customHeight="1">
      <c r="A20" s="16" t="s">
        <v>117</v>
      </c>
      <c r="B20" s="17">
        <v>0</v>
      </c>
      <c r="C20" s="268">
        <f>B20/'- 3 -'!$D20*100</f>
        <v>0</v>
      </c>
      <c r="D20" s="17">
        <v>188200</v>
      </c>
      <c r="E20" s="268">
        <f>D20/'- 3 -'!$D20*100</f>
        <v>0.23887250148502034</v>
      </c>
    </row>
    <row r="21" spans="1:5" ht="14.1" customHeight="1">
      <c r="A21" s="272" t="s">
        <v>118</v>
      </c>
      <c r="B21" s="273">
        <v>0</v>
      </c>
      <c r="C21" s="274">
        <f>B21/'- 3 -'!$D21*100</f>
        <v>0</v>
      </c>
      <c r="D21" s="273">
        <v>140000</v>
      </c>
      <c r="E21" s="274">
        <f>D21/'- 3 -'!$D21*100</f>
        <v>0.39432195537047215</v>
      </c>
    </row>
    <row r="22" spans="1:5" ht="14.1" customHeight="1">
      <c r="A22" s="16" t="s">
        <v>119</v>
      </c>
      <c r="B22" s="17">
        <v>0</v>
      </c>
      <c r="C22" s="268">
        <f>B22/'- 3 -'!$D22*100</f>
        <v>0</v>
      </c>
      <c r="D22" s="17">
        <v>57138</v>
      </c>
      <c r="E22" s="268">
        <f>D22/'- 3 -'!$D22*100</f>
        <v>0.27696492625877911</v>
      </c>
    </row>
    <row r="23" spans="1:5" ht="14.1" customHeight="1">
      <c r="A23" s="272" t="s">
        <v>120</v>
      </c>
      <c r="B23" s="273">
        <v>0</v>
      </c>
      <c r="C23" s="274">
        <f>B23/'- 3 -'!$D23*100</f>
        <v>0</v>
      </c>
      <c r="D23" s="273">
        <v>20000</v>
      </c>
      <c r="E23" s="274">
        <f>D23/'- 3 -'!$D23*100</f>
        <v>0.1212106593381086</v>
      </c>
    </row>
    <row r="24" spans="1:5" ht="14.1" customHeight="1">
      <c r="A24" s="16" t="s">
        <v>121</v>
      </c>
      <c r="B24" s="17">
        <v>0</v>
      </c>
      <c r="C24" s="268">
        <f>B24/'- 3 -'!$D24*100</f>
        <v>0</v>
      </c>
      <c r="D24" s="17">
        <v>86000</v>
      </c>
      <c r="E24" s="268">
        <f>D24/'- 3 -'!$D24*100</f>
        <v>0.15382607940520107</v>
      </c>
    </row>
    <row r="25" spans="1:5" ht="14.1" customHeight="1">
      <c r="A25" s="272" t="s">
        <v>122</v>
      </c>
      <c r="B25" s="273">
        <v>0</v>
      </c>
      <c r="C25" s="274">
        <f>B25/'- 3 -'!$D25*100</f>
        <v>0</v>
      </c>
      <c r="D25" s="273">
        <v>47500</v>
      </c>
      <c r="E25" s="274">
        <f>D25/'- 3 -'!$D25*100</f>
        <v>2.8418892707563755E-2</v>
      </c>
    </row>
    <row r="26" spans="1:5" ht="14.1" customHeight="1">
      <c r="A26" s="16" t="s">
        <v>123</v>
      </c>
      <c r="B26" s="17">
        <v>0</v>
      </c>
      <c r="C26" s="268">
        <f>B26/'- 3 -'!$D26*100</f>
        <v>0</v>
      </c>
      <c r="D26" s="17">
        <v>204315</v>
      </c>
      <c r="E26" s="268">
        <f>D26/'- 3 -'!$D26*100</f>
        <v>0.51223365084891792</v>
      </c>
    </row>
    <row r="27" spans="1:5" ht="14.1" customHeight="1">
      <c r="A27" s="272" t="s">
        <v>124</v>
      </c>
      <c r="B27" s="273">
        <v>0</v>
      </c>
      <c r="C27" s="274">
        <f>B27/'- 3 -'!$D27*100</f>
        <v>0</v>
      </c>
      <c r="D27" s="273">
        <v>115000</v>
      </c>
      <c r="E27" s="274">
        <f>D27/'- 3 -'!$D27*100</f>
        <v>0.26793655858742726</v>
      </c>
    </row>
    <row r="28" spans="1:5" ht="14.1" customHeight="1">
      <c r="A28" s="16" t="s">
        <v>125</v>
      </c>
      <c r="B28" s="17">
        <v>0</v>
      </c>
      <c r="C28" s="268">
        <f>B28/'- 3 -'!$D28*100</f>
        <v>0</v>
      </c>
      <c r="D28" s="17">
        <v>149437</v>
      </c>
      <c r="E28" s="268">
        <f>D28/'- 3 -'!$D28*100</f>
        <v>0.53353866986967668</v>
      </c>
    </row>
    <row r="29" spans="1:5" ht="14.1" customHeight="1">
      <c r="A29" s="272" t="s">
        <v>126</v>
      </c>
      <c r="B29" s="273">
        <v>0</v>
      </c>
      <c r="C29" s="274">
        <f>B29/'- 3 -'!$D29*100</f>
        <v>0</v>
      </c>
      <c r="D29" s="273">
        <v>90000</v>
      </c>
      <c r="E29" s="274">
        <f>D29/'- 3 -'!$D29*100</f>
        <v>5.8132018654048059E-2</v>
      </c>
    </row>
    <row r="30" spans="1:5" ht="14.1" customHeight="1">
      <c r="A30" s="16" t="s">
        <v>127</v>
      </c>
      <c r="B30" s="17">
        <v>0</v>
      </c>
      <c r="C30" s="268">
        <f>B30/'- 3 -'!$D30*100</f>
        <v>0</v>
      </c>
      <c r="D30" s="17">
        <v>51115</v>
      </c>
      <c r="E30" s="268">
        <f>D30/'- 3 -'!$D30*100</f>
        <v>0.36530432891525805</v>
      </c>
    </row>
    <row r="31" spans="1:5" ht="14.1" customHeight="1">
      <c r="A31" s="272" t="s">
        <v>128</v>
      </c>
      <c r="B31" s="273">
        <v>0</v>
      </c>
      <c r="C31" s="274">
        <f>B31/'- 3 -'!$D31*100</f>
        <v>0</v>
      </c>
      <c r="D31" s="273">
        <v>34800</v>
      </c>
      <c r="E31" s="274">
        <f>D31/'- 3 -'!$D31*100</f>
        <v>9.6107261005751995E-2</v>
      </c>
    </row>
    <row r="32" spans="1:5" ht="14.1" customHeight="1">
      <c r="A32" s="16" t="s">
        <v>129</v>
      </c>
      <c r="B32" s="17">
        <v>0</v>
      </c>
      <c r="C32" s="268">
        <f>B32/'- 3 -'!$D32*100</f>
        <v>0</v>
      </c>
      <c r="D32" s="17">
        <v>60538</v>
      </c>
      <c r="E32" s="268">
        <f>D32/'- 3 -'!$D32*100</f>
        <v>0.2105185409185199</v>
      </c>
    </row>
    <row r="33" spans="1:5" ht="14.1" customHeight="1">
      <c r="A33" s="272" t="s">
        <v>130</v>
      </c>
      <c r="B33" s="273">
        <v>0</v>
      </c>
      <c r="C33" s="274">
        <f>B33/'- 3 -'!$D33*100</f>
        <v>0</v>
      </c>
      <c r="D33" s="273">
        <v>80000</v>
      </c>
      <c r="E33" s="274">
        <f>D33/'- 3 -'!$D33*100</f>
        <v>0.29332179600935698</v>
      </c>
    </row>
    <row r="34" spans="1:5" ht="14.1" customHeight="1">
      <c r="A34" s="16" t="s">
        <v>131</v>
      </c>
      <c r="B34" s="17">
        <v>0</v>
      </c>
      <c r="C34" s="268">
        <f>B34/'- 3 -'!$D34*100</f>
        <v>0</v>
      </c>
      <c r="D34" s="17">
        <v>232704</v>
      </c>
      <c r="E34" s="268">
        <f>D34/'- 3 -'!$D34*100</f>
        <v>0.84101336646153457</v>
      </c>
    </row>
    <row r="35" spans="1:5" ht="14.1" customHeight="1">
      <c r="A35" s="272" t="s">
        <v>132</v>
      </c>
      <c r="B35" s="273">
        <v>0</v>
      </c>
      <c r="C35" s="274">
        <f>B35/'- 3 -'!$D35*100</f>
        <v>0</v>
      </c>
      <c r="D35" s="273">
        <v>172250</v>
      </c>
      <c r="E35" s="274">
        <f>D35/'- 3 -'!$D35*100</f>
        <v>9.7764347047051864E-2</v>
      </c>
    </row>
    <row r="36" spans="1:5" ht="14.1" customHeight="1">
      <c r="A36" s="16" t="s">
        <v>133</v>
      </c>
      <c r="B36" s="17">
        <v>0</v>
      </c>
      <c r="C36" s="268">
        <f>B36/'- 3 -'!$D36*100</f>
        <v>0</v>
      </c>
      <c r="D36" s="17">
        <v>103000</v>
      </c>
      <c r="E36" s="268">
        <f>D36/'- 3 -'!$D36*100</f>
        <v>0.44777585818634258</v>
      </c>
    </row>
    <row r="37" spans="1:5" ht="14.1" customHeight="1">
      <c r="A37" s="272" t="s">
        <v>134</v>
      </c>
      <c r="B37" s="273">
        <v>0</v>
      </c>
      <c r="C37" s="274">
        <f>B37/'- 3 -'!$D37*100</f>
        <v>0</v>
      </c>
      <c r="D37" s="273">
        <v>76737</v>
      </c>
      <c r="E37" s="274">
        <f>D37/'- 3 -'!$D37*100</f>
        <v>0.16406610792782006</v>
      </c>
    </row>
    <row r="38" spans="1:5" ht="14.1" customHeight="1">
      <c r="A38" s="16" t="s">
        <v>135</v>
      </c>
      <c r="B38" s="17">
        <v>0</v>
      </c>
      <c r="C38" s="268">
        <f>B38/'- 3 -'!$D38*100</f>
        <v>0</v>
      </c>
      <c r="D38" s="17">
        <v>283000</v>
      </c>
      <c r="E38" s="268">
        <f>D38/'- 3 -'!$D38*100</f>
        <v>0.21910241205200148</v>
      </c>
    </row>
    <row r="39" spans="1:5" ht="14.1" customHeight="1">
      <c r="A39" s="272" t="s">
        <v>136</v>
      </c>
      <c r="B39" s="273">
        <v>0</v>
      </c>
      <c r="C39" s="274">
        <f>B39/'- 3 -'!$D39*100</f>
        <v>0</v>
      </c>
      <c r="D39" s="273">
        <v>16400</v>
      </c>
      <c r="E39" s="274">
        <f>D39/'- 3 -'!$D39*100</f>
        <v>7.4780571460359685E-2</v>
      </c>
    </row>
    <row r="40" spans="1:5" ht="14.1" customHeight="1">
      <c r="A40" s="16" t="s">
        <v>137</v>
      </c>
      <c r="B40" s="17">
        <v>0</v>
      </c>
      <c r="C40" s="268">
        <f>B40/'- 3 -'!$D40*100</f>
        <v>0</v>
      </c>
      <c r="D40" s="17">
        <v>77105</v>
      </c>
      <c r="E40" s="268">
        <f>D40/'- 3 -'!$D40*100</f>
        <v>7.5549713945786412E-2</v>
      </c>
    </row>
    <row r="41" spans="1:5" ht="14.1" customHeight="1">
      <c r="A41" s="272" t="s">
        <v>138</v>
      </c>
      <c r="B41" s="273">
        <v>0</v>
      </c>
      <c r="C41" s="274">
        <f>B41/'- 3 -'!$D41*100</f>
        <v>0</v>
      </c>
      <c r="D41" s="273">
        <v>150849</v>
      </c>
      <c r="E41" s="274">
        <f>D41/'- 3 -'!$D41*100</f>
        <v>0.2423443576622227</v>
      </c>
    </row>
    <row r="42" spans="1:5" ht="14.1" customHeight="1">
      <c r="A42" s="16" t="s">
        <v>139</v>
      </c>
      <c r="B42" s="17">
        <v>0</v>
      </c>
      <c r="C42" s="268">
        <f>B42/'- 3 -'!$D42*100</f>
        <v>0</v>
      </c>
      <c r="D42" s="17">
        <v>53249</v>
      </c>
      <c r="E42" s="268">
        <f>D42/'- 3 -'!$D42*100</f>
        <v>0.2583179706042697</v>
      </c>
    </row>
    <row r="43" spans="1:5" ht="14.1" customHeight="1">
      <c r="A43" s="272" t="s">
        <v>140</v>
      </c>
      <c r="B43" s="273">
        <v>0</v>
      </c>
      <c r="C43" s="274">
        <f>B43/'- 3 -'!$D43*100</f>
        <v>0</v>
      </c>
      <c r="D43" s="273">
        <v>43305</v>
      </c>
      <c r="E43" s="274">
        <f>D43/'- 3 -'!$D43*100</f>
        <v>0.33741514365602648</v>
      </c>
    </row>
    <row r="44" spans="1:5" ht="14.1" customHeight="1">
      <c r="A44" s="16" t="s">
        <v>141</v>
      </c>
      <c r="B44" s="17">
        <v>0</v>
      </c>
      <c r="C44" s="268">
        <f>B44/'- 3 -'!$D44*100</f>
        <v>0</v>
      </c>
      <c r="D44" s="17">
        <v>41954</v>
      </c>
      <c r="E44" s="268">
        <f>D44/'- 3 -'!$D44*100</f>
        <v>0.38219444326775609</v>
      </c>
    </row>
    <row r="45" spans="1:5" ht="14.1" customHeight="1">
      <c r="A45" s="272" t="s">
        <v>142</v>
      </c>
      <c r="B45" s="273">
        <v>0</v>
      </c>
      <c r="C45" s="274">
        <f>B45/'- 3 -'!$D45*100</f>
        <v>0</v>
      </c>
      <c r="D45" s="273">
        <v>34658</v>
      </c>
      <c r="E45" s="274">
        <f>D45/'- 3 -'!$D45*100</f>
        <v>0.18925275032987357</v>
      </c>
    </row>
    <row r="46" spans="1:5" ht="14.1" customHeight="1">
      <c r="A46" s="16" t="s">
        <v>143</v>
      </c>
      <c r="B46" s="17">
        <v>0</v>
      </c>
      <c r="C46" s="268">
        <f>B46/'- 3 -'!$D46*100</f>
        <v>0</v>
      </c>
      <c r="D46" s="17">
        <v>403300</v>
      </c>
      <c r="E46" s="268">
        <f>D46/'- 3 -'!$D46*100</f>
        <v>0.1053111221653408</v>
      </c>
    </row>
    <row r="47" spans="1:5" ht="5.0999999999999996" customHeight="1">
      <c r="A47"/>
      <c r="B47"/>
      <c r="C47"/>
      <c r="D47"/>
      <c r="E47"/>
    </row>
    <row r="48" spans="1:5" ht="14.1" customHeight="1">
      <c r="A48" s="275" t="s">
        <v>144</v>
      </c>
      <c r="B48" s="276">
        <f>SUM(B11:B46)</f>
        <v>2888766</v>
      </c>
      <c r="C48" s="277">
        <f>B48/'- 3 -'!$D48*100</f>
        <v>0.1294194604759964</v>
      </c>
      <c r="D48" s="276">
        <f>SUM(D11:D46)</f>
        <v>4800670</v>
      </c>
      <c r="E48" s="277">
        <f>D48/'- 3 -'!$D48*100</f>
        <v>0.2150745755534722</v>
      </c>
    </row>
    <row r="49" spans="1:5" ht="5.0999999999999996" customHeight="1">
      <c r="A49" s="18" t="s">
        <v>1</v>
      </c>
      <c r="B49" s="19"/>
      <c r="C49" s="267"/>
      <c r="D49" s="19"/>
      <c r="E49" s="267"/>
    </row>
    <row r="50" spans="1:5" ht="14.1" customHeight="1">
      <c r="A50" s="16" t="s">
        <v>145</v>
      </c>
      <c r="B50" s="17">
        <v>0</v>
      </c>
      <c r="C50" s="268">
        <f>B50/'- 3 -'!$D50*100</f>
        <v>0</v>
      </c>
      <c r="D50" s="17">
        <v>34806</v>
      </c>
      <c r="E50" s="268">
        <f>D50/'- 3 -'!$D50*100</f>
        <v>1.0366381722215907</v>
      </c>
    </row>
    <row r="51" spans="1:5" ht="14.1" customHeight="1">
      <c r="A51" s="364" t="s">
        <v>540</v>
      </c>
      <c r="B51" s="273">
        <v>0</v>
      </c>
      <c r="C51" s="274">
        <f>B51/'- 3 -'!$D51*100</f>
        <v>0</v>
      </c>
      <c r="D51" s="273">
        <v>0</v>
      </c>
      <c r="E51" s="274">
        <f>D51/'- 3 -'!$D51*100</f>
        <v>0</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mergeCells count="3">
    <mergeCell ref="B6:E6"/>
    <mergeCell ref="B7: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G59"/>
  <sheetViews>
    <sheetView showGridLines="0" showZeros="0" workbookViewId="0"/>
  </sheetViews>
  <sheetFormatPr defaultColWidth="15.83203125" defaultRowHeight="12"/>
  <cols>
    <col min="1" max="1" width="31.83203125" style="1" customWidth="1"/>
    <col min="2" max="2" width="17.83203125" style="1" customWidth="1"/>
    <col min="3" max="3" width="11.5" style="1" customWidth="1"/>
    <col min="4" max="4" width="17.83203125" style="1" customWidth="1"/>
    <col min="5" max="5" width="12.1640625" style="1" customWidth="1"/>
    <col min="6" max="6" width="17.83203125" style="1" customWidth="1"/>
    <col min="7" max="7" width="12" style="1" customWidth="1"/>
    <col min="8" max="16384" width="15.83203125" style="1"/>
  </cols>
  <sheetData>
    <row r="1" spans="1:7" ht="6.95" customHeight="1">
      <c r="A1" s="3"/>
      <c r="B1" s="4"/>
      <c r="C1" s="4"/>
      <c r="D1" s="4"/>
      <c r="E1" s="4"/>
      <c r="F1" s="4"/>
      <c r="G1" s="4"/>
    </row>
    <row r="2" spans="1:7" ht="15.95" customHeight="1">
      <c r="A2" s="133"/>
      <c r="B2" s="5" t="str">
        <f>AEXP_BP</f>
        <v>ANALYSIS OF EXPENSE BY PROGRAM</v>
      </c>
      <c r="C2" s="6"/>
      <c r="D2" s="134"/>
      <c r="E2" s="6"/>
      <c r="F2" s="86"/>
      <c r="G2" s="510" t="s">
        <v>573</v>
      </c>
    </row>
    <row r="3" spans="1:7" ht="15.95" customHeight="1">
      <c r="A3" s="136"/>
      <c r="B3" s="7" t="str">
        <f>OPYEAR</f>
        <v>OPERATING FUND 2015/2016 BUDGET</v>
      </c>
      <c r="C3" s="8"/>
      <c r="D3" s="145"/>
      <c r="E3" s="8"/>
      <c r="F3" s="88"/>
      <c r="G3" s="88"/>
    </row>
    <row r="4" spans="1:7" ht="15.95" customHeight="1">
      <c r="B4" s="4"/>
      <c r="C4" s="4"/>
      <c r="D4" s="4"/>
      <c r="E4" s="4"/>
      <c r="F4" s="4"/>
      <c r="G4" s="4"/>
    </row>
    <row r="5" spans="1:7" ht="15.95" customHeight="1">
      <c r="B5" s="4"/>
      <c r="C5" s="4"/>
      <c r="D5" s="4"/>
      <c r="E5" s="4"/>
      <c r="F5" s="4"/>
      <c r="G5" s="4"/>
    </row>
    <row r="6" spans="1:7" ht="15.95" customHeight="1">
      <c r="B6" s="655" t="s">
        <v>9</v>
      </c>
      <c r="C6" s="656"/>
      <c r="D6" s="656"/>
      <c r="E6" s="656"/>
      <c r="F6" s="656"/>
      <c r="G6" s="657"/>
    </row>
    <row r="7" spans="1:7" ht="15.95" customHeight="1">
      <c r="B7" s="278"/>
      <c r="C7" s="271"/>
      <c r="D7" s="682" t="s">
        <v>20</v>
      </c>
      <c r="E7" s="683"/>
      <c r="F7" s="683"/>
      <c r="G7" s="684"/>
    </row>
    <row r="8" spans="1:7" ht="15.95" customHeight="1">
      <c r="A8" s="83"/>
      <c r="B8" s="601" t="s">
        <v>14</v>
      </c>
      <c r="C8" s="602"/>
      <c r="D8" s="685" t="s">
        <v>23</v>
      </c>
      <c r="E8" s="686"/>
      <c r="F8" s="685" t="s">
        <v>108</v>
      </c>
      <c r="G8" s="686"/>
    </row>
    <row r="9" spans="1:7" ht="15.95" customHeight="1">
      <c r="A9" s="28" t="s">
        <v>37</v>
      </c>
      <c r="B9" s="152" t="s">
        <v>38</v>
      </c>
      <c r="C9" s="152" t="s">
        <v>39</v>
      </c>
      <c r="D9" s="152" t="s">
        <v>38</v>
      </c>
      <c r="E9" s="152" t="s">
        <v>39</v>
      </c>
      <c r="F9" s="152" t="s">
        <v>38</v>
      </c>
      <c r="G9" s="152" t="s">
        <v>39</v>
      </c>
    </row>
    <row r="10" spans="1:7" ht="5.0999999999999996" customHeight="1">
      <c r="A10" s="30"/>
    </row>
    <row r="11" spans="1:7" ht="14.1" customHeight="1">
      <c r="A11" s="272" t="s">
        <v>109</v>
      </c>
      <c r="B11" s="273">
        <v>77000</v>
      </c>
      <c r="C11" s="274">
        <f>B11/'- 3 -'!$D11*100</f>
        <v>0.41831048199146215</v>
      </c>
      <c r="D11" s="273">
        <v>1460800</v>
      </c>
      <c r="E11" s="274">
        <f>D11/'- 3 -'!$D11*100</f>
        <v>7.9359474297808816</v>
      </c>
      <c r="F11" s="273">
        <v>321500</v>
      </c>
      <c r="G11" s="274">
        <f>F11/'- 3 -'!$D11*100</f>
        <v>1.7465820774059102</v>
      </c>
    </row>
    <row r="12" spans="1:7" ht="14.1" customHeight="1">
      <c r="A12" s="16" t="s">
        <v>110</v>
      </c>
      <c r="B12" s="17">
        <v>74241</v>
      </c>
      <c r="C12" s="268">
        <f>B12/'- 3 -'!$D12*100</f>
        <v>0.23151716323944904</v>
      </c>
      <c r="D12" s="17">
        <v>2572393</v>
      </c>
      <c r="E12" s="268">
        <f>D12/'- 3 -'!$D12*100</f>
        <v>8.0218899273584139</v>
      </c>
      <c r="F12" s="17">
        <v>500000</v>
      </c>
      <c r="G12" s="268">
        <f>F12/'- 3 -'!$D12*100</f>
        <v>1.5592271335208918</v>
      </c>
    </row>
    <row r="13" spans="1:7" ht="14.1" customHeight="1">
      <c r="A13" s="272" t="s">
        <v>111</v>
      </c>
      <c r="B13" s="273">
        <v>363500</v>
      </c>
      <c r="C13" s="274">
        <f>B13/'- 3 -'!$D13*100</f>
        <v>0.39133065340915213</v>
      </c>
      <c r="D13" s="273">
        <v>6441800</v>
      </c>
      <c r="E13" s="274">
        <f>D13/'- 3 -'!$D13*100</f>
        <v>6.9350035849548171</v>
      </c>
      <c r="F13" s="273">
        <v>608500</v>
      </c>
      <c r="G13" s="274">
        <f>F13/'- 3 -'!$D13*100</f>
        <v>0.65508859036992861</v>
      </c>
    </row>
    <row r="14" spans="1:7" ht="14.1" customHeight="1">
      <c r="A14" s="16" t="s">
        <v>324</v>
      </c>
      <c r="B14" s="17">
        <v>279072</v>
      </c>
      <c r="C14" s="268">
        <f>B14/'- 3 -'!$D14*100</f>
        <v>0.33650558951951587</v>
      </c>
      <c r="D14" s="17">
        <v>7004047</v>
      </c>
      <c r="E14" s="268">
        <f>D14/'- 3 -'!$D14*100</f>
        <v>8.4454942264268595</v>
      </c>
      <c r="F14" s="17">
        <v>650000</v>
      </c>
      <c r="G14" s="268">
        <f>F14/'- 3 -'!$D14*100</f>
        <v>0.78377133208521566</v>
      </c>
    </row>
    <row r="15" spans="1:7" ht="14.1" customHeight="1">
      <c r="A15" s="272" t="s">
        <v>112</v>
      </c>
      <c r="B15" s="273">
        <v>79500</v>
      </c>
      <c r="C15" s="274">
        <f>B15/'- 3 -'!$D15*100</f>
        <v>0.39518761892599741</v>
      </c>
      <c r="D15" s="273">
        <v>2039300</v>
      </c>
      <c r="E15" s="274">
        <f>D15/'- 3 -'!$D15*100</f>
        <v>10.137183789632534</v>
      </c>
      <c r="F15" s="273">
        <v>244000</v>
      </c>
      <c r="G15" s="274">
        <f>F15/'- 3 -'!$D15*100</f>
        <v>1.2129028807288473</v>
      </c>
    </row>
    <row r="16" spans="1:7" ht="14.1" customHeight="1">
      <c r="A16" s="16" t="s">
        <v>113</v>
      </c>
      <c r="B16" s="17">
        <v>65502</v>
      </c>
      <c r="C16" s="268">
        <f>B16/'- 3 -'!$D16*100</f>
        <v>0.46562071779746372</v>
      </c>
      <c r="D16" s="17">
        <v>1907622</v>
      </c>
      <c r="E16" s="268">
        <f>D16/'- 3 -'!$D16*100</f>
        <v>13.560323729446939</v>
      </c>
      <c r="F16" s="17">
        <v>100000</v>
      </c>
      <c r="G16" s="268">
        <f>F16/'- 3 -'!$D16*100</f>
        <v>0.71084961954972936</v>
      </c>
    </row>
    <row r="17" spans="1:7" ht="14.1" customHeight="1">
      <c r="A17" s="272" t="s">
        <v>114</v>
      </c>
      <c r="B17" s="273">
        <v>75990</v>
      </c>
      <c r="C17" s="274">
        <f>B17/'- 3 -'!$D17*100</f>
        <v>0.43194138011495131</v>
      </c>
      <c r="D17" s="273">
        <v>1586365</v>
      </c>
      <c r="E17" s="274">
        <f>D17/'- 3 -'!$D17*100</f>
        <v>9.0171955187005501</v>
      </c>
      <c r="F17" s="273">
        <v>140500</v>
      </c>
      <c r="G17" s="274">
        <f>F17/'- 3 -'!$D17*100</f>
        <v>0.79862829196145102</v>
      </c>
    </row>
    <row r="18" spans="1:7" ht="14.1" customHeight="1">
      <c r="A18" s="16" t="s">
        <v>115</v>
      </c>
      <c r="B18" s="17">
        <v>920172</v>
      </c>
      <c r="C18" s="268">
        <f>B18/'- 3 -'!$D18*100</f>
        <v>0.71882877247127941</v>
      </c>
      <c r="D18" s="17">
        <v>16076837</v>
      </c>
      <c r="E18" s="268">
        <f>D18/'- 3 -'!$D18*100</f>
        <v>12.559057443533215</v>
      </c>
      <c r="F18" s="17">
        <v>2329003</v>
      </c>
      <c r="G18" s="268">
        <f>F18/'- 3 -'!$D18*100</f>
        <v>1.8193928608694103</v>
      </c>
    </row>
    <row r="19" spans="1:7" ht="14.1" customHeight="1">
      <c r="A19" s="272" t="s">
        <v>116</v>
      </c>
      <c r="B19" s="273">
        <v>172725</v>
      </c>
      <c r="C19" s="274">
        <f>B19/'- 3 -'!$D19*100</f>
        <v>0.38431654733885406</v>
      </c>
      <c r="D19" s="273">
        <v>3772525</v>
      </c>
      <c r="E19" s="274">
        <f>D19/'- 3 -'!$D19*100</f>
        <v>8.3939428730612846</v>
      </c>
      <c r="F19" s="273">
        <v>100000</v>
      </c>
      <c r="G19" s="274">
        <f>F19/'- 3 -'!$D19*100</f>
        <v>0.22250198138014421</v>
      </c>
    </row>
    <row r="20" spans="1:7" ht="14.1" customHeight="1">
      <c r="A20" s="16" t="s">
        <v>117</v>
      </c>
      <c r="B20" s="17">
        <v>277200</v>
      </c>
      <c r="C20" s="268">
        <f>B20/'- 3 -'!$D20*100</f>
        <v>0.35183558667187903</v>
      </c>
      <c r="D20" s="17">
        <v>7415100</v>
      </c>
      <c r="E20" s="268">
        <f>D20/'- 3 -'!$D20*100</f>
        <v>9.411601943472764</v>
      </c>
      <c r="F20" s="17">
        <v>846000</v>
      </c>
      <c r="G20" s="268">
        <f>F20/'- 3 -'!$D20*100</f>
        <v>1.0737839333492414</v>
      </c>
    </row>
    <row r="21" spans="1:7" ht="14.1" customHeight="1">
      <c r="A21" s="272" t="s">
        <v>118</v>
      </c>
      <c r="B21" s="273">
        <v>96000</v>
      </c>
      <c r="C21" s="274">
        <f>B21/'- 3 -'!$D21*100</f>
        <v>0.2703921979683237</v>
      </c>
      <c r="D21" s="273">
        <v>2894000</v>
      </c>
      <c r="E21" s="274">
        <f>D21/'- 3 -'!$D21*100</f>
        <v>8.1511981345867603</v>
      </c>
      <c r="F21" s="273">
        <v>300000</v>
      </c>
      <c r="G21" s="274">
        <f>F21/'- 3 -'!$D21*100</f>
        <v>0.84497561865101156</v>
      </c>
    </row>
    <row r="22" spans="1:7" ht="14.1" customHeight="1">
      <c r="A22" s="16" t="s">
        <v>119</v>
      </c>
      <c r="B22" s="17">
        <v>89235</v>
      </c>
      <c r="C22" s="268">
        <f>B22/'- 3 -'!$D22*100</f>
        <v>0.43254865754317889</v>
      </c>
      <c r="D22" s="17">
        <v>2212850</v>
      </c>
      <c r="E22" s="268">
        <f>D22/'- 3 -'!$D22*100</f>
        <v>10.726343887985918</v>
      </c>
      <c r="F22" s="17">
        <v>165720</v>
      </c>
      <c r="G22" s="268">
        <f>F22/'- 3 -'!$D22*100</f>
        <v>0.80329426265541104</v>
      </c>
    </row>
    <row r="23" spans="1:7" ht="14.1" customHeight="1">
      <c r="A23" s="272" t="s">
        <v>120</v>
      </c>
      <c r="B23" s="273">
        <v>66725</v>
      </c>
      <c r="C23" s="274">
        <f>B23/'- 3 -'!$D23*100</f>
        <v>0.40438906221676479</v>
      </c>
      <c r="D23" s="273">
        <v>1194350</v>
      </c>
      <c r="E23" s="274">
        <f>D23/'- 3 -'!$D23*100</f>
        <v>7.2383975490234995</v>
      </c>
      <c r="F23" s="273">
        <v>140382</v>
      </c>
      <c r="G23" s="274">
        <f>F23/'- 3 -'!$D23*100</f>
        <v>0.850789738960118</v>
      </c>
    </row>
    <row r="24" spans="1:7" ht="14.1" customHeight="1">
      <c r="A24" s="16" t="s">
        <v>121</v>
      </c>
      <c r="B24" s="17">
        <v>122750</v>
      </c>
      <c r="C24" s="268">
        <f>B24/'- 3 -'!$D24*100</f>
        <v>0.21955989822079569</v>
      </c>
      <c r="D24" s="17">
        <v>5355760</v>
      </c>
      <c r="E24" s="268">
        <f>D24/'- 3 -'!$D24*100</f>
        <v>9.579715849246508</v>
      </c>
      <c r="F24" s="17">
        <v>410150</v>
      </c>
      <c r="G24" s="268">
        <f>F24/'- 3 -'!$D24*100</f>
        <v>0.73362519148887462</v>
      </c>
    </row>
    <row r="25" spans="1:7" ht="14.1" customHeight="1">
      <c r="A25" s="272" t="s">
        <v>122</v>
      </c>
      <c r="B25" s="273">
        <v>556904</v>
      </c>
      <c r="C25" s="274">
        <f>B25/'- 3 -'!$D25*100</f>
        <v>0.33319147419817025</v>
      </c>
      <c r="D25" s="273">
        <v>16006878</v>
      </c>
      <c r="E25" s="274">
        <f>D25/'- 3 -'!$D25*100</f>
        <v>9.5767947045276358</v>
      </c>
      <c r="F25" s="273">
        <v>497800</v>
      </c>
      <c r="G25" s="274">
        <f>F25/'- 3 -'!$D25*100</f>
        <v>0.29782999557526818</v>
      </c>
    </row>
    <row r="26" spans="1:7" ht="14.1" customHeight="1">
      <c r="A26" s="16" t="s">
        <v>123</v>
      </c>
      <c r="B26" s="17">
        <v>160473</v>
      </c>
      <c r="C26" s="268">
        <f>B26/'- 3 -'!$D26*100</f>
        <v>0.40231833518184379</v>
      </c>
      <c r="D26" s="17">
        <v>4332097</v>
      </c>
      <c r="E26" s="268">
        <f>D26/'- 3 -'!$D26*100</f>
        <v>10.860905279307172</v>
      </c>
      <c r="F26" s="17">
        <v>220241</v>
      </c>
      <c r="G26" s="268">
        <f>F26/'- 3 -'!$D26*100</f>
        <v>0.55216137580019353</v>
      </c>
    </row>
    <row r="27" spans="1:7" ht="14.1" customHeight="1">
      <c r="A27" s="272" t="s">
        <v>124</v>
      </c>
      <c r="B27" s="273">
        <v>211001</v>
      </c>
      <c r="C27" s="274">
        <f>B27/'- 3 -'!$D27*100</f>
        <v>0.49160766781309345</v>
      </c>
      <c r="D27" s="273">
        <v>4045042</v>
      </c>
      <c r="E27" s="274">
        <f>D27/'- 3 -'!$D27*100</f>
        <v>9.4244750680139475</v>
      </c>
      <c r="F27" s="273">
        <v>436000</v>
      </c>
      <c r="G27" s="274">
        <f>F27/'- 3 -'!$D27*100</f>
        <v>1.0158290395140721</v>
      </c>
    </row>
    <row r="28" spans="1:7" ht="14.1" customHeight="1">
      <c r="A28" s="16" t="s">
        <v>125</v>
      </c>
      <c r="B28" s="17">
        <v>63855</v>
      </c>
      <c r="C28" s="268">
        <f>B28/'- 3 -'!$D28*100</f>
        <v>0.22798310836357935</v>
      </c>
      <c r="D28" s="17">
        <v>2714385</v>
      </c>
      <c r="E28" s="268">
        <f>D28/'- 3 -'!$D28*100</f>
        <v>9.6912368584366817</v>
      </c>
      <c r="F28" s="17">
        <v>186886</v>
      </c>
      <c r="G28" s="268">
        <f>F28/'- 3 -'!$D28*100</f>
        <v>0.66724377401356028</v>
      </c>
    </row>
    <row r="29" spans="1:7" ht="14.1" customHeight="1">
      <c r="A29" s="272" t="s">
        <v>126</v>
      </c>
      <c r="B29" s="273">
        <v>974451</v>
      </c>
      <c r="C29" s="274">
        <f>B29/'- 3 -'!$D29*100</f>
        <v>0.62940893010506427</v>
      </c>
      <c r="D29" s="273">
        <v>13798909</v>
      </c>
      <c r="E29" s="274">
        <f>D29/'- 3 -'!$D29*100</f>
        <v>8.912871504372351</v>
      </c>
      <c r="F29" s="273">
        <v>4955076</v>
      </c>
      <c r="G29" s="274">
        <f>F29/'- 3 -'!$D29*100</f>
        <v>3.2005396718247314</v>
      </c>
    </row>
    <row r="30" spans="1:7" ht="14.1" customHeight="1">
      <c r="A30" s="16" t="s">
        <v>127</v>
      </c>
      <c r="B30" s="17">
        <v>89630</v>
      </c>
      <c r="C30" s="268">
        <f>B30/'- 3 -'!$D30*100</f>
        <v>0.64056005087889223</v>
      </c>
      <c r="D30" s="17">
        <v>1079029</v>
      </c>
      <c r="E30" s="268">
        <f>D30/'- 3 -'!$D30*100</f>
        <v>7.7115125643177533</v>
      </c>
      <c r="F30" s="17">
        <v>179250</v>
      </c>
      <c r="G30" s="268">
        <f>F30/'- 3 -'!$D30*100</f>
        <v>1.2810486346094103</v>
      </c>
    </row>
    <row r="31" spans="1:7" ht="14.1" customHeight="1">
      <c r="A31" s="272" t="s">
        <v>128</v>
      </c>
      <c r="B31" s="273">
        <v>102685</v>
      </c>
      <c r="C31" s="274">
        <f>B31/'- 3 -'!$D31*100</f>
        <v>0.28358546253952999</v>
      </c>
      <c r="D31" s="273">
        <v>3490285</v>
      </c>
      <c r="E31" s="274">
        <f>D31/'- 3 -'!$D31*100</f>
        <v>9.639130214927043</v>
      </c>
      <c r="F31" s="273">
        <v>249360</v>
      </c>
      <c r="G31" s="274">
        <f>F31/'- 3 -'!$D31*100</f>
        <v>0.6886582357584573</v>
      </c>
    </row>
    <row r="32" spans="1:7" ht="14.1" customHeight="1">
      <c r="A32" s="16" t="s">
        <v>129</v>
      </c>
      <c r="B32" s="17">
        <v>89290</v>
      </c>
      <c r="C32" s="268">
        <f>B32/'- 3 -'!$D32*100</f>
        <v>0.31050250286786218</v>
      </c>
      <c r="D32" s="17">
        <v>2188890</v>
      </c>
      <c r="E32" s="268">
        <f>D32/'- 3 -'!$D32*100</f>
        <v>7.6117798577940956</v>
      </c>
      <c r="F32" s="17">
        <v>913500</v>
      </c>
      <c r="G32" s="268">
        <f>F32/'- 3 -'!$D32*100</f>
        <v>3.1766607276267456</v>
      </c>
    </row>
    <row r="33" spans="1:7" ht="14.1" customHeight="1">
      <c r="A33" s="272" t="s">
        <v>130</v>
      </c>
      <c r="B33" s="273">
        <v>107500</v>
      </c>
      <c r="C33" s="274">
        <f>B33/'- 3 -'!$D33*100</f>
        <v>0.39415116338757339</v>
      </c>
      <c r="D33" s="273">
        <v>2654700</v>
      </c>
      <c r="E33" s="274">
        <f>D33/'- 3 -'!$D33*100</f>
        <v>9.7335171483254985</v>
      </c>
      <c r="F33" s="273">
        <v>336000</v>
      </c>
      <c r="G33" s="274">
        <f>F33/'- 3 -'!$D33*100</f>
        <v>1.2319515432392993</v>
      </c>
    </row>
    <row r="34" spans="1:7" ht="14.1" customHeight="1">
      <c r="A34" s="16" t="s">
        <v>131</v>
      </c>
      <c r="B34" s="17">
        <v>104572</v>
      </c>
      <c r="C34" s="268">
        <f>B34/'- 3 -'!$D34*100</f>
        <v>0.37793269457171164</v>
      </c>
      <c r="D34" s="17">
        <v>2146561</v>
      </c>
      <c r="E34" s="268">
        <f>D34/'- 3 -'!$D34*100</f>
        <v>7.7578661859058622</v>
      </c>
      <c r="F34" s="17">
        <v>282052</v>
      </c>
      <c r="G34" s="268">
        <f>F34/'- 3 -'!$D34*100</f>
        <v>1.0193615152176529</v>
      </c>
    </row>
    <row r="35" spans="1:7" ht="14.1" customHeight="1">
      <c r="A35" s="272" t="s">
        <v>132</v>
      </c>
      <c r="B35" s="273">
        <v>831100</v>
      </c>
      <c r="C35" s="274">
        <f>B35/'- 3 -'!$D35*100</f>
        <v>0.47170942717448366</v>
      </c>
      <c r="D35" s="273">
        <v>18290375</v>
      </c>
      <c r="E35" s="274">
        <f>D35/'- 3 -'!$D35*100</f>
        <v>10.381112157449762</v>
      </c>
      <c r="F35" s="273">
        <v>838500</v>
      </c>
      <c r="G35" s="274">
        <f>F35/'- 3 -'!$D35*100</f>
        <v>0.47590946298376197</v>
      </c>
    </row>
    <row r="36" spans="1:7" ht="14.1" customHeight="1">
      <c r="A36" s="16" t="s">
        <v>133</v>
      </c>
      <c r="B36" s="17">
        <v>58200</v>
      </c>
      <c r="C36" s="268">
        <f>B36/'- 3 -'!$D36*100</f>
        <v>0.25301509656742854</v>
      </c>
      <c r="D36" s="17">
        <v>2299100</v>
      </c>
      <c r="E36" s="268">
        <f>D36/'- 3 -'!$D36*100</f>
        <v>9.994965782099225</v>
      </c>
      <c r="F36" s="17">
        <v>155000</v>
      </c>
      <c r="G36" s="268">
        <f>F36/'- 3 -'!$D36*100</f>
        <v>0.67383745649401072</v>
      </c>
    </row>
    <row r="37" spans="1:7" ht="14.1" customHeight="1">
      <c r="A37" s="272" t="s">
        <v>134</v>
      </c>
      <c r="B37" s="273">
        <v>115736</v>
      </c>
      <c r="C37" s="274">
        <f>B37/'- 3 -'!$D37*100</f>
        <v>0.24744719062687079</v>
      </c>
      <c r="D37" s="273">
        <v>3963620</v>
      </c>
      <c r="E37" s="274">
        <f>D37/'- 3 -'!$D37*100</f>
        <v>8.4743436243906611</v>
      </c>
      <c r="F37" s="273">
        <v>460000</v>
      </c>
      <c r="G37" s="274">
        <f>F37/'- 3 -'!$D37*100</f>
        <v>0.98349439835799191</v>
      </c>
    </row>
    <row r="38" spans="1:7" ht="14.1" customHeight="1">
      <c r="A38" s="16" t="s">
        <v>135</v>
      </c>
      <c r="B38" s="17">
        <v>602560</v>
      </c>
      <c r="C38" s="268">
        <f>B38/'- 3 -'!$D38*100</f>
        <v>0.466510068572629</v>
      </c>
      <c r="D38" s="17">
        <v>10623500</v>
      </c>
      <c r="E38" s="268">
        <f>D38/'- 3 -'!$D38*100</f>
        <v>8.2248568001216888</v>
      </c>
      <c r="F38" s="17">
        <v>816200</v>
      </c>
      <c r="G38" s="268">
        <f>F38/'- 3 -'!$D38*100</f>
        <v>0.63191303433513635</v>
      </c>
    </row>
    <row r="39" spans="1:7" ht="14.1" customHeight="1">
      <c r="A39" s="272" t="s">
        <v>136</v>
      </c>
      <c r="B39" s="273">
        <v>81200</v>
      </c>
      <c r="C39" s="274">
        <f>B39/'- 3 -'!$D39*100</f>
        <v>0.37025502454763454</v>
      </c>
      <c r="D39" s="273">
        <v>1983600</v>
      </c>
      <c r="E39" s="274">
        <f>D39/'- 3 -'!$D39*100</f>
        <v>9.0448013139493568</v>
      </c>
      <c r="F39" s="273">
        <v>164600</v>
      </c>
      <c r="G39" s="274">
        <f>F39/'- 3 -'!$D39*100</f>
        <v>0.75054158916921976</v>
      </c>
    </row>
    <row r="40" spans="1:7" ht="14.1" customHeight="1">
      <c r="A40" s="16" t="s">
        <v>137</v>
      </c>
      <c r="B40" s="17">
        <v>479013</v>
      </c>
      <c r="C40" s="268">
        <f>B40/'- 3 -'!$D40*100</f>
        <v>0.46935082194816141</v>
      </c>
      <c r="D40" s="17">
        <v>8127304</v>
      </c>
      <c r="E40" s="268">
        <f>D40/'- 3 -'!$D40*100</f>
        <v>7.9633680351526586</v>
      </c>
      <c r="F40" s="17">
        <v>1444267</v>
      </c>
      <c r="G40" s="268">
        <f>F40/'- 3 -'!$D40*100</f>
        <v>1.4151346697534415</v>
      </c>
    </row>
    <row r="41" spans="1:7" ht="14.1" customHeight="1">
      <c r="A41" s="272" t="s">
        <v>138</v>
      </c>
      <c r="B41" s="273">
        <v>193406</v>
      </c>
      <c r="C41" s="274">
        <f>B41/'- 3 -'!$D41*100</f>
        <v>0.3107137126399237</v>
      </c>
      <c r="D41" s="273">
        <v>4728629</v>
      </c>
      <c r="E41" s="274">
        <f>D41/'- 3 -'!$D41*100</f>
        <v>7.5967129886705145</v>
      </c>
      <c r="F41" s="273">
        <v>475540</v>
      </c>
      <c r="G41" s="274">
        <f>F41/'- 3 -'!$D41*100</f>
        <v>0.7639721565452432</v>
      </c>
    </row>
    <row r="42" spans="1:7" ht="14.1" customHeight="1">
      <c r="A42" s="16" t="s">
        <v>139</v>
      </c>
      <c r="B42" s="17">
        <v>54676</v>
      </c>
      <c r="C42" s="268">
        <f>B42/'- 3 -'!$D42*100</f>
        <v>0.26524053711354301</v>
      </c>
      <c r="D42" s="17">
        <v>1996977</v>
      </c>
      <c r="E42" s="268">
        <f>D42/'- 3 -'!$D42*100</f>
        <v>9.6876006306860738</v>
      </c>
      <c r="F42" s="17">
        <v>113160</v>
      </c>
      <c r="G42" s="268">
        <f>F42/'- 3 -'!$D42*100</f>
        <v>0.5489541879392883</v>
      </c>
    </row>
    <row r="43" spans="1:7" ht="14.1" customHeight="1">
      <c r="A43" s="272" t="s">
        <v>140</v>
      </c>
      <c r="B43" s="273">
        <v>15455</v>
      </c>
      <c r="C43" s="274">
        <f>B43/'- 3 -'!$D43*100</f>
        <v>0.12041914432984388</v>
      </c>
      <c r="D43" s="273">
        <v>854166</v>
      </c>
      <c r="E43" s="274">
        <f>D43/'- 3 -'!$D43*100</f>
        <v>6.6553179447198598</v>
      </c>
      <c r="F43" s="273">
        <v>130783</v>
      </c>
      <c r="G43" s="274">
        <f>F43/'- 3 -'!$D43*100</f>
        <v>1.0190085378770606</v>
      </c>
    </row>
    <row r="44" spans="1:7" ht="14.1" customHeight="1">
      <c r="A44" s="16" t="s">
        <v>141</v>
      </c>
      <c r="B44" s="17">
        <v>32034</v>
      </c>
      <c r="C44" s="268">
        <f>B44/'- 3 -'!$D44*100</f>
        <v>0.29182477941648705</v>
      </c>
      <c r="D44" s="17">
        <v>1077551</v>
      </c>
      <c r="E44" s="268">
        <f>D44/'- 3 -'!$D44*100</f>
        <v>9.8163227472377805</v>
      </c>
      <c r="F44" s="17">
        <v>53940</v>
      </c>
      <c r="G44" s="268">
        <f>F44/'- 3 -'!$D44*100</f>
        <v>0.49138504719127529</v>
      </c>
    </row>
    <row r="45" spans="1:7" ht="14.1" customHeight="1">
      <c r="A45" s="272" t="s">
        <v>142</v>
      </c>
      <c r="B45" s="273">
        <v>49312</v>
      </c>
      <c r="C45" s="274">
        <f>B45/'- 3 -'!$D45*100</f>
        <v>0.26927207641141226</v>
      </c>
      <c r="D45" s="273">
        <v>1493219</v>
      </c>
      <c r="E45" s="274">
        <f>D45/'- 3 -'!$D45*100</f>
        <v>8.1538404580421115</v>
      </c>
      <c r="F45" s="273">
        <v>138700</v>
      </c>
      <c r="G45" s="274">
        <f>F45/'- 3 -'!$D45*100</f>
        <v>0.75738232069806288</v>
      </c>
    </row>
    <row r="46" spans="1:7" ht="14.1" customHeight="1">
      <c r="A46" s="16" t="s">
        <v>143</v>
      </c>
      <c r="B46" s="17">
        <v>1070100</v>
      </c>
      <c r="C46" s="268">
        <f>B46/'- 3 -'!$D46*100</f>
        <v>0.2794282961297575</v>
      </c>
      <c r="D46" s="17">
        <v>38400400</v>
      </c>
      <c r="E46" s="268">
        <f>D46/'- 3 -'!$D46*100</f>
        <v>10.02724824100658</v>
      </c>
      <c r="F46" s="17">
        <v>5484200</v>
      </c>
      <c r="G46" s="268">
        <f>F46/'- 3 -'!$D46*100</f>
        <v>1.4320536974439924</v>
      </c>
    </row>
    <row r="47" spans="1:7" ht="5.0999999999999996" customHeight="1">
      <c r="A47"/>
      <c r="B47"/>
      <c r="C47"/>
      <c r="D47"/>
      <c r="E47"/>
      <c r="F47"/>
      <c r="G47"/>
    </row>
    <row r="48" spans="1:7" ht="14.1" customHeight="1">
      <c r="A48" s="275" t="s">
        <v>144</v>
      </c>
      <c r="B48" s="276">
        <f>SUM(B11:B46)</f>
        <v>8802765</v>
      </c>
      <c r="C48" s="277">
        <f>B48/'- 3 -'!$D48*100</f>
        <v>0.39437223264085236</v>
      </c>
      <c r="D48" s="276">
        <f>SUM(D11:D46)</f>
        <v>208228966</v>
      </c>
      <c r="E48" s="277">
        <f>D48/'- 3 -'!$D48*100</f>
        <v>9.3288554473413896</v>
      </c>
      <c r="F48" s="276">
        <f>SUM(F11:F46)</f>
        <v>25386810</v>
      </c>
      <c r="G48" s="277">
        <f>F48/'- 3 -'!$D48*100</f>
        <v>1.1373531997422532</v>
      </c>
    </row>
    <row r="49" spans="1:7" ht="5.0999999999999996" customHeight="1">
      <c r="A49" s="18" t="s">
        <v>1</v>
      </c>
      <c r="B49" s="19"/>
      <c r="C49" s="267"/>
      <c r="D49" s="19"/>
      <c r="E49" s="267"/>
      <c r="F49" s="19"/>
      <c r="G49" s="267"/>
    </row>
    <row r="50" spans="1:7" ht="14.1" customHeight="1">
      <c r="A50" s="16" t="s">
        <v>145</v>
      </c>
      <c r="B50" s="17">
        <v>13804</v>
      </c>
      <c r="C50" s="268">
        <f>B50/'- 3 -'!$D50*100</f>
        <v>0.41112892401731987</v>
      </c>
      <c r="D50" s="17">
        <v>395414</v>
      </c>
      <c r="E50" s="268">
        <f>D50/'- 3 -'!$D50*100</f>
        <v>11.776740970833419</v>
      </c>
      <c r="F50" s="17">
        <v>39159</v>
      </c>
      <c r="G50" s="268">
        <f>F50/'- 3 -'!$D50*100</f>
        <v>1.1662849562151716</v>
      </c>
    </row>
    <row r="51" spans="1:7" ht="14.1" customHeight="1">
      <c r="A51" s="364" t="s">
        <v>540</v>
      </c>
      <c r="B51" s="273">
        <v>124535</v>
      </c>
      <c r="C51" s="274">
        <f>B51/'- 3 -'!$D51*100</f>
        <v>0.49164784914971982</v>
      </c>
      <c r="D51" s="273">
        <v>2457574</v>
      </c>
      <c r="E51" s="274">
        <f>D51/'- 3 -'!$D51*100</f>
        <v>9.7021798789599192</v>
      </c>
      <c r="F51" s="273">
        <v>42950</v>
      </c>
      <c r="G51" s="274">
        <f>F51/'- 3 -'!$D51*100</f>
        <v>0.1695609677679405</v>
      </c>
    </row>
    <row r="52" spans="1:7" ht="50.1" customHeight="1"/>
    <row r="53" spans="1:7" ht="15" customHeight="1"/>
    <row r="54" spans="1:7" ht="14.45" customHeight="1"/>
    <row r="55" spans="1:7" ht="14.45" customHeight="1"/>
    <row r="56" spans="1:7" ht="14.45" customHeight="1"/>
    <row r="57" spans="1:7" ht="14.45" customHeight="1"/>
    <row r="58" spans="1:7" ht="14.45" customHeight="1"/>
    <row r="59" spans="1:7" ht="14.45" customHeight="1"/>
  </sheetData>
  <mergeCells count="5">
    <mergeCell ref="B6:G6"/>
    <mergeCell ref="B8:C8"/>
    <mergeCell ref="D7:G7"/>
    <mergeCell ref="D8:E8"/>
    <mergeCell ref="F8:G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F59"/>
  <sheetViews>
    <sheetView showGridLines="0" showZeros="0" workbookViewId="0"/>
  </sheetViews>
  <sheetFormatPr defaultColWidth="15.83203125" defaultRowHeight="12"/>
  <cols>
    <col min="1" max="1" width="35.83203125" style="1" customWidth="1"/>
    <col min="2" max="2" width="19.83203125" style="1" customWidth="1"/>
    <col min="3" max="3" width="10.1640625" style="1" customWidth="1"/>
    <col min="4" max="4" width="19.83203125" style="1" customWidth="1"/>
    <col min="5" max="5" width="11.1640625" style="1" customWidth="1"/>
    <col min="6" max="6" width="25.83203125" style="1" customWidth="1"/>
    <col min="7" max="16384" width="15.83203125" style="1"/>
  </cols>
  <sheetData>
    <row r="1" spans="1:6" ht="6.95" customHeight="1">
      <c r="A1" s="3"/>
      <c r="B1" s="3"/>
      <c r="C1" s="3"/>
      <c r="D1" s="4"/>
      <c r="E1" s="4"/>
      <c r="F1" s="4"/>
    </row>
    <row r="2" spans="1:6" ht="15.95" customHeight="1">
      <c r="A2" s="133"/>
      <c r="B2" s="5" t="str">
        <f>AEXP_BP</f>
        <v>ANALYSIS OF EXPENSE BY PROGRAM</v>
      </c>
      <c r="C2" s="153"/>
      <c r="D2" s="134"/>
      <c r="E2" s="6"/>
      <c r="F2" s="510" t="s">
        <v>574</v>
      </c>
    </row>
    <row r="3" spans="1:6" ht="15.95" customHeight="1">
      <c r="A3" s="136"/>
      <c r="B3" s="7" t="str">
        <f>OPYEAR</f>
        <v>OPERATING FUND 2015/2016 BUDGET</v>
      </c>
      <c r="C3" s="154"/>
      <c r="D3" s="145"/>
      <c r="E3" s="8"/>
      <c r="F3" s="82"/>
    </row>
    <row r="4" spans="1:6" ht="15.95" customHeight="1">
      <c r="D4" s="4"/>
      <c r="E4" s="4"/>
      <c r="F4" s="4"/>
    </row>
    <row r="5" spans="1:6" ht="15.95" customHeight="1">
      <c r="D5" s="4"/>
      <c r="E5" s="4"/>
      <c r="F5" s="4"/>
    </row>
    <row r="6" spans="1:6" ht="15.95" customHeight="1">
      <c r="B6" s="655" t="s">
        <v>238</v>
      </c>
      <c r="C6" s="656"/>
      <c r="D6" s="656"/>
      <c r="E6" s="657"/>
      <c r="F6" s="56"/>
    </row>
    <row r="7" spans="1:6" ht="15.95" customHeight="1">
      <c r="B7" s="315"/>
      <c r="C7" s="271"/>
      <c r="D7" s="315"/>
      <c r="E7" s="271"/>
      <c r="F7" s="4"/>
    </row>
    <row r="8" spans="1:6" ht="15.95" customHeight="1">
      <c r="A8" s="83"/>
      <c r="B8" s="601" t="s">
        <v>30</v>
      </c>
      <c r="C8" s="602"/>
      <c r="D8" s="614" t="s">
        <v>31</v>
      </c>
      <c r="E8" s="602"/>
      <c r="F8" s="4"/>
    </row>
    <row r="9" spans="1:6" ht="15.95" customHeight="1">
      <c r="A9" s="28" t="s">
        <v>37</v>
      </c>
      <c r="B9" s="152" t="s">
        <v>38</v>
      </c>
      <c r="C9" s="152" t="s">
        <v>39</v>
      </c>
      <c r="D9" s="155" t="s">
        <v>38</v>
      </c>
      <c r="E9" s="152" t="s">
        <v>39</v>
      </c>
    </row>
    <row r="10" spans="1:6" ht="5.0999999999999996" customHeight="1">
      <c r="A10" s="30"/>
    </row>
    <row r="11" spans="1:6" ht="14.1" customHeight="1">
      <c r="A11" s="272" t="s">
        <v>109</v>
      </c>
      <c r="B11" s="273">
        <v>60200</v>
      </c>
      <c r="C11" s="274">
        <f>B11/'- 3 -'!$D11*100</f>
        <v>0.3270427404660522</v>
      </c>
      <c r="D11" s="273">
        <v>29700</v>
      </c>
      <c r="E11" s="274">
        <f>D11/'- 3 -'!$D11*100</f>
        <v>0.1613483287681354</v>
      </c>
    </row>
    <row r="12" spans="1:6" ht="14.1" customHeight="1">
      <c r="A12" s="16" t="s">
        <v>110</v>
      </c>
      <c r="B12" s="17">
        <v>255194</v>
      </c>
      <c r="C12" s="268">
        <f>B12/'- 3 -'!$D12*100</f>
        <v>0.795810818223461</v>
      </c>
      <c r="D12" s="17">
        <v>101860</v>
      </c>
      <c r="E12" s="268">
        <f>D12/'- 3 -'!$D12*100</f>
        <v>0.31764575164087605</v>
      </c>
    </row>
    <row r="13" spans="1:6" ht="14.1" customHeight="1">
      <c r="A13" s="272" t="s">
        <v>111</v>
      </c>
      <c r="B13" s="273">
        <v>232700</v>
      </c>
      <c r="C13" s="274">
        <f>B13/'- 3 -'!$D13*100</f>
        <v>0.25051621196233748</v>
      </c>
      <c r="D13" s="273">
        <v>149100</v>
      </c>
      <c r="E13" s="274">
        <f>D13/'- 3 -'!$D13*100</f>
        <v>0.16051554449327257</v>
      </c>
    </row>
    <row r="14" spans="1:6" ht="14.1" customHeight="1">
      <c r="A14" s="16" t="s">
        <v>324</v>
      </c>
      <c r="B14" s="17">
        <v>146316</v>
      </c>
      <c r="C14" s="268">
        <f>B14/'- 3 -'!$D14*100</f>
        <v>0.17642813265443141</v>
      </c>
      <c r="D14" s="17">
        <v>410000</v>
      </c>
      <c r="E14" s="268">
        <f>D14/'- 3 -'!$D14*100</f>
        <v>0.49437884023836681</v>
      </c>
    </row>
    <row r="15" spans="1:6" ht="14.1" customHeight="1">
      <c r="A15" s="272" t="s">
        <v>112</v>
      </c>
      <c r="B15" s="273">
        <v>136000</v>
      </c>
      <c r="C15" s="274">
        <f>B15/'- 3 -'!$D15*100</f>
        <v>0.67604422860296398</v>
      </c>
      <c r="D15" s="273">
        <v>90000</v>
      </c>
      <c r="E15" s="274">
        <f>D15/'- 3 -'!$D15*100</f>
        <v>0.44738221010490264</v>
      </c>
    </row>
    <row r="16" spans="1:6" ht="14.1" customHeight="1">
      <c r="A16" s="16" t="s">
        <v>113</v>
      </c>
      <c r="B16" s="17">
        <v>7350</v>
      </c>
      <c r="C16" s="268">
        <f>B16/'- 3 -'!$D16*100</f>
        <v>5.2247447036905106E-2</v>
      </c>
      <c r="D16" s="17">
        <v>45175</v>
      </c>
      <c r="E16" s="268">
        <f>D16/'- 3 -'!$D16*100</f>
        <v>0.32112631563159022</v>
      </c>
    </row>
    <row r="17" spans="1:5" ht="14.1" customHeight="1">
      <c r="A17" s="272" t="s">
        <v>114</v>
      </c>
      <c r="B17" s="273">
        <v>109250</v>
      </c>
      <c r="C17" s="274">
        <f>B17/'- 3 -'!$D17*100</f>
        <v>0.62099744410525637</v>
      </c>
      <c r="D17" s="273">
        <v>57000</v>
      </c>
      <c r="E17" s="274">
        <f>D17/'- 3 -'!$D17*100</f>
        <v>0.32399866648969899</v>
      </c>
    </row>
    <row r="18" spans="1:5" ht="14.1" customHeight="1">
      <c r="A18" s="16" t="s">
        <v>115</v>
      </c>
      <c r="B18" s="17">
        <v>3076105</v>
      </c>
      <c r="C18" s="268">
        <f>B18/'- 3 -'!$D18*100</f>
        <v>2.403021153809032</v>
      </c>
      <c r="D18" s="17">
        <v>79750</v>
      </c>
      <c r="E18" s="268">
        <f>D18/'- 3 -'!$D18*100</f>
        <v>6.2299868507827379E-2</v>
      </c>
    </row>
    <row r="19" spans="1:5" ht="14.1" customHeight="1">
      <c r="A19" s="272" t="s">
        <v>116</v>
      </c>
      <c r="B19" s="273">
        <v>66400</v>
      </c>
      <c r="C19" s="274">
        <f>B19/'- 3 -'!$D19*100</f>
        <v>0.14774131563641574</v>
      </c>
      <c r="D19" s="273">
        <v>22000</v>
      </c>
      <c r="E19" s="274">
        <f>D19/'- 3 -'!$D19*100</f>
        <v>4.8950435903631725E-2</v>
      </c>
    </row>
    <row r="20" spans="1:5" ht="14.1" customHeight="1">
      <c r="A20" s="16" t="s">
        <v>117</v>
      </c>
      <c r="B20" s="17">
        <v>168100</v>
      </c>
      <c r="C20" s="268">
        <f>B20/'- 3 -'!$D20*100</f>
        <v>0.2133606137068646</v>
      </c>
      <c r="D20" s="17">
        <v>493800</v>
      </c>
      <c r="E20" s="268">
        <f>D20/'- 3 -'!$D20*100</f>
        <v>0.62675473556484085</v>
      </c>
    </row>
    <row r="21" spans="1:5" ht="14.1" customHeight="1">
      <c r="A21" s="272" t="s">
        <v>118</v>
      </c>
      <c r="B21" s="273">
        <v>166000</v>
      </c>
      <c r="C21" s="274">
        <f>B21/'- 3 -'!$D21*100</f>
        <v>0.46755317565355975</v>
      </c>
      <c r="D21" s="273">
        <v>163000</v>
      </c>
      <c r="E21" s="274">
        <f>D21/'- 3 -'!$D21*100</f>
        <v>0.45910341946704969</v>
      </c>
    </row>
    <row r="22" spans="1:5" ht="14.1" customHeight="1">
      <c r="A22" s="16" t="s">
        <v>119</v>
      </c>
      <c r="B22" s="17">
        <v>74455</v>
      </c>
      <c r="C22" s="268">
        <f>B22/'- 3 -'!$D22*100</f>
        <v>0.36090558970557945</v>
      </c>
      <c r="D22" s="17">
        <v>32500</v>
      </c>
      <c r="E22" s="268">
        <f>D22/'- 3 -'!$D22*100</f>
        <v>0.15753719247104067</v>
      </c>
    </row>
    <row r="23" spans="1:5" ht="14.1" customHeight="1">
      <c r="A23" s="272" t="s">
        <v>120</v>
      </c>
      <c r="B23" s="273">
        <v>51400</v>
      </c>
      <c r="C23" s="274">
        <f>B23/'- 3 -'!$D23*100</f>
        <v>0.31151139449893905</v>
      </c>
      <c r="D23" s="273">
        <v>7700</v>
      </c>
      <c r="E23" s="274">
        <f>D23/'- 3 -'!$D23*100</f>
        <v>4.6666103845171801E-2</v>
      </c>
    </row>
    <row r="24" spans="1:5" ht="14.1" customHeight="1">
      <c r="A24" s="16" t="s">
        <v>121</v>
      </c>
      <c r="B24" s="17">
        <v>181245</v>
      </c>
      <c r="C24" s="268">
        <f>B24/'- 3 -'!$D24*100</f>
        <v>0.32418846234646126</v>
      </c>
      <c r="D24" s="17">
        <v>196125</v>
      </c>
      <c r="E24" s="268">
        <f>D24/'- 3 -'!$D24*100</f>
        <v>0.35080395143424487</v>
      </c>
    </row>
    <row r="25" spans="1:5" ht="14.1" customHeight="1">
      <c r="A25" s="272" t="s">
        <v>122</v>
      </c>
      <c r="B25" s="273">
        <v>222000</v>
      </c>
      <c r="C25" s="274">
        <f>B25/'- 3 -'!$D25*100</f>
        <v>0.13282093012798218</v>
      </c>
      <c r="D25" s="273">
        <v>400000</v>
      </c>
      <c r="E25" s="274">
        <f>D25/'- 3 -'!$D25*100</f>
        <v>0.2393169912215895</v>
      </c>
    </row>
    <row r="26" spans="1:5" ht="14.1" customHeight="1">
      <c r="A26" s="16" t="s">
        <v>123</v>
      </c>
      <c r="B26" s="17">
        <v>228841</v>
      </c>
      <c r="C26" s="268">
        <f>B26/'- 3 -'!$D26*100</f>
        <v>0.57372224699076046</v>
      </c>
      <c r="D26" s="17">
        <v>97661</v>
      </c>
      <c r="E26" s="268">
        <f>D26/'- 3 -'!$D26*100</f>
        <v>0.24484374899325145</v>
      </c>
    </row>
    <row r="27" spans="1:5" ht="14.1" customHeight="1">
      <c r="A27" s="272" t="s">
        <v>124</v>
      </c>
      <c r="B27" s="273">
        <v>170844</v>
      </c>
      <c r="C27" s="274">
        <f>B27/'- 3 -'!$D27*100</f>
        <v>0.39804655143748197</v>
      </c>
      <c r="D27" s="273">
        <v>138200</v>
      </c>
      <c r="E27" s="274">
        <f>D27/'- 3 -'!$D27*100</f>
        <v>0.32198984692854304</v>
      </c>
    </row>
    <row r="28" spans="1:5" ht="14.1" customHeight="1">
      <c r="A28" s="16" t="s">
        <v>125</v>
      </c>
      <c r="B28" s="17">
        <v>66950</v>
      </c>
      <c r="C28" s="268">
        <f>B28/'- 3 -'!$D28*100</f>
        <v>0.23903326450460632</v>
      </c>
      <c r="D28" s="17">
        <v>70634</v>
      </c>
      <c r="E28" s="268">
        <f>D28/'- 3 -'!$D28*100</f>
        <v>0.25218634212126007</v>
      </c>
    </row>
    <row r="29" spans="1:5" ht="14.1" customHeight="1">
      <c r="A29" s="272" t="s">
        <v>126</v>
      </c>
      <c r="B29" s="273">
        <v>458859</v>
      </c>
      <c r="C29" s="274">
        <f>B29/'- 3 -'!$D29*100</f>
        <v>0.29638222163975375</v>
      </c>
      <c r="D29" s="273">
        <v>799774</v>
      </c>
      <c r="E29" s="274">
        <f>D29/'- 3 -'!$D29*100</f>
        <v>0.51658307874469589</v>
      </c>
    </row>
    <row r="30" spans="1:5" ht="14.1" customHeight="1">
      <c r="A30" s="16" t="s">
        <v>127</v>
      </c>
      <c r="B30" s="17">
        <v>54113</v>
      </c>
      <c r="C30" s="268">
        <f>B30/'- 3 -'!$D30*100</f>
        <v>0.38673017999787457</v>
      </c>
      <c r="D30" s="17">
        <v>31800</v>
      </c>
      <c r="E30" s="268">
        <f>D30/'- 3 -'!$D30*100</f>
        <v>0.22726553183028869</v>
      </c>
    </row>
    <row r="31" spans="1:5" ht="14.1" customHeight="1">
      <c r="A31" s="272" t="s">
        <v>128</v>
      </c>
      <c r="B31" s="273">
        <v>84979</v>
      </c>
      <c r="C31" s="274">
        <f>B31/'- 3 -'!$D31*100</f>
        <v>0.23468675094849997</v>
      </c>
      <c r="D31" s="273">
        <v>61500</v>
      </c>
      <c r="E31" s="274">
        <f>D31/'- 3 -'!$D31*100</f>
        <v>0.16984472850154447</v>
      </c>
    </row>
    <row r="32" spans="1:5" ht="14.1" customHeight="1">
      <c r="A32" s="16" t="s">
        <v>129</v>
      </c>
      <c r="B32" s="17">
        <v>114425</v>
      </c>
      <c r="C32" s="268">
        <f>B32/'- 3 -'!$D32*100</f>
        <v>0.397908487967915</v>
      </c>
      <c r="D32" s="17">
        <v>177000</v>
      </c>
      <c r="E32" s="268">
        <f>D32/'- 3 -'!$D32*100</f>
        <v>0.6155106171756255</v>
      </c>
    </row>
    <row r="33" spans="1:5" ht="14.1" customHeight="1">
      <c r="A33" s="272" t="s">
        <v>130</v>
      </c>
      <c r="B33" s="273">
        <v>111500</v>
      </c>
      <c r="C33" s="274">
        <f>B33/'- 3 -'!$D33*100</f>
        <v>0.4088172531880413</v>
      </c>
      <c r="D33" s="273">
        <v>87000</v>
      </c>
      <c r="E33" s="274">
        <f>D33/'- 3 -'!$D33*100</f>
        <v>0.31898745316017568</v>
      </c>
    </row>
    <row r="34" spans="1:5" ht="14.1" customHeight="1">
      <c r="A34" s="16" t="s">
        <v>131</v>
      </c>
      <c r="B34" s="17">
        <v>95954</v>
      </c>
      <c r="C34" s="268">
        <f>B34/'- 3 -'!$D34*100</f>
        <v>0.34678646076324465</v>
      </c>
      <c r="D34" s="17">
        <v>108264</v>
      </c>
      <c r="E34" s="268">
        <f>D34/'- 3 -'!$D34*100</f>
        <v>0.39127591750288593</v>
      </c>
    </row>
    <row r="35" spans="1:5" ht="14.1" customHeight="1">
      <c r="A35" s="272" t="s">
        <v>132</v>
      </c>
      <c r="B35" s="273">
        <v>371000</v>
      </c>
      <c r="C35" s="274">
        <f>B35/'- 3 -'!$D35*100</f>
        <v>0.21056936287057329</v>
      </c>
      <c r="D35" s="273">
        <v>676300</v>
      </c>
      <c r="E35" s="274">
        <f>D35/'- 3 -'!$D35*100</f>
        <v>0.38384921862363536</v>
      </c>
    </row>
    <row r="36" spans="1:5" ht="14.1" customHeight="1">
      <c r="A36" s="16" t="s">
        <v>133</v>
      </c>
      <c r="B36" s="17">
        <v>178620</v>
      </c>
      <c r="C36" s="268">
        <f>B36/'- 3 -'!$D36*100</f>
        <v>0.77652159018683997</v>
      </c>
      <c r="D36" s="17">
        <v>70000</v>
      </c>
      <c r="E36" s="268">
        <f>D36/'- 3 -'!$D36*100</f>
        <v>0.30431369002955322</v>
      </c>
    </row>
    <row r="37" spans="1:5" ht="14.1" customHeight="1">
      <c r="A37" s="272" t="s">
        <v>134</v>
      </c>
      <c r="B37" s="273">
        <v>133256</v>
      </c>
      <c r="C37" s="274">
        <f>B37/'- 3 -'!$D37*100</f>
        <v>0.28490549901650558</v>
      </c>
      <c r="D37" s="273">
        <v>211500</v>
      </c>
      <c r="E37" s="274">
        <f>D37/'- 3 -'!$D37*100</f>
        <v>0.45219362011459852</v>
      </c>
    </row>
    <row r="38" spans="1:5" ht="14.1" customHeight="1">
      <c r="A38" s="16" t="s">
        <v>135</v>
      </c>
      <c r="B38" s="17">
        <v>470620</v>
      </c>
      <c r="C38" s="268">
        <f>B38/'- 3 -'!$D38*100</f>
        <v>0.36436034332124712</v>
      </c>
      <c r="D38" s="17">
        <v>504030</v>
      </c>
      <c r="E38" s="268">
        <f>D38/'- 3 -'!$D38*100</f>
        <v>0.39022681535890569</v>
      </c>
    </row>
    <row r="39" spans="1:5" ht="14.1" customHeight="1">
      <c r="A39" s="272" t="s">
        <v>136</v>
      </c>
      <c r="B39" s="273">
        <v>80900</v>
      </c>
      <c r="C39" s="274">
        <f>B39/'- 3 -'!$D39*100</f>
        <v>0.36888708726482311</v>
      </c>
      <c r="D39" s="273">
        <v>75600</v>
      </c>
      <c r="E39" s="274">
        <f>D39/'- 3 -'!$D39*100</f>
        <v>0.34472019526848735</v>
      </c>
    </row>
    <row r="40" spans="1:5" ht="14.1" customHeight="1">
      <c r="A40" s="16" t="s">
        <v>137</v>
      </c>
      <c r="B40" s="17">
        <v>544345</v>
      </c>
      <c r="C40" s="268">
        <f>B40/'- 3 -'!$D40*100</f>
        <v>0.53336500924478447</v>
      </c>
      <c r="D40" s="17">
        <v>312266</v>
      </c>
      <c r="E40" s="268">
        <f>D40/'- 3 -'!$D40*100</f>
        <v>0.30596727806231683</v>
      </c>
    </row>
    <row r="41" spans="1:5" ht="14.1" customHeight="1">
      <c r="A41" s="272" t="s">
        <v>138</v>
      </c>
      <c r="B41" s="273">
        <v>211792</v>
      </c>
      <c r="C41" s="274">
        <f>B41/'- 3 -'!$D41*100</f>
        <v>0.34025148458390492</v>
      </c>
      <c r="D41" s="273">
        <v>310000</v>
      </c>
      <c r="E41" s="274">
        <f>D41/'- 3 -'!$D41*100</f>
        <v>0.49802617766965002</v>
      </c>
    </row>
    <row r="42" spans="1:5" ht="14.1" customHeight="1">
      <c r="A42" s="16" t="s">
        <v>139</v>
      </c>
      <c r="B42" s="17">
        <v>133443</v>
      </c>
      <c r="C42" s="268">
        <f>B42/'- 3 -'!$D42*100</f>
        <v>0.64734971457389934</v>
      </c>
      <c r="D42" s="17">
        <v>97521</v>
      </c>
      <c r="E42" s="268">
        <f>D42/'- 3 -'!$D42*100</f>
        <v>0.4730873220398315</v>
      </c>
    </row>
    <row r="43" spans="1:5" ht="14.1" customHeight="1">
      <c r="A43" s="272" t="s">
        <v>140</v>
      </c>
      <c r="B43" s="273">
        <v>49600</v>
      </c>
      <c r="C43" s="274">
        <f>B43/'- 3 -'!$D43*100</f>
        <v>0.38646325194178305</v>
      </c>
      <c r="D43" s="273">
        <v>17500</v>
      </c>
      <c r="E43" s="274">
        <f>D43/'- 3 -'!$D43*100</f>
        <v>0.13635296187462104</v>
      </c>
    </row>
    <row r="44" spans="1:5" ht="14.1" customHeight="1">
      <c r="A44" s="16" t="s">
        <v>141</v>
      </c>
      <c r="B44" s="17">
        <v>47627</v>
      </c>
      <c r="C44" s="268">
        <f>B44/'- 3 -'!$D44*100</f>
        <v>0.43387459478270057</v>
      </c>
      <c r="D44" s="17">
        <v>37500</v>
      </c>
      <c r="E44" s="268">
        <f>D44/'- 3 -'!$D44*100</f>
        <v>0.34161919298614801</v>
      </c>
    </row>
    <row r="45" spans="1:5" ht="14.1" customHeight="1">
      <c r="A45" s="272" t="s">
        <v>142</v>
      </c>
      <c r="B45" s="273">
        <v>67600</v>
      </c>
      <c r="C45" s="274">
        <f>B45/'- 3 -'!$D45*100</f>
        <v>0.36913514692998595</v>
      </c>
      <c r="D45" s="273">
        <v>45000</v>
      </c>
      <c r="E45" s="274">
        <f>D45/'- 3 -'!$D45*100</f>
        <v>0.24572605934688416</v>
      </c>
    </row>
    <row r="46" spans="1:5" ht="14.1" customHeight="1">
      <c r="A46" s="16" t="s">
        <v>143</v>
      </c>
      <c r="B46" s="17">
        <v>1941600</v>
      </c>
      <c r="C46" s="268">
        <f>B46/'- 3 -'!$D46*100</f>
        <v>0.50699745796237472</v>
      </c>
      <c r="D46" s="17">
        <v>1170100</v>
      </c>
      <c r="E46" s="268">
        <f>D46/'- 3 -'!$D46*100</f>
        <v>0.30554064975369521</v>
      </c>
    </row>
    <row r="47" spans="1:5" ht="5.0999999999999996" customHeight="1">
      <c r="A47"/>
      <c r="B47"/>
      <c r="C47"/>
      <c r="D47"/>
      <c r="E47"/>
    </row>
    <row r="48" spans="1:5" ht="14.1" customHeight="1">
      <c r="A48" s="275" t="s">
        <v>144</v>
      </c>
      <c r="B48" s="276">
        <f>SUM(B11:B46)</f>
        <v>10569583</v>
      </c>
      <c r="C48" s="277">
        <f>B48/'- 3 -'!$D48*100</f>
        <v>0.47352735711935939</v>
      </c>
      <c r="D48" s="276">
        <f>SUM(D11:D46)</f>
        <v>7376860</v>
      </c>
      <c r="E48" s="277">
        <f>D48/'- 3 -'!$D48*100</f>
        <v>0.33049033435278552</v>
      </c>
    </row>
    <row r="49" spans="1:5" ht="5.0999999999999996" customHeight="1">
      <c r="A49" s="18" t="s">
        <v>1</v>
      </c>
      <c r="B49" s="19"/>
      <c r="C49" s="267"/>
      <c r="D49" s="19"/>
      <c r="E49" s="267"/>
    </row>
    <row r="50" spans="1:5" ht="14.1" customHeight="1">
      <c r="A50" s="16" t="s">
        <v>145</v>
      </c>
      <c r="B50" s="17">
        <v>0</v>
      </c>
      <c r="C50" s="268">
        <f>B50/'- 3 -'!$D50*100</f>
        <v>0</v>
      </c>
      <c r="D50" s="17">
        <v>8000</v>
      </c>
      <c r="E50" s="268">
        <f>D50/'- 3 -'!$D50*100</f>
        <v>0.23826654535921177</v>
      </c>
    </row>
    <row r="51" spans="1:5" ht="14.1" customHeight="1">
      <c r="A51" s="364" t="s">
        <v>540</v>
      </c>
      <c r="B51" s="273">
        <v>0</v>
      </c>
      <c r="C51" s="274">
        <f>B51/'- 3 -'!$D51*100</f>
        <v>0</v>
      </c>
      <c r="D51" s="273">
        <v>44500</v>
      </c>
      <c r="E51" s="274">
        <f>D51/'- 3 -'!$D51*100</f>
        <v>0.17568016450927479</v>
      </c>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mergeCells count="3">
    <mergeCell ref="B6:E6"/>
    <mergeCell ref="B8:C8"/>
    <mergeCell ref="D8: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F59"/>
  <sheetViews>
    <sheetView showGridLines="0" showZeros="0" workbookViewId="0"/>
  </sheetViews>
  <sheetFormatPr defaultColWidth="15.83203125" defaultRowHeight="12"/>
  <cols>
    <col min="1" max="1" width="36.83203125" style="1" customWidth="1"/>
    <col min="2" max="2" width="18.83203125" style="1" customWidth="1"/>
    <col min="3" max="3" width="11.6640625" style="1" customWidth="1"/>
    <col min="4" max="4" width="18.83203125" style="1" customWidth="1"/>
    <col min="5" max="5" width="11.6640625" style="1" customWidth="1"/>
    <col min="6" max="6" width="26.83203125" style="1" customWidth="1"/>
    <col min="7" max="16384" width="15.83203125" style="1"/>
  </cols>
  <sheetData>
    <row r="1" spans="1:6" ht="6.95" customHeight="1">
      <c r="A1" s="3"/>
      <c r="B1" s="4"/>
      <c r="C1" s="4"/>
      <c r="D1" s="4"/>
      <c r="E1" s="4"/>
      <c r="F1" s="4"/>
    </row>
    <row r="2" spans="1:6" ht="15.95" customHeight="1">
      <c r="A2" s="133"/>
      <c r="B2" s="5" t="str">
        <f>AEXP_BP</f>
        <v>ANALYSIS OF EXPENSE BY PROGRAM</v>
      </c>
      <c r="C2" s="6"/>
      <c r="D2" s="6"/>
      <c r="E2" s="6"/>
      <c r="F2" s="510" t="s">
        <v>575</v>
      </c>
    </row>
    <row r="3" spans="1:6" ht="15.95" customHeight="1">
      <c r="A3" s="136"/>
      <c r="B3" s="7" t="str">
        <f>OPYEAR</f>
        <v>OPERATING FUND 2015/2016 BUDGET</v>
      </c>
      <c r="C3" s="8"/>
      <c r="D3" s="8"/>
      <c r="E3" s="8"/>
      <c r="F3" s="82"/>
    </row>
    <row r="4" spans="1:6" ht="15.95" customHeight="1">
      <c r="B4" s="4"/>
      <c r="C4" s="4"/>
      <c r="D4" s="4"/>
      <c r="E4" s="4"/>
      <c r="F4" s="4"/>
    </row>
    <row r="5" spans="1:6" ht="15.95" customHeight="1">
      <c r="B5" s="4"/>
      <c r="C5" s="4"/>
      <c r="D5" s="4"/>
      <c r="E5" s="4"/>
      <c r="F5" s="4"/>
    </row>
    <row r="6" spans="1:6" ht="15.95" customHeight="1">
      <c r="B6" s="655" t="s">
        <v>10</v>
      </c>
      <c r="C6" s="656"/>
      <c r="D6" s="656"/>
      <c r="E6" s="657"/>
    </row>
    <row r="7" spans="1:6" ht="15.95" customHeight="1">
      <c r="B7" s="315"/>
      <c r="C7" s="271"/>
      <c r="D7" s="607" t="s">
        <v>444</v>
      </c>
      <c r="E7" s="608"/>
    </row>
    <row r="8" spans="1:6" ht="15.95" customHeight="1">
      <c r="A8" s="83"/>
      <c r="B8" s="601" t="s">
        <v>32</v>
      </c>
      <c r="C8" s="602"/>
      <c r="D8" s="609"/>
      <c r="E8" s="610"/>
    </row>
    <row r="9" spans="1:6" ht="15.95" customHeight="1">
      <c r="A9" s="28" t="s">
        <v>37</v>
      </c>
      <c r="B9" s="152" t="s">
        <v>38</v>
      </c>
      <c r="C9" s="152" t="s">
        <v>39</v>
      </c>
      <c r="D9" s="155" t="s">
        <v>38</v>
      </c>
      <c r="E9" s="152" t="s">
        <v>39</v>
      </c>
    </row>
    <row r="10" spans="1:6" ht="5.0999999999999996" customHeight="1">
      <c r="A10" s="30"/>
    </row>
    <row r="11" spans="1:6" ht="14.1" customHeight="1">
      <c r="A11" s="272" t="s">
        <v>109</v>
      </c>
      <c r="B11" s="273">
        <v>14000</v>
      </c>
      <c r="C11" s="274">
        <f>B11/'- 3 -'!$D11*100</f>
        <v>7.6056451271174927E-2</v>
      </c>
      <c r="D11" s="273">
        <v>300000</v>
      </c>
      <c r="E11" s="274">
        <f>D11/'- 3 -'!$D11*100</f>
        <v>1.6297810986680341</v>
      </c>
    </row>
    <row r="12" spans="1:6" ht="14.1" customHeight="1">
      <c r="A12" s="16" t="s">
        <v>110</v>
      </c>
      <c r="B12" s="17">
        <v>10000</v>
      </c>
      <c r="C12" s="268">
        <f>B12/'- 3 -'!$D12*100</f>
        <v>3.1184542670417835E-2</v>
      </c>
      <c r="D12" s="17">
        <v>494461</v>
      </c>
      <c r="E12" s="268">
        <f>D12/'- 3 -'!$D12*100</f>
        <v>1.5419540153357474</v>
      </c>
    </row>
    <row r="13" spans="1:6" ht="14.1" customHeight="1">
      <c r="A13" s="272" t="s">
        <v>111</v>
      </c>
      <c r="B13" s="273">
        <v>30100</v>
      </c>
      <c r="C13" s="274">
        <f>B13/'- 3 -'!$D13*100</f>
        <v>3.2404546540895404E-2</v>
      </c>
      <c r="D13" s="273">
        <v>1600000</v>
      </c>
      <c r="E13" s="274">
        <f>D13/'- 3 -'!$D13*100</f>
        <v>1.7225008128050709</v>
      </c>
    </row>
    <row r="14" spans="1:6" ht="14.1" customHeight="1">
      <c r="A14" s="16" t="s">
        <v>324</v>
      </c>
      <c r="B14" s="17">
        <v>125818</v>
      </c>
      <c r="C14" s="268">
        <f>B14/'- 3 -'!$D14*100</f>
        <v>0.15171160224661179</v>
      </c>
      <c r="D14" s="17">
        <v>1205956</v>
      </c>
      <c r="E14" s="268">
        <f>D14/'- 3 -'!$D14*100</f>
        <v>1.4541442162402436</v>
      </c>
    </row>
    <row r="15" spans="1:6" ht="14.1" customHeight="1">
      <c r="A15" s="272" t="s">
        <v>112</v>
      </c>
      <c r="B15" s="273">
        <v>12000</v>
      </c>
      <c r="C15" s="274">
        <f>B15/'- 3 -'!$D15*100</f>
        <v>5.9650961347320362E-2</v>
      </c>
      <c r="D15" s="273">
        <v>305000</v>
      </c>
      <c r="E15" s="274">
        <f>D15/'- 3 -'!$D15*100</f>
        <v>1.5161286009110591</v>
      </c>
    </row>
    <row r="16" spans="1:6" ht="14.1" customHeight="1">
      <c r="A16" s="16" t="s">
        <v>113</v>
      </c>
      <c r="B16" s="17">
        <v>17500</v>
      </c>
      <c r="C16" s="268">
        <f>B16/'- 3 -'!$D16*100</f>
        <v>0.12439868342120264</v>
      </c>
      <c r="D16" s="17">
        <v>199920</v>
      </c>
      <c r="E16" s="268">
        <f>D16/'- 3 -'!$D16*100</f>
        <v>1.4211305594038188</v>
      </c>
    </row>
    <row r="17" spans="1:5" ht="14.1" customHeight="1">
      <c r="A17" s="272" t="s">
        <v>114</v>
      </c>
      <c r="B17" s="273">
        <v>76000</v>
      </c>
      <c r="C17" s="274">
        <f>B17/'- 3 -'!$D17*100</f>
        <v>0.43199822198626531</v>
      </c>
      <c r="D17" s="273">
        <v>285000</v>
      </c>
      <c r="E17" s="274">
        <f>D17/'- 3 -'!$D17*100</f>
        <v>1.619993332448495</v>
      </c>
    </row>
    <row r="18" spans="1:5" ht="14.1" customHeight="1">
      <c r="A18" s="16" t="s">
        <v>115</v>
      </c>
      <c r="B18" s="17">
        <v>275000</v>
      </c>
      <c r="C18" s="268">
        <f>B18/'- 3 -'!$D18*100</f>
        <v>0.21482713278561166</v>
      </c>
      <c r="D18" s="17">
        <v>1800000</v>
      </c>
      <c r="E18" s="268">
        <f>D18/'- 3 -'!$D18*100</f>
        <v>1.4061412327785487</v>
      </c>
    </row>
    <row r="19" spans="1:5" ht="14.1" customHeight="1">
      <c r="A19" s="272" t="s">
        <v>116</v>
      </c>
      <c r="B19" s="273">
        <v>25000</v>
      </c>
      <c r="C19" s="274">
        <f>B19/'- 3 -'!$D19*100</f>
        <v>5.5625495345036052E-2</v>
      </c>
      <c r="D19" s="273">
        <v>725000</v>
      </c>
      <c r="E19" s="274">
        <f>D19/'- 3 -'!$D19*100</f>
        <v>1.6131393650060455</v>
      </c>
    </row>
    <row r="20" spans="1:5" ht="14.1" customHeight="1">
      <c r="A20" s="16" t="s">
        <v>117</v>
      </c>
      <c r="B20" s="17">
        <v>180000</v>
      </c>
      <c r="C20" s="268">
        <f>B20/'- 3 -'!$D20*100</f>
        <v>0.22846466667005133</v>
      </c>
      <c r="D20" s="17">
        <v>1283900</v>
      </c>
      <c r="E20" s="268">
        <f>D20/'- 3 -'!$D20*100</f>
        <v>1.6295876974315493</v>
      </c>
    </row>
    <row r="21" spans="1:5" ht="14.1" customHeight="1">
      <c r="A21" s="272" t="s">
        <v>118</v>
      </c>
      <c r="B21" s="273">
        <v>78000</v>
      </c>
      <c r="C21" s="274">
        <f>B21/'- 3 -'!$D21*100</f>
        <v>0.21969366084926303</v>
      </c>
      <c r="D21" s="273">
        <v>605000</v>
      </c>
      <c r="E21" s="274">
        <f>D21/'- 3 -'!$D21*100</f>
        <v>1.70403416427954</v>
      </c>
    </row>
    <row r="22" spans="1:5" ht="14.1" customHeight="1">
      <c r="A22" s="16" t="s">
        <v>119</v>
      </c>
      <c r="B22" s="17">
        <v>30000</v>
      </c>
      <c r="C22" s="268">
        <f>B22/'- 3 -'!$D22*100</f>
        <v>0.14541894689634524</v>
      </c>
      <c r="D22" s="17">
        <v>346530</v>
      </c>
      <c r="E22" s="268">
        <f>D22/'- 3 -'!$D22*100</f>
        <v>1.6797342555996839</v>
      </c>
    </row>
    <row r="23" spans="1:5" ht="14.1" customHeight="1">
      <c r="A23" s="272" t="s">
        <v>120</v>
      </c>
      <c r="B23" s="273">
        <v>5000</v>
      </c>
      <c r="C23" s="274">
        <f>B23/'- 3 -'!$D23*100</f>
        <v>3.0302664834527149E-2</v>
      </c>
      <c r="D23" s="273">
        <v>250000</v>
      </c>
      <c r="E23" s="274">
        <f>D23/'- 3 -'!$D23*100</f>
        <v>1.5151332417263574</v>
      </c>
    </row>
    <row r="24" spans="1:5" ht="14.1" customHeight="1">
      <c r="A24" s="16" t="s">
        <v>121</v>
      </c>
      <c r="B24" s="17">
        <v>40000</v>
      </c>
      <c r="C24" s="268">
        <f>B24/'- 3 -'!$D24*100</f>
        <v>7.154701367683769E-2</v>
      </c>
      <c r="D24" s="17">
        <v>929000</v>
      </c>
      <c r="E24" s="268">
        <f>D24/'- 3 -'!$D24*100</f>
        <v>1.6616793926445557</v>
      </c>
    </row>
    <row r="25" spans="1:5" ht="14.1" customHeight="1">
      <c r="A25" s="272" t="s">
        <v>122</v>
      </c>
      <c r="B25" s="273">
        <v>108000</v>
      </c>
      <c r="C25" s="274">
        <f>B25/'- 3 -'!$D25*100</f>
        <v>6.4615587629829163E-2</v>
      </c>
      <c r="D25" s="273">
        <v>2729281</v>
      </c>
      <c r="E25" s="274">
        <f>D25/'- 3 -'!$D25*100</f>
        <v>1.6329082927956275</v>
      </c>
    </row>
    <row r="26" spans="1:5" ht="14.1" customHeight="1">
      <c r="A26" s="16" t="s">
        <v>123</v>
      </c>
      <c r="B26" s="17">
        <v>120000</v>
      </c>
      <c r="C26" s="268">
        <f>B26/'- 3 -'!$D26*100</f>
        <v>0.30084936544977192</v>
      </c>
      <c r="D26" s="17">
        <v>601035</v>
      </c>
      <c r="E26" s="268">
        <f>D26/'- 3 -'!$D26*100</f>
        <v>1.5068416530258639</v>
      </c>
    </row>
    <row r="27" spans="1:5" ht="14.1" customHeight="1">
      <c r="A27" s="272" t="s">
        <v>124</v>
      </c>
      <c r="B27" s="273">
        <v>6500</v>
      </c>
      <c r="C27" s="274">
        <f>B27/'- 3 -'!$D27*100</f>
        <v>1.5144240267985019E-2</v>
      </c>
      <c r="D27" s="273">
        <v>698896</v>
      </c>
      <c r="E27" s="274">
        <f>D27/'- 3 -'!$D27*100</f>
        <v>1.6283459917436398</v>
      </c>
    </row>
    <row r="28" spans="1:5" ht="14.1" customHeight="1">
      <c r="A28" s="16" t="s">
        <v>125</v>
      </c>
      <c r="B28" s="17">
        <v>42000</v>
      </c>
      <c r="C28" s="268">
        <f>B28/'- 3 -'!$D28*100</f>
        <v>0.14995365361005925</v>
      </c>
      <c r="D28" s="17">
        <v>425000</v>
      </c>
      <c r="E28" s="268">
        <f>D28/'- 3 -'!$D28*100</f>
        <v>1.5173881615303615</v>
      </c>
    </row>
    <row r="29" spans="1:5" ht="14.1" customHeight="1">
      <c r="A29" s="272" t="s">
        <v>126</v>
      </c>
      <c r="B29" s="273">
        <v>120000</v>
      </c>
      <c r="C29" s="274">
        <f>B29/'- 3 -'!$D29*100</f>
        <v>7.7509358205397408E-2</v>
      </c>
      <c r="D29" s="273">
        <v>2589000</v>
      </c>
      <c r="E29" s="274">
        <f>D29/'- 3 -'!$D29*100</f>
        <v>1.6722644032814493</v>
      </c>
    </row>
    <row r="30" spans="1:5" ht="14.1" customHeight="1">
      <c r="A30" s="16" t="s">
        <v>127</v>
      </c>
      <c r="B30" s="17">
        <v>6000</v>
      </c>
      <c r="C30" s="268">
        <f>B30/'- 3 -'!$D30*100</f>
        <v>4.2880289024582768E-2</v>
      </c>
      <c r="D30" s="17">
        <v>220444</v>
      </c>
      <c r="E30" s="268">
        <f>D30/'- 3 -'!$D30*100</f>
        <v>1.5754504056225207</v>
      </c>
    </row>
    <row r="31" spans="1:5" ht="14.1" customHeight="1">
      <c r="A31" s="272" t="s">
        <v>128</v>
      </c>
      <c r="B31" s="273">
        <v>35000</v>
      </c>
      <c r="C31" s="274">
        <f>B31/'- 3 -'!$D31*100</f>
        <v>9.6659601586244814E-2</v>
      </c>
      <c r="D31" s="273">
        <v>612071</v>
      </c>
      <c r="E31" s="274">
        <f>D31/'- 3 -'!$D31*100</f>
        <v>1.6903582572141271</v>
      </c>
    </row>
    <row r="32" spans="1:5" ht="14.1" customHeight="1">
      <c r="A32" s="16" t="s">
        <v>129</v>
      </c>
      <c r="B32" s="17">
        <v>33000</v>
      </c>
      <c r="C32" s="268">
        <f>B32/'- 3 -'!$D32*100</f>
        <v>0.11475621676155731</v>
      </c>
      <c r="D32" s="17">
        <v>456000</v>
      </c>
      <c r="E32" s="268">
        <f>D32/'- 3 -'!$D32*100</f>
        <v>1.5857222679778828</v>
      </c>
    </row>
    <row r="33" spans="1:5" ht="14.1" customHeight="1">
      <c r="A33" s="272" t="s">
        <v>130</v>
      </c>
      <c r="B33" s="273">
        <v>20000</v>
      </c>
      <c r="C33" s="274">
        <f>B33/'- 3 -'!$D33*100</f>
        <v>7.3330449002339246E-2</v>
      </c>
      <c r="D33" s="273">
        <v>400000</v>
      </c>
      <c r="E33" s="274">
        <f>D33/'- 3 -'!$D33*100</f>
        <v>1.4666089800467847</v>
      </c>
    </row>
    <row r="34" spans="1:5" ht="14.1" customHeight="1">
      <c r="A34" s="16" t="s">
        <v>131</v>
      </c>
      <c r="B34" s="17">
        <v>40000</v>
      </c>
      <c r="C34" s="268">
        <f>B34/'- 3 -'!$D34*100</f>
        <v>0.14456362872344858</v>
      </c>
      <c r="D34" s="17">
        <v>443283</v>
      </c>
      <c r="E34" s="268">
        <f>D34/'- 3 -'!$D34*100</f>
        <v>1.6020649757854115</v>
      </c>
    </row>
    <row r="35" spans="1:5" ht="14.1" customHeight="1">
      <c r="A35" s="272" t="s">
        <v>132</v>
      </c>
      <c r="B35" s="273">
        <v>33700</v>
      </c>
      <c r="C35" s="274">
        <f>B35/'- 3 -'!$D35*100</f>
        <v>1.9127190104415954E-2</v>
      </c>
      <c r="D35" s="273">
        <v>3050000</v>
      </c>
      <c r="E35" s="274">
        <f>D35/'- 3 -'!$D35*100</f>
        <v>1.7310958403106429</v>
      </c>
    </row>
    <row r="36" spans="1:5" ht="14.1" customHeight="1">
      <c r="A36" s="16" t="s">
        <v>133</v>
      </c>
      <c r="B36" s="17">
        <v>50000</v>
      </c>
      <c r="C36" s="268">
        <f>B36/'- 3 -'!$D36*100</f>
        <v>0.21736692144968089</v>
      </c>
      <c r="D36" s="17">
        <v>375000</v>
      </c>
      <c r="E36" s="268">
        <f>D36/'- 3 -'!$D36*100</f>
        <v>1.6302519108726063</v>
      </c>
    </row>
    <row r="37" spans="1:5" ht="14.1" customHeight="1">
      <c r="A37" s="272" t="s">
        <v>134</v>
      </c>
      <c r="B37" s="273">
        <v>35000</v>
      </c>
      <c r="C37" s="274">
        <f>B37/'- 3 -'!$D37*100</f>
        <v>7.4831095527238517E-2</v>
      </c>
      <c r="D37" s="273">
        <v>730000</v>
      </c>
      <c r="E37" s="274">
        <f>D37/'- 3 -'!$D37*100</f>
        <v>1.5607628495681176</v>
      </c>
    </row>
    <row r="38" spans="1:5" ht="14.1" customHeight="1">
      <c r="A38" s="16" t="s">
        <v>135</v>
      </c>
      <c r="B38" s="17">
        <v>250000</v>
      </c>
      <c r="C38" s="268">
        <f>B38/'- 3 -'!$D38*100</f>
        <v>0.19355336753710375</v>
      </c>
      <c r="D38" s="17">
        <v>2099380</v>
      </c>
      <c r="E38" s="268">
        <f>D38/'- 3 -'!$D38*100</f>
        <v>1.6253682749601797</v>
      </c>
    </row>
    <row r="39" spans="1:5" ht="14.1" customHeight="1">
      <c r="A39" s="272" t="s">
        <v>136</v>
      </c>
      <c r="B39" s="273">
        <v>125000</v>
      </c>
      <c r="C39" s="274">
        <f>B39/'- 3 -'!$D39*100</f>
        <v>0.56997386783810733</v>
      </c>
      <c r="D39" s="273">
        <v>315000</v>
      </c>
      <c r="E39" s="274">
        <f>D39/'- 3 -'!$D39*100</f>
        <v>1.4363341469520305</v>
      </c>
    </row>
    <row r="40" spans="1:5" ht="14.1" customHeight="1">
      <c r="A40" s="16" t="s">
        <v>137</v>
      </c>
      <c r="B40" s="17">
        <v>26600</v>
      </c>
      <c r="C40" s="268">
        <f>B40/'- 3 -'!$D40*100</f>
        <v>2.6063451020788775E-2</v>
      </c>
      <c r="D40" s="17">
        <v>1673252</v>
      </c>
      <c r="E40" s="268">
        <f>D40/'- 3 -'!$D40*100</f>
        <v>1.6395008100540172</v>
      </c>
    </row>
    <row r="41" spans="1:5" ht="14.1" customHeight="1">
      <c r="A41" s="272" t="s">
        <v>138</v>
      </c>
      <c r="B41" s="273">
        <v>123000</v>
      </c>
      <c r="C41" s="274">
        <f>B41/'- 3 -'!$D41*100</f>
        <v>0.19760393501086115</v>
      </c>
      <c r="D41" s="273">
        <v>1010000</v>
      </c>
      <c r="E41" s="274">
        <f>D41/'- 3 -'!$D41*100</f>
        <v>1.6226014175688599</v>
      </c>
    </row>
    <row r="42" spans="1:5" ht="14.1" customHeight="1">
      <c r="A42" s="16" t="s">
        <v>139</v>
      </c>
      <c r="B42" s="17">
        <v>2000</v>
      </c>
      <c r="C42" s="268">
        <f>B42/'- 3 -'!$D42*100</f>
        <v>9.702265605148256E-3</v>
      </c>
      <c r="D42" s="17">
        <v>321000</v>
      </c>
      <c r="E42" s="268">
        <f>D42/'- 3 -'!$D42*100</f>
        <v>1.5572136296262948</v>
      </c>
    </row>
    <row r="43" spans="1:5" ht="14.1" customHeight="1">
      <c r="A43" s="272" t="s">
        <v>140</v>
      </c>
      <c r="B43" s="273">
        <v>26000</v>
      </c>
      <c r="C43" s="274">
        <f>B43/'- 3 -'!$D43*100</f>
        <v>0.2025815433565798</v>
      </c>
      <c r="D43" s="273">
        <v>202000</v>
      </c>
      <c r="E43" s="274">
        <f>D43/'- 3 -'!$D43*100</f>
        <v>1.573902759924197</v>
      </c>
    </row>
    <row r="44" spans="1:5" ht="14.1" customHeight="1">
      <c r="A44" s="16" t="s">
        <v>141</v>
      </c>
      <c r="B44" s="17">
        <v>2300</v>
      </c>
      <c r="C44" s="268">
        <f>B44/'- 3 -'!$D44*100</f>
        <v>2.0952643836483747E-2</v>
      </c>
      <c r="D44" s="17">
        <v>168303</v>
      </c>
      <c r="E44" s="268">
        <f>D44/'- 3 -'!$D44*100</f>
        <v>1.5332142676572713</v>
      </c>
    </row>
    <row r="45" spans="1:5" ht="14.1" customHeight="1">
      <c r="A45" s="272" t="s">
        <v>142</v>
      </c>
      <c r="B45" s="273">
        <v>25000</v>
      </c>
      <c r="C45" s="274">
        <f>B45/'- 3 -'!$D45*100</f>
        <v>0.13651447741493564</v>
      </c>
      <c r="D45" s="273">
        <v>300508</v>
      </c>
      <c r="E45" s="274">
        <f>D45/'- 3 -'!$D45*100</f>
        <v>1.6409477031602993</v>
      </c>
    </row>
    <row r="46" spans="1:5" ht="14.1" customHeight="1">
      <c r="A46" s="16" t="s">
        <v>143</v>
      </c>
      <c r="B46" s="17">
        <v>627600</v>
      </c>
      <c r="C46" s="268">
        <f>B46/'- 3 -'!$D46*100</f>
        <v>0.16388113134383311</v>
      </c>
      <c r="D46" s="17">
        <v>6387100</v>
      </c>
      <c r="E46" s="268">
        <f>D46/'- 3 -'!$D46*100</f>
        <v>1.6678221383145257</v>
      </c>
    </row>
    <row r="47" spans="1:5" ht="5.0999999999999996" customHeight="1">
      <c r="A47"/>
      <c r="B47"/>
      <c r="C47"/>
      <c r="D47"/>
      <c r="E47"/>
    </row>
    <row r="48" spans="1:5" ht="14.1" customHeight="1">
      <c r="A48" s="275" t="s">
        <v>144</v>
      </c>
      <c r="B48" s="276">
        <f>SUM(B11:B46)</f>
        <v>2775118</v>
      </c>
      <c r="C48" s="277">
        <f>B48/'- 3 -'!$D48*100</f>
        <v>0.12432792213603532</v>
      </c>
      <c r="D48" s="276">
        <f>SUM(D11:D46)</f>
        <v>36136320</v>
      </c>
      <c r="E48" s="277">
        <f>D48/'- 3 -'!$D48*100</f>
        <v>1.6189414573516712</v>
      </c>
    </row>
    <row r="49" spans="1:5" ht="5.0999999999999996" customHeight="1">
      <c r="A49" s="18" t="s">
        <v>1</v>
      </c>
      <c r="B49" s="19"/>
      <c r="C49" s="267"/>
      <c r="D49" s="19"/>
      <c r="E49" s="267"/>
    </row>
    <row r="50" spans="1:5" ht="14.1" customHeight="1">
      <c r="A50" s="16" t="s">
        <v>145</v>
      </c>
      <c r="B50" s="17">
        <v>5500</v>
      </c>
      <c r="C50" s="268">
        <f>B50/'- 3 -'!$D50*100</f>
        <v>0.16380824993445808</v>
      </c>
      <c r="D50" s="17">
        <v>42000</v>
      </c>
      <c r="E50" s="268">
        <f>D50/'- 3 -'!$D50*100</f>
        <v>1.2508993631358618</v>
      </c>
    </row>
    <row r="51" spans="1:5" ht="14.1" customHeight="1">
      <c r="A51" s="364" t="s">
        <v>540</v>
      </c>
      <c r="B51" s="273">
        <v>57000</v>
      </c>
      <c r="C51" s="274">
        <f>B51/'- 3 -'!$D51*100</f>
        <v>0.22502852532648676</v>
      </c>
      <c r="D51" s="273">
        <v>149612</v>
      </c>
      <c r="E51" s="274">
        <f>D51/'- 3 -'!$D51*100</f>
        <v>0.59064855668677785</v>
      </c>
    </row>
    <row r="52" spans="1:5" ht="50.1" customHeight="1"/>
    <row r="53" spans="1:5" ht="15" customHeight="1">
      <c r="C53" s="91"/>
    </row>
    <row r="54" spans="1:5" ht="14.45" customHeight="1">
      <c r="C54" s="91"/>
    </row>
    <row r="55" spans="1:5" ht="14.45" customHeight="1"/>
    <row r="56" spans="1:5" ht="14.45" customHeight="1"/>
    <row r="57" spans="1:5" ht="14.45" customHeight="1"/>
    <row r="58" spans="1:5" ht="14.45" customHeight="1"/>
    <row r="59" spans="1:5" ht="14.45" customHeight="1"/>
  </sheetData>
  <mergeCells count="3">
    <mergeCell ref="B6:E6"/>
    <mergeCell ref="B8:C8"/>
    <mergeCell ref="D7:E8"/>
  </mergeCells>
  <phoneticPr fontId="0" type="noConversion"/>
  <printOptions horizontalCentered="1"/>
  <pageMargins left="0.51181102362204722" right="0.51181102362204722" top="0.59055118110236227" bottom="0" header="0.31496062992125984" footer="0"/>
  <pageSetup scale="90" orientation="portrait"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BB59"/>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4" ht="6.95" customHeight="1">
      <c r="A1" s="3"/>
      <c r="B1" s="4"/>
      <c r="C1" s="4"/>
      <c r="D1" s="4"/>
      <c r="E1" s="4"/>
    </row>
    <row r="2" spans="1:54" ht="15.95" customHeight="1">
      <c r="A2" s="533" t="str">
        <f>IF(Lang=1,BA2,BB2)</f>
        <v>OPERATING FUND EXPENSE PER PUPIL</v>
      </c>
      <c r="B2" s="533"/>
      <c r="C2" s="533"/>
      <c r="D2" s="533"/>
      <c r="E2" s="533"/>
      <c r="BA2" s="465" t="s">
        <v>256</v>
      </c>
      <c r="BB2" s="466" t="s">
        <v>384</v>
      </c>
    </row>
    <row r="3" spans="1:54" ht="15.95" customHeight="1">
      <c r="A3" s="534"/>
      <c r="B3" s="534"/>
      <c r="C3" s="534"/>
      <c r="D3" s="534"/>
      <c r="E3" s="534"/>
    </row>
    <row r="4" spans="1:54" ht="15.95" customHeight="1">
      <c r="B4" s="4"/>
      <c r="C4" s="23"/>
      <c r="D4" s="24"/>
      <c r="E4" s="23"/>
    </row>
    <row r="5" spans="1:54" ht="15.95" customHeight="1">
      <c r="B5" s="4"/>
      <c r="C5" s="4"/>
      <c r="D5" s="4"/>
      <c r="E5" s="4"/>
    </row>
    <row r="6" spans="1:54" ht="15.95" customHeight="1">
      <c r="B6" s="4"/>
      <c r="C6" s="4"/>
      <c r="D6" s="4"/>
      <c r="E6" s="4"/>
    </row>
    <row r="7" spans="1:54" ht="15.95" customHeight="1">
      <c r="B7" s="284" t="s">
        <v>365</v>
      </c>
      <c r="C7" s="295"/>
      <c r="D7" s="284" t="s">
        <v>533</v>
      </c>
      <c r="E7" s="298"/>
    </row>
    <row r="8" spans="1:54" ht="15.95" customHeight="1">
      <c r="A8" s="25"/>
      <c r="B8" s="26"/>
      <c r="C8" s="27"/>
      <c r="D8" s="26"/>
      <c r="E8" s="27"/>
    </row>
    <row r="9" spans="1:54" ht="15.95" customHeight="1">
      <c r="A9" s="28" t="s">
        <v>37</v>
      </c>
      <c r="B9" s="29" t="s">
        <v>257</v>
      </c>
      <c r="C9" s="29" t="s">
        <v>40</v>
      </c>
      <c r="D9" s="29" t="s">
        <v>257</v>
      </c>
      <c r="E9" s="29" t="s">
        <v>40</v>
      </c>
    </row>
    <row r="10" spans="1:54" ht="5.0999999999999996" customHeight="1">
      <c r="A10" s="30"/>
    </row>
    <row r="11" spans="1:54" ht="14.1" customHeight="1">
      <c r="A11" s="272" t="s">
        <v>109</v>
      </c>
      <c r="B11" s="273">
        <v>17351202</v>
      </c>
      <c r="C11" s="273">
        <v>11220</v>
      </c>
      <c r="D11" s="273">
        <f>'- 3 -'!F11</f>
        <v>18386780</v>
      </c>
      <c r="E11" s="273">
        <f>ROUND(D11/'- 7 -'!F11,0)</f>
        <v>11164</v>
      </c>
      <c r="F11" s="1" t="str">
        <f>IF(B11=D11,"Check","")</f>
        <v/>
      </c>
    </row>
    <row r="12" spans="1:54" ht="14.1" customHeight="1">
      <c r="A12" s="16" t="s">
        <v>110</v>
      </c>
      <c r="B12" s="31">
        <v>30879385</v>
      </c>
      <c r="C12" s="31">
        <v>14122</v>
      </c>
      <c r="D12" s="17">
        <f>'- 3 -'!F12</f>
        <v>31397112</v>
      </c>
      <c r="E12" s="17">
        <f>ROUND(D12/'- 7 -'!F12,0)</f>
        <v>14475</v>
      </c>
      <c r="F12" s="1" t="str">
        <f t="shared" ref="F12:F51" si="0">IF(B12=D12,"Check","")</f>
        <v/>
      </c>
    </row>
    <row r="13" spans="1:54" ht="14.1" customHeight="1">
      <c r="A13" s="272" t="s">
        <v>111</v>
      </c>
      <c r="B13" s="273">
        <v>88968000</v>
      </c>
      <c r="C13" s="273">
        <v>10956</v>
      </c>
      <c r="D13" s="273">
        <f>'- 3 -'!F13</f>
        <v>92513400</v>
      </c>
      <c r="E13" s="273">
        <f>ROUND(D13/'- 7 -'!F13,0)</f>
        <v>11327</v>
      </c>
      <c r="F13" s="1" t="str">
        <f t="shared" si="0"/>
        <v/>
      </c>
    </row>
    <row r="14" spans="1:54" ht="14.1" customHeight="1">
      <c r="A14" s="16" t="s">
        <v>324</v>
      </c>
      <c r="B14" s="17">
        <v>78481313</v>
      </c>
      <c r="C14" s="17">
        <v>14766</v>
      </c>
      <c r="D14" s="17">
        <f>'- 3 -'!F14</f>
        <v>81205610</v>
      </c>
      <c r="E14" s="17">
        <f>ROUND(D14/'- 7 -'!F14,0)</f>
        <v>15256</v>
      </c>
      <c r="F14" s="1" t="str">
        <f t="shared" si="0"/>
        <v/>
      </c>
    </row>
    <row r="15" spans="1:54" ht="14.1" customHeight="1">
      <c r="A15" s="272" t="s">
        <v>112</v>
      </c>
      <c r="B15" s="273">
        <v>19757602</v>
      </c>
      <c r="C15" s="273">
        <v>13602</v>
      </c>
      <c r="D15" s="273">
        <f>'- 3 -'!F15</f>
        <v>20045027</v>
      </c>
      <c r="E15" s="273">
        <f>ROUND(D15/'- 7 -'!F15,0)</f>
        <v>14052</v>
      </c>
      <c r="F15" s="1" t="str">
        <f t="shared" si="0"/>
        <v/>
      </c>
    </row>
    <row r="16" spans="1:54" ht="14.1" customHeight="1">
      <c r="A16" s="16" t="s">
        <v>113</v>
      </c>
      <c r="B16" s="31">
        <v>13371912</v>
      </c>
      <c r="C16" s="31">
        <v>13900</v>
      </c>
      <c r="D16" s="17">
        <f>'- 3 -'!F16</f>
        <v>13962793</v>
      </c>
      <c r="E16" s="17">
        <f>ROUND(D16/'- 7 -'!F16,0)</f>
        <v>14870</v>
      </c>
      <c r="F16" s="1" t="str">
        <f t="shared" si="0"/>
        <v/>
      </c>
    </row>
    <row r="17" spans="1:6" ht="14.1" customHeight="1">
      <c r="A17" s="272" t="s">
        <v>114</v>
      </c>
      <c r="B17" s="273">
        <v>16907136</v>
      </c>
      <c r="C17" s="273">
        <v>12641</v>
      </c>
      <c r="D17" s="273">
        <f>'- 3 -'!F17</f>
        <v>17326855</v>
      </c>
      <c r="E17" s="273">
        <f>ROUND(D17/'- 7 -'!F17,0)</f>
        <v>12754</v>
      </c>
      <c r="F17" s="1" t="str">
        <f t="shared" si="0"/>
        <v/>
      </c>
    </row>
    <row r="18" spans="1:6" ht="14.1" customHeight="1">
      <c r="A18" s="16" t="s">
        <v>115</v>
      </c>
      <c r="B18" s="17">
        <v>119490266</v>
      </c>
      <c r="C18" s="17">
        <v>19364</v>
      </c>
      <c r="D18" s="17">
        <f>'- 3 -'!F18</f>
        <v>123454749</v>
      </c>
      <c r="E18" s="17">
        <f>ROUND(D18/'- 7 -'!F18,0)</f>
        <v>19716</v>
      </c>
      <c r="F18" s="1" t="str">
        <f t="shared" si="0"/>
        <v/>
      </c>
    </row>
    <row r="19" spans="1:6" ht="14.1" customHeight="1">
      <c r="A19" s="272" t="s">
        <v>116</v>
      </c>
      <c r="B19" s="273">
        <v>43372820</v>
      </c>
      <c r="C19" s="273">
        <v>10632</v>
      </c>
      <c r="D19" s="273">
        <f>'- 3 -'!F19</f>
        <v>44863120</v>
      </c>
      <c r="E19" s="273">
        <f>ROUND(D19/'- 7 -'!F19,0)</f>
        <v>10687</v>
      </c>
      <c r="F19" s="1" t="str">
        <f t="shared" si="0"/>
        <v/>
      </c>
    </row>
    <row r="20" spans="1:6" ht="14.1" customHeight="1">
      <c r="A20" s="16" t="s">
        <v>117</v>
      </c>
      <c r="B20" s="31">
        <v>75573400</v>
      </c>
      <c r="C20" s="31">
        <v>9998</v>
      </c>
      <c r="D20" s="17">
        <f>'- 3 -'!F20</f>
        <v>78636100</v>
      </c>
      <c r="E20" s="17">
        <f>ROUND(D20/'- 7 -'!F20,0)</f>
        <v>10526</v>
      </c>
      <c r="F20" s="1" t="str">
        <f t="shared" si="0"/>
        <v/>
      </c>
    </row>
    <row r="21" spans="1:6" ht="14.1" customHeight="1">
      <c r="A21" s="272" t="s">
        <v>118</v>
      </c>
      <c r="B21" s="273">
        <v>34238704</v>
      </c>
      <c r="C21" s="273">
        <v>12877</v>
      </c>
      <c r="D21" s="273">
        <f>'- 3 -'!F21</f>
        <v>35231983</v>
      </c>
      <c r="E21" s="273">
        <f>ROUND(D21/'- 7 -'!F21,0)</f>
        <v>13063</v>
      </c>
      <c r="F21" s="1" t="str">
        <f t="shared" si="0"/>
        <v/>
      </c>
    </row>
    <row r="22" spans="1:6" ht="14.1" customHeight="1">
      <c r="A22" s="16" t="s">
        <v>119</v>
      </c>
      <c r="B22" s="17">
        <v>18705194</v>
      </c>
      <c r="C22" s="17">
        <v>11983</v>
      </c>
      <c r="D22" s="17">
        <f>'- 3 -'!F22</f>
        <v>19941839</v>
      </c>
      <c r="E22" s="17">
        <f>ROUND(D22/'- 7 -'!F22,0)</f>
        <v>12716</v>
      </c>
      <c r="F22" s="1" t="str">
        <f t="shared" si="0"/>
        <v/>
      </c>
    </row>
    <row r="23" spans="1:6" ht="14.1" customHeight="1">
      <c r="A23" s="272" t="s">
        <v>120</v>
      </c>
      <c r="B23" s="273">
        <v>15785880</v>
      </c>
      <c r="C23" s="273">
        <v>13757</v>
      </c>
      <c r="D23" s="273">
        <f>'- 3 -'!F23</f>
        <v>15986971</v>
      </c>
      <c r="E23" s="273">
        <f>ROUND(D23/'- 7 -'!F23,0)</f>
        <v>14351</v>
      </c>
      <c r="F23" s="1" t="str">
        <f t="shared" si="0"/>
        <v/>
      </c>
    </row>
    <row r="24" spans="1:6" ht="14.1" customHeight="1">
      <c r="A24" s="16" t="s">
        <v>121</v>
      </c>
      <c r="B24" s="31">
        <v>53594287</v>
      </c>
      <c r="C24" s="31">
        <v>13236</v>
      </c>
      <c r="D24" s="17">
        <f>'- 3 -'!F24</f>
        <v>55129465</v>
      </c>
      <c r="E24" s="17">
        <f>ROUND(D24/'- 7 -'!F24,0)</f>
        <v>13867</v>
      </c>
      <c r="F24" s="1" t="str">
        <f t="shared" si="0"/>
        <v/>
      </c>
    </row>
    <row r="25" spans="1:6" ht="14.1" customHeight="1">
      <c r="A25" s="272" t="s">
        <v>122</v>
      </c>
      <c r="B25" s="273">
        <v>157973234</v>
      </c>
      <c r="C25" s="273">
        <v>11493</v>
      </c>
      <c r="D25" s="273">
        <f>'- 3 -'!F25</f>
        <v>165880473</v>
      </c>
      <c r="E25" s="273">
        <f>ROUND(D25/'- 7 -'!F25,0)</f>
        <v>11861</v>
      </c>
      <c r="F25" s="1" t="str">
        <f t="shared" si="0"/>
        <v/>
      </c>
    </row>
    <row r="26" spans="1:6" ht="14.1" customHeight="1">
      <c r="A26" s="16" t="s">
        <v>123</v>
      </c>
      <c r="B26" s="17">
        <v>38801876</v>
      </c>
      <c r="C26" s="17">
        <v>12565</v>
      </c>
      <c r="D26" s="17">
        <f>'- 3 -'!F26</f>
        <v>39773642</v>
      </c>
      <c r="E26" s="17">
        <f>ROUND(D26/'- 7 -'!F26,0)</f>
        <v>12799</v>
      </c>
      <c r="F26" s="1" t="str">
        <f t="shared" si="0"/>
        <v/>
      </c>
    </row>
    <row r="27" spans="1:6" ht="14.1" customHeight="1">
      <c r="A27" s="272" t="s">
        <v>124</v>
      </c>
      <c r="B27" s="273">
        <v>39045881</v>
      </c>
      <c r="C27" s="273">
        <v>13511</v>
      </c>
      <c r="D27" s="273">
        <f>'- 3 -'!F27</f>
        <v>42863030</v>
      </c>
      <c r="E27" s="273">
        <f>ROUND(D27/'- 7 -'!F27,0)</f>
        <v>14985</v>
      </c>
      <c r="F27" s="1" t="str">
        <f t="shared" si="0"/>
        <v/>
      </c>
    </row>
    <row r="28" spans="1:6" ht="14.1" customHeight="1">
      <c r="A28" s="16" t="s">
        <v>125</v>
      </c>
      <c r="B28" s="31">
        <v>27110928</v>
      </c>
      <c r="C28" s="31">
        <v>13675</v>
      </c>
      <c r="D28" s="17">
        <f>'- 3 -'!F28</f>
        <v>27758712</v>
      </c>
      <c r="E28" s="17">
        <f>ROUND(D28/'- 7 -'!F28,0)</f>
        <v>14087</v>
      </c>
      <c r="F28" s="1" t="str">
        <f t="shared" si="0"/>
        <v/>
      </c>
    </row>
    <row r="29" spans="1:6" ht="14.1" customHeight="1">
      <c r="A29" s="272" t="s">
        <v>126</v>
      </c>
      <c r="B29" s="273">
        <v>146458253</v>
      </c>
      <c r="C29" s="273">
        <v>12144</v>
      </c>
      <c r="D29" s="273">
        <f>'- 3 -'!F29</f>
        <v>154180766</v>
      </c>
      <c r="E29" s="273">
        <f>ROUND(D29/'- 7 -'!F29,0)</f>
        <v>12490</v>
      </c>
      <c r="F29" s="1" t="str">
        <f t="shared" si="0"/>
        <v/>
      </c>
    </row>
    <row r="30" spans="1:6" ht="14.1" customHeight="1">
      <c r="A30" s="16" t="s">
        <v>127</v>
      </c>
      <c r="B30" s="17">
        <v>13386485</v>
      </c>
      <c r="C30" s="17">
        <v>13054</v>
      </c>
      <c r="D30" s="17">
        <f>'- 3 -'!F30</f>
        <v>13979752</v>
      </c>
      <c r="E30" s="17">
        <f>ROUND(D30/'- 7 -'!F30,0)</f>
        <v>13625</v>
      </c>
      <c r="F30" s="1" t="str">
        <f t="shared" si="0"/>
        <v/>
      </c>
    </row>
    <row r="31" spans="1:6" ht="14.1" customHeight="1">
      <c r="A31" s="272" t="s">
        <v>128</v>
      </c>
      <c r="B31" s="273">
        <v>34919534</v>
      </c>
      <c r="C31" s="273">
        <v>10943</v>
      </c>
      <c r="D31" s="273">
        <f>'- 3 -'!F31</f>
        <v>36156014</v>
      </c>
      <c r="E31" s="273">
        <f>ROUND(D31/'- 7 -'!F31,0)</f>
        <v>11327</v>
      </c>
      <c r="F31" s="1" t="str">
        <f t="shared" si="0"/>
        <v/>
      </c>
    </row>
    <row r="32" spans="1:6" ht="14.1" customHeight="1">
      <c r="A32" s="16" t="s">
        <v>129</v>
      </c>
      <c r="B32" s="31">
        <v>26324868</v>
      </c>
      <c r="C32" s="31">
        <v>12515</v>
      </c>
      <c r="D32" s="17">
        <f>'- 3 -'!F32</f>
        <v>28457477</v>
      </c>
      <c r="E32" s="17">
        <f>ROUND(D32/'- 7 -'!F32,0)</f>
        <v>13436</v>
      </c>
      <c r="F32" s="1" t="str">
        <f t="shared" si="0"/>
        <v/>
      </c>
    </row>
    <row r="33" spans="1:6" ht="14.1" customHeight="1">
      <c r="A33" s="272" t="s">
        <v>130</v>
      </c>
      <c r="B33" s="273">
        <v>27070724</v>
      </c>
      <c r="C33" s="273">
        <v>13579</v>
      </c>
      <c r="D33" s="273">
        <f>'- 3 -'!F33</f>
        <v>27243800</v>
      </c>
      <c r="E33" s="273">
        <f>ROUND(D33/'- 7 -'!F33,0)</f>
        <v>13777</v>
      </c>
      <c r="F33" s="1" t="str">
        <f t="shared" si="0"/>
        <v/>
      </c>
    </row>
    <row r="34" spans="1:6" ht="14.1" customHeight="1">
      <c r="A34" s="16" t="s">
        <v>131</v>
      </c>
      <c r="B34" s="17">
        <v>26273660</v>
      </c>
      <c r="C34" s="17">
        <v>13233</v>
      </c>
      <c r="D34" s="17">
        <f>'- 3 -'!F34</f>
        <v>27609602</v>
      </c>
      <c r="E34" s="17">
        <f>ROUND(D34/'- 7 -'!F34,0)</f>
        <v>13981</v>
      </c>
      <c r="F34" s="1" t="str">
        <f t="shared" si="0"/>
        <v/>
      </c>
    </row>
    <row r="35" spans="1:6" ht="14.1" customHeight="1">
      <c r="A35" s="272" t="s">
        <v>132</v>
      </c>
      <c r="B35" s="273">
        <v>169843692</v>
      </c>
      <c r="C35" s="273">
        <v>10960</v>
      </c>
      <c r="D35" s="273">
        <f>'- 3 -'!F35</f>
        <v>175568676</v>
      </c>
      <c r="E35" s="273">
        <f>ROUND(D35/'- 7 -'!F35,0)</f>
        <v>11239</v>
      </c>
      <c r="F35" s="1" t="str">
        <f t="shared" si="0"/>
        <v/>
      </c>
    </row>
    <row r="36" spans="1:6" ht="14.1" customHeight="1">
      <c r="A36" s="16" t="s">
        <v>133</v>
      </c>
      <c r="B36" s="31">
        <v>22086300</v>
      </c>
      <c r="C36" s="31">
        <v>13398</v>
      </c>
      <c r="D36" s="17">
        <f>'- 3 -'!F36</f>
        <v>22943195</v>
      </c>
      <c r="E36" s="17">
        <f>ROUND(D36/'- 7 -'!F36,0)</f>
        <v>13677</v>
      </c>
      <c r="F36" s="1" t="str">
        <f t="shared" si="0"/>
        <v/>
      </c>
    </row>
    <row r="37" spans="1:6" ht="14.1" customHeight="1">
      <c r="A37" s="272" t="s">
        <v>134</v>
      </c>
      <c r="B37" s="273">
        <v>44515211</v>
      </c>
      <c r="C37" s="273">
        <v>11375</v>
      </c>
      <c r="D37" s="273">
        <f>'- 3 -'!F37</f>
        <v>46472121</v>
      </c>
      <c r="E37" s="273">
        <f>ROUND(D37/'- 7 -'!F37,0)</f>
        <v>11770</v>
      </c>
      <c r="F37" s="1" t="str">
        <f t="shared" si="0"/>
        <v/>
      </c>
    </row>
    <row r="38" spans="1:6" ht="14.1" customHeight="1">
      <c r="A38" s="16" t="s">
        <v>135</v>
      </c>
      <c r="B38" s="17">
        <v>119742295</v>
      </c>
      <c r="C38" s="17">
        <v>11164</v>
      </c>
      <c r="D38" s="17">
        <f>'- 3 -'!F38</f>
        <v>126414418</v>
      </c>
      <c r="E38" s="17">
        <f>ROUND(D38/'- 7 -'!F38,0)</f>
        <v>11754</v>
      </c>
      <c r="F38" s="1" t="str">
        <f t="shared" si="0"/>
        <v/>
      </c>
    </row>
    <row r="39" spans="1:6" ht="14.1" customHeight="1">
      <c r="A39" s="272" t="s">
        <v>136</v>
      </c>
      <c r="B39" s="273">
        <v>20687872</v>
      </c>
      <c r="C39" s="273">
        <v>13343</v>
      </c>
      <c r="D39" s="273">
        <f>'- 3 -'!F39</f>
        <v>21783580</v>
      </c>
      <c r="E39" s="273">
        <f>ROUND(D39/'- 7 -'!F39,0)</f>
        <v>14018</v>
      </c>
      <c r="F39" s="1" t="str">
        <f t="shared" si="0"/>
        <v/>
      </c>
    </row>
    <row r="40" spans="1:6" ht="14.1" customHeight="1">
      <c r="A40" s="16" t="s">
        <v>137</v>
      </c>
      <c r="B40" s="31">
        <v>98151406</v>
      </c>
      <c r="C40" s="31">
        <v>12360</v>
      </c>
      <c r="D40" s="17">
        <f>'- 3 -'!F40</f>
        <v>100937330</v>
      </c>
      <c r="E40" s="17">
        <f>ROUND(D40/'- 7 -'!F40,0)</f>
        <v>12868</v>
      </c>
      <c r="F40" s="1" t="str">
        <f t="shared" si="0"/>
        <v/>
      </c>
    </row>
    <row r="41" spans="1:6" ht="14.1" customHeight="1">
      <c r="A41" s="272" t="s">
        <v>138</v>
      </c>
      <c r="B41" s="273">
        <v>58135843</v>
      </c>
      <c r="C41" s="273">
        <v>13255</v>
      </c>
      <c r="D41" s="273">
        <f>'- 3 -'!F41</f>
        <v>60985207</v>
      </c>
      <c r="E41" s="273">
        <f>ROUND(D41/'- 7 -'!F41,0)</f>
        <v>14002</v>
      </c>
      <c r="F41" s="1" t="str">
        <f t="shared" si="0"/>
        <v/>
      </c>
    </row>
    <row r="42" spans="1:6" ht="14.1" customHeight="1">
      <c r="A42" s="16" t="s">
        <v>139</v>
      </c>
      <c r="B42" s="17">
        <v>20153868</v>
      </c>
      <c r="C42" s="17">
        <v>14380</v>
      </c>
      <c r="D42" s="17">
        <f>'- 3 -'!F42</f>
        <v>20388142</v>
      </c>
      <c r="E42" s="17">
        <f>ROUND(D42/'- 7 -'!F42,0)</f>
        <v>14849</v>
      </c>
      <c r="F42" s="1" t="str">
        <f t="shared" si="0"/>
        <v/>
      </c>
    </row>
    <row r="43" spans="1:6" ht="14.1" customHeight="1">
      <c r="A43" s="272" t="s">
        <v>140</v>
      </c>
      <c r="B43" s="273">
        <v>12211915</v>
      </c>
      <c r="C43" s="273">
        <v>12721</v>
      </c>
      <c r="D43" s="273">
        <f>'- 3 -'!F43</f>
        <v>12617215</v>
      </c>
      <c r="E43" s="273">
        <f>ROUND(D43/'- 7 -'!F43,0)</f>
        <v>13466</v>
      </c>
      <c r="F43" s="1" t="str">
        <f t="shared" si="0"/>
        <v/>
      </c>
    </row>
    <row r="44" spans="1:6" ht="14.1" customHeight="1">
      <c r="A44" s="16" t="s">
        <v>141</v>
      </c>
      <c r="B44" s="31">
        <v>10754567</v>
      </c>
      <c r="C44" s="31">
        <v>15320</v>
      </c>
      <c r="D44" s="17">
        <f>'- 3 -'!F44</f>
        <v>10965114</v>
      </c>
      <c r="E44" s="17">
        <f>ROUND(D44/'- 7 -'!F44,0)</f>
        <v>15444</v>
      </c>
      <c r="F44" s="1" t="str">
        <f t="shared" si="0"/>
        <v/>
      </c>
    </row>
    <row r="45" spans="1:6" ht="14.1" customHeight="1">
      <c r="A45" s="272" t="s">
        <v>142</v>
      </c>
      <c r="B45" s="273">
        <v>17120092</v>
      </c>
      <c r="C45" s="273">
        <v>10184</v>
      </c>
      <c r="D45" s="273">
        <f>'- 3 -'!F45</f>
        <v>17872269</v>
      </c>
      <c r="E45" s="273">
        <f>ROUND(D45/'- 7 -'!F45,0)</f>
        <v>10607</v>
      </c>
      <c r="F45" s="1" t="str">
        <f t="shared" si="0"/>
        <v/>
      </c>
    </row>
    <row r="46" spans="1:6" ht="14.1" customHeight="1">
      <c r="A46" s="16" t="s">
        <v>143</v>
      </c>
      <c r="B46" s="17">
        <v>359825700</v>
      </c>
      <c r="C46" s="17">
        <v>11900</v>
      </c>
      <c r="D46" s="17">
        <f>'- 3 -'!F46</f>
        <v>372856700</v>
      </c>
      <c r="E46" s="17">
        <f>ROUND(D46/'- 7 -'!F46,0)</f>
        <v>12340</v>
      </c>
      <c r="F46" s="1" t="str">
        <f t="shared" si="0"/>
        <v/>
      </c>
    </row>
    <row r="47" spans="1:6" ht="5.0999999999999996" customHeight="1">
      <c r="A47"/>
      <c r="B47"/>
      <c r="C47"/>
      <c r="D47"/>
      <c r="E47"/>
    </row>
    <row r="48" spans="1:6" ht="14.1" customHeight="1">
      <c r="A48" s="275" t="s">
        <v>144</v>
      </c>
      <c r="B48" s="276">
        <v>2117071305</v>
      </c>
      <c r="C48" s="276">
        <v>12248</v>
      </c>
      <c r="D48" s="276">
        <f>SUM(D11:D46)</f>
        <v>2201789039</v>
      </c>
      <c r="E48" s="276">
        <f>ROUND(D48/'- 7 -'!F48,0)</f>
        <v>12687</v>
      </c>
      <c r="F48" s="1" t="str">
        <f t="shared" si="0"/>
        <v/>
      </c>
    </row>
    <row r="49" spans="1:6" ht="5.0999999999999996" customHeight="1">
      <c r="A49" s="18" t="s">
        <v>1</v>
      </c>
      <c r="B49" s="19"/>
      <c r="C49" s="19"/>
      <c r="D49" s="19"/>
      <c r="E49" s="19"/>
    </row>
    <row r="50" spans="1:6" ht="14.1" customHeight="1">
      <c r="A50" s="16" t="s">
        <v>145</v>
      </c>
      <c r="B50" s="17">
        <v>3253752</v>
      </c>
      <c r="C50" s="17">
        <v>18593</v>
      </c>
      <c r="D50" s="17">
        <f>'- 3 -'!F50</f>
        <v>3180459.25</v>
      </c>
      <c r="E50" s="17">
        <f>ROUND(D50/'- 7 -'!F50,0)</f>
        <v>19632</v>
      </c>
      <c r="F50" s="1" t="str">
        <f t="shared" si="0"/>
        <v/>
      </c>
    </row>
    <row r="51" spans="1:6" ht="14.1" customHeight="1">
      <c r="A51" s="364" t="s">
        <v>540</v>
      </c>
      <c r="B51" s="354">
        <v>11348073</v>
      </c>
      <c r="C51" s="354">
        <v>18274</v>
      </c>
      <c r="D51" s="273">
        <f>'- 3 -'!F51</f>
        <v>13213111</v>
      </c>
      <c r="E51" s="273">
        <f>ROUND(D51/'- 7 -'!F51,0)</f>
        <v>18852</v>
      </c>
      <c r="F51" s="1" t="str">
        <f t="shared" si="0"/>
        <v/>
      </c>
    </row>
    <row r="52" spans="1:6" ht="50.1" customHeight="1">
      <c r="A52" s="20"/>
      <c r="B52" s="20"/>
      <c r="C52" s="20"/>
      <c r="D52" s="20"/>
      <c r="E52" s="20"/>
    </row>
    <row r="53" spans="1:6" ht="15" customHeight="1">
      <c r="A53" s="535" t="s">
        <v>383</v>
      </c>
      <c r="B53" s="535"/>
      <c r="C53" s="535"/>
      <c r="D53" s="535"/>
      <c r="E53" s="535"/>
    </row>
    <row r="54" spans="1:6" ht="12" customHeight="1">
      <c r="A54" s="536"/>
      <c r="B54" s="536"/>
      <c r="C54" s="536"/>
      <c r="D54" s="536"/>
      <c r="E54" s="536"/>
    </row>
    <row r="55" spans="1:6" ht="12" customHeight="1">
      <c r="A55" s="536"/>
      <c r="B55" s="536"/>
      <c r="C55" s="536"/>
      <c r="D55" s="536"/>
      <c r="E55" s="536"/>
    </row>
    <row r="56" spans="1:6" ht="12" customHeight="1">
      <c r="A56" s="2"/>
      <c r="B56" s="32"/>
      <c r="C56" s="32"/>
      <c r="D56" s="32"/>
      <c r="E56" s="32"/>
    </row>
    <row r="57" spans="1:6" ht="12" customHeight="1"/>
    <row r="58" spans="1:6" ht="14.45" customHeight="1">
      <c r="A58" s="2"/>
    </row>
    <row r="59" spans="1:6" ht="14.45" customHeight="1">
      <c r="A59" s="2"/>
    </row>
  </sheetData>
  <mergeCells count="2">
    <mergeCell ref="A2:E3"/>
    <mergeCell ref="A53:E55"/>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BB59"/>
  <sheetViews>
    <sheetView showGridLines="0" showZeros="0" workbookViewId="0"/>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ols>
  <sheetData>
    <row r="1" spans="1:54" ht="6.95" customHeight="1">
      <c r="A1" s="3"/>
      <c r="B1" s="4"/>
      <c r="C1" s="4"/>
      <c r="D1" s="4"/>
      <c r="E1" s="4"/>
      <c r="F1" s="4"/>
      <c r="G1" s="4"/>
      <c r="H1" s="4"/>
    </row>
    <row r="2" spans="1:54" ht="15.95" customHeight="1">
      <c r="A2" s="133"/>
      <c r="B2" s="5" t="str">
        <f>IF(Lang=1,BA2,BB2)</f>
        <v>ANALYSIS OF  TRANSPORTATION EXPENSES</v>
      </c>
      <c r="C2" s="6"/>
      <c r="D2" s="6"/>
      <c r="E2" s="6"/>
      <c r="F2" s="86"/>
      <c r="G2" s="86"/>
      <c r="H2" s="86"/>
      <c r="BA2" s="462" t="s">
        <v>263</v>
      </c>
      <c r="BB2" s="462" t="s">
        <v>450</v>
      </c>
    </row>
    <row r="3" spans="1:54" ht="15.95" customHeight="1">
      <c r="A3" s="136"/>
      <c r="B3" s="7" t="str">
        <f>OPYEAR</f>
        <v>OPERATING FUND 2015/2016 BUDGET</v>
      </c>
      <c r="C3" s="8"/>
      <c r="D3" s="8"/>
      <c r="E3" s="8"/>
      <c r="F3" s="88"/>
      <c r="G3" s="88"/>
      <c r="H3" s="88"/>
    </row>
    <row r="4" spans="1:54" ht="15.95" customHeight="1">
      <c r="B4" s="4"/>
      <c r="C4" s="4"/>
      <c r="D4" s="4"/>
      <c r="E4" s="4"/>
      <c r="F4" s="4"/>
      <c r="G4" s="4"/>
      <c r="H4" s="4"/>
    </row>
    <row r="5" spans="1:54" ht="15.95" customHeight="1">
      <c r="B5" s="4"/>
      <c r="C5" s="4"/>
      <c r="D5" s="4"/>
      <c r="E5" s="4"/>
      <c r="F5" s="4"/>
      <c r="G5" s="4"/>
      <c r="H5" s="4"/>
    </row>
    <row r="6" spans="1:54" ht="15.95" customHeight="1">
      <c r="B6" s="613" t="s">
        <v>11</v>
      </c>
      <c r="C6" s="615"/>
      <c r="D6" s="615"/>
      <c r="E6" s="615"/>
      <c r="F6" s="615"/>
      <c r="G6" s="615"/>
      <c r="H6" s="600"/>
    </row>
    <row r="7" spans="1:54" ht="15.95" customHeight="1">
      <c r="B7" s="614" t="s">
        <v>26</v>
      </c>
      <c r="C7" s="616"/>
      <c r="D7" s="616"/>
      <c r="E7" s="616"/>
      <c r="F7" s="616"/>
      <c r="G7" s="616"/>
      <c r="H7" s="602"/>
    </row>
    <row r="8" spans="1:54" ht="15.95" customHeight="1">
      <c r="A8" s="83"/>
      <c r="B8" s="23"/>
      <c r="C8" s="564" t="s">
        <v>445</v>
      </c>
      <c r="D8" s="525" t="s">
        <v>410</v>
      </c>
      <c r="E8" s="687" t="s">
        <v>446</v>
      </c>
      <c r="F8" s="689" t="s">
        <v>448</v>
      </c>
      <c r="G8" s="689" t="s">
        <v>447</v>
      </c>
      <c r="H8" s="689" t="s">
        <v>448</v>
      </c>
    </row>
    <row r="9" spans="1:54" ht="15.95" customHeight="1">
      <c r="A9" s="28" t="s">
        <v>37</v>
      </c>
      <c r="B9" s="90" t="s">
        <v>38</v>
      </c>
      <c r="C9" s="565"/>
      <c r="D9" s="565"/>
      <c r="E9" s="688"/>
      <c r="F9" s="688"/>
      <c r="G9" s="690"/>
      <c r="H9" s="688"/>
    </row>
    <row r="10" spans="1:54" ht="5.0999999999999996" customHeight="1">
      <c r="A10" s="30"/>
    </row>
    <row r="11" spans="1:54" ht="14.1" customHeight="1">
      <c r="A11" s="272" t="s">
        <v>109</v>
      </c>
      <c r="B11" s="304">
        <f>'- 29 -'!$D11</f>
        <v>1061950</v>
      </c>
      <c r="C11" s="304">
        <v>720</v>
      </c>
      <c r="D11" s="304">
        <f ca="1">IF(AND(CELL("type",C11)="v",C11&gt;0),B11/C11,"")</f>
        <v>1474.9305555555557</v>
      </c>
      <c r="E11" s="304">
        <v>610000</v>
      </c>
      <c r="F11" s="305">
        <f ca="1">IF(AND(CELL("type",E11)="v",E11&gt;0),B11/E11,"")</f>
        <v>1.7409016393442622</v>
      </c>
      <c r="G11" s="304">
        <v>405000</v>
      </c>
      <c r="H11" s="305">
        <f ca="1">IF(AND(CELL("type",G11)="v",G11&gt;0),B11/G11,"")</f>
        <v>2.6220987654320989</v>
      </c>
    </row>
    <row r="12" spans="1:54" ht="14.1" customHeight="1">
      <c r="A12" s="16" t="s">
        <v>110</v>
      </c>
      <c r="B12" s="140">
        <f>'- 29 -'!$D12</f>
        <v>2155275</v>
      </c>
      <c r="C12" s="140">
        <v>1270</v>
      </c>
      <c r="D12" s="140">
        <f t="shared" ref="D12:D46" ca="1" si="0">IF(AND(CELL("type",C12)="v",C12&gt;0),B12/C12,"")</f>
        <v>1697.0669291338584</v>
      </c>
      <c r="E12" s="140">
        <v>1153790</v>
      </c>
      <c r="F12" s="146">
        <f t="shared" ref="F12:F46" ca="1" si="1">IF(AND(CELL("type",E12)="v",E12&gt;0),B12/E12,"")</f>
        <v>1.8679959091342446</v>
      </c>
      <c r="G12" s="140">
        <v>724438</v>
      </c>
      <c r="H12" s="146">
        <f t="shared" ref="H12:H46" ca="1" si="2">IF(AND(CELL("type",G12)="v",G12&gt;0),B12/G12,"")</f>
        <v>2.9750993183681693</v>
      </c>
    </row>
    <row r="13" spans="1:54" ht="14.1" customHeight="1">
      <c r="A13" s="272" t="s">
        <v>111</v>
      </c>
      <c r="B13" s="304">
        <f>'- 29 -'!$D13</f>
        <v>2022500</v>
      </c>
      <c r="C13" s="304">
        <v>3170</v>
      </c>
      <c r="D13" s="304">
        <f t="shared" ca="1" si="0"/>
        <v>638.01261829652992</v>
      </c>
      <c r="E13" s="304">
        <v>830000</v>
      </c>
      <c r="F13" s="305">
        <f t="shared" ca="1" si="1"/>
        <v>2.4367469879518073</v>
      </c>
      <c r="G13" s="304">
        <v>514000</v>
      </c>
      <c r="H13" s="305">
        <f t="shared" ca="1" si="2"/>
        <v>3.9348249027237352</v>
      </c>
    </row>
    <row r="14" spans="1:54" ht="14.1" customHeight="1">
      <c r="A14" s="16" t="s">
        <v>324</v>
      </c>
      <c r="B14" s="140">
        <f>'- 29 -'!$D14</f>
        <v>7759727</v>
      </c>
      <c r="C14" s="140">
        <v>4304</v>
      </c>
      <c r="D14" s="140">
        <f t="shared" ca="1" si="0"/>
        <v>1802.9105483271376</v>
      </c>
      <c r="E14" s="140">
        <v>2910798</v>
      </c>
      <c r="F14" s="146">
        <f t="shared" ca="1" si="1"/>
        <v>2.6658418069546563</v>
      </c>
      <c r="G14" s="140">
        <v>1517802</v>
      </c>
      <c r="H14" s="146">
        <f t="shared" ca="1" si="2"/>
        <v>5.1124764626743149</v>
      </c>
    </row>
    <row r="15" spans="1:54" ht="14.1" customHeight="1">
      <c r="A15" s="272" t="s">
        <v>112</v>
      </c>
      <c r="B15" s="304">
        <f>'- 29 -'!$D15</f>
        <v>1331950</v>
      </c>
      <c r="C15" s="304">
        <v>1012</v>
      </c>
      <c r="D15" s="304">
        <f t="shared" ca="1" si="0"/>
        <v>1316.1561264822135</v>
      </c>
      <c r="E15" s="304">
        <v>755000</v>
      </c>
      <c r="F15" s="305">
        <f t="shared" ca="1" si="1"/>
        <v>1.7641721854304635</v>
      </c>
      <c r="G15" s="304">
        <v>465000</v>
      </c>
      <c r="H15" s="305">
        <f t="shared" ca="1" si="2"/>
        <v>2.8644086021505375</v>
      </c>
    </row>
    <row r="16" spans="1:54" ht="14.1" customHeight="1">
      <c r="A16" s="16" t="s">
        <v>113</v>
      </c>
      <c r="B16" s="140">
        <f>'- 29 -'!$D16</f>
        <v>318994</v>
      </c>
      <c r="C16" s="140">
        <v>236</v>
      </c>
      <c r="D16" s="140">
        <f t="shared" ca="1" si="0"/>
        <v>1351.6694915254238</v>
      </c>
      <c r="E16" s="140">
        <v>57900</v>
      </c>
      <c r="F16" s="146">
        <f t="shared" ca="1" si="1"/>
        <v>5.5093955094991367</v>
      </c>
      <c r="G16" s="140">
        <v>34933</v>
      </c>
      <c r="H16" s="146">
        <f t="shared" ca="1" si="2"/>
        <v>9.131594767125641</v>
      </c>
    </row>
    <row r="17" spans="1:8" ht="14.1" customHeight="1">
      <c r="A17" s="272" t="s">
        <v>114</v>
      </c>
      <c r="B17" s="304">
        <f>'- 29 -'!$D17</f>
        <v>1336140</v>
      </c>
      <c r="C17" s="304">
        <v>609</v>
      </c>
      <c r="D17" s="304">
        <f t="shared" ca="1" si="0"/>
        <v>2193.9901477832514</v>
      </c>
      <c r="E17" s="304">
        <v>933867</v>
      </c>
      <c r="F17" s="305">
        <f t="shared" ca="1" si="1"/>
        <v>1.4307604830238139</v>
      </c>
      <c r="G17" s="304">
        <v>656165</v>
      </c>
      <c r="H17" s="305">
        <f t="shared" ca="1" si="2"/>
        <v>2.0362866047411856</v>
      </c>
    </row>
    <row r="18" spans="1:8" ht="14.1" customHeight="1">
      <c r="A18" s="16" t="s">
        <v>115</v>
      </c>
      <c r="B18" s="140">
        <f>'- 29 -'!$D18</f>
        <v>6972312</v>
      </c>
      <c r="C18" s="140">
        <v>5200</v>
      </c>
      <c r="D18" s="140">
        <f t="shared" ca="1" si="0"/>
        <v>1340.8292307692307</v>
      </c>
      <c r="E18" s="140">
        <v>1635800</v>
      </c>
      <c r="F18" s="146">
        <f t="shared" ca="1" si="1"/>
        <v>4.2623254676610829</v>
      </c>
      <c r="G18" s="140">
        <v>1051600</v>
      </c>
      <c r="H18" s="146">
        <f t="shared" ca="1" si="2"/>
        <v>6.6301939901103077</v>
      </c>
    </row>
    <row r="19" spans="1:8" ht="14.1" customHeight="1">
      <c r="A19" s="272" t="s">
        <v>116</v>
      </c>
      <c r="B19" s="304">
        <f>'- 29 -'!$D19</f>
        <v>2567000</v>
      </c>
      <c r="C19" s="304">
        <v>2647</v>
      </c>
      <c r="D19" s="304">
        <f t="shared" ca="1" si="0"/>
        <v>969.77710615791466</v>
      </c>
      <c r="E19" s="304">
        <v>770000</v>
      </c>
      <c r="F19" s="305">
        <f t="shared" ca="1" si="1"/>
        <v>3.3337662337662337</v>
      </c>
      <c r="G19" s="304">
        <v>450000</v>
      </c>
      <c r="H19" s="305">
        <f t="shared" ca="1" si="2"/>
        <v>5.7044444444444444</v>
      </c>
    </row>
    <row r="20" spans="1:8" ht="14.1" customHeight="1">
      <c r="A20" s="16" t="s">
        <v>117</v>
      </c>
      <c r="B20" s="140">
        <f>'- 29 -'!$D20</f>
        <v>3530700</v>
      </c>
      <c r="C20" s="140">
        <v>4903</v>
      </c>
      <c r="D20" s="140">
        <f t="shared" ca="1" si="0"/>
        <v>720.11013665102996</v>
      </c>
      <c r="E20" s="140">
        <v>1449199</v>
      </c>
      <c r="F20" s="146">
        <f t="shared" ca="1" si="1"/>
        <v>2.4363113692460456</v>
      </c>
      <c r="G20" s="140">
        <v>820572</v>
      </c>
      <c r="H20" s="146">
        <f t="shared" ca="1" si="2"/>
        <v>4.3027302905777924</v>
      </c>
    </row>
    <row r="21" spans="1:8" ht="14.1" customHeight="1">
      <c r="A21" s="272" t="s">
        <v>118</v>
      </c>
      <c r="B21" s="304">
        <f>'- 29 -'!$D21</f>
        <v>1871000</v>
      </c>
      <c r="C21" s="304">
        <v>1457</v>
      </c>
      <c r="D21" s="304">
        <f t="shared" ca="1" si="0"/>
        <v>1284.1455044612217</v>
      </c>
      <c r="E21" s="304">
        <v>990000</v>
      </c>
      <c r="F21" s="305">
        <f t="shared" ca="1" si="1"/>
        <v>1.88989898989899</v>
      </c>
      <c r="G21" s="304">
        <v>614445</v>
      </c>
      <c r="H21" s="305">
        <f t="shared" ca="1" si="2"/>
        <v>3.0450243715873673</v>
      </c>
    </row>
    <row r="22" spans="1:8" ht="14.1" customHeight="1">
      <c r="A22" s="16" t="s">
        <v>119</v>
      </c>
      <c r="B22" s="140">
        <f>'- 29 -'!$D22</f>
        <v>438790</v>
      </c>
      <c r="C22" s="140">
        <v>464</v>
      </c>
      <c r="D22" s="140">
        <f t="shared" ca="1" si="0"/>
        <v>945.66810344827582</v>
      </c>
      <c r="E22" s="140">
        <v>163856</v>
      </c>
      <c r="F22" s="146">
        <f t="shared" ca="1" si="1"/>
        <v>2.6779001074113857</v>
      </c>
      <c r="G22" s="140">
        <v>96040</v>
      </c>
      <c r="H22" s="146">
        <f t="shared" ca="1" si="2"/>
        <v>4.5688254893794253</v>
      </c>
    </row>
    <row r="23" spans="1:8" ht="14.1" customHeight="1">
      <c r="A23" s="272" t="s">
        <v>120</v>
      </c>
      <c r="B23" s="304">
        <f>'- 29 -'!$D23</f>
        <v>1550890</v>
      </c>
      <c r="C23" s="304">
        <v>795</v>
      </c>
      <c r="D23" s="304">
        <f t="shared" ca="1" si="0"/>
        <v>1950.8050314465409</v>
      </c>
      <c r="E23" s="304">
        <v>1020000</v>
      </c>
      <c r="F23" s="305">
        <f t="shared" ca="1" si="1"/>
        <v>1.5204803921568628</v>
      </c>
      <c r="G23" s="304">
        <v>612000</v>
      </c>
      <c r="H23" s="305">
        <f t="shared" ca="1" si="2"/>
        <v>2.5341339869281048</v>
      </c>
    </row>
    <row r="24" spans="1:8" ht="14.1" customHeight="1">
      <c r="A24" s="16" t="s">
        <v>121</v>
      </c>
      <c r="B24" s="140">
        <f>'- 29 -'!$D24</f>
        <v>2351205</v>
      </c>
      <c r="C24" s="140">
        <v>2787</v>
      </c>
      <c r="D24" s="140">
        <f t="shared" ca="1" si="0"/>
        <v>843.63293864370291</v>
      </c>
      <c r="E24" s="140">
        <v>1015284</v>
      </c>
      <c r="F24" s="146">
        <f t="shared" ca="1" si="1"/>
        <v>2.3158101575519754</v>
      </c>
      <c r="G24" s="140">
        <v>639036</v>
      </c>
      <c r="H24" s="146">
        <f t="shared" ca="1" si="2"/>
        <v>3.6792997577601261</v>
      </c>
    </row>
    <row r="25" spans="1:8" ht="14.1" customHeight="1">
      <c r="A25" s="272" t="s">
        <v>122</v>
      </c>
      <c r="B25" s="304">
        <f>'- 29 -'!$D25</f>
        <v>3547759</v>
      </c>
      <c r="C25" s="304">
        <v>2722</v>
      </c>
      <c r="D25" s="304">
        <f t="shared" ca="1" si="0"/>
        <v>1303.3648052902279</v>
      </c>
      <c r="E25" s="304">
        <v>870322</v>
      </c>
      <c r="F25" s="305">
        <f t="shared" ca="1" si="1"/>
        <v>4.0763751806802544</v>
      </c>
      <c r="G25" s="304">
        <v>638214</v>
      </c>
      <c r="H25" s="305">
        <f t="shared" ca="1" si="2"/>
        <v>5.5588862043139136</v>
      </c>
    </row>
    <row r="26" spans="1:8" ht="14.1" customHeight="1">
      <c r="A26" s="16" t="s">
        <v>123</v>
      </c>
      <c r="B26" s="140">
        <f>'- 29 -'!$D26</f>
        <v>2630031</v>
      </c>
      <c r="C26" s="140">
        <v>1382</v>
      </c>
      <c r="D26" s="140">
        <f t="shared" ca="1" si="0"/>
        <v>1903.0615050651229</v>
      </c>
      <c r="E26" s="140">
        <v>1365514</v>
      </c>
      <c r="F26" s="146">
        <f t="shared" ca="1" si="1"/>
        <v>1.9260373749372031</v>
      </c>
      <c r="G26" s="140">
        <v>1151322</v>
      </c>
      <c r="H26" s="146">
        <f t="shared" ca="1" si="2"/>
        <v>2.2843574603803281</v>
      </c>
    </row>
    <row r="27" spans="1:8" ht="14.1" customHeight="1">
      <c r="A27" s="272" t="s">
        <v>124</v>
      </c>
      <c r="B27" s="304">
        <f>'- 29 -'!$D27</f>
        <v>0</v>
      </c>
      <c r="C27" s="308" t="s">
        <v>89</v>
      </c>
      <c r="D27" s="308" t="str">
        <f ca="1">IF(AND(CELL("type",C27)="v",C27&gt;0),B27/C27,"")</f>
        <v/>
      </c>
      <c r="E27" s="308" t="s">
        <v>89</v>
      </c>
      <c r="F27" s="309" t="str">
        <f ca="1">IF(AND(CELL("type",E27)="v",E27&gt;0),B27/E27,"")</f>
        <v/>
      </c>
      <c r="G27" s="308" t="s">
        <v>89</v>
      </c>
      <c r="H27" s="305" t="str">
        <f t="shared" ca="1" si="2"/>
        <v/>
      </c>
    </row>
    <row r="28" spans="1:8" ht="14.1" customHeight="1">
      <c r="A28" s="16" t="s">
        <v>125</v>
      </c>
      <c r="B28" s="140">
        <f>'- 29 -'!$D28</f>
        <v>2007520</v>
      </c>
      <c r="C28" s="140">
        <v>830</v>
      </c>
      <c r="D28" s="140">
        <f t="shared" ca="1" si="0"/>
        <v>2418.6987951807228</v>
      </c>
      <c r="E28" s="140">
        <v>1251965</v>
      </c>
      <c r="F28" s="146">
        <f t="shared" ca="1" si="1"/>
        <v>1.6034953053799428</v>
      </c>
      <c r="G28" s="140">
        <v>809523</v>
      </c>
      <c r="H28" s="146">
        <f t="shared" ca="1" si="2"/>
        <v>2.4798801269389505</v>
      </c>
    </row>
    <row r="29" spans="1:8" ht="14.1" customHeight="1">
      <c r="A29" s="272" t="s">
        <v>126</v>
      </c>
      <c r="B29" s="304">
        <f>'- 29 -'!$D29</f>
        <v>2519155</v>
      </c>
      <c r="C29" s="304">
        <v>2320</v>
      </c>
      <c r="D29" s="304">
        <f t="shared" ca="1" si="0"/>
        <v>1085.842672413793</v>
      </c>
      <c r="E29" s="304">
        <v>485000</v>
      </c>
      <c r="F29" s="305">
        <f t="shared" ca="1" si="1"/>
        <v>5.1941340206185567</v>
      </c>
      <c r="G29" s="304">
        <v>285000</v>
      </c>
      <c r="H29" s="305">
        <f t="shared" ca="1" si="2"/>
        <v>8.8391403508771926</v>
      </c>
    </row>
    <row r="30" spans="1:8" ht="14.1" customHeight="1">
      <c r="A30" s="16" t="s">
        <v>127</v>
      </c>
      <c r="B30" s="140">
        <f>'- 29 -'!$D30</f>
        <v>1130421</v>
      </c>
      <c r="C30" s="140">
        <v>613</v>
      </c>
      <c r="D30" s="140">
        <f t="shared" ca="1" si="0"/>
        <v>1844.0799347471452</v>
      </c>
      <c r="E30" s="140">
        <v>720000</v>
      </c>
      <c r="F30" s="146">
        <f t="shared" ca="1" si="1"/>
        <v>1.5700291666666666</v>
      </c>
      <c r="G30" s="140">
        <v>425000</v>
      </c>
      <c r="H30" s="146">
        <f t="shared" ca="1" si="2"/>
        <v>2.6598141176470587</v>
      </c>
    </row>
    <row r="31" spans="1:8" ht="14.1" customHeight="1">
      <c r="A31" s="272" t="s">
        <v>128</v>
      </c>
      <c r="B31" s="304">
        <f>'- 29 -'!$D31</f>
        <v>995375</v>
      </c>
      <c r="C31" s="304">
        <v>1167</v>
      </c>
      <c r="D31" s="304">
        <f t="shared" ca="1" si="0"/>
        <v>852.93487574978576</v>
      </c>
      <c r="E31" s="304">
        <v>599375</v>
      </c>
      <c r="F31" s="305">
        <f t="shared" ca="1" si="1"/>
        <v>1.6606882168925965</v>
      </c>
      <c r="G31" s="304">
        <v>375945</v>
      </c>
      <c r="H31" s="305">
        <f t="shared" ca="1" si="2"/>
        <v>2.6476612270411897</v>
      </c>
    </row>
    <row r="32" spans="1:8" ht="14.1" customHeight="1">
      <c r="A32" s="16" t="s">
        <v>129</v>
      </c>
      <c r="B32" s="140">
        <f>'- 29 -'!$D32</f>
        <v>1977061</v>
      </c>
      <c r="C32" s="140">
        <v>1448</v>
      </c>
      <c r="D32" s="140">
        <f t="shared" ca="1" si="0"/>
        <v>1365.3736187845304</v>
      </c>
      <c r="E32" s="140">
        <v>1109090</v>
      </c>
      <c r="F32" s="146">
        <f t="shared" ca="1" si="1"/>
        <v>1.7825974447520039</v>
      </c>
      <c r="G32" s="140">
        <v>721496</v>
      </c>
      <c r="H32" s="146">
        <f t="shared" ca="1" si="2"/>
        <v>2.7402244780289844</v>
      </c>
    </row>
    <row r="33" spans="1:8" ht="14.1" customHeight="1">
      <c r="A33" s="272" t="s">
        <v>130</v>
      </c>
      <c r="B33" s="304">
        <f>'- 29 -'!$D33</f>
        <v>2207300</v>
      </c>
      <c r="C33" s="304">
        <v>1120</v>
      </c>
      <c r="D33" s="304">
        <f t="shared" ca="1" si="0"/>
        <v>1970.8035714285713</v>
      </c>
      <c r="E33" s="304">
        <v>1500000</v>
      </c>
      <c r="F33" s="305">
        <f t="shared" ca="1" si="1"/>
        <v>1.4715333333333334</v>
      </c>
      <c r="G33" s="304">
        <v>880000</v>
      </c>
      <c r="H33" s="305">
        <f t="shared" ca="1" si="2"/>
        <v>2.5082954545454546</v>
      </c>
    </row>
    <row r="34" spans="1:8" ht="14.1" customHeight="1">
      <c r="A34" s="16" t="s">
        <v>131</v>
      </c>
      <c r="B34" s="140">
        <f>'- 29 -'!$D34</f>
        <v>2454017</v>
      </c>
      <c r="C34" s="140">
        <v>1220</v>
      </c>
      <c r="D34" s="140">
        <f t="shared" ca="1" si="0"/>
        <v>2011.4893442622952</v>
      </c>
      <c r="E34" s="140">
        <v>1260580</v>
      </c>
      <c r="F34" s="146">
        <f t="shared" ca="1" si="1"/>
        <v>1.9467364229164352</v>
      </c>
      <c r="G34" s="140">
        <v>824800</v>
      </c>
      <c r="H34" s="146">
        <f t="shared" ca="1" si="2"/>
        <v>2.9752873423860331</v>
      </c>
    </row>
    <row r="35" spans="1:8" ht="14.1" customHeight="1">
      <c r="A35" s="272" t="s">
        <v>132</v>
      </c>
      <c r="B35" s="304">
        <f>'- 29 -'!$D35</f>
        <v>3591000</v>
      </c>
      <c r="C35" s="304">
        <v>3300</v>
      </c>
      <c r="D35" s="304">
        <f t="shared" ca="1" si="0"/>
        <v>1088.1818181818182</v>
      </c>
      <c r="E35" s="304">
        <v>960000</v>
      </c>
      <c r="F35" s="305">
        <f t="shared" ca="1" si="1"/>
        <v>3.7406250000000001</v>
      </c>
      <c r="G35" s="304">
        <v>460000</v>
      </c>
      <c r="H35" s="305">
        <f t="shared" ca="1" si="2"/>
        <v>7.8065217391304351</v>
      </c>
    </row>
    <row r="36" spans="1:8" ht="14.1" customHeight="1">
      <c r="A36" s="16" t="s">
        <v>133</v>
      </c>
      <c r="B36" s="140">
        <f>'- 29 -'!$D36</f>
        <v>1435060</v>
      </c>
      <c r="C36" s="140">
        <v>876</v>
      </c>
      <c r="D36" s="140">
        <f t="shared" ca="1" si="0"/>
        <v>1638.1963470319636</v>
      </c>
      <c r="E36" s="140">
        <v>784155</v>
      </c>
      <c r="F36" s="146">
        <f t="shared" ca="1" si="1"/>
        <v>1.8300718607928279</v>
      </c>
      <c r="G36" s="140">
        <v>505080</v>
      </c>
      <c r="H36" s="146">
        <f t="shared" ca="1" si="2"/>
        <v>2.8412528708323435</v>
      </c>
    </row>
    <row r="37" spans="1:8" ht="14.1" customHeight="1">
      <c r="A37" s="272" t="s">
        <v>134</v>
      </c>
      <c r="B37" s="304">
        <f>'- 29 -'!$D37</f>
        <v>2763204</v>
      </c>
      <c r="C37" s="304">
        <v>2748</v>
      </c>
      <c r="D37" s="304">
        <f t="shared" ca="1" si="0"/>
        <v>1005.5327510917031</v>
      </c>
      <c r="E37" s="304">
        <v>1325830</v>
      </c>
      <c r="F37" s="305">
        <f t="shared" ca="1" si="1"/>
        <v>2.0841314497333747</v>
      </c>
      <c r="G37" s="304">
        <v>814946</v>
      </c>
      <c r="H37" s="305">
        <f t="shared" ca="1" si="2"/>
        <v>3.3906590129898175</v>
      </c>
    </row>
    <row r="38" spans="1:8" ht="14.1" customHeight="1">
      <c r="A38" s="16" t="s">
        <v>135</v>
      </c>
      <c r="B38" s="140">
        <f>'- 29 -'!$D38</f>
        <v>2906655</v>
      </c>
      <c r="C38" s="140">
        <v>2988</v>
      </c>
      <c r="D38" s="140">
        <f t="shared" ca="1" si="0"/>
        <v>972.77610441767069</v>
      </c>
      <c r="E38" s="140">
        <v>584018</v>
      </c>
      <c r="F38" s="146">
        <f t="shared" ca="1" si="1"/>
        <v>4.9769955720542862</v>
      </c>
      <c r="G38" s="140">
        <v>422284</v>
      </c>
      <c r="H38" s="146">
        <f t="shared" ca="1" si="2"/>
        <v>6.88317577743888</v>
      </c>
    </row>
    <row r="39" spans="1:8" ht="14.1" customHeight="1">
      <c r="A39" s="272" t="s">
        <v>136</v>
      </c>
      <c r="B39" s="304">
        <f>'- 29 -'!$D39</f>
        <v>2038640</v>
      </c>
      <c r="C39" s="304">
        <v>768</v>
      </c>
      <c r="D39" s="304">
        <f t="shared" ca="1" si="0"/>
        <v>2654.4791666666665</v>
      </c>
      <c r="E39" s="304">
        <v>1154800</v>
      </c>
      <c r="F39" s="305">
        <f t="shared" ca="1" si="1"/>
        <v>1.7653619674402494</v>
      </c>
      <c r="G39" s="304">
        <v>700700</v>
      </c>
      <c r="H39" s="305">
        <f t="shared" ca="1" si="2"/>
        <v>2.9094334237191379</v>
      </c>
    </row>
    <row r="40" spans="1:8" ht="14.1" customHeight="1">
      <c r="A40" s="16" t="s">
        <v>137</v>
      </c>
      <c r="B40" s="140">
        <f>'- 29 -'!$D40</f>
        <v>1855560</v>
      </c>
      <c r="C40" s="140">
        <v>2022</v>
      </c>
      <c r="D40" s="140">
        <f t="shared" ca="1" si="0"/>
        <v>917.68545994065278</v>
      </c>
      <c r="E40" s="140">
        <v>501534</v>
      </c>
      <c r="F40" s="146">
        <f t="shared" ca="1" si="1"/>
        <v>3.699769108375504</v>
      </c>
      <c r="G40" s="140">
        <v>266101</v>
      </c>
      <c r="H40" s="146">
        <f t="shared" ca="1" si="2"/>
        <v>6.9731417769944493</v>
      </c>
    </row>
    <row r="41" spans="1:8" ht="14.1" customHeight="1">
      <c r="A41" s="272" t="s">
        <v>138</v>
      </c>
      <c r="B41" s="304">
        <f>'- 29 -'!$D41</f>
        <v>4580326</v>
      </c>
      <c r="C41" s="304">
        <v>3456</v>
      </c>
      <c r="D41" s="304">
        <f t="shared" ca="1" si="0"/>
        <v>1325.3258101851852</v>
      </c>
      <c r="E41" s="304">
        <v>2480804</v>
      </c>
      <c r="F41" s="305">
        <f t="shared" ca="1" si="1"/>
        <v>1.8463070843162137</v>
      </c>
      <c r="G41" s="304">
        <v>1519602</v>
      </c>
      <c r="H41" s="305">
        <f t="shared" ca="1" si="2"/>
        <v>3.0141616028407436</v>
      </c>
    </row>
    <row r="42" spans="1:8" ht="14.1" customHeight="1">
      <c r="A42" s="16" t="s">
        <v>139</v>
      </c>
      <c r="B42" s="140">
        <f>'- 29 -'!$D42</f>
        <v>1661971</v>
      </c>
      <c r="C42" s="140">
        <v>1278</v>
      </c>
      <c r="D42" s="140">
        <f t="shared" ca="1" si="0"/>
        <v>1300.4467918622847</v>
      </c>
      <c r="E42" s="140">
        <v>779005</v>
      </c>
      <c r="F42" s="146">
        <f t="shared" ca="1" si="1"/>
        <v>2.1334535721850307</v>
      </c>
      <c r="G42" s="140">
        <v>659277</v>
      </c>
      <c r="H42" s="146">
        <f t="shared" ca="1" si="2"/>
        <v>2.5208994095046542</v>
      </c>
    </row>
    <row r="43" spans="1:8" ht="14.1" customHeight="1">
      <c r="A43" s="272" t="s">
        <v>140</v>
      </c>
      <c r="B43" s="304">
        <f>'- 29 -'!$D43</f>
        <v>1159323</v>
      </c>
      <c r="C43" s="304">
        <v>415</v>
      </c>
      <c r="D43" s="304">
        <f t="shared" ca="1" si="0"/>
        <v>2793.5493975903614</v>
      </c>
      <c r="E43" s="304">
        <v>662606</v>
      </c>
      <c r="F43" s="305">
        <f t="shared" ca="1" si="1"/>
        <v>1.749641566783277</v>
      </c>
      <c r="G43" s="304">
        <v>416788</v>
      </c>
      <c r="H43" s="305">
        <f t="shared" ca="1" si="2"/>
        <v>2.7815652082113687</v>
      </c>
    </row>
    <row r="44" spans="1:8" ht="14.1" customHeight="1">
      <c r="A44" s="16" t="s">
        <v>141</v>
      </c>
      <c r="B44" s="140">
        <f>'- 29 -'!$D44</f>
        <v>1040385</v>
      </c>
      <c r="C44" s="140">
        <v>441</v>
      </c>
      <c r="D44" s="140">
        <f t="shared" ca="1" si="0"/>
        <v>2359.1496598639455</v>
      </c>
      <c r="E44" s="140">
        <v>727848</v>
      </c>
      <c r="F44" s="146">
        <f t="shared" ca="1" si="1"/>
        <v>1.429398720611996</v>
      </c>
      <c r="G44" s="140">
        <v>523700</v>
      </c>
      <c r="H44" s="146">
        <f t="shared" ca="1" si="2"/>
        <v>1.9866049264846286</v>
      </c>
    </row>
    <row r="45" spans="1:8" ht="14.1" customHeight="1">
      <c r="A45" s="272" t="s">
        <v>142</v>
      </c>
      <c r="B45" s="304">
        <f>'- 29 -'!$D45</f>
        <v>676813</v>
      </c>
      <c r="C45" s="304">
        <v>985</v>
      </c>
      <c r="D45" s="304">
        <f t="shared" ca="1" si="0"/>
        <v>687.11979695431467</v>
      </c>
      <c r="E45" s="304">
        <v>257000</v>
      </c>
      <c r="F45" s="305">
        <f t="shared" ca="1" si="1"/>
        <v>2.6335136186770427</v>
      </c>
      <c r="G45" s="304">
        <v>160000</v>
      </c>
      <c r="H45" s="305">
        <f t="shared" ca="1" si="2"/>
        <v>4.2300812499999996</v>
      </c>
    </row>
    <row r="46" spans="1:8" ht="14.1" customHeight="1">
      <c r="A46" s="16" t="s">
        <v>143</v>
      </c>
      <c r="B46" s="140">
        <f>'- 29 -'!$D46</f>
        <v>4536400</v>
      </c>
      <c r="C46" s="140">
        <v>2357</v>
      </c>
      <c r="D46" s="140">
        <f t="shared" ca="1" si="0"/>
        <v>1924.6499787865932</v>
      </c>
      <c r="E46" s="140">
        <v>1031147</v>
      </c>
      <c r="F46" s="146">
        <f t="shared" ca="1" si="1"/>
        <v>4.3993727373497666</v>
      </c>
      <c r="G46" s="140">
        <v>639933</v>
      </c>
      <c r="H46" s="146">
        <f t="shared" ca="1" si="2"/>
        <v>7.0888671157761829</v>
      </c>
    </row>
    <row r="47" spans="1:8" ht="5.0999999999999996" customHeight="1">
      <c r="A47"/>
      <c r="B47"/>
      <c r="C47"/>
      <c r="D47"/>
      <c r="E47"/>
      <c r="F47"/>
      <c r="G47"/>
      <c r="H47"/>
    </row>
    <row r="48" spans="1:8" ht="14.1" customHeight="1">
      <c r="A48" s="275" t="s">
        <v>144</v>
      </c>
      <c r="B48" s="306">
        <f>SUM(B11:B46)</f>
        <v>82982409</v>
      </c>
      <c r="C48" s="306">
        <f>SUM(C11:C46)</f>
        <v>64030</v>
      </c>
      <c r="D48" s="306">
        <f>B48/C48</f>
        <v>1295.9926440730908</v>
      </c>
      <c r="E48" s="306">
        <f>SUM(E11:E46)</f>
        <v>34706087</v>
      </c>
      <c r="F48" s="307">
        <f>B48/E48</f>
        <v>2.3910044655855325</v>
      </c>
      <c r="G48" s="306">
        <f>SUM(G11:G46)</f>
        <v>21800742</v>
      </c>
      <c r="H48" s="307">
        <f>B48/G48</f>
        <v>3.8064029655504386</v>
      </c>
    </row>
    <row r="49" spans="1:8" ht="5.0999999999999996" customHeight="1">
      <c r="A49" s="18" t="s">
        <v>1</v>
      </c>
      <c r="B49" s="141"/>
      <c r="C49" s="141"/>
      <c r="D49" s="141"/>
      <c r="E49" s="141"/>
      <c r="F49" s="80"/>
      <c r="G49" s="141"/>
      <c r="H49" s="80"/>
    </row>
    <row r="50" spans="1:8" ht="14.1" customHeight="1">
      <c r="A50" s="16" t="s">
        <v>145</v>
      </c>
      <c r="B50" s="140">
        <f>'- 29 -'!$D50</f>
        <v>0</v>
      </c>
      <c r="C50" s="365" t="s">
        <v>89</v>
      </c>
      <c r="D50" s="140" t="str">
        <f ca="1">IF(AND(CELL("type",C50)="v",C50&gt;0),B50/C50,"")</f>
        <v/>
      </c>
      <c r="E50" s="365" t="s">
        <v>89</v>
      </c>
      <c r="F50" s="146" t="str">
        <f ca="1">IF(AND(CELL("type",E50)="v",E50&gt;0),B50/E50,"")</f>
        <v/>
      </c>
      <c r="G50" s="365" t="s">
        <v>89</v>
      </c>
      <c r="H50" s="146" t="str">
        <f ca="1">IF(AND(CELL("type",G50)="v",G50&gt;0),B50/G50,"")</f>
        <v/>
      </c>
    </row>
    <row r="51" spans="1:8" ht="14.1" customHeight="1">
      <c r="A51" s="364" t="s">
        <v>540</v>
      </c>
      <c r="B51" s="304">
        <f>'- 29 -'!$D51</f>
        <v>0</v>
      </c>
      <c r="C51" s="304">
        <v>0</v>
      </c>
      <c r="D51" s="304" t="str">
        <f ca="1">IF(AND(CELL("type",C51)="v",C51&gt;0),B51/C51,"")</f>
        <v/>
      </c>
      <c r="E51" s="304">
        <v>0</v>
      </c>
      <c r="F51" s="305" t="str">
        <f ca="1">IF(AND(CELL("type",E51)="v",E51&gt;0),B51/E51,"")</f>
        <v/>
      </c>
      <c r="G51" s="304">
        <v>0</v>
      </c>
      <c r="H51" s="305" t="str">
        <f ca="1">IF(AND(CELL("type",G51)="v",G51&gt;0),B51/G51,"")</f>
        <v/>
      </c>
    </row>
    <row r="52" spans="1:8" ht="50.1" customHeight="1"/>
    <row r="53" spans="1:8" ht="15" customHeight="1"/>
    <row r="54" spans="1:8" ht="14.45" customHeight="1"/>
    <row r="55" spans="1:8" ht="14.45" customHeight="1"/>
    <row r="56" spans="1:8" ht="14.45" customHeight="1"/>
    <row r="57" spans="1:8" ht="14.45" customHeight="1"/>
    <row r="58" spans="1:8" ht="14.45" customHeight="1"/>
    <row r="59" spans="1:8" ht="14.45" customHeight="1"/>
  </sheetData>
  <mergeCells count="8">
    <mergeCell ref="B6:H6"/>
    <mergeCell ref="B7:H7"/>
    <mergeCell ref="C8:C9"/>
    <mergeCell ref="D8:D9"/>
    <mergeCell ref="E8:E9"/>
    <mergeCell ref="F8:F9"/>
    <mergeCell ref="G8:G9"/>
    <mergeCell ref="H8:H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BB59"/>
  <sheetViews>
    <sheetView showGridLines="0" showZeros="0" workbookViewId="0"/>
  </sheetViews>
  <sheetFormatPr defaultColWidth="15.83203125" defaultRowHeight="12"/>
  <cols>
    <col min="1" max="1" width="35.83203125" style="1" customWidth="1"/>
    <col min="2" max="2" width="22.83203125" style="1" customWidth="1"/>
    <col min="3" max="3" width="19.83203125" style="1" customWidth="1"/>
    <col min="4" max="4" width="15.83203125" style="1"/>
    <col min="5" max="5" width="38.83203125" style="1" customWidth="1"/>
    <col min="6" max="16384" width="15.83203125" style="1"/>
  </cols>
  <sheetData>
    <row r="1" spans="1:54" ht="6.95" customHeight="1">
      <c r="A1" s="3"/>
      <c r="B1" s="4"/>
      <c r="C1" s="4"/>
      <c r="D1" s="4"/>
      <c r="E1" s="4"/>
    </row>
    <row r="2" spans="1:54" ht="15.95" customHeight="1">
      <c r="A2" s="133"/>
      <c r="B2" s="5" t="str">
        <f>IF(Lang=1,BA2,BB2)</f>
        <v>ANALYSIS OF  TRANSPORTATION EXPENSES (CONT'D)</v>
      </c>
      <c r="C2" s="6"/>
      <c r="D2" s="6"/>
      <c r="E2" s="147"/>
      <c r="BA2" s="462" t="s">
        <v>264</v>
      </c>
      <c r="BB2" s="462" t="s">
        <v>451</v>
      </c>
    </row>
    <row r="3" spans="1:54" ht="15.95" customHeight="1">
      <c r="A3" s="136"/>
      <c r="B3" s="7" t="str">
        <f>OPYEAR</f>
        <v>OPERATING FUND 2015/2016 BUDGET</v>
      </c>
      <c r="C3" s="8"/>
      <c r="D3" s="8"/>
      <c r="E3" s="148"/>
    </row>
    <row r="4" spans="1:54" ht="15.95" customHeight="1">
      <c r="B4" s="4"/>
      <c r="C4" s="4"/>
      <c r="D4" s="4"/>
      <c r="E4" s="4"/>
    </row>
    <row r="5" spans="1:54" ht="15.95" customHeight="1">
      <c r="B5" s="4"/>
      <c r="C5" s="4"/>
      <c r="D5" s="4"/>
      <c r="E5" s="4"/>
    </row>
    <row r="6" spans="1:54" ht="15.95" customHeight="1">
      <c r="B6" s="613" t="s">
        <v>12</v>
      </c>
      <c r="C6" s="615"/>
      <c r="D6" s="600"/>
    </row>
    <row r="7" spans="1:54" ht="15.95" customHeight="1">
      <c r="B7" s="614" t="s">
        <v>27</v>
      </c>
      <c r="C7" s="616"/>
      <c r="D7" s="602"/>
    </row>
    <row r="8" spans="1:54" ht="15.95" customHeight="1">
      <c r="A8" s="83"/>
      <c r="B8" s="149"/>
      <c r="C8" s="689" t="s">
        <v>449</v>
      </c>
      <c r="D8" s="689" t="s">
        <v>448</v>
      </c>
    </row>
    <row r="9" spans="1:54" ht="15.95" customHeight="1">
      <c r="A9" s="28" t="s">
        <v>37</v>
      </c>
      <c r="B9" s="90" t="s">
        <v>38</v>
      </c>
      <c r="C9" s="688"/>
      <c r="D9" s="688"/>
    </row>
    <row r="10" spans="1:54" ht="5.0999999999999996" customHeight="1">
      <c r="A10" s="30"/>
    </row>
    <row r="11" spans="1:54" ht="14.1" customHeight="1">
      <c r="A11" s="272" t="s">
        <v>109</v>
      </c>
      <c r="B11" s="304">
        <f>SUM('- 29 -'!$B11,'- 29 -'!$D11,'- 30 -'!$D11)</f>
        <v>1277185</v>
      </c>
      <c r="C11" s="304">
        <v>620000</v>
      </c>
      <c r="D11" s="305">
        <f ca="1">IF(AND(CELL("type",C11)="v",C11&gt;0),B11/C11,"")</f>
        <v>2.0599758064516127</v>
      </c>
      <c r="E11" s="150"/>
    </row>
    <row r="12" spans="1:54" ht="14.1" customHeight="1">
      <c r="A12" s="16" t="s">
        <v>110</v>
      </c>
      <c r="B12" s="140">
        <f>SUM('- 29 -'!$B12,'- 29 -'!$D12,'- 30 -'!$D12)</f>
        <v>2505904</v>
      </c>
      <c r="C12" s="140">
        <v>1233790</v>
      </c>
      <c r="D12" s="146">
        <f t="shared" ref="D12:D46" ca="1" si="0">IF(AND(CELL("type",C12)="v",C12&gt;0),B12/C12,"")</f>
        <v>2.0310620121738707</v>
      </c>
      <c r="E12" s="150"/>
    </row>
    <row r="13" spans="1:54" ht="14.1" customHeight="1">
      <c r="A13" s="272" t="s">
        <v>111</v>
      </c>
      <c r="B13" s="304">
        <f>SUM('- 29 -'!$B13,'- 29 -'!$D13,'- 30 -'!$D13)</f>
        <v>2294000</v>
      </c>
      <c r="C13" s="304">
        <v>840000</v>
      </c>
      <c r="D13" s="305">
        <f t="shared" ca="1" si="0"/>
        <v>2.730952380952381</v>
      </c>
      <c r="E13" s="150"/>
    </row>
    <row r="14" spans="1:54" ht="14.1" customHeight="1">
      <c r="A14" s="16" t="s">
        <v>324</v>
      </c>
      <c r="B14" s="140">
        <f>SUM('- 29 -'!$B14,'- 29 -'!$D14,'- 30 -'!$D14)</f>
        <v>8160707</v>
      </c>
      <c r="C14" s="365" t="s">
        <v>89</v>
      </c>
      <c r="D14" s="146" t="str">
        <f t="shared" ca="1" si="0"/>
        <v/>
      </c>
      <c r="E14" s="150"/>
    </row>
    <row r="15" spans="1:54" ht="14.1" customHeight="1">
      <c r="A15" s="272" t="s">
        <v>112</v>
      </c>
      <c r="B15" s="304">
        <f>SUM('- 29 -'!$B15,'- 29 -'!$D15,'- 30 -'!$D15)</f>
        <v>1434950</v>
      </c>
      <c r="C15" s="304">
        <v>785000</v>
      </c>
      <c r="D15" s="305">
        <f t="shared" ca="1" si="0"/>
        <v>1.8279617834394903</v>
      </c>
      <c r="E15" s="150"/>
    </row>
    <row r="16" spans="1:54" ht="14.1" customHeight="1">
      <c r="A16" s="16" t="s">
        <v>113</v>
      </c>
      <c r="B16" s="140">
        <f>SUM('- 29 -'!$B16,'- 29 -'!$D16,'- 30 -'!$D16)</f>
        <v>515846</v>
      </c>
      <c r="C16" s="140">
        <v>57900</v>
      </c>
      <c r="D16" s="146">
        <f t="shared" ca="1" si="0"/>
        <v>8.9092573402417958</v>
      </c>
      <c r="E16" s="150"/>
    </row>
    <row r="17" spans="1:5" ht="14.1" customHeight="1">
      <c r="A17" s="272" t="s">
        <v>114</v>
      </c>
      <c r="B17" s="304">
        <f>SUM('- 29 -'!$B17,'- 29 -'!$D17,'- 30 -'!$D17)</f>
        <v>1413733</v>
      </c>
      <c r="C17" s="304">
        <v>889508</v>
      </c>
      <c r="D17" s="305">
        <f t="shared" ca="1" si="0"/>
        <v>1.5893426478457755</v>
      </c>
      <c r="E17" s="150"/>
    </row>
    <row r="18" spans="1:5" ht="14.1" customHeight="1">
      <c r="A18" s="16" t="s">
        <v>115</v>
      </c>
      <c r="B18" s="140">
        <f>SUM('- 29 -'!$B18,'- 29 -'!$D18,'- 30 -'!$D18)</f>
        <v>8096572</v>
      </c>
      <c r="C18" s="140">
        <v>1820000</v>
      </c>
      <c r="D18" s="146">
        <f t="shared" ca="1" si="0"/>
        <v>4.448665934065934</v>
      </c>
      <c r="E18" s="150"/>
    </row>
    <row r="19" spans="1:5" ht="14.1" customHeight="1">
      <c r="A19" s="272" t="s">
        <v>116</v>
      </c>
      <c r="B19" s="304">
        <f>SUM('- 29 -'!$B19,'- 29 -'!$D19,'- 30 -'!$D19)</f>
        <v>2874200</v>
      </c>
      <c r="C19" s="304">
        <v>950000</v>
      </c>
      <c r="D19" s="305">
        <f t="shared" ca="1" si="0"/>
        <v>3.0254736842105263</v>
      </c>
      <c r="E19" s="150"/>
    </row>
    <row r="20" spans="1:5" ht="14.1" customHeight="1">
      <c r="A20" s="16" t="s">
        <v>117</v>
      </c>
      <c r="B20" s="140">
        <f>SUM('- 29 -'!$B20,'- 29 -'!$D20,'- 30 -'!$D20)</f>
        <v>3946600</v>
      </c>
      <c r="C20" s="140">
        <v>1676694</v>
      </c>
      <c r="D20" s="146">
        <f t="shared" ca="1" si="0"/>
        <v>2.3537986060664617</v>
      </c>
      <c r="E20" s="150"/>
    </row>
    <row r="21" spans="1:5" ht="14.1" customHeight="1">
      <c r="A21" s="272" t="s">
        <v>118</v>
      </c>
      <c r="B21" s="304">
        <f>SUM('- 29 -'!$B21,'- 29 -'!$D21,'- 30 -'!$D21)</f>
        <v>2125000</v>
      </c>
      <c r="C21" s="304">
        <v>920000</v>
      </c>
      <c r="D21" s="305">
        <f t="shared" ca="1" si="0"/>
        <v>2.3097826086956523</v>
      </c>
      <c r="E21" s="150"/>
    </row>
    <row r="22" spans="1:5" ht="14.1" customHeight="1">
      <c r="A22" s="16" t="s">
        <v>119</v>
      </c>
      <c r="B22" s="140">
        <f>SUM('- 29 -'!$B22,'- 29 -'!$D22,'- 30 -'!$D22)</f>
        <v>591328</v>
      </c>
      <c r="C22" s="140">
        <v>182656</v>
      </c>
      <c r="D22" s="146">
        <f t="shared" ca="1" si="0"/>
        <v>3.2373861247372111</v>
      </c>
      <c r="E22" s="150"/>
    </row>
    <row r="23" spans="1:5" ht="14.1" customHeight="1">
      <c r="A23" s="272" t="s">
        <v>120</v>
      </c>
      <c r="B23" s="304">
        <f>SUM('- 29 -'!$B23,'- 29 -'!$D23,'- 30 -'!$D23)</f>
        <v>1641115</v>
      </c>
      <c r="C23" s="304">
        <v>930000</v>
      </c>
      <c r="D23" s="305">
        <f t="shared" ca="1" si="0"/>
        <v>1.7646397849462365</v>
      </c>
      <c r="E23" s="150"/>
    </row>
    <row r="24" spans="1:5" ht="14.1" customHeight="1">
      <c r="A24" s="16" t="s">
        <v>121</v>
      </c>
      <c r="B24" s="140">
        <f>SUM('- 29 -'!$B24,'- 29 -'!$D24,'- 30 -'!$D24)</f>
        <v>2611915</v>
      </c>
      <c r="C24" s="140">
        <v>1065284</v>
      </c>
      <c r="D24" s="146">
        <f t="shared" ca="1" si="0"/>
        <v>2.4518485211455348</v>
      </c>
      <c r="E24" s="150"/>
    </row>
    <row r="25" spans="1:5" ht="14.1" customHeight="1">
      <c r="A25" s="272" t="s">
        <v>122</v>
      </c>
      <c r="B25" s="304">
        <f>SUM('- 29 -'!$B25,'- 29 -'!$D25,'- 30 -'!$D25)</f>
        <v>3863378</v>
      </c>
      <c r="C25" s="304">
        <v>1158000</v>
      </c>
      <c r="D25" s="305">
        <f t="shared" ca="1" si="0"/>
        <v>3.3362504317789292</v>
      </c>
      <c r="E25" s="150"/>
    </row>
    <row r="26" spans="1:5" ht="14.1" customHeight="1">
      <c r="A26" s="16" t="s">
        <v>123</v>
      </c>
      <c r="B26" s="140">
        <f>SUM('- 29 -'!$B26,'- 29 -'!$D26,'- 30 -'!$D26)</f>
        <v>3058548</v>
      </c>
      <c r="C26" s="140">
        <v>1405514</v>
      </c>
      <c r="D26" s="146">
        <f t="shared" ca="1" si="0"/>
        <v>2.1761063923945261</v>
      </c>
      <c r="E26" s="150"/>
    </row>
    <row r="27" spans="1:5" ht="14.1" customHeight="1">
      <c r="A27" s="272" t="s">
        <v>124</v>
      </c>
      <c r="B27" s="304">
        <f>SUM('- 29 -'!$B27,'- 29 -'!$D27,'- 30 -'!$D27)</f>
        <v>115000</v>
      </c>
      <c r="C27" s="308" t="s">
        <v>89</v>
      </c>
      <c r="D27" s="305" t="str">
        <f t="shared" ca="1" si="0"/>
        <v/>
      </c>
      <c r="E27" s="150"/>
    </row>
    <row r="28" spans="1:5" ht="14.1" customHeight="1">
      <c r="A28" s="16" t="s">
        <v>125</v>
      </c>
      <c r="B28" s="140">
        <f>SUM('- 29 -'!$B28,'- 29 -'!$D28,'- 30 -'!$D28)</f>
        <v>2214115</v>
      </c>
      <c r="C28" s="140">
        <v>1225000</v>
      </c>
      <c r="D28" s="146">
        <f t="shared" ca="1" si="0"/>
        <v>1.8074408163265305</v>
      </c>
      <c r="E28" s="150"/>
    </row>
    <row r="29" spans="1:5" ht="14.1" customHeight="1">
      <c r="A29" s="272" t="s">
        <v>126</v>
      </c>
      <c r="B29" s="304">
        <f>SUM('- 29 -'!$B29,'- 29 -'!$D29,'- 30 -'!$D29)</f>
        <v>2792266</v>
      </c>
      <c r="C29" s="304">
        <v>630000</v>
      </c>
      <c r="D29" s="305">
        <f t="shared" ca="1" si="0"/>
        <v>4.4321682539682543</v>
      </c>
      <c r="E29" s="150"/>
    </row>
    <row r="30" spans="1:5" ht="14.1" customHeight="1">
      <c r="A30" s="16" t="s">
        <v>127</v>
      </c>
      <c r="B30" s="140">
        <f>SUM('- 29 -'!$B30,'- 29 -'!$D30,'- 30 -'!$D30)</f>
        <v>1242468</v>
      </c>
      <c r="C30" s="140">
        <v>710000</v>
      </c>
      <c r="D30" s="146">
        <f t="shared" ca="1" si="0"/>
        <v>1.7499549295774648</v>
      </c>
      <c r="E30" s="150"/>
    </row>
    <row r="31" spans="1:5" ht="14.1" customHeight="1">
      <c r="A31" s="272" t="s">
        <v>128</v>
      </c>
      <c r="B31" s="304">
        <f>SUM('- 29 -'!$B31,'- 29 -'!$D31,'- 30 -'!$D31)</f>
        <v>1123025</v>
      </c>
      <c r="C31" s="304">
        <v>610515</v>
      </c>
      <c r="D31" s="305">
        <f t="shared" ca="1" si="0"/>
        <v>1.8394715936545376</v>
      </c>
      <c r="E31" s="150"/>
    </row>
    <row r="32" spans="1:5" ht="14.1" customHeight="1">
      <c r="A32" s="16" t="s">
        <v>129</v>
      </c>
      <c r="B32" s="140">
        <f>SUM('- 29 -'!$B32,'- 29 -'!$D32,'- 30 -'!$D32)</f>
        <v>2125903</v>
      </c>
      <c r="C32" s="140">
        <v>1179090</v>
      </c>
      <c r="D32" s="146">
        <f t="shared" ca="1" si="0"/>
        <v>1.803003163456564</v>
      </c>
      <c r="E32" s="150"/>
    </row>
    <row r="33" spans="1:5" ht="14.1" customHeight="1">
      <c r="A33" s="272" t="s">
        <v>130</v>
      </c>
      <c r="B33" s="304">
        <f>SUM('- 29 -'!$B33,'- 29 -'!$D33,'- 30 -'!$D33)</f>
        <v>2395800</v>
      </c>
      <c r="C33" s="304">
        <v>1525000</v>
      </c>
      <c r="D33" s="305">
        <f t="shared" ca="1" si="0"/>
        <v>1.5710163934426229</v>
      </c>
      <c r="E33" s="150"/>
    </row>
    <row r="34" spans="1:5" ht="14.1" customHeight="1">
      <c r="A34" s="16" t="s">
        <v>131</v>
      </c>
      <c r="B34" s="140">
        <f>SUM('- 29 -'!$B34,'- 29 -'!$D34,'- 30 -'!$D34)</f>
        <v>2801549</v>
      </c>
      <c r="C34" s="140">
        <v>1267150</v>
      </c>
      <c r="D34" s="146">
        <f t="shared" ca="1" si="0"/>
        <v>2.2109055755040838</v>
      </c>
      <c r="E34" s="150"/>
    </row>
    <row r="35" spans="1:5" ht="14.1" customHeight="1">
      <c r="A35" s="272" t="s">
        <v>132</v>
      </c>
      <c r="B35" s="304">
        <f>SUM('- 29 -'!$B35,'- 29 -'!$D35,'- 30 -'!$D35)</f>
        <v>4124350</v>
      </c>
      <c r="C35" s="304">
        <v>1125000</v>
      </c>
      <c r="D35" s="305">
        <f t="shared" ca="1" si="0"/>
        <v>3.666088888888889</v>
      </c>
      <c r="E35" s="150"/>
    </row>
    <row r="36" spans="1:5" ht="14.1" customHeight="1">
      <c r="A36" s="16" t="s">
        <v>133</v>
      </c>
      <c r="B36" s="140">
        <f>SUM('- 29 -'!$B36,'- 29 -'!$D36,'- 30 -'!$D36)</f>
        <v>1591250</v>
      </c>
      <c r="C36" s="140">
        <v>823365</v>
      </c>
      <c r="D36" s="146">
        <f t="shared" ca="1" si="0"/>
        <v>1.9326179762316833</v>
      </c>
      <c r="E36" s="150"/>
    </row>
    <row r="37" spans="1:5" ht="14.1" customHeight="1">
      <c r="A37" s="272" t="s">
        <v>134</v>
      </c>
      <c r="B37" s="304">
        <f>SUM('- 29 -'!$B37,'- 29 -'!$D37,'- 30 -'!$D37)</f>
        <v>3026439</v>
      </c>
      <c r="C37" s="304">
        <v>1340000</v>
      </c>
      <c r="D37" s="305">
        <f t="shared" ca="1" si="0"/>
        <v>2.2585365671641791</v>
      </c>
      <c r="E37" s="150"/>
    </row>
    <row r="38" spans="1:5" ht="14.1" customHeight="1">
      <c r="A38" s="16" t="s">
        <v>135</v>
      </c>
      <c r="B38" s="140">
        <f>SUM('- 29 -'!$B38,'- 29 -'!$D38,'- 30 -'!$D38)</f>
        <v>3481705</v>
      </c>
      <c r="C38" s="140">
        <v>837081</v>
      </c>
      <c r="D38" s="146">
        <f t="shared" ca="1" si="0"/>
        <v>4.1593406133934474</v>
      </c>
      <c r="E38" s="150"/>
    </row>
    <row r="39" spans="1:5" ht="14.1" customHeight="1">
      <c r="A39" s="272" t="s">
        <v>136</v>
      </c>
      <c r="B39" s="304">
        <f>SUM('- 29 -'!$B39,'- 29 -'!$D39,'- 30 -'!$D39)</f>
        <v>2144340</v>
      </c>
      <c r="C39" s="304">
        <v>1154800</v>
      </c>
      <c r="D39" s="305">
        <f t="shared" ca="1" si="0"/>
        <v>1.8568929684793904</v>
      </c>
      <c r="E39" s="150"/>
    </row>
    <row r="40" spans="1:5" ht="14.1" customHeight="1">
      <c r="A40" s="16" t="s">
        <v>137</v>
      </c>
      <c r="B40" s="140">
        <f>SUM('- 29 -'!$B40,'- 29 -'!$D40,'- 30 -'!$D40)</f>
        <v>2077735</v>
      </c>
      <c r="C40" s="140">
        <v>576714</v>
      </c>
      <c r="D40" s="146">
        <f t="shared" ca="1" si="0"/>
        <v>3.6027129565087721</v>
      </c>
      <c r="E40" s="150"/>
    </row>
    <row r="41" spans="1:5" ht="14.1" customHeight="1">
      <c r="A41" s="272" t="s">
        <v>138</v>
      </c>
      <c r="B41" s="304">
        <f>SUM('- 29 -'!$B41,'- 29 -'!$D41,'- 30 -'!$D41)</f>
        <v>5058480</v>
      </c>
      <c r="C41" s="304">
        <v>2480804</v>
      </c>
      <c r="D41" s="305">
        <f t="shared" ca="1" si="0"/>
        <v>2.0390486310083342</v>
      </c>
      <c r="E41" s="150"/>
    </row>
    <row r="42" spans="1:5" ht="14.1" customHeight="1">
      <c r="A42" s="16" t="s">
        <v>139</v>
      </c>
      <c r="B42" s="140">
        <f>SUM('- 29 -'!$B42,'- 29 -'!$D42,'- 30 -'!$D42)</f>
        <v>1821721</v>
      </c>
      <c r="C42" s="140">
        <v>728000</v>
      </c>
      <c r="D42" s="146">
        <f t="shared" ca="1" si="0"/>
        <v>2.5023640109890111</v>
      </c>
      <c r="E42" s="150"/>
    </row>
    <row r="43" spans="1:5" ht="14.1" customHeight="1">
      <c r="A43" s="272" t="s">
        <v>140</v>
      </c>
      <c r="B43" s="304">
        <f>SUM('- 29 -'!$B43,'- 29 -'!$D43,'- 30 -'!$D43)</f>
        <v>1213537</v>
      </c>
      <c r="C43" s="304">
        <v>587797</v>
      </c>
      <c r="D43" s="305">
        <f t="shared" ca="1" si="0"/>
        <v>2.0645511970969568</v>
      </c>
      <c r="E43" s="150"/>
    </row>
    <row r="44" spans="1:5" ht="14.1" customHeight="1">
      <c r="A44" s="16" t="s">
        <v>141</v>
      </c>
      <c r="B44" s="140">
        <f>SUM('- 29 -'!$B44,'- 29 -'!$D44,'- 30 -'!$D44)</f>
        <v>1113873</v>
      </c>
      <c r="C44" s="140">
        <v>755584</v>
      </c>
      <c r="D44" s="146">
        <f t="shared" ca="1" si="0"/>
        <v>1.4741881776215484</v>
      </c>
      <c r="E44" s="150"/>
    </row>
    <row r="45" spans="1:5" ht="14.1" customHeight="1">
      <c r="A45" s="272" t="s">
        <v>142</v>
      </c>
      <c r="B45" s="304">
        <f>SUM('- 29 -'!$B45,'- 29 -'!$D45,'- 30 -'!$D45)</f>
        <v>758933</v>
      </c>
      <c r="C45" s="304">
        <v>301000</v>
      </c>
      <c r="D45" s="305">
        <f t="shared" ca="1" si="0"/>
        <v>2.5213720930232557</v>
      </c>
      <c r="E45" s="150"/>
    </row>
    <row r="46" spans="1:5" ht="14.1" customHeight="1">
      <c r="A46" s="16" t="s">
        <v>143</v>
      </c>
      <c r="B46" s="140">
        <f>SUM('- 29 -'!$B46,'- 29 -'!$D46,'- 30 -'!$D46)</f>
        <v>5490600</v>
      </c>
      <c r="C46" s="140">
        <v>1135726</v>
      </c>
      <c r="D46" s="146">
        <f t="shared" ca="1" si="0"/>
        <v>4.8344407013663506</v>
      </c>
      <c r="E46" s="150"/>
    </row>
    <row r="47" spans="1:5" ht="5.0999999999999996" customHeight="1">
      <c r="A47"/>
      <c r="B47"/>
      <c r="C47"/>
      <c r="D47"/>
      <c r="E47"/>
    </row>
    <row r="48" spans="1:5" ht="14.1" customHeight="1">
      <c r="A48" s="275" t="s">
        <v>144</v>
      </c>
      <c r="B48" s="306">
        <f>SUM(B11:B46)</f>
        <v>93124070</v>
      </c>
      <c r="C48" s="306">
        <f>SUM(C11:C46)</f>
        <v>33526972</v>
      </c>
      <c r="D48" s="307">
        <f>B48/C48</f>
        <v>2.777586654708931</v>
      </c>
      <c r="E48" s="150"/>
    </row>
    <row r="49" spans="1:5" ht="5.0999999999999996" customHeight="1">
      <c r="A49" s="18" t="s">
        <v>1</v>
      </c>
      <c r="B49" s="141"/>
      <c r="C49" s="141"/>
      <c r="D49" s="80"/>
    </row>
    <row r="50" spans="1:5" ht="14.1" customHeight="1">
      <c r="A50" s="16" t="s">
        <v>145</v>
      </c>
      <c r="B50" s="140">
        <f>SUM('- 29 -'!$B50,'- 29 -'!$D50,'- 30 -'!$D50)</f>
        <v>34806</v>
      </c>
      <c r="C50" s="365" t="s">
        <v>89</v>
      </c>
      <c r="D50" s="146" t="str">
        <f ca="1">IF(AND(CELL("type",C50)="v",C50&gt;0),B50/C50,"")</f>
        <v/>
      </c>
      <c r="E50" s="150"/>
    </row>
    <row r="51" spans="1:5" ht="14.1" customHeight="1">
      <c r="A51" s="364" t="s">
        <v>540</v>
      </c>
      <c r="B51" s="304">
        <f>SUM('- 29 -'!$B51,'- 29 -'!$D51,'- 30 -'!$D51)</f>
        <v>0</v>
      </c>
      <c r="C51" s="304">
        <v>0</v>
      </c>
      <c r="D51" s="305" t="str">
        <f ca="1">IF(AND(CELL("type",C51)="v",C51&gt;0),B51/C51,"")</f>
        <v/>
      </c>
      <c r="E51" s="150"/>
    </row>
    <row r="52" spans="1:5" ht="50.1" customHeight="1"/>
    <row r="53" spans="1:5" ht="15" customHeight="1"/>
    <row r="54" spans="1:5" ht="14.45" customHeight="1"/>
    <row r="55" spans="1:5" ht="14.45" customHeight="1"/>
    <row r="56" spans="1:5" ht="14.45" customHeight="1"/>
    <row r="57" spans="1:5" ht="14.45" customHeight="1"/>
    <row r="58" spans="1:5" ht="14.45" customHeight="1"/>
    <row r="59" spans="1:5" ht="14.45" customHeight="1"/>
  </sheetData>
  <mergeCells count="4">
    <mergeCell ref="B6:D6"/>
    <mergeCell ref="B7:D7"/>
    <mergeCell ref="C8:C9"/>
    <mergeCell ref="D8:D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BB59"/>
  <sheetViews>
    <sheetView showGridLines="0" showZeros="0" workbookViewId="0"/>
  </sheetViews>
  <sheetFormatPr defaultColWidth="15.83203125" defaultRowHeight="12"/>
  <cols>
    <col min="1" max="1" width="33.83203125" style="1" customWidth="1"/>
    <col min="2" max="2" width="17.83203125" style="1" customWidth="1"/>
    <col min="3" max="3" width="15.83203125" style="1"/>
    <col min="4" max="4" width="15.83203125" style="1" customWidth="1"/>
    <col min="5" max="5" width="15.83203125" style="1"/>
    <col min="6" max="6" width="17.83203125" style="1" customWidth="1"/>
    <col min="7" max="9" width="15.83203125" style="1"/>
    <col min="10" max="10" width="2.33203125" style="1" bestFit="1" customWidth="1"/>
    <col min="11" max="16384" width="15.83203125" style="1"/>
  </cols>
  <sheetData>
    <row r="1" spans="1:54" ht="6.95" customHeight="1">
      <c r="A1" s="3"/>
      <c r="B1" s="4"/>
      <c r="C1" s="4"/>
      <c r="D1" s="4"/>
      <c r="E1" s="4"/>
      <c r="F1" s="4"/>
    </row>
    <row r="2" spans="1:54" ht="15.95" customHeight="1">
      <c r="A2" s="5" t="str">
        <f>IF(Lang=1,BA2,BB2)</f>
        <v xml:space="preserve"> ANALYSIS OF OPERATIONS AND MAINTENANCE EXPENSES FOR SCHOOL BUILDINGS</v>
      </c>
      <c r="B2" s="143"/>
      <c r="C2" s="134"/>
      <c r="D2" s="6"/>
      <c r="E2" s="6"/>
      <c r="F2" s="6"/>
      <c r="G2" s="6"/>
      <c r="BA2" s="462" t="s">
        <v>265</v>
      </c>
      <c r="BB2" s="462" t="s">
        <v>456</v>
      </c>
    </row>
    <row r="3" spans="1:54" ht="15.95" customHeight="1">
      <c r="A3" s="7" t="str">
        <f>OPYEAR</f>
        <v>OPERATING FUND 2015/2016 BUDGET</v>
      </c>
      <c r="B3" s="144"/>
      <c r="C3" s="145"/>
      <c r="D3" s="8"/>
      <c r="E3" s="8"/>
      <c r="F3" s="8"/>
      <c r="G3" s="8"/>
    </row>
    <row r="4" spans="1:54" ht="15.95" customHeight="1">
      <c r="B4" s="4"/>
      <c r="C4" s="4"/>
      <c r="D4" s="85"/>
      <c r="E4" s="4"/>
      <c r="F4" s="4"/>
    </row>
    <row r="5" spans="1:54" ht="15.95" customHeight="1">
      <c r="B5" s="4"/>
      <c r="C5" s="4"/>
      <c r="D5" s="4"/>
      <c r="E5" s="4"/>
      <c r="F5" s="4"/>
      <c r="I5"/>
    </row>
    <row r="6" spans="1:54" ht="15.95" customHeight="1">
      <c r="B6" s="278"/>
      <c r="C6" s="310"/>
      <c r="D6" s="281"/>
      <c r="E6" s="280"/>
      <c r="F6" s="607" t="s">
        <v>452</v>
      </c>
      <c r="G6" s="600"/>
      <c r="I6"/>
    </row>
    <row r="7" spans="1:54" ht="15.95" customHeight="1">
      <c r="B7" s="614" t="s">
        <v>23</v>
      </c>
      <c r="C7" s="616"/>
      <c r="D7" s="616"/>
      <c r="E7" s="602"/>
      <c r="F7" s="614"/>
      <c r="G7" s="602"/>
      <c r="I7" s="380" t="s">
        <v>25</v>
      </c>
    </row>
    <row r="8" spans="1:54" ht="15.95" customHeight="1">
      <c r="A8" s="83"/>
      <c r="B8" s="89" t="s">
        <v>1</v>
      </c>
      <c r="C8" s="525" t="s">
        <v>453</v>
      </c>
      <c r="D8" s="525" t="s">
        <v>454</v>
      </c>
      <c r="E8" s="525" t="s">
        <v>455</v>
      </c>
      <c r="F8" s="89" t="s">
        <v>1</v>
      </c>
      <c r="G8" s="525" t="s">
        <v>454</v>
      </c>
      <c r="I8" s="380" t="s">
        <v>36</v>
      </c>
    </row>
    <row r="9" spans="1:54" ht="15.95" customHeight="1">
      <c r="A9" s="28" t="s">
        <v>37</v>
      </c>
      <c r="B9" s="90" t="s">
        <v>38</v>
      </c>
      <c r="C9" s="527"/>
      <c r="D9" s="565"/>
      <c r="E9" s="565"/>
      <c r="F9" s="90" t="s">
        <v>38</v>
      </c>
      <c r="G9" s="565"/>
      <c r="I9" s="363" t="s">
        <v>546</v>
      </c>
      <c r="J9" s="363"/>
    </row>
    <row r="10" spans="1:54" ht="5.0999999999999996" customHeight="1">
      <c r="A10" s="30"/>
    </row>
    <row r="11" spans="1:54" ht="14.1" customHeight="1">
      <c r="A11" s="272" t="s">
        <v>109</v>
      </c>
      <c r="B11" s="304">
        <f>'- 31 -'!D11</f>
        <v>1460800</v>
      </c>
      <c r="C11" s="304">
        <f>B11/'- 7 -'!F11</f>
        <v>886.94596235579843</v>
      </c>
      <c r="D11" s="305">
        <f t="shared" ref="D11:D42" si="0">B11/I11</f>
        <v>5.3576078544995767</v>
      </c>
      <c r="E11" s="304">
        <f>I11/'- 7 -'!F11</f>
        <v>165.54887674559805</v>
      </c>
      <c r="F11" s="304">
        <f>'- 31 -'!F11</f>
        <v>321500</v>
      </c>
      <c r="G11" s="305">
        <f t="shared" ref="G11:G42" si="1">F11/I11</f>
        <v>1.1791285085032954</v>
      </c>
      <c r="I11" s="1">
        <v>272659</v>
      </c>
    </row>
    <row r="12" spans="1:54" ht="14.1" customHeight="1">
      <c r="A12" s="16" t="s">
        <v>110</v>
      </c>
      <c r="B12" s="140">
        <f>'- 31 -'!D12</f>
        <v>2572393</v>
      </c>
      <c r="C12" s="140">
        <f>B12/'- 7 -'!F12</f>
        <v>1185.9810972798525</v>
      </c>
      <c r="D12" s="146">
        <f t="shared" si="0"/>
        <v>6.5880414071463695</v>
      </c>
      <c r="E12" s="140">
        <f>I12/'- 7 -'!F12</f>
        <v>180.020285846012</v>
      </c>
      <c r="F12" s="140">
        <f>'- 31 -'!F12</f>
        <v>500000</v>
      </c>
      <c r="G12" s="146">
        <f t="shared" si="1"/>
        <v>1.2805277823307655</v>
      </c>
      <c r="I12" s="1">
        <v>390464</v>
      </c>
    </row>
    <row r="13" spans="1:54" ht="14.1" customHeight="1">
      <c r="A13" s="272" t="s">
        <v>111</v>
      </c>
      <c r="B13" s="304">
        <f>'- 31 -'!D13</f>
        <v>6441800</v>
      </c>
      <c r="C13" s="304">
        <f>B13/'- 7 -'!F13</f>
        <v>788.7113559840833</v>
      </c>
      <c r="D13" s="305">
        <f t="shared" si="0"/>
        <v>6.1545487463610886</v>
      </c>
      <c r="E13" s="304">
        <f>I13/'- 7 -'!F13</f>
        <v>128.15096418732782</v>
      </c>
      <c r="F13" s="304">
        <f>'- 31 -'!F13</f>
        <v>608500</v>
      </c>
      <c r="G13" s="305">
        <f t="shared" si="1"/>
        <v>0.58136590893239815</v>
      </c>
      <c r="I13" s="1">
        <v>1046673</v>
      </c>
    </row>
    <row r="14" spans="1:54" ht="14.1" customHeight="1">
      <c r="A14" s="16" t="s">
        <v>324</v>
      </c>
      <c r="B14" s="140">
        <f>'- 31 -'!D14</f>
        <v>7004047</v>
      </c>
      <c r="C14" s="140">
        <f>B14/'- 7 -'!F14</f>
        <v>1315.8081908698102</v>
      </c>
      <c r="D14" s="146">
        <f t="shared" si="0"/>
        <v>7.624274071437358</v>
      </c>
      <c r="E14" s="140">
        <f>I14/'- 7 -'!F14</f>
        <v>172.58143903813638</v>
      </c>
      <c r="F14" s="140">
        <f>'- 31 -'!F14</f>
        <v>650000</v>
      </c>
      <c r="G14" s="146">
        <f t="shared" si="1"/>
        <v>0.70755923631498796</v>
      </c>
      <c r="I14" s="1">
        <v>918651</v>
      </c>
    </row>
    <row r="15" spans="1:54" ht="14.1" customHeight="1">
      <c r="A15" s="272" t="s">
        <v>112</v>
      </c>
      <c r="B15" s="304">
        <f>'- 31 -'!D15</f>
        <v>2039300</v>
      </c>
      <c r="C15" s="304">
        <f>B15/'- 7 -'!F15</f>
        <v>1429.5828951980372</v>
      </c>
      <c r="D15" s="305">
        <f t="shared" si="0"/>
        <v>7.0563037189796685</v>
      </c>
      <c r="E15" s="304">
        <f>I15/'- 7 -'!F15</f>
        <v>202.59656501927796</v>
      </c>
      <c r="F15" s="304">
        <f>'- 31 -'!F15</f>
        <v>244000</v>
      </c>
      <c r="G15" s="305">
        <f t="shared" si="1"/>
        <v>0.84427897191734369</v>
      </c>
      <c r="I15" s="1">
        <v>289004</v>
      </c>
    </row>
    <row r="16" spans="1:54" ht="14.1" customHeight="1">
      <c r="A16" s="16" t="s">
        <v>113</v>
      </c>
      <c r="B16" s="140">
        <f>'- 31 -'!D16</f>
        <v>1907622</v>
      </c>
      <c r="C16" s="140">
        <f>B16/'- 7 -'!F16</f>
        <v>2031.5463258785942</v>
      </c>
      <c r="D16" s="146">
        <f t="shared" si="0"/>
        <v>9.0949581634842307</v>
      </c>
      <c r="E16" s="140">
        <f>I16/'- 7 -'!F16</f>
        <v>223.37060702875399</v>
      </c>
      <c r="F16" s="140">
        <f>'- 31 -'!F16</f>
        <v>100000</v>
      </c>
      <c r="G16" s="146">
        <f t="shared" si="1"/>
        <v>0.47676941047462396</v>
      </c>
      <c r="I16" s="1">
        <v>209745</v>
      </c>
    </row>
    <row r="17" spans="1:12" ht="14.1" customHeight="1">
      <c r="A17" s="272" t="s">
        <v>114</v>
      </c>
      <c r="B17" s="304">
        <f>'- 31 -'!D17</f>
        <v>1586365</v>
      </c>
      <c r="C17" s="304">
        <f>B17/'- 7 -'!F17</f>
        <v>1167.7327935222672</v>
      </c>
      <c r="D17" s="305">
        <f t="shared" si="0"/>
        <v>6.0831777098616069</v>
      </c>
      <c r="E17" s="304">
        <f>I17/'- 7 -'!F17</f>
        <v>191.96098638203901</v>
      </c>
      <c r="F17" s="304">
        <f>'- 31 -'!F17</f>
        <v>140500</v>
      </c>
      <c r="G17" s="305">
        <f t="shared" si="1"/>
        <v>0.53877037644902392</v>
      </c>
      <c r="I17" s="1">
        <v>260779</v>
      </c>
    </row>
    <row r="18" spans="1:12" ht="14.1" customHeight="1">
      <c r="A18" s="16" t="s">
        <v>115</v>
      </c>
      <c r="B18" s="140">
        <f>'- 31 -'!D18</f>
        <v>16076837</v>
      </c>
      <c r="C18" s="140">
        <f>B18/'- 7 -'!F18</f>
        <v>2567.5285869426343</v>
      </c>
      <c r="D18" s="146">
        <f t="shared" si="0"/>
        <v>11.760651884832374</v>
      </c>
      <c r="E18" s="140">
        <f>I18/'- 7 -'!F18</f>
        <v>218.31515906477577</v>
      </c>
      <c r="F18" s="140">
        <f>'- 31 -'!F18</f>
        <v>2329003</v>
      </c>
      <c r="G18" s="146">
        <f t="shared" si="1"/>
        <v>1.703730250031785</v>
      </c>
      <c r="I18" s="1">
        <v>1367002.2</v>
      </c>
    </row>
    <row r="19" spans="1:12" ht="14.1" customHeight="1">
      <c r="A19" s="272" t="s">
        <v>116</v>
      </c>
      <c r="B19" s="304">
        <f>'- 31 -'!D19</f>
        <v>3772525</v>
      </c>
      <c r="C19" s="304">
        <f>B19/'- 7 -'!F19</f>
        <v>898.64816579323485</v>
      </c>
      <c r="D19" s="305">
        <f t="shared" si="0"/>
        <v>5.890824116538389</v>
      </c>
      <c r="E19" s="304">
        <f>I19/'- 7 -'!F19</f>
        <v>152.55050023820868</v>
      </c>
      <c r="F19" s="304">
        <f>'- 31 -'!F19</f>
        <v>100000</v>
      </c>
      <c r="G19" s="305">
        <f t="shared" si="1"/>
        <v>0.15615069791554434</v>
      </c>
      <c r="I19" s="1">
        <v>640407</v>
      </c>
    </row>
    <row r="20" spans="1:12" ht="14.1" customHeight="1">
      <c r="A20" s="16" t="s">
        <v>117</v>
      </c>
      <c r="B20" s="140">
        <f>'- 31 -'!D20</f>
        <v>7415100</v>
      </c>
      <c r="C20" s="140">
        <f>B20/'- 7 -'!F20</f>
        <v>992.51773524293935</v>
      </c>
      <c r="D20" s="146">
        <f t="shared" si="0"/>
        <v>7.0763751506632042</v>
      </c>
      <c r="E20" s="140">
        <f>I20/'- 7 -'!F20</f>
        <v>140.25793066523892</v>
      </c>
      <c r="F20" s="140">
        <f>'- 31 -'!F20</f>
        <v>846000</v>
      </c>
      <c r="G20" s="146">
        <f t="shared" si="1"/>
        <v>0.80735436844561381</v>
      </c>
      <c r="I20" s="1">
        <v>1047867</v>
      </c>
    </row>
    <row r="21" spans="1:12" ht="14.1" customHeight="1">
      <c r="A21" s="272" t="s">
        <v>118</v>
      </c>
      <c r="B21" s="304">
        <f>'- 31 -'!D21</f>
        <v>2894000</v>
      </c>
      <c r="C21" s="304">
        <f>B21/'- 7 -'!F21</f>
        <v>1073.0441230997405</v>
      </c>
      <c r="D21" s="305">
        <f t="shared" si="0"/>
        <v>6.376190853889609</v>
      </c>
      <c r="E21" s="304">
        <f>I21/'- 7 -'!F21</f>
        <v>168.28921023359288</v>
      </c>
      <c r="F21" s="304">
        <f>'- 31 -'!F21</f>
        <v>300000</v>
      </c>
      <c r="G21" s="305">
        <f t="shared" si="1"/>
        <v>0.66097348174391246</v>
      </c>
      <c r="I21" s="1">
        <v>453876</v>
      </c>
    </row>
    <row r="22" spans="1:12" ht="14.1" customHeight="1">
      <c r="A22" s="16" t="s">
        <v>119</v>
      </c>
      <c r="B22" s="140">
        <f>'- 31 -'!D22</f>
        <v>2212850</v>
      </c>
      <c r="C22" s="140">
        <f>B22/'- 7 -'!F22</f>
        <v>1411.0763933171788</v>
      </c>
      <c r="D22" s="146">
        <f t="shared" si="0"/>
        <v>6.4506490439973998</v>
      </c>
      <c r="E22" s="140">
        <f>I22/'- 7 -'!F22</f>
        <v>218.74952174467541</v>
      </c>
      <c r="F22" s="140">
        <f>'- 31 -'!F22</f>
        <v>165720</v>
      </c>
      <c r="G22" s="146">
        <f t="shared" si="1"/>
        <v>0.48308812597837592</v>
      </c>
      <c r="I22" s="1">
        <v>343043</v>
      </c>
    </row>
    <row r="23" spans="1:12" ht="14.1" customHeight="1">
      <c r="A23" s="272" t="s">
        <v>120</v>
      </c>
      <c r="B23" s="304">
        <f>'- 31 -'!D23</f>
        <v>1194350</v>
      </c>
      <c r="C23" s="304">
        <f>B23/'- 7 -'!F23</f>
        <v>1072.1274685816877</v>
      </c>
      <c r="D23" s="305">
        <f t="shared" si="0"/>
        <v>5.1203398840758654</v>
      </c>
      <c r="E23" s="304">
        <f>I23/'- 7 -'!F23</f>
        <v>209.38599640933572</v>
      </c>
      <c r="F23" s="304">
        <f>'- 31 -'!F23</f>
        <v>140382</v>
      </c>
      <c r="G23" s="305">
        <f t="shared" si="1"/>
        <v>0.60183660870459921</v>
      </c>
      <c r="I23" s="1">
        <v>233256</v>
      </c>
    </row>
    <row r="24" spans="1:12" ht="14.1" customHeight="1">
      <c r="A24" s="16" t="s">
        <v>121</v>
      </c>
      <c r="B24" s="140">
        <f>'- 31 -'!D24</f>
        <v>5355760</v>
      </c>
      <c r="C24" s="140">
        <f>B24/'- 7 -'!F24</f>
        <v>1347.1915482329266</v>
      </c>
      <c r="D24" s="146">
        <f t="shared" si="0"/>
        <v>7.5935590802818078</v>
      </c>
      <c r="E24" s="140">
        <f>I24/'- 7 -'!F24</f>
        <v>177.41240095585462</v>
      </c>
      <c r="F24" s="140">
        <f>'- 31 -'!F24</f>
        <v>410150</v>
      </c>
      <c r="G24" s="146">
        <f t="shared" si="1"/>
        <v>0.58152311843278703</v>
      </c>
      <c r="I24" s="1">
        <v>705303</v>
      </c>
    </row>
    <row r="25" spans="1:12" ht="14.1" customHeight="1">
      <c r="A25" s="272" t="s">
        <v>122</v>
      </c>
      <c r="B25" s="304">
        <f>'- 31 -'!D25</f>
        <v>16006878</v>
      </c>
      <c r="C25" s="304">
        <f>B25/'- 7 -'!F25</f>
        <v>1144.5338386185692</v>
      </c>
      <c r="D25" s="305">
        <f t="shared" si="0"/>
        <v>7.1588327529716516</v>
      </c>
      <c r="E25" s="304">
        <f>I25/'- 7 -'!F25</f>
        <v>159.87715848557434</v>
      </c>
      <c r="F25" s="304">
        <f>'- 31 -'!F25</f>
        <v>497800</v>
      </c>
      <c r="G25" s="305">
        <f t="shared" si="1"/>
        <v>0.22263347945984771</v>
      </c>
      <c r="I25" s="1">
        <v>2235962</v>
      </c>
    </row>
    <row r="26" spans="1:12" ht="14.1" customHeight="1">
      <c r="A26" s="16" t="s">
        <v>123</v>
      </c>
      <c r="B26" s="140">
        <f>'- 31 -'!D26</f>
        <v>4332097</v>
      </c>
      <c r="C26" s="140">
        <f>B26/'- 7 -'!F26</f>
        <v>1394.0778761061947</v>
      </c>
      <c r="D26" s="146">
        <f t="shared" si="0"/>
        <v>5.6275397731627441</v>
      </c>
      <c r="E26" s="140">
        <f>I26/'- 7 -'!F26</f>
        <v>247.72421560740145</v>
      </c>
      <c r="F26" s="140">
        <f>'- 31 -'!F26</f>
        <v>220241</v>
      </c>
      <c r="G26" s="146">
        <f t="shared" si="1"/>
        <v>0.28610046986047077</v>
      </c>
      <c r="I26" s="1">
        <v>769803</v>
      </c>
    </row>
    <row r="27" spans="1:12" ht="14.1" customHeight="1">
      <c r="A27" s="272" t="s">
        <v>124</v>
      </c>
      <c r="B27" s="304">
        <f>'- 31 -'!D27</f>
        <v>4045042</v>
      </c>
      <c r="C27" s="350">
        <f>B27/'- 7 -'!F27</f>
        <v>1414.1737545261581</v>
      </c>
      <c r="D27" s="305">
        <f t="shared" si="0"/>
        <v>8.6969390102577666</v>
      </c>
      <c r="E27" s="350">
        <f>I27/'- 7 -'!F27</f>
        <v>162.60591834186542</v>
      </c>
      <c r="F27" s="308">
        <f>'- 31 -'!F27</f>
        <v>436000</v>
      </c>
      <c r="G27" s="305">
        <f t="shared" si="1"/>
        <v>0.93741063961075954</v>
      </c>
      <c r="I27" s="1">
        <v>465111</v>
      </c>
      <c r="L27" s="380" t="s">
        <v>36</v>
      </c>
    </row>
    <row r="28" spans="1:12" ht="14.1" customHeight="1">
      <c r="A28" s="16" t="s">
        <v>125</v>
      </c>
      <c r="B28" s="140">
        <f>'- 31 -'!D28</f>
        <v>2714385</v>
      </c>
      <c r="C28" s="140">
        <f>B28/'- 7 -'!F28</f>
        <v>1377.5107840649582</v>
      </c>
      <c r="D28" s="146">
        <f t="shared" si="0"/>
        <v>6.1610614407212454</v>
      </c>
      <c r="E28" s="140">
        <f>I28/'- 7 -'!F28</f>
        <v>223.58335447855873</v>
      </c>
      <c r="F28" s="140">
        <f>'- 31 -'!F28</f>
        <v>186886</v>
      </c>
      <c r="G28" s="146">
        <f t="shared" si="1"/>
        <v>0.42419042560676939</v>
      </c>
      <c r="I28" s="1">
        <f>390571+50000</f>
        <v>440571</v>
      </c>
      <c r="J28" s="205" t="s">
        <v>369</v>
      </c>
      <c r="K28" s="1">
        <v>50000</v>
      </c>
      <c r="L28" s="132" t="s">
        <v>545</v>
      </c>
    </row>
    <row r="29" spans="1:12" ht="14.1" customHeight="1">
      <c r="A29" s="272" t="s">
        <v>126</v>
      </c>
      <c r="B29" s="304">
        <f>'- 31 -'!D29</f>
        <v>13798909</v>
      </c>
      <c r="C29" s="304">
        <f>B29/'- 7 -'!F29</f>
        <v>1117.8636584575502</v>
      </c>
      <c r="D29" s="305">
        <f t="shared" si="0"/>
        <v>8.0933868868554768</v>
      </c>
      <c r="E29" s="304">
        <f>I29/'- 7 -'!F29</f>
        <v>138.12062540505508</v>
      </c>
      <c r="F29" s="304">
        <f>'- 31 -'!F29</f>
        <v>4955076</v>
      </c>
      <c r="G29" s="305">
        <f t="shared" si="1"/>
        <v>2.9062694102680355</v>
      </c>
      <c r="I29" s="1">
        <v>1704961</v>
      </c>
    </row>
    <row r="30" spans="1:12" ht="14.1" customHeight="1">
      <c r="A30" s="16" t="s">
        <v>127</v>
      </c>
      <c r="B30" s="140">
        <f>'- 31 -'!D30</f>
        <v>1079029</v>
      </c>
      <c r="C30" s="140">
        <f>B30/'- 7 -'!F30</f>
        <v>1051.6851851851852</v>
      </c>
      <c r="D30" s="146">
        <f t="shared" si="0"/>
        <v>5.1449707950888071</v>
      </c>
      <c r="E30" s="140">
        <f>I30/'- 7 -'!F30</f>
        <v>204.41033138401559</v>
      </c>
      <c r="F30" s="140">
        <f>'- 31 -'!F30</f>
        <v>179250</v>
      </c>
      <c r="G30" s="146">
        <f t="shared" si="1"/>
        <v>0.8546906663487901</v>
      </c>
      <c r="I30" s="1">
        <v>209725</v>
      </c>
    </row>
    <row r="31" spans="1:12" ht="14.1" customHeight="1">
      <c r="A31" s="272" t="s">
        <v>128</v>
      </c>
      <c r="B31" s="304">
        <f>'- 31 -'!D31</f>
        <v>3490285</v>
      </c>
      <c r="C31" s="304">
        <f>B31/'- 7 -'!F31</f>
        <v>1093.4476817042607</v>
      </c>
      <c r="D31" s="305">
        <f t="shared" si="0"/>
        <v>5.7456845037220434</v>
      </c>
      <c r="E31" s="304">
        <f>I31/'- 7 -'!F31</f>
        <v>190.3076441102757</v>
      </c>
      <c r="F31" s="304">
        <f>'- 31 -'!F31</f>
        <v>249360</v>
      </c>
      <c r="G31" s="305">
        <f t="shared" si="1"/>
        <v>0.4104948128442602</v>
      </c>
      <c r="I31" s="1">
        <v>607462</v>
      </c>
    </row>
    <row r="32" spans="1:12" ht="14.1" customHeight="1">
      <c r="A32" s="16" t="s">
        <v>129</v>
      </c>
      <c r="B32" s="140">
        <f>'- 31 -'!D32</f>
        <v>2188890</v>
      </c>
      <c r="C32" s="140">
        <f>B32/'- 7 -'!F32</f>
        <v>1033.4946528482733</v>
      </c>
      <c r="D32" s="146">
        <f t="shared" si="0"/>
        <v>5.7019271346180895</v>
      </c>
      <c r="E32" s="140">
        <f>I32/'- 7 -'!F32</f>
        <v>181.25357066975144</v>
      </c>
      <c r="F32" s="140">
        <f>'- 31 -'!F32</f>
        <v>913500</v>
      </c>
      <c r="G32" s="146">
        <f t="shared" si="1"/>
        <v>2.3796126975195762</v>
      </c>
      <c r="I32" s="1">
        <v>383886</v>
      </c>
    </row>
    <row r="33" spans="1:9" ht="14.1" customHeight="1">
      <c r="A33" s="272" t="s">
        <v>130</v>
      </c>
      <c r="B33" s="304">
        <f>'- 31 -'!D33</f>
        <v>2654700</v>
      </c>
      <c r="C33" s="304">
        <f>B33/'- 7 -'!F33</f>
        <v>1342.4525916561315</v>
      </c>
      <c r="D33" s="305">
        <f t="shared" si="0"/>
        <v>5.36544746421115</v>
      </c>
      <c r="E33" s="304">
        <f>I33/'- 7 -'!F33</f>
        <v>250.20328697850823</v>
      </c>
      <c r="F33" s="304">
        <f>'- 31 -'!F33</f>
        <v>336000</v>
      </c>
      <c r="G33" s="305">
        <f t="shared" si="1"/>
        <v>0.6790938139808439</v>
      </c>
      <c r="I33" s="1">
        <v>494777</v>
      </c>
    </row>
    <row r="34" spans="1:9" ht="14.1" customHeight="1">
      <c r="A34" s="16" t="s">
        <v>131</v>
      </c>
      <c r="B34" s="140">
        <f>'- 31 -'!D34</f>
        <v>2146561</v>
      </c>
      <c r="C34" s="140">
        <f>B34/'- 7 -'!F34</f>
        <v>1086.9764026736884</v>
      </c>
      <c r="D34" s="146">
        <f t="shared" si="0"/>
        <v>5.8709039540296528</v>
      </c>
      <c r="E34" s="140">
        <f>I34/'- 7 -'!F34</f>
        <v>185.14634393356289</v>
      </c>
      <c r="F34" s="140">
        <f>'- 31 -'!F34</f>
        <v>282052</v>
      </c>
      <c r="G34" s="146">
        <f t="shared" si="1"/>
        <v>0.77142005377064604</v>
      </c>
      <c r="I34" s="1">
        <v>365627</v>
      </c>
    </row>
    <row r="35" spans="1:9" ht="14.1" customHeight="1">
      <c r="A35" s="272" t="s">
        <v>132</v>
      </c>
      <c r="B35" s="304">
        <f>'- 31 -'!D35</f>
        <v>18290375</v>
      </c>
      <c r="C35" s="304">
        <f>B35/'- 7 -'!F35</f>
        <v>1170.8837462390372</v>
      </c>
      <c r="D35" s="305">
        <f t="shared" si="0"/>
        <v>7.5024416275657595</v>
      </c>
      <c r="E35" s="304">
        <f>I35/'- 7 -'!F35</f>
        <v>156.06702515844057</v>
      </c>
      <c r="F35" s="304">
        <f>'- 31 -'!F35</f>
        <v>838500</v>
      </c>
      <c r="G35" s="305">
        <f t="shared" si="1"/>
        <v>0.34394031312719886</v>
      </c>
      <c r="I35" s="1">
        <v>2437923</v>
      </c>
    </row>
    <row r="36" spans="1:9" ht="14.1" customHeight="1">
      <c r="A36" s="16" t="s">
        <v>133</v>
      </c>
      <c r="B36" s="140">
        <f>'- 31 -'!D36</f>
        <v>2299100</v>
      </c>
      <c r="C36" s="140">
        <f>B36/'- 7 -'!F36</f>
        <v>1370.5514157973175</v>
      </c>
      <c r="D36" s="146">
        <f t="shared" si="0"/>
        <v>7.1500766601668797</v>
      </c>
      <c r="E36" s="140">
        <f>I36/'- 7 -'!F36</f>
        <v>191.68345752608047</v>
      </c>
      <c r="F36" s="140">
        <f>'- 31 -'!F36</f>
        <v>155000</v>
      </c>
      <c r="G36" s="146">
        <f t="shared" si="1"/>
        <v>0.4820416172962752</v>
      </c>
      <c r="I36" s="1">
        <v>321549</v>
      </c>
    </row>
    <row r="37" spans="1:9" ht="14.1" customHeight="1">
      <c r="A37" s="272" t="s">
        <v>134</v>
      </c>
      <c r="B37" s="304">
        <f>'- 31 -'!D37</f>
        <v>3963620</v>
      </c>
      <c r="C37" s="304">
        <f>B37/'- 7 -'!F37</f>
        <v>1003.8293022666835</v>
      </c>
      <c r="D37" s="305">
        <f t="shared" si="0"/>
        <v>6.8077117952681521</v>
      </c>
      <c r="E37" s="304">
        <f>I37/'- 7 -'!F37</f>
        <v>147.45472964416868</v>
      </c>
      <c r="F37" s="304">
        <f>'- 31 -'!F37</f>
        <v>460000</v>
      </c>
      <c r="G37" s="305">
        <f t="shared" si="1"/>
        <v>0.7900725664476792</v>
      </c>
      <c r="I37" s="1">
        <v>582225</v>
      </c>
    </row>
    <row r="38" spans="1:9" ht="14.1" customHeight="1">
      <c r="A38" s="16" t="s">
        <v>135</v>
      </c>
      <c r="B38" s="140">
        <f>'- 31 -'!D38</f>
        <v>10623500</v>
      </c>
      <c r="C38" s="140">
        <f>B38/'- 7 -'!F38</f>
        <v>987.77312877731288</v>
      </c>
      <c r="D38" s="146">
        <f t="shared" si="0"/>
        <v>8.7700615105457853</v>
      </c>
      <c r="E38" s="140">
        <f>I38/'- 7 -'!F38</f>
        <v>112.63012552301255</v>
      </c>
      <c r="F38" s="140">
        <f>'- 31 -'!F38</f>
        <v>816200</v>
      </c>
      <c r="G38" s="146">
        <f t="shared" si="1"/>
        <v>0.67380093235821248</v>
      </c>
      <c r="I38" s="1">
        <v>1211337</v>
      </c>
    </row>
    <row r="39" spans="1:9" ht="14.1" customHeight="1">
      <c r="A39" s="272" t="s">
        <v>136</v>
      </c>
      <c r="B39" s="304">
        <f>'- 31 -'!D39</f>
        <v>1983600</v>
      </c>
      <c r="C39" s="304">
        <f>B39/'- 7 -'!F39</f>
        <v>1276.4478764478765</v>
      </c>
      <c r="D39" s="305">
        <f t="shared" si="0"/>
        <v>6.3101036096363003</v>
      </c>
      <c r="E39" s="304">
        <f>I39/'- 7 -'!F39</f>
        <v>202.2863577863578</v>
      </c>
      <c r="F39" s="304">
        <f>'- 31 -'!F39</f>
        <v>164600</v>
      </c>
      <c r="G39" s="305">
        <f t="shared" si="1"/>
        <v>0.52361517147919701</v>
      </c>
      <c r="I39" s="1">
        <v>314353</v>
      </c>
    </row>
    <row r="40" spans="1:9" ht="14.1" customHeight="1">
      <c r="A40" s="16" t="s">
        <v>137</v>
      </c>
      <c r="B40" s="140">
        <f>'- 31 -'!D40</f>
        <v>8127304</v>
      </c>
      <c r="C40" s="140">
        <f>B40/'- 7 -'!F40</f>
        <v>1036.0697367280441</v>
      </c>
      <c r="D40" s="146">
        <f t="shared" si="0"/>
        <v>5.7230303393058968</v>
      </c>
      <c r="E40" s="140">
        <f>I40/'- 7 -'!F40</f>
        <v>181.03516411791404</v>
      </c>
      <c r="F40" s="140">
        <f>'- 31 -'!F40</f>
        <v>1444267</v>
      </c>
      <c r="G40" s="146">
        <f t="shared" si="1"/>
        <v>1.017014234862915</v>
      </c>
      <c r="I40" s="1">
        <v>1420105</v>
      </c>
    </row>
    <row r="41" spans="1:9" ht="14.1" customHeight="1">
      <c r="A41" s="272" t="s">
        <v>138</v>
      </c>
      <c r="B41" s="304">
        <f>'- 31 -'!D41</f>
        <v>4728629</v>
      </c>
      <c r="C41" s="304">
        <f>B41/'- 7 -'!F41</f>
        <v>1085.6684651589944</v>
      </c>
      <c r="D41" s="305">
        <f t="shared" si="0"/>
        <v>6.474647077348596</v>
      </c>
      <c r="E41" s="304">
        <f>I41/'- 7 -'!F41</f>
        <v>167.67994489725635</v>
      </c>
      <c r="F41" s="304">
        <f>'- 31 -'!F41</f>
        <v>475540</v>
      </c>
      <c r="G41" s="305">
        <f t="shared" si="1"/>
        <v>0.65113031095532159</v>
      </c>
      <c r="I41" s="1">
        <v>730330</v>
      </c>
    </row>
    <row r="42" spans="1:9" ht="14.1" customHeight="1">
      <c r="A42" s="16" t="s">
        <v>139</v>
      </c>
      <c r="B42" s="140">
        <f>'- 31 -'!D42</f>
        <v>1996977</v>
      </c>
      <c r="C42" s="140">
        <f>B42/'- 7 -'!F42</f>
        <v>1454.4624908958485</v>
      </c>
      <c r="D42" s="146">
        <f t="shared" si="0"/>
        <v>6.0560884556948205</v>
      </c>
      <c r="E42" s="140">
        <f>I42/'- 7 -'!F42</f>
        <v>240.16533139111434</v>
      </c>
      <c r="F42" s="140">
        <f>'- 31 -'!F42</f>
        <v>113160</v>
      </c>
      <c r="G42" s="146">
        <f t="shared" si="1"/>
        <v>0.34317218958777485</v>
      </c>
      <c r="I42" s="1">
        <v>329747</v>
      </c>
    </row>
    <row r="43" spans="1:9" ht="14.1" customHeight="1">
      <c r="A43" s="272" t="s">
        <v>140</v>
      </c>
      <c r="B43" s="304">
        <f>'- 31 -'!D43</f>
        <v>854166</v>
      </c>
      <c r="C43" s="304">
        <f>B43/'- 7 -'!F43</f>
        <v>911.59658484525085</v>
      </c>
      <c r="D43" s="305">
        <f>B43/I43</f>
        <v>4.6778497026254398</v>
      </c>
      <c r="E43" s="304">
        <f>I43/'- 7 -'!F43</f>
        <v>194.8751334044824</v>
      </c>
      <c r="F43" s="304">
        <f>'- 31 -'!F43</f>
        <v>130783</v>
      </c>
      <c r="G43" s="305">
        <f>F43/I43</f>
        <v>0.71623456992957202</v>
      </c>
      <c r="I43" s="1">
        <v>182598</v>
      </c>
    </row>
    <row r="44" spans="1:9" ht="14.1" customHeight="1">
      <c r="A44" s="16" t="s">
        <v>141</v>
      </c>
      <c r="B44" s="140">
        <f>'- 31 -'!D44</f>
        <v>1077551</v>
      </c>
      <c r="C44" s="140">
        <f>B44/'- 7 -'!F44</f>
        <v>1517.6774647887323</v>
      </c>
      <c r="D44" s="146">
        <f>B44/I44</f>
        <v>6.0162416879295613</v>
      </c>
      <c r="E44" s="140">
        <f>I44/'- 7 -'!F44</f>
        <v>252.26338028169013</v>
      </c>
      <c r="F44" s="140">
        <f>'- 31 -'!F44</f>
        <v>53940</v>
      </c>
      <c r="G44" s="146">
        <f>F44/I44</f>
        <v>0.30116075865264896</v>
      </c>
      <c r="I44" s="1">
        <v>179107</v>
      </c>
    </row>
    <row r="45" spans="1:9" ht="14.1" customHeight="1">
      <c r="A45" s="272" t="s">
        <v>142</v>
      </c>
      <c r="B45" s="304">
        <f>'- 31 -'!D45</f>
        <v>1493219</v>
      </c>
      <c r="C45" s="304">
        <f>B45/'- 7 -'!F45</f>
        <v>886.18338278931753</v>
      </c>
      <c r="D45" s="305">
        <f>B45/I45</f>
        <v>7.2127820928974415</v>
      </c>
      <c r="E45" s="304">
        <f>I45/'- 7 -'!F45</f>
        <v>122.86290801186944</v>
      </c>
      <c r="F45" s="304">
        <f>'- 31 -'!F45</f>
        <v>138700</v>
      </c>
      <c r="G45" s="305">
        <f>F45/I45</f>
        <v>0.66997063142437596</v>
      </c>
      <c r="I45" s="1">
        <v>207024</v>
      </c>
    </row>
    <row r="46" spans="1:9" ht="14.1" customHeight="1">
      <c r="A46" s="16" t="s">
        <v>143</v>
      </c>
      <c r="B46" s="140">
        <f>'- 31 -'!D46</f>
        <v>38400400</v>
      </c>
      <c r="C46" s="140">
        <f>B46/'- 7 -'!F46</f>
        <v>1270.8631188774159</v>
      </c>
      <c r="D46" s="146">
        <f>B46/I46</f>
        <v>7.7119627965936779</v>
      </c>
      <c r="E46" s="140">
        <f>I46/'- 7 -'!F46</f>
        <v>164.79113714588297</v>
      </c>
      <c r="F46" s="140">
        <f>'- 31 -'!F46</f>
        <v>5484200</v>
      </c>
      <c r="G46" s="146">
        <f>F46/I46</f>
        <v>1.1013933805137197</v>
      </c>
      <c r="I46" s="1">
        <v>4979329</v>
      </c>
    </row>
    <row r="47" spans="1:9" ht="5.0999999999999996" customHeight="1">
      <c r="A47"/>
      <c r="B47"/>
      <c r="C47"/>
      <c r="D47"/>
      <c r="E47"/>
      <c r="F47"/>
      <c r="G47"/>
      <c r="H47"/>
      <c r="I47"/>
    </row>
    <row r="48" spans="1:9" ht="14.1" customHeight="1">
      <c r="A48" s="275" t="s">
        <v>144</v>
      </c>
      <c r="B48" s="306">
        <f>SUM(B11:B46)</f>
        <v>208228966</v>
      </c>
      <c r="C48" s="306">
        <f>B48/'- 7 -'!F48</f>
        <v>1199.8297045152487</v>
      </c>
      <c r="D48" s="307">
        <f>B48/I48</f>
        <v>7.2421820807485435</v>
      </c>
      <c r="E48" s="306">
        <f>I48/'- 7 -'!F48</f>
        <v>165.67240248000445</v>
      </c>
      <c r="F48" s="306">
        <f>SUM(F11:F46)</f>
        <v>25386810</v>
      </c>
      <c r="G48" s="307">
        <f>F48/I48</f>
        <v>0.88295064803504786</v>
      </c>
      <c r="I48" s="1">
        <f>SUM(I11:I46)</f>
        <v>28752241.199999999</v>
      </c>
    </row>
    <row r="49" spans="1:9" ht="5.0999999999999996" customHeight="1">
      <c r="A49" s="18" t="s">
        <v>1</v>
      </c>
      <c r="B49" s="141"/>
      <c r="C49" s="141"/>
      <c r="D49" s="80"/>
      <c r="E49" s="141"/>
      <c r="F49" s="141"/>
      <c r="G49" s="80"/>
    </row>
    <row r="50" spans="1:9" ht="14.1" customHeight="1">
      <c r="A50" s="16" t="s">
        <v>145</v>
      </c>
      <c r="B50" s="140">
        <f>'- 31 -'!D50</f>
        <v>395414</v>
      </c>
      <c r="C50" s="140">
        <f>B50/'- 7 -'!F50</f>
        <v>2440.8271604938273</v>
      </c>
      <c r="D50" s="146">
        <f>B50/I50</f>
        <v>5.4516551543477965</v>
      </c>
      <c r="E50" s="140">
        <f>I50/'- 7 -'!F50</f>
        <v>447.72222222222223</v>
      </c>
      <c r="F50" s="140">
        <f>'- 31 -'!F50</f>
        <v>39159</v>
      </c>
      <c r="G50" s="249" t="s">
        <v>89</v>
      </c>
      <c r="I50" s="130">
        <v>72531</v>
      </c>
    </row>
    <row r="51" spans="1:9" ht="14.1" customHeight="1">
      <c r="A51" s="364" t="s">
        <v>540</v>
      </c>
      <c r="B51" s="304">
        <f>'- 31 -'!D51</f>
        <v>2457574</v>
      </c>
      <c r="C51" s="304">
        <f>B51/'- 7 -'!F51</f>
        <v>3506.3118847196461</v>
      </c>
      <c r="D51" s="309" t="s">
        <v>89</v>
      </c>
      <c r="E51" s="308" t="s">
        <v>89</v>
      </c>
      <c r="F51" s="304">
        <f>'- 31 -'!F51</f>
        <v>42950</v>
      </c>
      <c r="G51" s="309" t="s">
        <v>89</v>
      </c>
    </row>
    <row r="52" spans="1:9" ht="50.1" customHeight="1">
      <c r="A52" s="20"/>
      <c r="B52" s="20"/>
      <c r="C52" s="20"/>
      <c r="D52" s="20"/>
      <c r="E52" s="20"/>
      <c r="F52" s="20"/>
      <c r="G52" s="20"/>
    </row>
    <row r="53" spans="1:9" ht="15" customHeight="1">
      <c r="A53" s="132" t="s">
        <v>547</v>
      </c>
    </row>
    <row r="54" spans="1:9" ht="12" customHeight="1">
      <c r="A54" s="1" t="s">
        <v>342</v>
      </c>
    </row>
    <row r="55" spans="1:9" ht="14.45" customHeight="1"/>
    <row r="56" spans="1:9" ht="14.45" customHeight="1"/>
    <row r="57" spans="1:9" ht="14.45" customHeight="1"/>
    <row r="58" spans="1:9" ht="14.45" customHeight="1"/>
    <row r="59" spans="1:9" ht="14.45" customHeight="1"/>
  </sheetData>
  <mergeCells count="6">
    <mergeCell ref="B7:E7"/>
    <mergeCell ref="F6:G7"/>
    <mergeCell ref="C8:C9"/>
    <mergeCell ref="D8:D9"/>
    <mergeCell ref="G8:G9"/>
    <mergeCell ref="E8:E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BB59"/>
  <sheetViews>
    <sheetView showGridLines="0" showZeros="0" workbookViewId="0"/>
  </sheetViews>
  <sheetFormatPr defaultColWidth="15.83203125" defaultRowHeight="12"/>
  <cols>
    <col min="1" max="1" width="29.83203125" style="1" customWidth="1"/>
    <col min="2" max="2" width="15.83203125" style="1"/>
    <col min="3" max="3" width="8.83203125" style="1" customWidth="1"/>
    <col min="4" max="4" width="9.83203125" style="1" customWidth="1"/>
    <col min="5" max="5" width="15.83203125" style="1"/>
    <col min="6" max="6" width="8.83203125" style="1" customWidth="1"/>
    <col min="7" max="7" width="9.83203125" style="1" customWidth="1"/>
    <col min="8" max="8" width="15.83203125" style="1"/>
    <col min="9" max="9" width="8.83203125" style="1" customWidth="1"/>
    <col min="10" max="10" width="9.83203125" style="1" customWidth="1"/>
    <col min="11" max="16384" width="15.83203125" style="1"/>
  </cols>
  <sheetData>
    <row r="1" spans="1:54" ht="6.95" customHeight="1">
      <c r="A1" s="3"/>
      <c r="B1" s="4"/>
      <c r="C1" s="4"/>
      <c r="D1" s="4"/>
      <c r="E1" s="4"/>
      <c r="F1" s="4"/>
      <c r="G1" s="4"/>
      <c r="H1" s="4"/>
      <c r="I1" s="4"/>
      <c r="J1" s="4"/>
    </row>
    <row r="2" spans="1:54" ht="15.95" customHeight="1">
      <c r="A2" s="133"/>
      <c r="B2" s="5" t="str">
        <f>IF(Lang=1,BA2,BB2)</f>
        <v>ANALYSIS OF INFORMATION TECHNOLOGY EXPENSES</v>
      </c>
      <c r="C2" s="6"/>
      <c r="D2" s="6"/>
      <c r="E2" s="6"/>
      <c r="F2" s="6"/>
      <c r="G2" s="6"/>
      <c r="H2" s="86"/>
      <c r="I2" s="142"/>
      <c r="J2" s="93"/>
      <c r="BA2" s="462" t="s">
        <v>310</v>
      </c>
      <c r="BB2" s="462" t="s">
        <v>457</v>
      </c>
    </row>
    <row r="3" spans="1:54" ht="15.95" customHeight="1">
      <c r="A3" s="136"/>
      <c r="B3" s="7" t="str">
        <f>OPYEAR</f>
        <v>OPERATING FUND 2015/2016 BUDGET</v>
      </c>
      <c r="C3" s="8"/>
      <c r="D3" s="8"/>
      <c r="E3" s="8"/>
      <c r="F3" s="8"/>
      <c r="G3" s="8"/>
      <c r="H3" s="88"/>
      <c r="I3" s="88"/>
      <c r="J3" s="82"/>
    </row>
    <row r="4" spans="1:54" ht="15.95" customHeight="1">
      <c r="B4" s="4"/>
      <c r="C4" s="4"/>
      <c r="D4" s="4"/>
      <c r="E4" s="4"/>
      <c r="F4" s="4"/>
      <c r="G4" s="4"/>
      <c r="H4" s="4"/>
      <c r="I4" s="4"/>
      <c r="J4" s="4"/>
    </row>
    <row r="5" spans="1:54" ht="14.1" customHeight="1"/>
    <row r="6" spans="1:54" ht="18" customHeight="1">
      <c r="B6" s="655" t="s">
        <v>261</v>
      </c>
      <c r="C6" s="656"/>
      <c r="D6" s="656"/>
      <c r="E6" s="656"/>
      <c r="F6" s="656"/>
      <c r="G6" s="656"/>
      <c r="H6" s="656"/>
      <c r="I6" s="656"/>
      <c r="J6" s="657"/>
    </row>
    <row r="7" spans="1:54" ht="15.95" customHeight="1">
      <c r="B7" s="588" t="s">
        <v>65</v>
      </c>
      <c r="C7" s="589"/>
      <c r="D7" s="590"/>
      <c r="E7" s="588" t="s">
        <v>59</v>
      </c>
      <c r="F7" s="589"/>
      <c r="G7" s="590"/>
      <c r="H7" s="588" t="s">
        <v>60</v>
      </c>
      <c r="I7" s="589"/>
      <c r="J7" s="590"/>
    </row>
    <row r="8" spans="1:54" ht="15.95" customHeight="1">
      <c r="A8" s="83"/>
      <c r="B8" s="138"/>
      <c r="C8" s="84"/>
      <c r="D8" s="525" t="s">
        <v>410</v>
      </c>
      <c r="E8" s="138"/>
      <c r="F8" s="139"/>
      <c r="G8" s="525" t="s">
        <v>410</v>
      </c>
      <c r="H8" s="138"/>
      <c r="I8" s="139"/>
      <c r="J8" s="525" t="s">
        <v>410</v>
      </c>
    </row>
    <row r="9" spans="1:54" ht="15.95" customHeight="1">
      <c r="A9" s="28" t="s">
        <v>37</v>
      </c>
      <c r="B9" s="90" t="s">
        <v>38</v>
      </c>
      <c r="C9" s="90" t="s">
        <v>39</v>
      </c>
      <c r="D9" s="565"/>
      <c r="E9" s="90" t="s">
        <v>38</v>
      </c>
      <c r="F9" s="90" t="s">
        <v>39</v>
      </c>
      <c r="G9" s="565"/>
      <c r="H9" s="90" t="s">
        <v>38</v>
      </c>
      <c r="I9" s="90" t="s">
        <v>39</v>
      </c>
      <c r="J9" s="565"/>
    </row>
    <row r="10" spans="1:54" ht="5.0999999999999996" customHeight="1">
      <c r="A10" s="30"/>
    </row>
    <row r="11" spans="1:54" ht="14.1" customHeight="1">
      <c r="A11" s="272" t="s">
        <v>109</v>
      </c>
      <c r="B11" s="273">
        <v>143000</v>
      </c>
      <c r="C11" s="274">
        <f>B11/'- 3 -'!$D11*100</f>
        <v>0.77686232369842967</v>
      </c>
      <c r="D11" s="273">
        <f>B11/'- 7 -'!$F11</f>
        <v>86.824529447480273</v>
      </c>
      <c r="E11" s="273">
        <v>160210</v>
      </c>
      <c r="F11" s="274">
        <f>E11/'- 3 -'!$D11*100</f>
        <v>0.87035743272535249</v>
      </c>
      <c r="G11" s="273">
        <f>E11/'- 7 -'!$F11</f>
        <v>97.273831208257434</v>
      </c>
      <c r="H11" s="273">
        <v>234753</v>
      </c>
      <c r="I11" s="274">
        <f>H11/'- 3 -'!$D11*100</f>
        <v>1.2753200075187234</v>
      </c>
      <c r="J11" s="273">
        <f>H11/'- 7 -'!$F11</f>
        <v>142.53369763205828</v>
      </c>
    </row>
    <row r="12" spans="1:54" ht="14.1" customHeight="1">
      <c r="A12" s="16" t="s">
        <v>110</v>
      </c>
      <c r="B12" s="17">
        <v>290021</v>
      </c>
      <c r="C12" s="268">
        <f>B12/'- 3 -'!$D12*100</f>
        <v>0.90441722498172517</v>
      </c>
      <c r="D12" s="17">
        <f>B12/'- 7 -'!$F12</f>
        <v>133.71184877823882</v>
      </c>
      <c r="E12" s="17">
        <v>43580</v>
      </c>
      <c r="F12" s="268">
        <f>E12/'- 3 -'!$D12*100</f>
        <v>0.13590223695768092</v>
      </c>
      <c r="G12" s="17">
        <f>E12/'- 7 -'!$F12</f>
        <v>20.092208390963577</v>
      </c>
      <c r="H12" s="17">
        <v>38250</v>
      </c>
      <c r="I12" s="268">
        <f>H12/'- 3 -'!$D12*100</f>
        <v>0.11928087571434821</v>
      </c>
      <c r="J12" s="17">
        <f>H12/'- 7 -'!$F12</f>
        <v>17.634854771784234</v>
      </c>
    </row>
    <row r="13" spans="1:54" ht="14.1" customHeight="1">
      <c r="A13" s="272" t="s">
        <v>111</v>
      </c>
      <c r="B13" s="273">
        <v>486700</v>
      </c>
      <c r="C13" s="274">
        <f>B13/'- 3 -'!$D13*100</f>
        <v>0.52396321599514251</v>
      </c>
      <c r="D13" s="273">
        <f>B13/'- 7 -'!$F13</f>
        <v>59.589837771655951</v>
      </c>
      <c r="E13" s="273">
        <v>424100</v>
      </c>
      <c r="F13" s="274">
        <f>E13/'- 3 -'!$D13*100</f>
        <v>0.45657037169414411</v>
      </c>
      <c r="G13" s="273">
        <f>E13/'- 7 -'!$F13</f>
        <v>51.925313743495565</v>
      </c>
      <c r="H13" s="273">
        <v>875300</v>
      </c>
      <c r="I13" s="274">
        <f>H13/'- 3 -'!$D13*100</f>
        <v>0.94231560090517419</v>
      </c>
      <c r="J13" s="273">
        <f>H13/'- 7 -'!$F13</f>
        <v>107.16865625956535</v>
      </c>
    </row>
    <row r="14" spans="1:54" ht="14.1" customHeight="1">
      <c r="A14" s="16" t="s">
        <v>324</v>
      </c>
      <c r="B14" s="17">
        <v>400840</v>
      </c>
      <c r="C14" s="268">
        <f>B14/'- 3 -'!$D14*100</f>
        <v>0.48333369346621208</v>
      </c>
      <c r="D14" s="17">
        <f>B14/'- 7 -'!$F14</f>
        <v>75.303400338155171</v>
      </c>
      <c r="E14" s="17">
        <v>372857</v>
      </c>
      <c r="F14" s="268">
        <f>E14/'- 3 -'!$D14*100</f>
        <v>0.44959173471891883</v>
      </c>
      <c r="G14" s="17">
        <f>E14/'- 7 -'!$F14</f>
        <v>70.046402404659034</v>
      </c>
      <c r="H14" s="17">
        <v>709578</v>
      </c>
      <c r="I14" s="268">
        <f>H14/'- 3 -'!$D14*100</f>
        <v>0.85561060658209709</v>
      </c>
      <c r="J14" s="17">
        <f>H14/'- 7 -'!$F14</f>
        <v>133.30415179410107</v>
      </c>
    </row>
    <row r="15" spans="1:54" ht="14.1" customHeight="1">
      <c r="A15" s="272" t="s">
        <v>112</v>
      </c>
      <c r="B15" s="273">
        <v>126500</v>
      </c>
      <c r="C15" s="274">
        <f>B15/'- 3 -'!$D15*100</f>
        <v>0.62882055086966882</v>
      </c>
      <c r="D15" s="273">
        <f>B15/'- 7 -'!$F15</f>
        <v>88.678583946722753</v>
      </c>
      <c r="E15" s="273">
        <v>71450</v>
      </c>
      <c r="F15" s="274">
        <f>E15/'- 3 -'!$D15*100</f>
        <v>0.35517176568883663</v>
      </c>
      <c r="G15" s="273">
        <f>E15/'- 7 -'!$F15</f>
        <v>50.087627059235892</v>
      </c>
      <c r="H15" s="273">
        <v>238472</v>
      </c>
      <c r="I15" s="274">
        <f>H15/'- 3 -'!$D15*100</f>
        <v>1.1854236712015152</v>
      </c>
      <c r="J15" s="273">
        <f>H15/'- 7 -'!$F15</f>
        <v>167.17280056081319</v>
      </c>
    </row>
    <row r="16" spans="1:54" ht="14.1" customHeight="1">
      <c r="A16" s="16" t="s">
        <v>113</v>
      </c>
      <c r="B16" s="17">
        <v>114233</v>
      </c>
      <c r="C16" s="268">
        <f>B16/'- 3 -'!$D16*100</f>
        <v>0.81202484590024226</v>
      </c>
      <c r="D16" s="17">
        <f>B16/'- 7 -'!$F16</f>
        <v>121.65388711395101</v>
      </c>
      <c r="E16" s="17">
        <v>66154</v>
      </c>
      <c r="F16" s="268">
        <f>E16/'- 3 -'!$D16*100</f>
        <v>0.47025545731692797</v>
      </c>
      <c r="G16" s="17">
        <f>E16/'- 7 -'!$F16</f>
        <v>70.451544195953147</v>
      </c>
      <c r="H16" s="17">
        <v>109247</v>
      </c>
      <c r="I16" s="268">
        <f>H16/'- 3 -'!$D16*100</f>
        <v>0.77658188386949289</v>
      </c>
      <c r="J16" s="17">
        <f>H16/'- 7 -'!$F16</f>
        <v>116.34398296059638</v>
      </c>
    </row>
    <row r="17" spans="1:10" ht="14.1" customHeight="1">
      <c r="A17" s="272" t="s">
        <v>114</v>
      </c>
      <c r="B17" s="273">
        <v>151900</v>
      </c>
      <c r="C17" s="274">
        <f>B17/'- 3 -'!$D17*100</f>
        <v>0.86342802525939066</v>
      </c>
      <c r="D17" s="273">
        <f>B17/'- 7 -'!$F17</f>
        <v>111.8145012881855</v>
      </c>
      <c r="E17" s="273">
        <v>140990</v>
      </c>
      <c r="F17" s="274">
        <f>E17/'- 3 -'!$D17*100</f>
        <v>0.80141354365583606</v>
      </c>
      <c r="G17" s="273">
        <f>E17/'- 7 -'!$F17</f>
        <v>103.78358483621642</v>
      </c>
      <c r="H17" s="273">
        <v>257034</v>
      </c>
      <c r="I17" s="274">
        <f>H17/'- 3 -'!$D17*100</f>
        <v>1.4610293551318119</v>
      </c>
      <c r="J17" s="273">
        <f>H17/'- 7 -'!$F17</f>
        <v>189.20426941479573</v>
      </c>
    </row>
    <row r="18" spans="1:10" ht="14.1" customHeight="1">
      <c r="A18" s="16" t="s">
        <v>115</v>
      </c>
      <c r="B18" s="17">
        <v>352134</v>
      </c>
      <c r="C18" s="268">
        <f>B18/'- 3 -'!$D18*100</f>
        <v>0.27508340936846754</v>
      </c>
      <c r="D18" s="17">
        <f>B18/'- 7 -'!$F18</f>
        <v>56.237064009198924</v>
      </c>
      <c r="E18" s="17">
        <v>0</v>
      </c>
      <c r="F18" s="268">
        <f>E18/'- 3 -'!$D18*100</f>
        <v>0</v>
      </c>
      <c r="G18" s="17">
        <f>E18/'- 7 -'!$F18</f>
        <v>0</v>
      </c>
      <c r="H18" s="17">
        <v>1155549</v>
      </c>
      <c r="I18" s="268">
        <f>H18/'- 3 -'!$D18*100</f>
        <v>0.90270283077556646</v>
      </c>
      <c r="J18" s="17">
        <f>H18/'- 7 -'!$F18</f>
        <v>184.54532387888079</v>
      </c>
    </row>
    <row r="19" spans="1:10" ht="14.1" customHeight="1">
      <c r="A19" s="272" t="s">
        <v>116</v>
      </c>
      <c r="B19" s="273">
        <v>506000</v>
      </c>
      <c r="C19" s="274">
        <f>B19/'- 3 -'!$D19*100</f>
        <v>1.1258600257835296</v>
      </c>
      <c r="D19" s="273">
        <f>B19/'- 7 -'!$F19</f>
        <v>120.53358742258219</v>
      </c>
      <c r="E19" s="273">
        <v>270800</v>
      </c>
      <c r="F19" s="274">
        <f>E19/'- 3 -'!$D19*100</f>
        <v>0.60253536557743048</v>
      </c>
      <c r="G19" s="273">
        <f>E19/'- 7 -'!$F19</f>
        <v>64.506908051453067</v>
      </c>
      <c r="H19" s="273">
        <v>642500</v>
      </c>
      <c r="I19" s="274">
        <f>H19/'- 3 -'!$D19*100</f>
        <v>1.4295752303674265</v>
      </c>
      <c r="J19" s="273">
        <f>H19/'- 7 -'!$F19</f>
        <v>153.04907098618389</v>
      </c>
    </row>
    <row r="20" spans="1:10" ht="14.1" customHeight="1">
      <c r="A20" s="16" t="s">
        <v>117</v>
      </c>
      <c r="B20" s="17">
        <v>698000</v>
      </c>
      <c r="C20" s="268">
        <f>B20/'- 3 -'!$D20*100</f>
        <v>0.88593520742053233</v>
      </c>
      <c r="D20" s="17">
        <f>B20/'- 7 -'!$F20</f>
        <v>93.427921295676612</v>
      </c>
      <c r="E20" s="17">
        <v>262500</v>
      </c>
      <c r="F20" s="268">
        <f>E20/'- 3 -'!$D20*100</f>
        <v>0.33317763889382485</v>
      </c>
      <c r="G20" s="17">
        <f>E20/'- 7 -'!$F20</f>
        <v>35.135858653460048</v>
      </c>
      <c r="H20" s="17">
        <v>1328400</v>
      </c>
      <c r="I20" s="268">
        <f>H20/'- 3 -'!$D20*100</f>
        <v>1.6860692400249788</v>
      </c>
      <c r="J20" s="17">
        <f>H20/'- 7 -'!$F20</f>
        <v>177.8075224200241</v>
      </c>
    </row>
    <row r="21" spans="1:10" ht="14.1" customHeight="1">
      <c r="A21" s="272" t="s">
        <v>118</v>
      </c>
      <c r="B21" s="273">
        <v>449471</v>
      </c>
      <c r="C21" s="274">
        <f>B21/'- 3 -'!$D21*100</f>
        <v>1.2659734543022962</v>
      </c>
      <c r="D21" s="273">
        <f>B21/'- 7 -'!$F21</f>
        <v>166.65591397849462</v>
      </c>
      <c r="E21" s="273">
        <v>162950</v>
      </c>
      <c r="F21" s="274">
        <f>E21/'- 3 -'!$D21*100</f>
        <v>0.45896259019727448</v>
      </c>
      <c r="G21" s="273">
        <f>E21/'- 7 -'!$F21</f>
        <v>60.418984056358916</v>
      </c>
      <c r="H21" s="273">
        <v>335097</v>
      </c>
      <c r="I21" s="274">
        <f>H21/'- 3 -'!$D21*100</f>
        <v>0.94382931627699351</v>
      </c>
      <c r="J21" s="273">
        <f>H21/'- 7 -'!$F21</f>
        <v>124.24805339265851</v>
      </c>
    </row>
    <row r="22" spans="1:10" ht="14.1" customHeight="1">
      <c r="A22" s="16" t="s">
        <v>119</v>
      </c>
      <c r="B22" s="17">
        <v>124500</v>
      </c>
      <c r="C22" s="268">
        <f>B22/'- 3 -'!$D22*100</f>
        <v>0.60348862961983274</v>
      </c>
      <c r="D22" s="17">
        <f>B22/'- 7 -'!$F22</f>
        <v>79.390383879607185</v>
      </c>
      <c r="E22" s="17">
        <v>15950</v>
      </c>
      <c r="F22" s="268">
        <f>E22/'- 3 -'!$D22*100</f>
        <v>7.7314406766556876E-2</v>
      </c>
      <c r="G22" s="17">
        <f>E22/'- 7 -'!$F22</f>
        <v>10.170896569315138</v>
      </c>
      <c r="H22" s="17">
        <v>91500</v>
      </c>
      <c r="I22" s="268">
        <f>H22/'- 3 -'!$D22*100</f>
        <v>0.4435277880338529</v>
      </c>
      <c r="J22" s="17">
        <f>H22/'- 7 -'!$F22</f>
        <v>58.347149598265524</v>
      </c>
    </row>
    <row r="23" spans="1:10" ht="14.1" customHeight="1">
      <c r="A23" s="272" t="s">
        <v>120</v>
      </c>
      <c r="B23" s="273">
        <v>126500</v>
      </c>
      <c r="C23" s="274">
        <f>B23/'- 3 -'!$D23*100</f>
        <v>0.7666574203135369</v>
      </c>
      <c r="D23" s="273">
        <f>B23/'- 7 -'!$F23</f>
        <v>113.55475763016157</v>
      </c>
      <c r="E23" s="273">
        <v>65000</v>
      </c>
      <c r="F23" s="274">
        <f>E23/'- 3 -'!$D23*100</f>
        <v>0.39393464284885293</v>
      </c>
      <c r="G23" s="273">
        <f>E23/'- 7 -'!$F23</f>
        <v>58.348294434470375</v>
      </c>
      <c r="H23" s="273">
        <v>198000</v>
      </c>
      <c r="I23" s="274">
        <f>H23/'- 3 -'!$D23*100</f>
        <v>1.199985527447275</v>
      </c>
      <c r="J23" s="273">
        <f>H23/'- 7 -'!$F23</f>
        <v>177.737881508079</v>
      </c>
    </row>
    <row r="24" spans="1:10" ht="14.1" customHeight="1">
      <c r="A24" s="16" t="s">
        <v>121</v>
      </c>
      <c r="B24" s="17">
        <v>452885</v>
      </c>
      <c r="C24" s="268">
        <f>B24/'- 3 -'!$D24*100</f>
        <v>0.8100642322258661</v>
      </c>
      <c r="D24" s="17">
        <f>B24/'- 7 -'!$F24</f>
        <v>113.91900389888065</v>
      </c>
      <c r="E24" s="17">
        <v>344105</v>
      </c>
      <c r="F24" s="268">
        <f>E24/'- 3 -'!$D24*100</f>
        <v>0.61549212853170587</v>
      </c>
      <c r="G24" s="17">
        <f>E24/'- 7 -'!$F24</f>
        <v>86.556407998993834</v>
      </c>
      <c r="H24" s="17">
        <v>727900</v>
      </c>
      <c r="I24" s="268">
        <f>H24/'- 3 -'!$D24*100</f>
        <v>1.301976781384254</v>
      </c>
      <c r="J24" s="17">
        <f>H24/'- 7 -'!$F24</f>
        <v>183.09646585335179</v>
      </c>
    </row>
    <row r="25" spans="1:10" ht="14.1" customHeight="1">
      <c r="A25" s="272" t="s">
        <v>122</v>
      </c>
      <c r="B25" s="273">
        <v>855710</v>
      </c>
      <c r="C25" s="274">
        <f>B25/'- 3 -'!$D25*100</f>
        <v>0.51196485639556588</v>
      </c>
      <c r="D25" s="273">
        <f>B25/'- 7 -'!$F25</f>
        <v>61.185513567623609</v>
      </c>
      <c r="E25" s="273">
        <v>970300</v>
      </c>
      <c r="F25" s="274">
        <f>E25/'- 3 -'!$D25*100</f>
        <v>0.58052319145577069</v>
      </c>
      <c r="G25" s="273">
        <f>E25/'- 7 -'!$F25</f>
        <v>69.378999678238173</v>
      </c>
      <c r="H25" s="273">
        <v>1746170</v>
      </c>
      <c r="I25" s="274">
        <f>H25/'- 3 -'!$D25*100</f>
        <v>1.0447203764035073</v>
      </c>
      <c r="J25" s="273">
        <f>H25/'- 7 -'!$F25</f>
        <v>124.85574344857173</v>
      </c>
    </row>
    <row r="26" spans="1:10" ht="14.1" customHeight="1">
      <c r="A26" s="16" t="s">
        <v>123</v>
      </c>
      <c r="B26" s="17">
        <v>319416</v>
      </c>
      <c r="C26" s="268">
        <f>B26/'- 3 -'!$D26*100</f>
        <v>0.8008008409542029</v>
      </c>
      <c r="D26" s="17">
        <f>B26/'- 7 -'!$F26</f>
        <v>102.78873692679002</v>
      </c>
      <c r="E26" s="17">
        <v>363450</v>
      </c>
      <c r="F26" s="268">
        <f>E26/'- 3 -'!$D26*100</f>
        <v>0.91119751560599671</v>
      </c>
      <c r="G26" s="17">
        <f>E26/'- 7 -'!$F26</f>
        <v>116.95897023330652</v>
      </c>
      <c r="H26" s="17">
        <v>478547</v>
      </c>
      <c r="I26" s="268">
        <f>H26/'- 3 -'!$D26*100</f>
        <v>1.1997546773991001</v>
      </c>
      <c r="J26" s="17">
        <f>H26/'- 7 -'!$F26</f>
        <v>153.99742558326628</v>
      </c>
    </row>
    <row r="27" spans="1:10" ht="14.1" customHeight="1">
      <c r="A27" s="272" t="s">
        <v>124</v>
      </c>
      <c r="B27" s="273">
        <v>243268</v>
      </c>
      <c r="C27" s="274">
        <f>B27/'- 3 -'!$D27*100</f>
        <v>0.56678600638648924</v>
      </c>
      <c r="D27" s="273">
        <f>B27/'- 7 -'!$F27</f>
        <v>85.048120864027979</v>
      </c>
      <c r="E27" s="273">
        <v>165050</v>
      </c>
      <c r="F27" s="274">
        <f>E27/'- 3 -'!$D27*100</f>
        <v>0.38454720865091191</v>
      </c>
      <c r="G27" s="273">
        <f>E27/'- 7 -'!$F27</f>
        <v>57.702584592333629</v>
      </c>
      <c r="H27" s="273">
        <v>218224</v>
      </c>
      <c r="I27" s="274">
        <f>H27/'- 3 -'!$D27*100</f>
        <v>0.50843641357550207</v>
      </c>
      <c r="J27" s="273">
        <f>H27/'- 7 -'!$F27</f>
        <v>76.292570857784995</v>
      </c>
    </row>
    <row r="28" spans="1:10" ht="14.1" customHeight="1">
      <c r="A28" s="16" t="s">
        <v>125</v>
      </c>
      <c r="B28" s="17">
        <v>217549</v>
      </c>
      <c r="C28" s="268">
        <f>B28/'- 3 -'!$D28*100</f>
        <v>0.77672065212416141</v>
      </c>
      <c r="D28" s="17">
        <f>B28/'- 7 -'!$F28</f>
        <v>110.40294341537681</v>
      </c>
      <c r="E28" s="17">
        <v>182500</v>
      </c>
      <c r="F28" s="268">
        <f>E28/'- 3 -'!$D28*100</f>
        <v>0.65158432818656686</v>
      </c>
      <c r="G28" s="17">
        <f>E28/'- 7 -'!$F28</f>
        <v>92.616087287490487</v>
      </c>
      <c r="H28" s="17">
        <v>397200</v>
      </c>
      <c r="I28" s="268">
        <f>H28/'- 3 -'!$D28*100</f>
        <v>1.4181331241408459</v>
      </c>
      <c r="J28" s="17">
        <f>H28/'- 7 -'!$F28</f>
        <v>201.57320477036285</v>
      </c>
    </row>
    <row r="29" spans="1:10" ht="14.1" customHeight="1">
      <c r="A29" s="272" t="s">
        <v>126</v>
      </c>
      <c r="B29" s="273">
        <v>1056562</v>
      </c>
      <c r="C29" s="274">
        <f>B29/'- 3 -'!$D29*100</f>
        <v>0.6824453543684259</v>
      </c>
      <c r="D29" s="273">
        <f>B29/'- 7 -'!$F29</f>
        <v>85.593162670123135</v>
      </c>
      <c r="E29" s="273">
        <v>606600</v>
      </c>
      <c r="F29" s="274">
        <f>E29/'- 3 -'!$D29*100</f>
        <v>0.39180980572828389</v>
      </c>
      <c r="G29" s="273">
        <f>E29/'- 7 -'!$F29</f>
        <v>49.141283214517173</v>
      </c>
      <c r="H29" s="273">
        <v>1848400</v>
      </c>
      <c r="I29" s="274">
        <f>H29/'- 3 -'!$D29*100</f>
        <v>1.1939024808904715</v>
      </c>
      <c r="J29" s="273">
        <f>H29/'- 7 -'!$F29</f>
        <v>149.74076474400519</v>
      </c>
    </row>
    <row r="30" spans="1:10" ht="14.1" customHeight="1">
      <c r="A30" s="16" t="s">
        <v>127</v>
      </c>
      <c r="B30" s="17">
        <v>105414</v>
      </c>
      <c r="C30" s="268">
        <f>B30/'- 3 -'!$D30*100</f>
        <v>0.75336379787289465</v>
      </c>
      <c r="D30" s="17">
        <f>B30/'- 7 -'!$F30</f>
        <v>102.74269005847954</v>
      </c>
      <c r="E30" s="17">
        <v>116018</v>
      </c>
      <c r="F30" s="268">
        <f>E30/'- 3 -'!$D30*100</f>
        <v>0.8291475620090073</v>
      </c>
      <c r="G30" s="17">
        <f>E30/'- 7 -'!$F30</f>
        <v>113.07797270955166</v>
      </c>
      <c r="H30" s="17">
        <v>135679</v>
      </c>
      <c r="I30" s="268">
        <f>H30/'- 3 -'!$D30*100</f>
        <v>0.96965912242772767</v>
      </c>
      <c r="J30" s="17">
        <f>H30/'- 7 -'!$F30</f>
        <v>132.24074074074073</v>
      </c>
    </row>
    <row r="31" spans="1:10" ht="14.1" customHeight="1">
      <c r="A31" s="272" t="s">
        <v>128</v>
      </c>
      <c r="B31" s="273">
        <v>222713</v>
      </c>
      <c r="C31" s="274">
        <f>B31/'- 3 -'!$D31*100</f>
        <v>0.61506713851649553</v>
      </c>
      <c r="D31" s="273">
        <f>B31/'- 7 -'!$F31</f>
        <v>69.772243107769427</v>
      </c>
      <c r="E31" s="273">
        <v>178700</v>
      </c>
      <c r="F31" s="274">
        <f>E31/'- 3 -'!$D31*100</f>
        <v>0.49351630867034135</v>
      </c>
      <c r="G31" s="273">
        <f>E31/'- 7 -'!$F31</f>
        <v>55.98370927318296</v>
      </c>
      <c r="H31" s="273">
        <v>367100</v>
      </c>
      <c r="I31" s="274">
        <f>H31/'- 3 -'!$D31*100</f>
        <v>1.013821135494585</v>
      </c>
      <c r="J31" s="273">
        <f>H31/'- 7 -'!$F31</f>
        <v>115.0062656641604</v>
      </c>
    </row>
    <row r="32" spans="1:10" ht="14.1" customHeight="1">
      <c r="A32" s="16" t="s">
        <v>129</v>
      </c>
      <c r="B32" s="17">
        <v>265100</v>
      </c>
      <c r="C32" s="268">
        <f>B32/'- 3 -'!$D32*100</f>
        <v>0.92187494131784375</v>
      </c>
      <c r="D32" s="17">
        <f>B32/'- 7 -'!$F32</f>
        <v>125.16820510399208</v>
      </c>
      <c r="E32" s="17">
        <v>103501</v>
      </c>
      <c r="F32" s="268">
        <f>E32/'- 3 -'!$D32*100</f>
        <v>0.35992070275872556</v>
      </c>
      <c r="G32" s="17">
        <f>E32/'- 7 -'!$F32</f>
        <v>48.868481314478629</v>
      </c>
      <c r="H32" s="17">
        <v>239550</v>
      </c>
      <c r="I32" s="268">
        <f>H32/'- 3 -'!$D32*100</f>
        <v>0.83302580985548635</v>
      </c>
      <c r="J32" s="17">
        <f>H32/'- 7 -'!$F32</f>
        <v>113.10465308435045</v>
      </c>
    </row>
    <row r="33" spans="1:10" ht="14.1" customHeight="1">
      <c r="A33" s="272" t="s">
        <v>130</v>
      </c>
      <c r="B33" s="273">
        <v>336500</v>
      </c>
      <c r="C33" s="274">
        <f>B33/'- 3 -'!$D33*100</f>
        <v>1.2337848044643578</v>
      </c>
      <c r="D33" s="273">
        <f>B33/'- 7 -'!$F33</f>
        <v>170.16434892541088</v>
      </c>
      <c r="E33" s="273">
        <v>215300</v>
      </c>
      <c r="F33" s="274">
        <f>E33/'- 3 -'!$D33*100</f>
        <v>0.78940228351018193</v>
      </c>
      <c r="G33" s="273">
        <f>E33/'- 7 -'!$F33</f>
        <v>108.8748419721871</v>
      </c>
      <c r="H33" s="273">
        <v>340200</v>
      </c>
      <c r="I33" s="274">
        <f>H33/'- 3 -'!$D33*100</f>
        <v>1.2473509375297904</v>
      </c>
      <c r="J33" s="273">
        <f>H33/'- 7 -'!$F33</f>
        <v>172.0353982300885</v>
      </c>
    </row>
    <row r="34" spans="1:10" ht="14.1" customHeight="1">
      <c r="A34" s="16" t="s">
        <v>131</v>
      </c>
      <c r="B34" s="17">
        <v>281426</v>
      </c>
      <c r="C34" s="268">
        <f>B34/'- 3 -'!$D34*100</f>
        <v>1.0170990944281311</v>
      </c>
      <c r="D34" s="17">
        <f>B34/'- 7 -'!$F34</f>
        <v>142.50860846668019</v>
      </c>
      <c r="E34" s="17">
        <v>116324</v>
      </c>
      <c r="F34" s="268">
        <f>E34/'- 3 -'!$D34*100</f>
        <v>0.42040548869066086</v>
      </c>
      <c r="G34" s="17">
        <f>E34/'- 7 -'!$F34</f>
        <v>58.904192829653638</v>
      </c>
      <c r="H34" s="17">
        <v>384481</v>
      </c>
      <c r="I34" s="268">
        <f>H34/'- 3 -'!$D34*100</f>
        <v>1.3895492133805059</v>
      </c>
      <c r="J34" s="17">
        <f>H34/'- 7 -'!$F34</f>
        <v>194.69363986226455</v>
      </c>
    </row>
    <row r="35" spans="1:10" ht="14.1" customHeight="1">
      <c r="A35" s="272" t="s">
        <v>132</v>
      </c>
      <c r="B35" s="273">
        <v>711000</v>
      </c>
      <c r="C35" s="274">
        <f>B35/'- 3 -'!$D35*100</f>
        <v>0.40354398113471052</v>
      </c>
      <c r="D35" s="273">
        <f>B35/'- 7 -'!$F35</f>
        <v>45.515652006913768</v>
      </c>
      <c r="E35" s="273">
        <v>377050</v>
      </c>
      <c r="F35" s="274">
        <f>E35/'- 3 -'!$D35*100</f>
        <v>0.2140031759308616</v>
      </c>
      <c r="G35" s="273">
        <f>E35/'- 7 -'!$F35</f>
        <v>24.13737916906728</v>
      </c>
      <c r="H35" s="273">
        <v>850250</v>
      </c>
      <c r="I35" s="274">
        <f>H35/'- 3 -'!$D35*100</f>
        <v>0.4825784387620079</v>
      </c>
      <c r="J35" s="273">
        <f>H35/'- 7 -'!$F35</f>
        <v>54.429934063120157</v>
      </c>
    </row>
    <row r="36" spans="1:10" ht="14.1" customHeight="1">
      <c r="A36" s="16" t="s">
        <v>133</v>
      </c>
      <c r="B36" s="17">
        <v>209400</v>
      </c>
      <c r="C36" s="268">
        <f>B36/'- 3 -'!$D36*100</f>
        <v>0.91033266703126337</v>
      </c>
      <c r="D36" s="17">
        <f>B36/'- 7 -'!$F36</f>
        <v>124.82861400894188</v>
      </c>
      <c r="E36" s="17">
        <v>247650</v>
      </c>
      <c r="F36" s="268">
        <f>E36/'- 3 -'!$D36*100</f>
        <v>1.0766183619402692</v>
      </c>
      <c r="G36" s="17">
        <f>E36/'- 7 -'!$F36</f>
        <v>147.63040238450074</v>
      </c>
      <c r="H36" s="17">
        <v>135000</v>
      </c>
      <c r="I36" s="268">
        <f>H36/'- 3 -'!$D36*100</f>
        <v>0.58689068791413834</v>
      </c>
      <c r="J36" s="17">
        <f>H36/'- 7 -'!$F36</f>
        <v>80.476900149031295</v>
      </c>
    </row>
    <row r="37" spans="1:10" ht="14.1" customHeight="1">
      <c r="A37" s="272" t="s">
        <v>134</v>
      </c>
      <c r="B37" s="273">
        <v>290000</v>
      </c>
      <c r="C37" s="274">
        <f>B37/'- 3 -'!$D37*100</f>
        <v>0.62002907722569056</v>
      </c>
      <c r="D37" s="273">
        <f>B37/'- 7 -'!$F37</f>
        <v>73.44561225781942</v>
      </c>
      <c r="E37" s="273">
        <v>509663</v>
      </c>
      <c r="F37" s="274">
        <f>E37/'- 3 -'!$D37*100</f>
        <v>1.0896754468485419</v>
      </c>
      <c r="G37" s="273">
        <f>E37/'- 7 -'!$F37</f>
        <v>129.07762441433457</v>
      </c>
      <c r="H37" s="273">
        <v>560516</v>
      </c>
      <c r="I37" s="274">
        <f>H37/'- 3 -'!$D37*100</f>
        <v>1.1984007525870179</v>
      </c>
      <c r="J37" s="273">
        <f>H37/'- 7 -'!$F37</f>
        <v>141.95669241484109</v>
      </c>
    </row>
    <row r="38" spans="1:10" ht="14.1" customHeight="1">
      <c r="A38" s="16" t="s">
        <v>135</v>
      </c>
      <c r="B38" s="17">
        <v>266870</v>
      </c>
      <c r="C38" s="268">
        <f>B38/'- 3 -'!$D38*100</f>
        <v>0.20661434877850751</v>
      </c>
      <c r="D38" s="17">
        <f>B38/'- 7 -'!$F38</f>
        <v>24.813575081357509</v>
      </c>
      <c r="E38" s="17">
        <v>588377</v>
      </c>
      <c r="F38" s="268">
        <f>E38/'- 3 -'!$D38*100</f>
        <v>0.45552939892551408</v>
      </c>
      <c r="G38" s="17">
        <f>E38/'- 7 -'!$F38</f>
        <v>54.707298930729891</v>
      </c>
      <c r="H38" s="17">
        <v>1060300</v>
      </c>
      <c r="I38" s="268">
        <f>H38/'- 3 -'!$D38*100</f>
        <v>0.82089854239836457</v>
      </c>
      <c r="J38" s="17">
        <f>H38/'- 7 -'!$F38</f>
        <v>98.58670385867039</v>
      </c>
    </row>
    <row r="39" spans="1:10" ht="14.1" customHeight="1">
      <c r="A39" s="272" t="s">
        <v>136</v>
      </c>
      <c r="B39" s="273">
        <v>211300</v>
      </c>
      <c r="C39" s="274">
        <f>B39/'- 3 -'!$D39*100</f>
        <v>0.96348382619353667</v>
      </c>
      <c r="D39" s="273">
        <f>B39/'- 7 -'!$F39</f>
        <v>135.97168597168599</v>
      </c>
      <c r="E39" s="273">
        <v>163300</v>
      </c>
      <c r="F39" s="274">
        <f>E39/'- 3 -'!$D39*100</f>
        <v>0.74461386094370341</v>
      </c>
      <c r="G39" s="273">
        <f>E39/'- 7 -'!$F39</f>
        <v>105.08365508365509</v>
      </c>
      <c r="H39" s="273">
        <v>137400</v>
      </c>
      <c r="I39" s="274">
        <f>H39/'- 3 -'!$D39*100</f>
        <v>0.62651527552764763</v>
      </c>
      <c r="J39" s="273">
        <f>H39/'- 7 -'!$F39</f>
        <v>88.416988416988417</v>
      </c>
    </row>
    <row r="40" spans="1:10" ht="14.1" customHeight="1">
      <c r="A40" s="16" t="s">
        <v>137</v>
      </c>
      <c r="B40" s="17">
        <v>732635</v>
      </c>
      <c r="C40" s="268">
        <f>B40/'- 3 -'!$D40*100</f>
        <v>0.71785700897051075</v>
      </c>
      <c r="D40" s="17">
        <f>B40/'- 7 -'!$F40</f>
        <v>93.396402000928063</v>
      </c>
      <c r="E40" s="17">
        <v>551491</v>
      </c>
      <c r="F40" s="268">
        <f>E40/'- 3 -'!$D40*100</f>
        <v>0.54036686717691074</v>
      </c>
      <c r="G40" s="17">
        <f>E40/'- 7 -'!$F40</f>
        <v>70.304142084249065</v>
      </c>
      <c r="H40" s="17">
        <v>881504</v>
      </c>
      <c r="I40" s="268">
        <f>H40/'- 3 -'!$D40*100</f>
        <v>0.86372317024922518</v>
      </c>
      <c r="J40" s="17">
        <f>H40/'- 7 -'!$F40</f>
        <v>112.37424085585057</v>
      </c>
    </row>
    <row r="41" spans="1:10" ht="14.1" customHeight="1">
      <c r="A41" s="272" t="s">
        <v>138</v>
      </c>
      <c r="B41" s="273">
        <v>424116</v>
      </c>
      <c r="C41" s="274">
        <f>B41/'- 3 -'!$D41*100</f>
        <v>0.68135764635013318</v>
      </c>
      <c r="D41" s="273">
        <f>B41/'- 7 -'!$F41</f>
        <v>97.374813454253243</v>
      </c>
      <c r="E41" s="273">
        <v>362698</v>
      </c>
      <c r="F41" s="274">
        <f>E41/'- 3 -'!$D41*100</f>
        <v>0.58268741480137654</v>
      </c>
      <c r="G41" s="273">
        <f>E41/'- 7 -'!$F41</f>
        <v>83.273562162782682</v>
      </c>
      <c r="H41" s="273">
        <v>674096</v>
      </c>
      <c r="I41" s="274">
        <f>H41/'- 3 -'!$D41*100</f>
        <v>1.0829595298787111</v>
      </c>
      <c r="J41" s="273">
        <f>H41/'- 7 -'!$F41</f>
        <v>154.7689128687866</v>
      </c>
    </row>
    <row r="42" spans="1:10" ht="14.1" customHeight="1">
      <c r="A42" s="16" t="s">
        <v>139</v>
      </c>
      <c r="B42" s="17">
        <v>164952</v>
      </c>
      <c r="C42" s="268">
        <f>B42/'- 3 -'!$D42*100</f>
        <v>0.80020405805020756</v>
      </c>
      <c r="D42" s="17">
        <f>B42/'- 7 -'!$F42</f>
        <v>120.13983976693372</v>
      </c>
      <c r="E42" s="17">
        <v>188515</v>
      </c>
      <c r="F42" s="268">
        <f>E42/'- 3 -'!$D42*100</f>
        <v>0.91451130027726169</v>
      </c>
      <c r="G42" s="17">
        <f>E42/'- 7 -'!$F42</f>
        <v>137.30152949745084</v>
      </c>
      <c r="H42" s="17">
        <v>149800</v>
      </c>
      <c r="I42" s="268">
        <f>H42/'- 3 -'!$D42*100</f>
        <v>0.72669969382560429</v>
      </c>
      <c r="J42" s="17">
        <f>H42/'- 7 -'!$F42</f>
        <v>109.10415149308085</v>
      </c>
    </row>
    <row r="43" spans="1:10" ht="14.1" customHeight="1">
      <c r="A43" s="272" t="s">
        <v>140</v>
      </c>
      <c r="B43" s="273">
        <v>65980</v>
      </c>
      <c r="C43" s="274">
        <f>B43/'- 3 -'!$D43*100</f>
        <v>0.51408962425642835</v>
      </c>
      <c r="D43" s="273">
        <f>B43/'- 7 -'!$F43</f>
        <v>70.416221985058698</v>
      </c>
      <c r="E43" s="273">
        <v>45858</v>
      </c>
      <c r="F43" s="274">
        <f>E43/'- 3 -'!$D43*100</f>
        <v>0.35730709289407842</v>
      </c>
      <c r="G43" s="273">
        <f>E43/'- 7 -'!$F43</f>
        <v>48.941302027748129</v>
      </c>
      <c r="H43" s="273">
        <v>221199</v>
      </c>
      <c r="I43" s="274">
        <f>H43/'- 3 -'!$D43*100</f>
        <v>1.7234936464973885</v>
      </c>
      <c r="J43" s="273">
        <f>H43/'- 7 -'!$F43</f>
        <v>236.07150480256138</v>
      </c>
    </row>
    <row r="44" spans="1:10" ht="14.1" customHeight="1">
      <c r="A44" s="16" t="s">
        <v>141</v>
      </c>
      <c r="B44" s="17">
        <v>112983</v>
      </c>
      <c r="C44" s="268">
        <f>B44/'- 3 -'!$D44*100</f>
        <v>1.0292576341641058</v>
      </c>
      <c r="D44" s="17">
        <f>B44/'- 7 -'!$F44</f>
        <v>159.13098591549297</v>
      </c>
      <c r="E44" s="17">
        <v>102200</v>
      </c>
      <c r="F44" s="268">
        <f>E44/'- 3 -'!$D44*100</f>
        <v>0.93102617395158205</v>
      </c>
      <c r="G44" s="17">
        <f>E44/'- 7 -'!$F44</f>
        <v>143.94366197183098</v>
      </c>
      <c r="H44" s="17">
        <v>181971</v>
      </c>
      <c r="I44" s="268">
        <f>H44/'- 3 -'!$D44*100</f>
        <v>1.6577276311168625</v>
      </c>
      <c r="J44" s="17">
        <f>H44/'- 7 -'!$F44</f>
        <v>256.29718309859157</v>
      </c>
    </row>
    <row r="45" spans="1:10" ht="14.1" customHeight="1">
      <c r="A45" s="272" t="s">
        <v>142</v>
      </c>
      <c r="B45" s="273">
        <v>175591</v>
      </c>
      <c r="C45" s="274">
        <f>B45/'- 3 -'!$D45*100</f>
        <v>0.95882854415063856</v>
      </c>
      <c r="D45" s="273">
        <f>B45/'- 7 -'!$F45</f>
        <v>104.20830860534124</v>
      </c>
      <c r="E45" s="273">
        <v>52300</v>
      </c>
      <c r="F45" s="274">
        <f>E45/'- 3 -'!$D45*100</f>
        <v>0.28558828675204534</v>
      </c>
      <c r="G45" s="273">
        <f>E45/'- 7 -'!$F45</f>
        <v>31.038575667655785</v>
      </c>
      <c r="H45" s="273">
        <v>281016</v>
      </c>
      <c r="I45" s="274">
        <f>H45/'- 3 -'!$D45*100</f>
        <v>1.5345100954094222</v>
      </c>
      <c r="J45" s="273">
        <f>H45/'- 7 -'!$F45</f>
        <v>166.77507418397627</v>
      </c>
    </row>
    <row r="46" spans="1:10" ht="14.1" customHeight="1">
      <c r="A46" s="16" t="s">
        <v>143</v>
      </c>
      <c r="B46" s="17">
        <v>852800</v>
      </c>
      <c r="C46" s="268">
        <f>B46/'- 3 -'!$D46*100</f>
        <v>0.22268615170494085</v>
      </c>
      <c r="D46" s="17">
        <f>B46/'- 7 -'!$F46</f>
        <v>28.223457770717502</v>
      </c>
      <c r="E46" s="17">
        <v>1166900</v>
      </c>
      <c r="F46" s="268">
        <f>E46/'- 3 -'!$D46*100</f>
        <v>0.30470505443772922</v>
      </c>
      <c r="G46" s="17">
        <f>E46/'- 7 -'!$F46</f>
        <v>38.618612655546727</v>
      </c>
      <c r="H46" s="17">
        <v>2608900</v>
      </c>
      <c r="I46" s="268">
        <f>H46/'- 3 -'!$D46*100</f>
        <v>0.6812451936949111</v>
      </c>
      <c r="J46" s="17">
        <f>H46/'- 7 -'!$F46</f>
        <v>86.341673285676464</v>
      </c>
    </row>
    <row r="47" spans="1:10" ht="5.0999999999999996" customHeight="1">
      <c r="A47"/>
      <c r="B47"/>
      <c r="C47"/>
      <c r="D47"/>
      <c r="E47"/>
      <c r="F47"/>
      <c r="G47"/>
      <c r="H47"/>
      <c r="I47"/>
      <c r="J47"/>
    </row>
    <row r="48" spans="1:10" ht="14.1" customHeight="1">
      <c r="A48" s="275" t="s">
        <v>144</v>
      </c>
      <c r="B48" s="276">
        <f>SUM(B11:B46)</f>
        <v>12543969</v>
      </c>
      <c r="C48" s="277">
        <f>B48/'- 3 -'!$D48*100</f>
        <v>0.56198172514063927</v>
      </c>
      <c r="D48" s="276">
        <f>B48/'- 7 -'!$F48</f>
        <v>72.279216997689176</v>
      </c>
      <c r="E48" s="276">
        <f>SUM(E11:E46)</f>
        <v>9774391</v>
      </c>
      <c r="F48" s="277">
        <f>E48/'- 3 -'!$D48*100</f>
        <v>0.43790200026635423</v>
      </c>
      <c r="G48" s="276">
        <f>E48/'- 7 -'!$F48</f>
        <v>56.320717000277988</v>
      </c>
      <c r="H48" s="276">
        <f>SUM(H11:H46)</f>
        <v>20839083</v>
      </c>
      <c r="I48" s="277">
        <f>H48/'- 3 -'!$D48*100</f>
        <v>0.9336107108275673</v>
      </c>
      <c r="J48" s="276">
        <f>H48/'- 7 -'!$F48</f>
        <v>120.07623760787799</v>
      </c>
    </row>
    <row r="49" spans="1:10" ht="5.0999999999999996" customHeight="1">
      <c r="A49" s="18" t="s">
        <v>1</v>
      </c>
      <c r="B49" s="19"/>
      <c r="C49" s="267"/>
      <c r="D49" s="19"/>
      <c r="E49" s="19"/>
      <c r="F49" s="267"/>
      <c r="H49" s="19"/>
      <c r="I49" s="267"/>
      <c r="J49" s="19"/>
    </row>
    <row r="50" spans="1:10" ht="14.1" customHeight="1">
      <c r="A50" s="16" t="s">
        <v>145</v>
      </c>
      <c r="B50" s="17">
        <v>0</v>
      </c>
      <c r="C50" s="268">
        <f>B50/'- 3 -'!$D50*100</f>
        <v>0</v>
      </c>
      <c r="D50" s="17">
        <f>B50/'- 7 -'!$F50</f>
        <v>0</v>
      </c>
      <c r="E50" s="17">
        <v>28000</v>
      </c>
      <c r="F50" s="268">
        <f>E50/'- 3 -'!$D50*100</f>
        <v>0.83393290875724124</v>
      </c>
      <c r="G50" s="17">
        <f>E50/'- 7 -'!$F50</f>
        <v>172.83950617283949</v>
      </c>
      <c r="H50" s="17">
        <v>83200</v>
      </c>
      <c r="I50" s="268">
        <f>H50/'- 3 -'!$D50*100</f>
        <v>2.477972071735802</v>
      </c>
      <c r="J50" s="17">
        <f>H50/'- 7 -'!$F50</f>
        <v>513.58024691358025</v>
      </c>
    </row>
    <row r="51" spans="1:10" ht="14.1" customHeight="1">
      <c r="A51" s="364" t="s">
        <v>540</v>
      </c>
      <c r="B51" s="273">
        <v>47129</v>
      </c>
      <c r="C51" s="274">
        <f>B51/'- 3 -'!$D51*100</f>
        <v>0.18605911175635079</v>
      </c>
      <c r="D51" s="273">
        <f>B51/'- 7 -'!$F51</f>
        <v>67.24069054073334</v>
      </c>
      <c r="E51" s="273">
        <v>17967</v>
      </c>
      <c r="F51" s="274">
        <f>E51/'- 3 -'!$D51*100</f>
        <v>7.0931359904227859E-2</v>
      </c>
      <c r="G51" s="273">
        <f>E51/'- 7 -'!$F51</f>
        <v>25.634184619774576</v>
      </c>
      <c r="H51" s="273">
        <v>146474</v>
      </c>
      <c r="I51" s="274">
        <f>H51/'- 3 -'!$D51*100</f>
        <v>0.57826014418722493</v>
      </c>
      <c r="J51" s="273">
        <f>H51/'- 7 -'!$F51</f>
        <v>208.97988300756171</v>
      </c>
    </row>
    <row r="52" spans="1:10" ht="50.1" customHeight="1">
      <c r="A52" s="20"/>
      <c r="B52" s="20"/>
      <c r="C52" s="20"/>
      <c r="D52" s="20"/>
      <c r="E52" s="20"/>
      <c r="F52" s="20"/>
      <c r="G52" s="20"/>
      <c r="H52" s="20"/>
      <c r="I52" s="20"/>
      <c r="J52" s="20"/>
    </row>
    <row r="53" spans="1:10" ht="15" customHeight="1">
      <c r="A53" s="553" t="s">
        <v>577</v>
      </c>
      <c r="B53" s="553"/>
      <c r="C53" s="553"/>
      <c r="D53" s="553"/>
      <c r="E53" s="553"/>
      <c r="F53" s="553"/>
      <c r="G53" s="553"/>
      <c r="H53" s="553"/>
      <c r="I53" s="553"/>
      <c r="J53" s="553"/>
    </row>
    <row r="54" spans="1:10" ht="12" customHeight="1">
      <c r="A54" s="554"/>
      <c r="B54" s="554"/>
      <c r="C54" s="554"/>
      <c r="D54" s="554"/>
      <c r="E54" s="554"/>
      <c r="F54" s="554"/>
      <c r="G54" s="554"/>
      <c r="H54" s="554"/>
      <c r="I54" s="554"/>
      <c r="J54" s="554"/>
    </row>
    <row r="55" spans="1:10">
      <c r="A55" s="554"/>
      <c r="B55" s="554"/>
      <c r="C55" s="554"/>
      <c r="D55" s="554"/>
      <c r="E55" s="554"/>
      <c r="F55" s="554"/>
      <c r="G55" s="554"/>
      <c r="H55" s="554"/>
      <c r="I55" s="554"/>
      <c r="J55" s="554"/>
    </row>
    <row r="56" spans="1:10" ht="14.45" customHeight="1"/>
    <row r="57" spans="1:10" ht="14.45" customHeight="1"/>
    <row r="58" spans="1:10" ht="14.45" customHeight="1"/>
    <row r="59" spans="1:10" ht="14.45" customHeight="1"/>
  </sheetData>
  <mergeCells count="8">
    <mergeCell ref="A53:J55"/>
    <mergeCell ref="B6:J6"/>
    <mergeCell ref="B7:D7"/>
    <mergeCell ref="E7:G7"/>
    <mergeCell ref="D8:D9"/>
    <mergeCell ref="G8:G9"/>
    <mergeCell ref="J8:J9"/>
    <mergeCell ref="H7:J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ols>
  <sheetData>
    <row r="1" spans="1:8" ht="6.95" customHeight="1">
      <c r="A1" s="3"/>
      <c r="B1" s="3"/>
      <c r="C1" s="3"/>
      <c r="D1" s="3"/>
      <c r="E1" s="4"/>
      <c r="F1" s="4"/>
      <c r="G1" s="4"/>
    </row>
    <row r="2" spans="1:8" ht="15.95" customHeight="1">
      <c r="A2" s="133"/>
      <c r="B2" s="5" t="str">
        <f>+'- 37 -'!B2</f>
        <v>ANALYSIS OF INFORMATION TECHNOLOGY EXPENSES</v>
      </c>
      <c r="C2" s="178"/>
      <c r="D2" s="178"/>
      <c r="E2" s="5"/>
      <c r="F2" s="179"/>
      <c r="G2" s="143"/>
      <c r="H2" s="135"/>
    </row>
    <row r="3" spans="1:8" ht="15.95" customHeight="1">
      <c r="A3" s="136"/>
      <c r="B3" s="7" t="str">
        <f>OPYEAR</f>
        <v>OPERATING FUND 2015/2016 BUDGET</v>
      </c>
      <c r="C3" s="180"/>
      <c r="D3" s="180"/>
      <c r="E3" s="7"/>
      <c r="F3" s="144"/>
      <c r="G3" s="144"/>
      <c r="H3" s="137"/>
    </row>
    <row r="4" spans="1:8" ht="15.95" customHeight="1">
      <c r="E4" s="4"/>
      <c r="F4" s="4"/>
      <c r="G4" s="4"/>
    </row>
    <row r="5" spans="1:8" ht="18" customHeight="1">
      <c r="B5" s="691" t="s">
        <v>261</v>
      </c>
      <c r="C5" s="692"/>
      <c r="D5" s="692"/>
      <c r="E5" s="692"/>
      <c r="F5" s="692"/>
      <c r="G5" s="693"/>
    </row>
    <row r="6" spans="1:8" ht="15.95" customHeight="1">
      <c r="B6" s="678" t="s">
        <v>458</v>
      </c>
      <c r="C6" s="695"/>
      <c r="D6" s="696"/>
      <c r="E6" s="311"/>
      <c r="F6" s="312"/>
      <c r="G6" s="313"/>
    </row>
    <row r="7" spans="1:8" ht="15.95" customHeight="1">
      <c r="B7" s="670"/>
      <c r="C7" s="697"/>
      <c r="D7" s="671"/>
      <c r="E7" s="680" t="s">
        <v>25</v>
      </c>
      <c r="F7" s="694"/>
      <c r="G7" s="681"/>
    </row>
    <row r="8" spans="1:8" ht="15.95" customHeight="1">
      <c r="A8" s="83"/>
      <c r="B8" s="138"/>
      <c r="C8" s="84"/>
      <c r="D8" s="526" t="s">
        <v>410</v>
      </c>
      <c r="E8" s="138"/>
      <c r="F8" s="139"/>
      <c r="G8" s="525" t="s">
        <v>410</v>
      </c>
    </row>
    <row r="9" spans="1:8" ht="15.95" customHeight="1">
      <c r="A9" s="28" t="s">
        <v>37</v>
      </c>
      <c r="B9" s="90" t="s">
        <v>38</v>
      </c>
      <c r="C9" s="90" t="s">
        <v>39</v>
      </c>
      <c r="D9" s="565"/>
      <c r="E9" s="90" t="s">
        <v>38</v>
      </c>
      <c r="F9" s="90" t="s">
        <v>39</v>
      </c>
      <c r="G9" s="565"/>
    </row>
    <row r="10" spans="1:8" ht="5.0999999999999996" customHeight="1">
      <c r="A10" s="30"/>
      <c r="B10" s="30"/>
      <c r="C10" s="30"/>
      <c r="D10" s="30"/>
    </row>
    <row r="11" spans="1:8" ht="14.1" customHeight="1">
      <c r="A11" s="272" t="s">
        <v>109</v>
      </c>
      <c r="B11" s="273">
        <f>'- 26 -'!B11</f>
        <v>6800</v>
      </c>
      <c r="C11" s="274">
        <f>'- 26 -'!C11</f>
        <v>3.6941704903142109E-2</v>
      </c>
      <c r="D11" s="273">
        <f>'- 26 -'!D11</f>
        <v>4.1287188828172434</v>
      </c>
      <c r="E11" s="273">
        <f>SUM('- 37 -'!B11,'- 37 -'!E11,'- 37 -'!H11,B11)</f>
        <v>544763</v>
      </c>
      <c r="F11" s="274">
        <f>E11/'- 3 -'!D11*100</f>
        <v>2.9594814688456474</v>
      </c>
      <c r="G11" s="273">
        <f>E11/'- 7 -'!F11</f>
        <v>330.76077717061321</v>
      </c>
    </row>
    <row r="12" spans="1:8" ht="14.1" customHeight="1">
      <c r="A12" s="16" t="s">
        <v>110</v>
      </c>
      <c r="B12" s="17">
        <f>'- 26 -'!B12</f>
        <v>201594</v>
      </c>
      <c r="C12" s="268">
        <f>'- 26 -'!C12</f>
        <v>0.62866166951002123</v>
      </c>
      <c r="D12" s="17">
        <f>'- 26 -'!D12</f>
        <v>92.943291839557403</v>
      </c>
      <c r="E12" s="17">
        <f>SUM('- 37 -'!B12,'- 37 -'!E12,'- 37 -'!H12,B12)</f>
        <v>573445</v>
      </c>
      <c r="F12" s="268">
        <f>E12/'- 3 -'!D12*100</f>
        <v>1.7882620071637756</v>
      </c>
      <c r="G12" s="17">
        <f>E12/'- 7 -'!F12</f>
        <v>264.38220378054405</v>
      </c>
    </row>
    <row r="13" spans="1:8" ht="14.1" customHeight="1">
      <c r="A13" s="272" t="s">
        <v>111</v>
      </c>
      <c r="B13" s="273">
        <f>'- 26 -'!B13</f>
        <v>263000</v>
      </c>
      <c r="C13" s="274">
        <f>'- 26 -'!C13</f>
        <v>0.28313607110483352</v>
      </c>
      <c r="D13" s="273">
        <f>'- 26 -'!D13</f>
        <v>32.200795837159475</v>
      </c>
      <c r="E13" s="273">
        <f>SUM('- 37 -'!B13,'- 37 -'!E13,'- 37 -'!H13,B13)</f>
        <v>2049100</v>
      </c>
      <c r="F13" s="274">
        <f>E13/'- 3 -'!D13*100</f>
        <v>2.2059852596992942</v>
      </c>
      <c r="G13" s="273">
        <f>E13/'- 7 -'!F13</f>
        <v>250.88460361187634</v>
      </c>
    </row>
    <row r="14" spans="1:8" ht="14.1" customHeight="1">
      <c r="A14" s="16" t="s">
        <v>324</v>
      </c>
      <c r="B14" s="17">
        <f>'- 26 -'!B14</f>
        <v>119909</v>
      </c>
      <c r="C14" s="268">
        <f>'- 26 -'!C14</f>
        <v>0.1445865179369325</v>
      </c>
      <c r="D14" s="17">
        <f>'- 26 -'!D14</f>
        <v>22.526582754086043</v>
      </c>
      <c r="E14" s="17">
        <f>SUM('- 37 -'!B14,'- 37 -'!E14,'- 37 -'!H14,B14)</f>
        <v>1603184</v>
      </c>
      <c r="F14" s="268">
        <f>E14/'- 3 -'!D14*100</f>
        <v>1.9331225527041604</v>
      </c>
      <c r="G14" s="17">
        <f>E14/'- 7 -'!F14</f>
        <v>301.18053729100131</v>
      </c>
    </row>
    <row r="15" spans="1:8" ht="14.1" customHeight="1">
      <c r="A15" s="272" t="s">
        <v>112</v>
      </c>
      <c r="B15" s="273">
        <f>'- 26 -'!B15</f>
        <v>45000</v>
      </c>
      <c r="C15" s="274">
        <f>'- 26 -'!C15</f>
        <v>0.22369110505245132</v>
      </c>
      <c r="D15" s="273">
        <f>'- 26 -'!D15</f>
        <v>31.545741324921135</v>
      </c>
      <c r="E15" s="273">
        <f>SUM('- 37 -'!B15,'- 37 -'!E15,'- 37 -'!H15,B15)</f>
        <v>481422</v>
      </c>
      <c r="F15" s="274">
        <f>E15/'- 3 -'!D15*100</f>
        <v>2.393107092812472</v>
      </c>
      <c r="G15" s="273">
        <f>E15/'- 7 -'!F15</f>
        <v>337.48475289169295</v>
      </c>
    </row>
    <row r="16" spans="1:8" ht="14.1" customHeight="1">
      <c r="A16" s="16" t="s">
        <v>113</v>
      </c>
      <c r="B16" s="17">
        <f>'- 26 -'!B16</f>
        <v>22229</v>
      </c>
      <c r="C16" s="268">
        <f>'- 26 -'!C16</f>
        <v>0.15801476192970934</v>
      </c>
      <c r="D16" s="17">
        <f>'- 26 -'!D16</f>
        <v>23.673056443024493</v>
      </c>
      <c r="E16" s="17">
        <f>SUM('- 37 -'!B16,'- 37 -'!E16,'- 37 -'!H16,B16)</f>
        <v>311863</v>
      </c>
      <c r="F16" s="268">
        <f>E16/'- 3 -'!D16*100</f>
        <v>2.2168769490163722</v>
      </c>
      <c r="G16" s="17">
        <f>E16/'- 7 -'!F16</f>
        <v>332.12247071352505</v>
      </c>
    </row>
    <row r="17" spans="1:7" ht="14.1" customHeight="1">
      <c r="A17" s="272" t="s">
        <v>114</v>
      </c>
      <c r="B17" s="273">
        <f>'- 26 -'!B17</f>
        <v>69500</v>
      </c>
      <c r="C17" s="274">
        <f>'- 26 -'!C17</f>
        <v>0.39505100563217682</v>
      </c>
      <c r="D17" s="273">
        <f>'- 26 -'!D17</f>
        <v>51.159366948840635</v>
      </c>
      <c r="E17" s="273">
        <f>SUM('- 37 -'!B17,'- 37 -'!E17,'- 37 -'!H17,B17)</f>
        <v>619424</v>
      </c>
      <c r="F17" s="274">
        <f>E17/'- 3 -'!D17*100</f>
        <v>3.5209219296792158</v>
      </c>
      <c r="G17" s="273">
        <f>E17/'- 7 -'!F17</f>
        <v>455.96172248803828</v>
      </c>
    </row>
    <row r="18" spans="1:7" ht="14.1" customHeight="1">
      <c r="A18" s="16" t="s">
        <v>115</v>
      </c>
      <c r="B18" s="17">
        <f>'- 26 -'!B18</f>
        <v>631094</v>
      </c>
      <c r="C18" s="268">
        <f>'- 26 -'!C18</f>
        <v>0.49300405286619198</v>
      </c>
      <c r="D18" s="17">
        <f>'- 26 -'!D18</f>
        <v>100.7879775137345</v>
      </c>
      <c r="E18" s="17">
        <f>SUM('- 37 -'!B18,'- 37 -'!E18,'- 37 -'!H18,B18)</f>
        <v>2138777</v>
      </c>
      <c r="F18" s="268">
        <f>E18/'- 3 -'!D18*100</f>
        <v>1.6707902930102259</v>
      </c>
      <c r="G18" s="17">
        <f>E18/'- 7 -'!F18</f>
        <v>341.57036540181423</v>
      </c>
    </row>
    <row r="19" spans="1:7" ht="14.1" customHeight="1">
      <c r="A19" s="272" t="s">
        <v>116</v>
      </c>
      <c r="B19" s="273">
        <f>'- 26 -'!B19</f>
        <v>61300</v>
      </c>
      <c r="C19" s="274">
        <f>'- 26 -'!C19</f>
        <v>0.13639371458602839</v>
      </c>
      <c r="D19" s="273">
        <f>'- 26 -'!D19</f>
        <v>14.602191519771319</v>
      </c>
      <c r="E19" s="273">
        <f>SUM('- 37 -'!B19,'- 37 -'!E19,'- 37 -'!H19,B19)</f>
        <v>1480600</v>
      </c>
      <c r="F19" s="274">
        <f>E19/'- 3 -'!D19*100</f>
        <v>3.2943643363144148</v>
      </c>
      <c r="G19" s="273">
        <f>E19/'- 7 -'!F19</f>
        <v>352.69175797999048</v>
      </c>
    </row>
    <row r="20" spans="1:7" ht="14.1" customHeight="1">
      <c r="A20" s="16" t="s">
        <v>117</v>
      </c>
      <c r="B20" s="17">
        <f>'- 26 -'!B20</f>
        <v>73400</v>
      </c>
      <c r="C20" s="268">
        <f>'- 26 -'!C20</f>
        <v>9.3162814075454264E-2</v>
      </c>
      <c r="D20" s="17">
        <f>'- 26 -'!D20</f>
        <v>9.8246553339579705</v>
      </c>
      <c r="E20" s="17">
        <f>SUM('- 37 -'!B20,'- 37 -'!E20,'- 37 -'!H20,B20)</f>
        <v>2362300</v>
      </c>
      <c r="F20" s="268">
        <f>E20/'- 3 -'!D20*100</f>
        <v>2.9983449004147902</v>
      </c>
      <c r="G20" s="17">
        <f>E20/'- 7 -'!F20</f>
        <v>316.19595770311872</v>
      </c>
    </row>
    <row r="21" spans="1:7" ht="14.1" customHeight="1">
      <c r="A21" s="272" t="s">
        <v>118</v>
      </c>
      <c r="B21" s="273">
        <f>'- 26 -'!B21</f>
        <v>63000</v>
      </c>
      <c r="C21" s="274">
        <f>'- 26 -'!C21</f>
        <v>0.17744487991671246</v>
      </c>
      <c r="D21" s="273">
        <f>'- 26 -'!D21</f>
        <v>23.359288097886541</v>
      </c>
      <c r="E21" s="273">
        <f>SUM('- 37 -'!B21,'- 37 -'!E21,'- 37 -'!H21,B21)</f>
        <v>1010518</v>
      </c>
      <c r="F21" s="274">
        <f>E21/'- 3 -'!D21*100</f>
        <v>2.8462102406932765</v>
      </c>
      <c r="G21" s="273">
        <f>E21/'- 7 -'!F21</f>
        <v>374.68223952539859</v>
      </c>
    </row>
    <row r="22" spans="1:7" ht="14.1" customHeight="1">
      <c r="A22" s="16" t="s">
        <v>119</v>
      </c>
      <c r="B22" s="17">
        <f>'- 26 -'!B22</f>
        <v>55000</v>
      </c>
      <c r="C22" s="268">
        <f>'- 26 -'!C22</f>
        <v>0.26660140264329957</v>
      </c>
      <c r="D22" s="17">
        <f>'- 26 -'!D22</f>
        <v>35.072057135569445</v>
      </c>
      <c r="E22" s="17">
        <f>SUM('- 37 -'!B22,'- 37 -'!E22,'- 37 -'!H22,B22)</f>
        <v>286950</v>
      </c>
      <c r="F22" s="268">
        <f>E22/'- 3 -'!D22*100</f>
        <v>1.390932227063542</v>
      </c>
      <c r="G22" s="17">
        <f>E22/'- 7 -'!F22</f>
        <v>182.98048718275729</v>
      </c>
    </row>
    <row r="23" spans="1:7" ht="14.1" customHeight="1">
      <c r="A23" s="272" t="s">
        <v>120</v>
      </c>
      <c r="B23" s="273">
        <f>'- 26 -'!B23</f>
        <v>45000</v>
      </c>
      <c r="C23" s="274">
        <f>'- 26 -'!C23</f>
        <v>0.27272398351074428</v>
      </c>
      <c r="D23" s="273">
        <f>'- 26 -'!D23</f>
        <v>40.394973070017954</v>
      </c>
      <c r="E23" s="273">
        <f>SUM('- 37 -'!B23,'- 37 -'!E23,'- 37 -'!H23,B23)</f>
        <v>434500</v>
      </c>
      <c r="F23" s="274">
        <f>E23/'- 3 -'!D23*100</f>
        <v>2.6333015741204093</v>
      </c>
      <c r="G23" s="273">
        <f>E23/'- 7 -'!F23</f>
        <v>390.03590664272889</v>
      </c>
    </row>
    <row r="24" spans="1:7" ht="14.1" customHeight="1">
      <c r="A24" s="16" t="s">
        <v>121</v>
      </c>
      <c r="B24" s="17">
        <f>'- 26 -'!B24</f>
        <v>186485</v>
      </c>
      <c r="C24" s="268">
        <f>'- 26 -'!C24</f>
        <v>0.33356112113812697</v>
      </c>
      <c r="D24" s="17">
        <f>'- 26 -'!D24</f>
        <v>46.908564960382343</v>
      </c>
      <c r="E24" s="17">
        <f>SUM('- 37 -'!B24,'- 37 -'!E24,'- 37 -'!H24,B24)</f>
        <v>1711375</v>
      </c>
      <c r="F24" s="268">
        <f>E24/'- 3 -'!D24*100</f>
        <v>3.0610942632799532</v>
      </c>
      <c r="G24" s="17">
        <f>E24/'- 7 -'!F24</f>
        <v>430.48044271160859</v>
      </c>
    </row>
    <row r="25" spans="1:7" ht="14.1" customHeight="1">
      <c r="A25" s="272" t="s">
        <v>122</v>
      </c>
      <c r="B25" s="273">
        <f>'- 26 -'!B25</f>
        <v>778839</v>
      </c>
      <c r="C25" s="274">
        <f>'- 26 -'!C25</f>
        <v>0.46597351531507891</v>
      </c>
      <c r="D25" s="273">
        <f>'- 26 -'!D25</f>
        <v>55.689035072038898</v>
      </c>
      <c r="E25" s="273">
        <f>SUM('- 37 -'!B25,'- 37 -'!E25,'- 37 -'!H25,B25)</f>
        <v>4351019</v>
      </c>
      <c r="F25" s="274">
        <f>E25/'- 3 -'!D25*100</f>
        <v>2.6031819395699229</v>
      </c>
      <c r="G25" s="273">
        <f>E25/'- 7 -'!F25</f>
        <v>311.10929176647244</v>
      </c>
    </row>
    <row r="26" spans="1:7" ht="14.1" customHeight="1">
      <c r="A26" s="16" t="s">
        <v>123</v>
      </c>
      <c r="B26" s="17">
        <f>'- 26 -'!B26</f>
        <v>25000</v>
      </c>
      <c r="C26" s="268">
        <f>'- 26 -'!C26</f>
        <v>6.2676951135369155E-2</v>
      </c>
      <c r="D26" s="17">
        <f>'- 26 -'!D26</f>
        <v>8.0450522928399035</v>
      </c>
      <c r="E26" s="17">
        <f>SUM('- 37 -'!B26,'- 37 -'!E26,'- 37 -'!H26,B26)</f>
        <v>1186413</v>
      </c>
      <c r="F26" s="268">
        <f>E26/'- 3 -'!D26*100</f>
        <v>2.9744299850946692</v>
      </c>
      <c r="G26" s="17">
        <f>E26/'- 7 -'!F26</f>
        <v>381.79018503620273</v>
      </c>
    </row>
    <row r="27" spans="1:7" ht="14.1" customHeight="1">
      <c r="A27" s="272" t="s">
        <v>124</v>
      </c>
      <c r="B27" s="273">
        <f>'- 26 -'!B27</f>
        <v>157683</v>
      </c>
      <c r="C27" s="274">
        <f>'- 26 -'!C27</f>
        <v>0.36738295971948953</v>
      </c>
      <c r="D27" s="273">
        <f>'- 26 -'!D27</f>
        <v>55.127032088899995</v>
      </c>
      <c r="E27" s="273">
        <f>SUM('- 37 -'!B27,'- 37 -'!E27,'- 37 -'!H27,B27)</f>
        <v>784225</v>
      </c>
      <c r="F27" s="274">
        <f>E27/'- 3 -'!D27*100</f>
        <v>1.8271525883323929</v>
      </c>
      <c r="G27" s="273">
        <f>E27/'- 7 -'!F27</f>
        <v>274.17030840304659</v>
      </c>
    </row>
    <row r="28" spans="1:7" ht="14.1" customHeight="1">
      <c r="A28" s="16" t="s">
        <v>125</v>
      </c>
      <c r="B28" s="17">
        <f>'- 26 -'!B28</f>
        <v>67000</v>
      </c>
      <c r="C28" s="268">
        <f>'- 26 -'!C28</f>
        <v>0.23921178075890404</v>
      </c>
      <c r="D28" s="17">
        <f>'- 26 -'!D28</f>
        <v>34.001522456229381</v>
      </c>
      <c r="E28" s="17">
        <f>SUM('- 37 -'!B28,'- 37 -'!E28,'- 37 -'!H28,B28)</f>
        <v>864249</v>
      </c>
      <c r="F28" s="268">
        <f>E28/'- 3 -'!D28*100</f>
        <v>3.0856498852104783</v>
      </c>
      <c r="G28" s="17">
        <f>E28/'- 7 -'!F28</f>
        <v>438.59375792945951</v>
      </c>
    </row>
    <row r="29" spans="1:7" ht="14.1" customHeight="1">
      <c r="A29" s="272" t="s">
        <v>126</v>
      </c>
      <c r="B29" s="273">
        <f>'- 26 -'!B29</f>
        <v>1081401</v>
      </c>
      <c r="C29" s="274">
        <f>'- 26 -'!C29</f>
        <v>0.6984891456056247</v>
      </c>
      <c r="D29" s="273">
        <f>'- 26 -'!D29</f>
        <v>87.605395333765387</v>
      </c>
      <c r="E29" s="273">
        <f>SUM('- 37 -'!B29,'- 37 -'!E29,'- 37 -'!H29,B29)</f>
        <v>4592963</v>
      </c>
      <c r="F29" s="274">
        <f>E29/'- 3 -'!D29*100</f>
        <v>2.9666467865928059</v>
      </c>
      <c r="G29" s="273">
        <f>E29/'- 7 -'!F29</f>
        <v>372.08060596241091</v>
      </c>
    </row>
    <row r="30" spans="1:7" ht="14.1" customHeight="1">
      <c r="A30" s="16" t="s">
        <v>127</v>
      </c>
      <c r="B30" s="17">
        <f>'- 26 -'!B30</f>
        <v>41000</v>
      </c>
      <c r="C30" s="268">
        <f>'- 26 -'!C30</f>
        <v>0.29301530833464895</v>
      </c>
      <c r="D30" s="17">
        <f>'- 26 -'!D30</f>
        <v>39.96101364522417</v>
      </c>
      <c r="E30" s="17">
        <f>SUM('- 37 -'!B30,'- 37 -'!E30,'- 37 -'!H30,B30)</f>
        <v>398111</v>
      </c>
      <c r="F30" s="268">
        <f>E30/'- 3 -'!D30*100</f>
        <v>2.8451857906442788</v>
      </c>
      <c r="G30" s="17">
        <f>E30/'- 7 -'!F30</f>
        <v>388.02241715399612</v>
      </c>
    </row>
    <row r="31" spans="1:7" ht="14.1" customHeight="1">
      <c r="A31" s="272" t="s">
        <v>128</v>
      </c>
      <c r="B31" s="273">
        <f>'- 26 -'!B31</f>
        <v>137410</v>
      </c>
      <c r="C31" s="274">
        <f>'- 26 -'!C31</f>
        <v>0.37948559582759717</v>
      </c>
      <c r="D31" s="273">
        <f>'- 26 -'!D31</f>
        <v>43.048245614035089</v>
      </c>
      <c r="E31" s="273">
        <f>SUM('- 37 -'!B31,'- 37 -'!E31,'- 37 -'!H31,B31)</f>
        <v>905923</v>
      </c>
      <c r="F31" s="274">
        <f>E31/'- 3 -'!D31*100</f>
        <v>2.5018901785090191</v>
      </c>
      <c r="G31" s="273">
        <f>E31/'- 7 -'!F31</f>
        <v>283.81046365914784</v>
      </c>
    </row>
    <row r="32" spans="1:7" ht="14.1" customHeight="1">
      <c r="A32" s="16" t="s">
        <v>129</v>
      </c>
      <c r="B32" s="17">
        <f>'- 26 -'!B32</f>
        <v>61200</v>
      </c>
      <c r="C32" s="268">
        <f>'- 26 -'!C32</f>
        <v>0.212820620175979</v>
      </c>
      <c r="D32" s="17">
        <f>'- 26 -'!D32</f>
        <v>28.895866285795229</v>
      </c>
      <c r="E32" s="17">
        <f>SUM('- 37 -'!B32,'- 37 -'!E32,'- 37 -'!H32,B32)</f>
        <v>669351</v>
      </c>
      <c r="F32" s="268">
        <f>E32/'- 3 -'!D32*100</f>
        <v>2.3276420741080344</v>
      </c>
      <c r="G32" s="17">
        <f>E32/'- 7 -'!F32</f>
        <v>316.0372057886164</v>
      </c>
    </row>
    <row r="33" spans="1:7" ht="14.1" customHeight="1">
      <c r="A33" s="272" t="s">
        <v>130</v>
      </c>
      <c r="B33" s="273">
        <f>'- 26 -'!B33</f>
        <v>62000</v>
      </c>
      <c r="C33" s="274">
        <f>'- 26 -'!C33</f>
        <v>0.22732439190725162</v>
      </c>
      <c r="D33" s="273">
        <f>'- 26 -'!D33</f>
        <v>31.352718078381795</v>
      </c>
      <c r="E33" s="273">
        <f>SUM('- 37 -'!B33,'- 37 -'!E33,'- 37 -'!H33,B33)</f>
        <v>954000</v>
      </c>
      <c r="F33" s="274">
        <f>E33/'- 3 -'!D33*100</f>
        <v>3.4978624174115818</v>
      </c>
      <c r="G33" s="273">
        <f>E33/'- 7 -'!F33</f>
        <v>482.42730720606829</v>
      </c>
    </row>
    <row r="34" spans="1:7" ht="14.1" customHeight="1">
      <c r="A34" s="16" t="s">
        <v>131</v>
      </c>
      <c r="B34" s="17">
        <f>'- 26 -'!B34</f>
        <v>43600</v>
      </c>
      <c r="C34" s="268">
        <f>'- 26 -'!C34</f>
        <v>0.15757435530855896</v>
      </c>
      <c r="D34" s="17">
        <f>'- 26 -'!D34</f>
        <v>22.078185132671663</v>
      </c>
      <c r="E34" s="17">
        <f>SUM('- 37 -'!B34,'- 37 -'!E34,'- 37 -'!H34,B34)</f>
        <v>825831</v>
      </c>
      <c r="F34" s="268">
        <f>E34/'- 3 -'!D34*100</f>
        <v>2.9846281518078568</v>
      </c>
      <c r="G34" s="17">
        <f>E34/'- 7 -'!F34</f>
        <v>418.18462629127004</v>
      </c>
    </row>
    <row r="35" spans="1:7" ht="14.1" customHeight="1">
      <c r="A35" s="272" t="s">
        <v>132</v>
      </c>
      <c r="B35" s="273">
        <f>'- 26 -'!B35</f>
        <v>1195725</v>
      </c>
      <c r="C35" s="274">
        <f>'- 26 -'!C35</f>
        <v>0.67866051595260435</v>
      </c>
      <c r="D35" s="273">
        <f>'- 26 -'!D35</f>
        <v>76.545995774918381</v>
      </c>
      <c r="E35" s="273">
        <f>SUM('- 37 -'!B35,'- 37 -'!E35,'- 37 -'!H35,B35)</f>
        <v>3134025</v>
      </c>
      <c r="F35" s="274">
        <f>E35/'- 3 -'!D35*100</f>
        <v>1.7787861117801844</v>
      </c>
      <c r="G35" s="273">
        <f>E35/'- 7 -'!F35</f>
        <v>200.62896101401958</v>
      </c>
    </row>
    <row r="36" spans="1:7" ht="14.1" customHeight="1">
      <c r="A36" s="16" t="s">
        <v>133</v>
      </c>
      <c r="B36" s="17">
        <f>'- 26 -'!B36</f>
        <v>34000</v>
      </c>
      <c r="C36" s="268">
        <f>'- 26 -'!C36</f>
        <v>0.14780950658578298</v>
      </c>
      <c r="D36" s="17">
        <f>'- 26 -'!D36</f>
        <v>20.268256333830106</v>
      </c>
      <c r="E36" s="17">
        <f>SUM('- 37 -'!B36,'- 37 -'!E36,'- 37 -'!H36,B36)</f>
        <v>626050</v>
      </c>
      <c r="F36" s="268">
        <f>E36/'- 3 -'!D36*100</f>
        <v>2.7216512234714543</v>
      </c>
      <c r="G36" s="17">
        <f>E36/'- 7 -'!F36</f>
        <v>373.20417287630403</v>
      </c>
    </row>
    <row r="37" spans="1:7" ht="14.1" customHeight="1">
      <c r="A37" s="364" t="s">
        <v>134</v>
      </c>
      <c r="B37" s="273">
        <f>'- 26 -'!B37</f>
        <v>201081</v>
      </c>
      <c r="C37" s="274">
        <f>'- 26 -'!C37</f>
        <v>0.42991747199178998</v>
      </c>
      <c r="D37" s="273">
        <f>'- 26 -'!D37</f>
        <v>50.925921235912369</v>
      </c>
      <c r="E37" s="273">
        <f>SUM('- 37 -'!B37,'- 37 -'!E37,'- 37 -'!H37,B37)</f>
        <v>1561260</v>
      </c>
      <c r="F37" s="274">
        <f>E37/'- 3 -'!D37*100</f>
        <v>3.3380227486530405</v>
      </c>
      <c r="G37" s="273">
        <f>E37/'- 7 -'!F37</f>
        <v>395.40585032290744</v>
      </c>
    </row>
    <row r="38" spans="1:7" ht="14.1" customHeight="1">
      <c r="A38" s="16" t="s">
        <v>135</v>
      </c>
      <c r="B38" s="17">
        <f>'- 26 -'!B38</f>
        <v>504943</v>
      </c>
      <c r="C38" s="268">
        <f>'- 26 -'!C38</f>
        <v>0.39093367225715114</v>
      </c>
      <c r="D38" s="17">
        <f>'- 26 -'!D38</f>
        <v>46.949604834960482</v>
      </c>
      <c r="E38" s="17">
        <f>SUM('- 37 -'!B38,'- 37 -'!E38,'- 37 -'!H38,B38)</f>
        <v>2420490</v>
      </c>
      <c r="F38" s="268">
        <f>E38/'- 3 -'!D38*100</f>
        <v>1.8739759623595371</v>
      </c>
      <c r="G38" s="17">
        <f>E38/'- 7 -'!F38</f>
        <v>225.05718270571828</v>
      </c>
    </row>
    <row r="39" spans="1:7" ht="14.1" customHeight="1">
      <c r="A39" s="272" t="s">
        <v>136</v>
      </c>
      <c r="B39" s="273">
        <f>'- 26 -'!B39</f>
        <v>62000</v>
      </c>
      <c r="C39" s="274">
        <f>'- 26 -'!C39</f>
        <v>0.28270703844770123</v>
      </c>
      <c r="D39" s="273">
        <f>'- 26 -'!D39</f>
        <v>39.897039897039896</v>
      </c>
      <c r="E39" s="273">
        <f>SUM('- 37 -'!B39,'- 37 -'!E39,'- 37 -'!H39,B39)</f>
        <v>574000</v>
      </c>
      <c r="F39" s="274">
        <f>E39/'- 3 -'!D39*100</f>
        <v>2.617320001112589</v>
      </c>
      <c r="G39" s="273">
        <f>E39/'- 7 -'!F39</f>
        <v>369.36936936936939</v>
      </c>
    </row>
    <row r="40" spans="1:7" ht="14.1" customHeight="1">
      <c r="A40" s="16" t="s">
        <v>137</v>
      </c>
      <c r="B40" s="17">
        <f>'- 26 -'!B40</f>
        <v>419958</v>
      </c>
      <c r="C40" s="268">
        <f>'- 26 -'!C40</f>
        <v>0.41148702119505315</v>
      </c>
      <c r="D40" s="17">
        <f>'- 26 -'!D40</f>
        <v>53.536298691034069</v>
      </c>
      <c r="E40" s="17">
        <f>SUM('- 37 -'!B40,'- 37 -'!E40,'- 37 -'!H40,B40)</f>
        <v>2585588</v>
      </c>
      <c r="F40" s="268">
        <f>E40/'- 3 -'!D40*100</f>
        <v>2.5334340675916995</v>
      </c>
      <c r="G40" s="17">
        <f>E40/'- 7 -'!F40</f>
        <v>329.61108363206176</v>
      </c>
    </row>
    <row r="41" spans="1:7" ht="14.1" customHeight="1">
      <c r="A41" s="272" t="s">
        <v>138</v>
      </c>
      <c r="B41" s="273">
        <f>'- 26 -'!B41</f>
        <v>182985</v>
      </c>
      <c r="C41" s="274">
        <f>'- 26 -'!C41</f>
        <v>0.29397200038993843</v>
      </c>
      <c r="D41" s="273">
        <f>'- 26 -'!D41</f>
        <v>42.012398117322924</v>
      </c>
      <c r="E41" s="273">
        <f>SUM('- 37 -'!B41,'- 37 -'!E41,'- 37 -'!H41,B41)</f>
        <v>1643895</v>
      </c>
      <c r="F41" s="274">
        <f>E41/'- 3 -'!D41*100</f>
        <v>2.6409765914201593</v>
      </c>
      <c r="G41" s="273">
        <f>E41/'- 7 -'!F41</f>
        <v>377.42968660314546</v>
      </c>
    </row>
    <row r="42" spans="1:7" ht="14.1" customHeight="1">
      <c r="A42" s="16" t="s">
        <v>139</v>
      </c>
      <c r="B42" s="17">
        <f>'- 26 -'!B42</f>
        <v>32800</v>
      </c>
      <c r="C42" s="268">
        <f>'- 26 -'!C42</f>
        <v>0.15911715592443137</v>
      </c>
      <c r="D42" s="17">
        <f>'- 26 -'!D42</f>
        <v>23.889293517844138</v>
      </c>
      <c r="E42" s="17">
        <f>SUM('- 37 -'!B42,'- 37 -'!E42,'- 37 -'!H42,B42)</f>
        <v>536067</v>
      </c>
      <c r="F42" s="268">
        <f>E42/'- 3 -'!D42*100</f>
        <v>2.6005322080775048</v>
      </c>
      <c r="G42" s="17">
        <f>E42/'- 7 -'!F42</f>
        <v>390.43481427530952</v>
      </c>
    </row>
    <row r="43" spans="1:7" ht="14.1" customHeight="1">
      <c r="A43" s="272" t="s">
        <v>140</v>
      </c>
      <c r="B43" s="273">
        <f>'- 26 -'!B43</f>
        <v>31300</v>
      </c>
      <c r="C43" s="274">
        <f>'- 26 -'!C43</f>
        <v>0.24387701181003649</v>
      </c>
      <c r="D43" s="273">
        <f>'- 26 -'!D43</f>
        <v>33.404482390608322</v>
      </c>
      <c r="E43" s="273">
        <f>SUM('- 37 -'!B43,'- 37 -'!E43,'- 37 -'!H43,B43)</f>
        <v>364337</v>
      </c>
      <c r="F43" s="274">
        <f>E43/'- 3 -'!D43*100</f>
        <v>2.8387673754579317</v>
      </c>
      <c r="G43" s="273">
        <f>E43/'- 7 -'!F43</f>
        <v>388.83351120597649</v>
      </c>
    </row>
    <row r="44" spans="1:7" ht="14.1" customHeight="1">
      <c r="A44" s="16" t="s">
        <v>141</v>
      </c>
      <c r="B44" s="17">
        <f>'- 26 -'!B44</f>
        <v>8000</v>
      </c>
      <c r="C44" s="268">
        <f>'- 26 -'!C44</f>
        <v>7.287876117037824E-2</v>
      </c>
      <c r="D44" s="17">
        <f>'- 26 -'!D44</f>
        <v>11.267605633802816</v>
      </c>
      <c r="E44" s="17">
        <f>SUM('- 37 -'!B44,'- 37 -'!E44,'- 37 -'!H44,B44)</f>
        <v>405154</v>
      </c>
      <c r="F44" s="268">
        <f>E44/'- 3 -'!D44*100</f>
        <v>3.6908902004029285</v>
      </c>
      <c r="G44" s="17">
        <f>E44/'- 7 -'!F44</f>
        <v>570.63943661971825</v>
      </c>
    </row>
    <row r="45" spans="1:7" ht="14.1" customHeight="1">
      <c r="A45" s="272" t="s">
        <v>142</v>
      </c>
      <c r="B45" s="273">
        <f>'- 26 -'!B45</f>
        <v>64000</v>
      </c>
      <c r="C45" s="274">
        <f>'- 26 -'!C45</f>
        <v>0.34947706218223529</v>
      </c>
      <c r="D45" s="273">
        <f>'- 26 -'!D45</f>
        <v>37.982195845697326</v>
      </c>
      <c r="E45" s="273">
        <f>SUM('- 37 -'!B45,'- 37 -'!E45,'- 37 -'!H45,B45)</f>
        <v>572907</v>
      </c>
      <c r="F45" s="274">
        <f>E45/'- 3 -'!D45*100</f>
        <v>3.1284039884943415</v>
      </c>
      <c r="G45" s="273">
        <f>E45/'- 7 -'!F45</f>
        <v>340.0041543026706</v>
      </c>
    </row>
    <row r="46" spans="1:7" ht="14.1" customHeight="1">
      <c r="A46" s="16" t="s">
        <v>143</v>
      </c>
      <c r="B46" s="17">
        <f>'- 26 -'!B46</f>
        <v>1518600</v>
      </c>
      <c r="C46" s="268">
        <f>'- 26 -'!C46</f>
        <v>0.39654220213311814</v>
      </c>
      <c r="D46" s="17">
        <f>'- 26 -'!D46</f>
        <v>50.258141382049246</v>
      </c>
      <c r="E46" s="17">
        <f>SUM('- 37 -'!B46,'- 37 -'!E46,'- 37 -'!H46,B46)</f>
        <v>6147200</v>
      </c>
      <c r="F46" s="268">
        <f>E46/'- 3 -'!D46*100</f>
        <v>1.6051786019706995</v>
      </c>
      <c r="G46" s="17">
        <f>E46/'- 7 -'!F46</f>
        <v>203.44188509398995</v>
      </c>
    </row>
    <row r="47" spans="1:7" ht="5.0999999999999996" customHeight="1">
      <c r="A47"/>
      <c r="B47"/>
      <c r="C47"/>
      <c r="D47"/>
      <c r="E47"/>
      <c r="F47"/>
      <c r="G47"/>
    </row>
    <row r="48" spans="1:7" ht="14.1" customHeight="1">
      <c r="A48" s="275" t="s">
        <v>144</v>
      </c>
      <c r="B48" s="276">
        <f>SUM(B11:B46)</f>
        <v>8553836</v>
      </c>
      <c r="C48" s="277">
        <f>'- 26 -'!C48</f>
        <v>0.38321997701446053</v>
      </c>
      <c r="D48" s="276">
        <f>'- 26 -'!D48</f>
        <v>49.287794669027448</v>
      </c>
      <c r="E48" s="276">
        <f>SUM(E11:E46)</f>
        <v>51711279</v>
      </c>
      <c r="F48" s="277">
        <f>E48/'- 3 -'!D48*100</f>
        <v>2.3167144132490214</v>
      </c>
      <c r="G48" s="276">
        <f>E48/'- 7 -'!F48</f>
        <v>297.96396627487258</v>
      </c>
    </row>
    <row r="49" spans="1:8" ht="5.0999999999999996" customHeight="1">
      <c r="A49" s="18" t="s">
        <v>1</v>
      </c>
      <c r="B49" s="19"/>
      <c r="C49" s="267"/>
      <c r="D49" s="19"/>
      <c r="E49" s="19"/>
      <c r="F49" s="267"/>
    </row>
    <row r="50" spans="1:8" ht="14.1" customHeight="1">
      <c r="A50" s="16" t="s">
        <v>145</v>
      </c>
      <c r="B50" s="17">
        <f>'- 26 -'!B50</f>
        <v>1900</v>
      </c>
      <c r="C50" s="268">
        <f>'- 26 -'!C50</f>
        <v>5.6588304522812799E-2</v>
      </c>
      <c r="D50" s="17">
        <f>'- 26 -'!D50</f>
        <v>11.728395061728396</v>
      </c>
      <c r="E50" s="17">
        <f>SUM('- 37 -'!B50,'- 37 -'!E50,'- 37 -'!H50,B50)</f>
        <v>113100</v>
      </c>
      <c r="F50" s="268">
        <f>E50/'- 3 -'!D50*100</f>
        <v>3.3684932850158562</v>
      </c>
      <c r="G50" s="17">
        <f>E50/'- 7 -'!F50</f>
        <v>698.14814814814815</v>
      </c>
    </row>
    <row r="51" spans="1:8" ht="14.1" customHeight="1">
      <c r="A51" s="364" t="s">
        <v>540</v>
      </c>
      <c r="B51" s="273">
        <f>'- 26 -'!B51</f>
        <v>620249</v>
      </c>
      <c r="C51" s="274">
        <f>'- 26 -'!C51</f>
        <v>2.4486617158811947</v>
      </c>
      <c r="D51" s="273">
        <f>'- 26 -'!D51</f>
        <v>884.93222999001284</v>
      </c>
      <c r="E51" s="273">
        <f>SUM('- 37 -'!B51,'- 37 -'!E51,'- 37 -'!H51,B51)</f>
        <v>831819</v>
      </c>
      <c r="F51" s="274">
        <f>E51/'- 3 -'!D51*100</f>
        <v>3.2839123317289984</v>
      </c>
      <c r="G51" s="273">
        <f>E51/'- 7 -'!F51</f>
        <v>1186.7869881580825</v>
      </c>
    </row>
    <row r="52" spans="1:8" ht="50.1" customHeight="1">
      <c r="A52" s="20"/>
      <c r="B52" s="20"/>
      <c r="C52" s="20"/>
      <c r="D52" s="20"/>
      <c r="E52" s="20"/>
      <c r="F52" s="20"/>
      <c r="G52" s="20"/>
      <c r="H52" s="20"/>
    </row>
    <row r="53" spans="1:8" ht="15" customHeight="1">
      <c r="A53" s="1" t="s">
        <v>341</v>
      </c>
    </row>
    <row r="54" spans="1:8" ht="12" customHeight="1">
      <c r="A54" s="132" t="s">
        <v>578</v>
      </c>
      <c r="B54" s="128"/>
      <c r="C54" s="128"/>
      <c r="D54" s="128"/>
    </row>
  </sheetData>
  <mergeCells count="5">
    <mergeCell ref="B5:G5"/>
    <mergeCell ref="E7:G7"/>
    <mergeCell ref="D8:D9"/>
    <mergeCell ref="G8:G9"/>
    <mergeCell ref="B6:D7"/>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BB59"/>
  <sheetViews>
    <sheetView showGridLines="0" showZeros="0" workbookViewId="0"/>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10" width="14.83203125" style="1"/>
    <col min="11" max="11" width="19.5" style="1" customWidth="1"/>
    <col min="12" max="16384" width="14.83203125" style="1"/>
  </cols>
  <sheetData>
    <row r="1" spans="1:54" ht="6.95" customHeight="1">
      <c r="A1" s="3"/>
    </row>
    <row r="2" spans="1:54" ht="15.95" customHeight="1">
      <c r="A2" s="101" t="str">
        <f>IF(Lang=1,BA2,BB2)</f>
        <v xml:space="preserve">  SUMMARY OF OPERATING FUND REVENUE: 2015/2016 BUDGET</v>
      </c>
      <c r="B2" s="102"/>
      <c r="C2" s="102"/>
      <c r="D2" s="102"/>
      <c r="E2" s="102"/>
      <c r="F2" s="102"/>
      <c r="G2" s="102"/>
      <c r="H2" s="102"/>
      <c r="BA2" s="477" t="str">
        <f>"  SUMMARY"&amp;REPLACE(REVYEAR,1,8,"")</f>
        <v xml:space="preserve">  SUMMARY OF OPERATING FUND REVENUE: 2015/2016 BUDGET</v>
      </c>
      <c r="BB2" s="462" t="str">
        <f>"SOMMAIRE DES RECETTES DU FONDS DE FONCTIONNEMENT : BUDGET "&amp;YEAR&amp;" - "&amp;YEAR+1</f>
        <v>SOMMAIRE DES RECETTES DU FONDS DE FONCTIONNEMENT : BUDGET 2015 - 2016</v>
      </c>
    </row>
    <row r="3" spans="1:54" ht="15.95" customHeight="1">
      <c r="A3" s="181"/>
    </row>
    <row r="4" spans="1:54" ht="15.95" customHeight="1">
      <c r="B4" s="4"/>
      <c r="C4" s="85"/>
      <c r="D4" s="85"/>
      <c r="E4" s="4"/>
      <c r="F4" s="4"/>
      <c r="G4" s="4"/>
      <c r="H4" s="4"/>
    </row>
    <row r="5" spans="1:54" ht="15.95" customHeight="1">
      <c r="B5" s="4"/>
      <c r="C5" s="4"/>
      <c r="D5" s="4"/>
      <c r="E5" s="4"/>
      <c r="F5" s="4"/>
      <c r="G5" s="4"/>
      <c r="H5" s="4"/>
    </row>
    <row r="6" spans="1:54" ht="15.95" customHeight="1">
      <c r="B6" s="700" t="s">
        <v>49</v>
      </c>
      <c r="C6" s="701"/>
      <c r="D6" s="701"/>
      <c r="E6" s="702"/>
      <c r="F6" s="702"/>
      <c r="G6" s="702"/>
      <c r="H6" s="703"/>
    </row>
    <row r="7" spans="1:54" ht="15.95" customHeight="1">
      <c r="B7" s="704" t="s">
        <v>52</v>
      </c>
      <c r="C7" s="705"/>
      <c r="D7" s="706"/>
      <c r="E7" s="608" t="s">
        <v>459</v>
      </c>
      <c r="F7" s="470" t="s">
        <v>1</v>
      </c>
      <c r="G7" s="593" t="s">
        <v>460</v>
      </c>
      <c r="H7" s="285" t="s">
        <v>1</v>
      </c>
    </row>
    <row r="8" spans="1:54" ht="15.95" customHeight="1">
      <c r="A8" s="475"/>
      <c r="B8" s="707"/>
      <c r="C8" s="708"/>
      <c r="D8" s="709"/>
      <c r="E8" s="673"/>
      <c r="F8" s="710" t="s">
        <v>55</v>
      </c>
      <c r="G8" s="710"/>
      <c r="H8" s="314" t="s">
        <v>1</v>
      </c>
    </row>
    <row r="9" spans="1:54" ht="15.95" customHeight="1">
      <c r="A9" s="94" t="s">
        <v>37</v>
      </c>
      <c r="B9" s="286" t="s">
        <v>311</v>
      </c>
      <c r="C9" s="286" t="s">
        <v>50</v>
      </c>
      <c r="D9" s="286" t="s">
        <v>51</v>
      </c>
      <c r="E9" s="610"/>
      <c r="F9" s="711"/>
      <c r="G9" s="594"/>
      <c r="H9" s="286" t="s">
        <v>19</v>
      </c>
      <c r="J9" s="129" t="s">
        <v>78</v>
      </c>
    </row>
    <row r="10" spans="1:54" ht="5.0999999999999996" customHeight="1">
      <c r="A10" s="30"/>
      <c r="B10" s="183"/>
      <c r="C10" s="183"/>
      <c r="D10" s="183"/>
      <c r="E10" s="183"/>
      <c r="F10" s="183"/>
      <c r="G10" s="183"/>
      <c r="H10" s="183"/>
    </row>
    <row r="11" spans="1:54" ht="14.1" customHeight="1">
      <c r="A11" s="272" t="s">
        <v>109</v>
      </c>
      <c r="B11" s="274">
        <f>'- 41 -'!I11</f>
        <v>65.027845560559129</v>
      </c>
      <c r="C11" s="274">
        <f>'- 42 -'!C11</f>
        <v>0</v>
      </c>
      <c r="D11" s="274">
        <f>'- 42 -'!E11</f>
        <v>34.185086212176401</v>
      </c>
      <c r="E11" s="274">
        <f>'- 42 -'!G11</f>
        <v>0.16117438100978973</v>
      </c>
      <c r="F11" s="274">
        <f>'- 42 -'!I11</f>
        <v>5.9097273036922901E-2</v>
      </c>
      <c r="G11" s="274">
        <f>'- 43 -'!C11</f>
        <v>9.9390868289370327E-2</v>
      </c>
      <c r="H11" s="274">
        <f>'- 43 -'!E11</f>
        <v>0.46740570492839023</v>
      </c>
      <c r="J11" s="338">
        <f>SUM(B11:H11)</f>
        <v>100.00000000000001</v>
      </c>
      <c r="K11" s="1" t="s">
        <v>54</v>
      </c>
      <c r="L11" s="338">
        <f>B48</f>
        <v>61.78841738513723</v>
      </c>
    </row>
    <row r="12" spans="1:54" ht="14.1" customHeight="1">
      <c r="A12" s="16" t="s">
        <v>110</v>
      </c>
      <c r="B12" s="268">
        <f>'- 41 -'!I12</f>
        <v>65.888409602553864</v>
      </c>
      <c r="C12" s="268">
        <f>'- 42 -'!C12</f>
        <v>3.0751378765004653E-2</v>
      </c>
      <c r="D12" s="268">
        <f>'- 42 -'!E12</f>
        <v>28.023719361706707</v>
      </c>
      <c r="E12" s="268">
        <f>'- 42 -'!G12</f>
        <v>1.0674299949856487</v>
      </c>
      <c r="F12" s="268">
        <f>'- 42 -'!I12</f>
        <v>3.5444898750328737</v>
      </c>
      <c r="G12" s="268">
        <f>'- 43 -'!C12</f>
        <v>0.76365722152394322</v>
      </c>
      <c r="H12" s="268">
        <f>'- 43 -'!E12</f>
        <v>0.68154256543195746</v>
      </c>
      <c r="J12" s="338">
        <f t="shared" ref="J12:J46" si="0">SUM(B12:H12)</f>
        <v>100</v>
      </c>
      <c r="K12" s="1" t="s">
        <v>50</v>
      </c>
      <c r="L12" s="338">
        <f>C48</f>
        <v>0.20452237766164549</v>
      </c>
    </row>
    <row r="13" spans="1:54" ht="14.1" customHeight="1">
      <c r="A13" s="272" t="s">
        <v>111</v>
      </c>
      <c r="B13" s="274">
        <f>'- 41 -'!I13</f>
        <v>61.273346994928588</v>
      </c>
      <c r="C13" s="274">
        <f>'- 42 -'!C13</f>
        <v>2.1312941111278062E-2</v>
      </c>
      <c r="D13" s="274">
        <f>'- 42 -'!E13</f>
        <v>37.216204868515142</v>
      </c>
      <c r="E13" s="274">
        <f>'- 42 -'!G13</f>
        <v>0.35571298714723087</v>
      </c>
      <c r="F13" s="274">
        <f>'- 42 -'!I13</f>
        <v>0.2638542109576224</v>
      </c>
      <c r="G13" s="274">
        <f>'- 43 -'!C13</f>
        <v>0.7764304446838598</v>
      </c>
      <c r="H13" s="274">
        <f>'- 43 -'!E13</f>
        <v>9.3137552656285122E-2</v>
      </c>
      <c r="J13" s="338">
        <f t="shared" si="0"/>
        <v>100</v>
      </c>
      <c r="K13" s="1" t="s">
        <v>51</v>
      </c>
      <c r="L13" s="338">
        <f>D48</f>
        <v>32.44585418630912</v>
      </c>
    </row>
    <row r="14" spans="1:54" ht="14.1" customHeight="1">
      <c r="A14" s="16" t="s">
        <v>324</v>
      </c>
      <c r="B14" s="268">
        <f>'- 41 -'!I14</f>
        <v>72.401210177895493</v>
      </c>
      <c r="C14" s="268">
        <f>'- 42 -'!C14</f>
        <v>6.7232920249789122E-2</v>
      </c>
      <c r="D14" s="268">
        <f>'- 42 -'!E14</f>
        <v>25.562400016243476</v>
      </c>
      <c r="E14" s="268">
        <f>'- 42 -'!G14</f>
        <v>1.853027296088879</v>
      </c>
      <c r="F14" s="268">
        <f>'- 42 -'!I14</f>
        <v>0</v>
      </c>
      <c r="G14" s="268">
        <f>'- 43 -'!C14</f>
        <v>0.11001750586329129</v>
      </c>
      <c r="H14" s="268">
        <f>'- 43 -'!E14</f>
        <v>6.1120836590717381E-3</v>
      </c>
      <c r="J14" s="338">
        <f t="shared" si="0"/>
        <v>100.00000000000001</v>
      </c>
      <c r="K14" s="1" t="s">
        <v>63</v>
      </c>
      <c r="L14" s="338">
        <f>E48</f>
        <v>0.49561131282873233</v>
      </c>
    </row>
    <row r="15" spans="1:54" ht="14.1" customHeight="1">
      <c r="A15" s="272" t="s">
        <v>112</v>
      </c>
      <c r="B15" s="274">
        <f>'- 41 -'!I15</f>
        <v>62.619760719897769</v>
      </c>
      <c r="C15" s="274">
        <f>'- 42 -'!C15</f>
        <v>0</v>
      </c>
      <c r="D15" s="274">
        <f>'- 42 -'!E15</f>
        <v>36.319816641955974</v>
      </c>
      <c r="E15" s="274">
        <f>'- 42 -'!G15</f>
        <v>0.21939778720267336</v>
      </c>
      <c r="F15" s="274">
        <f>'- 42 -'!I15</f>
        <v>0.53630570205097927</v>
      </c>
      <c r="G15" s="274">
        <f>'- 43 -'!C15</f>
        <v>0.2608395914520672</v>
      </c>
      <c r="H15" s="274">
        <f>'- 43 -'!E15</f>
        <v>4.3879557440534664E-2</v>
      </c>
      <c r="J15" s="338">
        <f t="shared" si="0"/>
        <v>99.999999999999986</v>
      </c>
      <c r="K15" s="1" t="s">
        <v>55</v>
      </c>
      <c r="L15" s="338">
        <f>F48</f>
        <v>4.052347991573817</v>
      </c>
    </row>
    <row r="16" spans="1:54" ht="14.1" customHeight="1">
      <c r="A16" s="16" t="s">
        <v>113</v>
      </c>
      <c r="B16" s="268">
        <f>'- 41 -'!I16</f>
        <v>75.67496944892082</v>
      </c>
      <c r="C16" s="268">
        <f>'- 42 -'!C16</f>
        <v>0</v>
      </c>
      <c r="D16" s="268">
        <f>'- 42 -'!E16</f>
        <v>20.784563167890976</v>
      </c>
      <c r="E16" s="268">
        <f>'- 42 -'!G16</f>
        <v>1.7832738300207398</v>
      </c>
      <c r="F16" s="268">
        <f>'- 42 -'!I16</f>
        <v>0</v>
      </c>
      <c r="G16" s="268">
        <f>'- 43 -'!C16</f>
        <v>1.3267938154736294</v>
      </c>
      <c r="H16" s="268">
        <f>'- 43 -'!E16</f>
        <v>0.43039973769383916</v>
      </c>
      <c r="J16" s="338">
        <f t="shared" si="0"/>
        <v>100.00000000000001</v>
      </c>
      <c r="K16" s="1" t="s">
        <v>48</v>
      </c>
      <c r="L16" s="338">
        <f>G48</f>
        <v>0.80926251799193993</v>
      </c>
    </row>
    <row r="17" spans="1:12" ht="14.1" customHeight="1">
      <c r="A17" s="272" t="s">
        <v>114</v>
      </c>
      <c r="B17" s="274">
        <f>'- 41 -'!I17</f>
        <v>54.898284166139732</v>
      </c>
      <c r="C17" s="274">
        <f>'- 42 -'!C17</f>
        <v>0</v>
      </c>
      <c r="D17" s="274">
        <f>'- 42 -'!E17</f>
        <v>39.673257530436516</v>
      </c>
      <c r="E17" s="274">
        <f>'- 42 -'!G17</f>
        <v>6.9854978270910459E-2</v>
      </c>
      <c r="F17" s="274">
        <f>'- 42 -'!I17</f>
        <v>5.2183345287848608</v>
      </c>
      <c r="G17" s="274">
        <f>'- 43 -'!C17</f>
        <v>8.9414372186765387E-3</v>
      </c>
      <c r="H17" s="274">
        <f>'- 43 -'!E17</f>
        <v>0.13132735914931165</v>
      </c>
      <c r="J17" s="338">
        <f t="shared" si="0"/>
        <v>100.00000000000001</v>
      </c>
      <c r="K17" s="132" t="s">
        <v>19</v>
      </c>
      <c r="L17" s="338">
        <f>H48</f>
        <v>0.20398422849751383</v>
      </c>
    </row>
    <row r="18" spans="1:12" ht="14.1" customHeight="1">
      <c r="A18" s="16" t="s">
        <v>115</v>
      </c>
      <c r="B18" s="268">
        <f>'- 41 -'!I18</f>
        <v>38.505615552766969</v>
      </c>
      <c r="C18" s="268">
        <f>'- 42 -'!C18</f>
        <v>0</v>
      </c>
      <c r="D18" s="268">
        <f>'- 42 -'!E18</f>
        <v>2.2465547157090473</v>
      </c>
      <c r="E18" s="268">
        <f>'- 42 -'!G18</f>
        <v>0</v>
      </c>
      <c r="F18" s="268">
        <f>'- 42 -'!I18</f>
        <v>55.28542837162307</v>
      </c>
      <c r="G18" s="268">
        <f>'- 43 -'!C18</f>
        <v>3.4376232806789502</v>
      </c>
      <c r="H18" s="268">
        <f>'- 43 -'!E18</f>
        <v>0.52477807922196817</v>
      </c>
      <c r="J18" s="338">
        <f t="shared" si="0"/>
        <v>100</v>
      </c>
      <c r="L18" s="338"/>
    </row>
    <row r="19" spans="1:12" ht="14.1" customHeight="1">
      <c r="A19" s="272" t="s">
        <v>116</v>
      </c>
      <c r="B19" s="274">
        <f>'- 41 -'!I19</f>
        <v>67.181589241068622</v>
      </c>
      <c r="C19" s="274">
        <f>'- 42 -'!C19</f>
        <v>0</v>
      </c>
      <c r="D19" s="274">
        <f>'- 42 -'!E19</f>
        <v>31.444640803171573</v>
      </c>
      <c r="E19" s="274">
        <f>'- 42 -'!G19</f>
        <v>0.69420338708105478</v>
      </c>
      <c r="F19" s="274">
        <f>'- 42 -'!I19</f>
        <v>0</v>
      </c>
      <c r="G19" s="274">
        <f>'- 43 -'!C19</f>
        <v>0</v>
      </c>
      <c r="H19" s="274">
        <f>'- 43 -'!E19</f>
        <v>0.67956656867874332</v>
      </c>
      <c r="J19" s="338">
        <f t="shared" si="0"/>
        <v>100</v>
      </c>
      <c r="L19" s="338">
        <f>SUM(L11:L17)</f>
        <v>100</v>
      </c>
    </row>
    <row r="20" spans="1:12" ht="14.1" customHeight="1">
      <c r="A20" s="16" t="s">
        <v>117</v>
      </c>
      <c r="B20" s="268">
        <f>'- 41 -'!I20</f>
        <v>69.958458649820884</v>
      </c>
      <c r="C20" s="268">
        <f>'- 42 -'!C20</f>
        <v>0</v>
      </c>
      <c r="D20" s="268">
        <f>'- 42 -'!E20</f>
        <v>29.292930080097022</v>
      </c>
      <c r="E20" s="268">
        <f>'- 42 -'!G20</f>
        <v>0.12298265822753983</v>
      </c>
      <c r="F20" s="268">
        <f>'- 42 -'!I20</f>
        <v>0</v>
      </c>
      <c r="G20" s="268">
        <f>'- 43 -'!C20</f>
        <v>0.52298070998740942</v>
      </c>
      <c r="H20" s="268">
        <f>'- 43 -'!E20</f>
        <v>0.10264790186714463</v>
      </c>
      <c r="J20" s="338">
        <f t="shared" si="0"/>
        <v>100</v>
      </c>
    </row>
    <row r="21" spans="1:12" ht="14.1" customHeight="1">
      <c r="A21" s="272" t="s">
        <v>118</v>
      </c>
      <c r="B21" s="274">
        <f>'- 41 -'!I21</f>
        <v>63.042278802606866</v>
      </c>
      <c r="C21" s="274">
        <f>'- 42 -'!C21</f>
        <v>0</v>
      </c>
      <c r="D21" s="274">
        <f>'- 42 -'!E21</f>
        <v>35.916820391030598</v>
      </c>
      <c r="E21" s="274">
        <f>'- 42 -'!G21</f>
        <v>0.1574063846238816</v>
      </c>
      <c r="F21" s="274">
        <f>'- 42 -'!I21</f>
        <v>0</v>
      </c>
      <c r="G21" s="274">
        <f>'- 43 -'!C21</f>
        <v>0.5697006517176626</v>
      </c>
      <c r="H21" s="274">
        <f>'- 43 -'!E21</f>
        <v>0.31379377002098752</v>
      </c>
      <c r="J21" s="338">
        <f t="shared" si="0"/>
        <v>100</v>
      </c>
    </row>
    <row r="22" spans="1:12" ht="14.1" customHeight="1">
      <c r="A22" s="16" t="s">
        <v>119</v>
      </c>
      <c r="B22" s="268">
        <f>'- 41 -'!I22</f>
        <v>81.074927331061076</v>
      </c>
      <c r="C22" s="268">
        <f>'- 42 -'!C22</f>
        <v>0.10275204722444947</v>
      </c>
      <c r="D22" s="268">
        <f>'- 42 -'!E22</f>
        <v>18.215594247627248</v>
      </c>
      <c r="E22" s="268">
        <f>'- 42 -'!G22</f>
        <v>4.8929546297356893E-2</v>
      </c>
      <c r="F22" s="268">
        <f>'- 42 -'!I22</f>
        <v>4.8929546297356893E-2</v>
      </c>
      <c r="G22" s="268">
        <f>'- 43 -'!C22</f>
        <v>0</v>
      </c>
      <c r="H22" s="268">
        <f>'- 43 -'!E22</f>
        <v>0.5088672814925117</v>
      </c>
      <c r="J22" s="338">
        <f t="shared" si="0"/>
        <v>100.00000000000001</v>
      </c>
    </row>
    <row r="23" spans="1:12" ht="14.1" customHeight="1">
      <c r="A23" s="272" t="s">
        <v>120</v>
      </c>
      <c r="B23" s="274">
        <f>'- 41 -'!I23</f>
        <v>71.283633046540132</v>
      </c>
      <c r="C23" s="274">
        <f>'- 42 -'!C23</f>
        <v>0</v>
      </c>
      <c r="D23" s="274">
        <f>'- 42 -'!E23</f>
        <v>20.687316024738571</v>
      </c>
      <c r="E23" s="274">
        <f>'- 42 -'!G23</f>
        <v>0.47944364400662187</v>
      </c>
      <c r="F23" s="274">
        <f>'- 42 -'!I23</f>
        <v>5.8432194113307041</v>
      </c>
      <c r="G23" s="274">
        <f>'- 43 -'!C23</f>
        <v>1.4726590969307396</v>
      </c>
      <c r="H23" s="274">
        <f>'- 43 -'!E23</f>
        <v>0.23372877645322815</v>
      </c>
      <c r="J23" s="338">
        <f t="shared" si="0"/>
        <v>100.00000000000001</v>
      </c>
    </row>
    <row r="24" spans="1:12" ht="14.1" customHeight="1">
      <c r="A24" s="16" t="s">
        <v>121</v>
      </c>
      <c r="B24" s="268">
        <f>'- 41 -'!I24</f>
        <v>60.03188493557272</v>
      </c>
      <c r="C24" s="268">
        <f>'- 42 -'!C24</f>
        <v>0</v>
      </c>
      <c r="D24" s="268">
        <f>'- 42 -'!E24</f>
        <v>38.157219960468595</v>
      </c>
      <c r="E24" s="268">
        <f>'- 42 -'!G24</f>
        <v>0.32254520465285058</v>
      </c>
      <c r="F24" s="268">
        <f>'- 42 -'!I24</f>
        <v>0.6419898649050283</v>
      </c>
      <c r="G24" s="268">
        <f>'- 43 -'!C24</f>
        <v>0.67272954796312756</v>
      </c>
      <c r="H24" s="268">
        <f>'- 43 -'!E24</f>
        <v>0.17363048643767839</v>
      </c>
      <c r="J24" s="338">
        <f t="shared" si="0"/>
        <v>100</v>
      </c>
    </row>
    <row r="25" spans="1:12" ht="14.1" customHeight="1">
      <c r="A25" s="272" t="s">
        <v>122</v>
      </c>
      <c r="B25" s="274">
        <f>'- 41 -'!I25</f>
        <v>61.15509573458359</v>
      </c>
      <c r="C25" s="274">
        <f>'- 42 -'!C25</f>
        <v>0</v>
      </c>
      <c r="D25" s="274">
        <f>'- 42 -'!E25</f>
        <v>37.308607702834713</v>
      </c>
      <c r="E25" s="274">
        <f>'- 42 -'!G25</f>
        <v>0.26755292898159144</v>
      </c>
      <c r="F25" s="274">
        <f>'- 42 -'!I25</f>
        <v>0</v>
      </c>
      <c r="G25" s="274">
        <f>'- 43 -'!C25</f>
        <v>1.2246415024492943</v>
      </c>
      <c r="H25" s="274">
        <f>'- 43 -'!E25</f>
        <v>4.4102131150811769E-2</v>
      </c>
      <c r="J25" s="338">
        <f t="shared" si="0"/>
        <v>99.999999999999986</v>
      </c>
    </row>
    <row r="26" spans="1:12" ht="14.1" customHeight="1">
      <c r="A26" s="16" t="s">
        <v>123</v>
      </c>
      <c r="B26" s="268">
        <f>'- 41 -'!I26</f>
        <v>67.215237145490633</v>
      </c>
      <c r="C26" s="268">
        <f>'- 42 -'!C26</f>
        <v>4.8946892083942178E-2</v>
      </c>
      <c r="D26" s="268">
        <f>'- 42 -'!E26</f>
        <v>27.09496183842472</v>
      </c>
      <c r="E26" s="268">
        <f>'- 42 -'!G26</f>
        <v>1.3094088621956146</v>
      </c>
      <c r="F26" s="268">
        <f>'- 42 -'!I26</f>
        <v>2.2582716394980431</v>
      </c>
      <c r="G26" s="268">
        <f>'- 43 -'!C26</f>
        <v>1.503227302688926</v>
      </c>
      <c r="H26" s="268">
        <f>'- 43 -'!E26</f>
        <v>0.56994631961811737</v>
      </c>
      <c r="J26" s="338">
        <f t="shared" si="0"/>
        <v>100</v>
      </c>
    </row>
    <row r="27" spans="1:12" ht="14.1" customHeight="1">
      <c r="A27" s="272" t="s">
        <v>124</v>
      </c>
      <c r="B27" s="274">
        <f>'- 41 -'!I27</f>
        <v>77.930552120421353</v>
      </c>
      <c r="C27" s="274">
        <f>'- 42 -'!C27</f>
        <v>4.8505523008619093E-2</v>
      </c>
      <c r="D27" s="274">
        <f>'- 42 -'!E27</f>
        <v>20.45574188736639</v>
      </c>
      <c r="E27" s="274">
        <f>'- 42 -'!G27</f>
        <v>0.30526950905474426</v>
      </c>
      <c r="F27" s="274">
        <f>'- 42 -'!I27</f>
        <v>0.49718161083834572</v>
      </c>
      <c r="G27" s="274">
        <f>'- 43 -'!C27</f>
        <v>0.556600876523904</v>
      </c>
      <c r="H27" s="274">
        <f>'- 43 -'!E27</f>
        <v>0.20614847278663112</v>
      </c>
      <c r="J27" s="338">
        <f t="shared" si="0"/>
        <v>99.999999999999972</v>
      </c>
    </row>
    <row r="28" spans="1:12" ht="14.1" customHeight="1">
      <c r="A28" s="16" t="s">
        <v>125</v>
      </c>
      <c r="B28" s="268">
        <f>'- 41 -'!I28</f>
        <v>48.761091870599103</v>
      </c>
      <c r="C28" s="268">
        <f>'- 42 -'!C28</f>
        <v>0</v>
      </c>
      <c r="D28" s="268">
        <f>'- 42 -'!E28</f>
        <v>24.113201082468617</v>
      </c>
      <c r="E28" s="268">
        <f>'- 42 -'!G28</f>
        <v>0.24809602342710865</v>
      </c>
      <c r="F28" s="268">
        <f>'- 42 -'!I28</f>
        <v>26.745720896108576</v>
      </c>
      <c r="G28" s="268">
        <f>'- 43 -'!C28</f>
        <v>9.2679548981391149E-2</v>
      </c>
      <c r="H28" s="268">
        <f>'- 43 -'!E28</f>
        <v>3.921057841520395E-2</v>
      </c>
      <c r="J28" s="338">
        <f t="shared" si="0"/>
        <v>100.00000000000001</v>
      </c>
    </row>
    <row r="29" spans="1:12" ht="14.1" customHeight="1">
      <c r="A29" s="272" t="s">
        <v>126</v>
      </c>
      <c r="B29" s="274">
        <f>'- 41 -'!I29</f>
        <v>52.435799820337955</v>
      </c>
      <c r="C29" s="274">
        <f>'- 42 -'!C29</f>
        <v>5.8124652930273822E-2</v>
      </c>
      <c r="D29" s="274">
        <f>'- 42 -'!E29</f>
        <v>45.284702921266081</v>
      </c>
      <c r="E29" s="274">
        <f>'- 42 -'!G29</f>
        <v>0.43119647418382484</v>
      </c>
      <c r="F29" s="274">
        <f>'- 42 -'!I29</f>
        <v>0</v>
      </c>
      <c r="G29" s="274">
        <f>'- 43 -'!C29</f>
        <v>1.7089911540912033</v>
      </c>
      <c r="H29" s="274">
        <f>'- 43 -'!E29</f>
        <v>8.1184977190654192E-2</v>
      </c>
      <c r="J29" s="338">
        <f t="shared" si="0"/>
        <v>100</v>
      </c>
    </row>
    <row r="30" spans="1:12" ht="14.1" customHeight="1">
      <c r="A30" s="16" t="s">
        <v>127</v>
      </c>
      <c r="B30" s="268">
        <f>'- 41 -'!I30</f>
        <v>63.550609481287665</v>
      </c>
      <c r="C30" s="268">
        <f>'- 42 -'!C30</f>
        <v>0</v>
      </c>
      <c r="D30" s="268">
        <f>'- 42 -'!E30</f>
        <v>35.950652270363832</v>
      </c>
      <c r="E30" s="268">
        <f>'- 42 -'!G30</f>
        <v>0.20973661920703426</v>
      </c>
      <c r="F30" s="268">
        <f>'- 42 -'!I30</f>
        <v>0</v>
      </c>
      <c r="G30" s="268">
        <f>'- 43 -'!C30</f>
        <v>2.1043807947194071E-2</v>
      </c>
      <c r="H30" s="268">
        <f>'- 43 -'!E30</f>
        <v>0.2679578211942712</v>
      </c>
      <c r="J30" s="338">
        <f t="shared" si="0"/>
        <v>100</v>
      </c>
    </row>
    <row r="31" spans="1:12" ht="14.1" customHeight="1">
      <c r="A31" s="272" t="s">
        <v>128</v>
      </c>
      <c r="B31" s="274">
        <f>'- 41 -'!I31</f>
        <v>63.300637276115509</v>
      </c>
      <c r="C31" s="274">
        <f>'- 42 -'!C31</f>
        <v>5.3489461225529673E-2</v>
      </c>
      <c r="D31" s="274">
        <f>'- 42 -'!E31</f>
        <v>33.976749147505025</v>
      </c>
      <c r="E31" s="274">
        <f>'- 42 -'!G31</f>
        <v>0.48140515102976711</v>
      </c>
      <c r="F31" s="274">
        <f>'- 42 -'!I31</f>
        <v>2.0994613531020399</v>
      </c>
      <c r="G31" s="274">
        <f>'- 43 -'!C31</f>
        <v>1.3372365306382418E-2</v>
      </c>
      <c r="H31" s="274">
        <f>'- 43 -'!E31</f>
        <v>7.4885245715741552E-2</v>
      </c>
      <c r="J31" s="338">
        <f t="shared" si="0"/>
        <v>100</v>
      </c>
    </row>
    <row r="32" spans="1:12" ht="14.1" customHeight="1">
      <c r="A32" s="16" t="s">
        <v>129</v>
      </c>
      <c r="B32" s="268">
        <f>'- 41 -'!I32</f>
        <v>59.372395107802532</v>
      </c>
      <c r="C32" s="268">
        <f>'- 42 -'!C32</f>
        <v>0</v>
      </c>
      <c r="D32" s="268">
        <f>'- 42 -'!E32</f>
        <v>40.040586932204327</v>
      </c>
      <c r="E32" s="268">
        <f>'- 42 -'!G32</f>
        <v>0.25862820266364589</v>
      </c>
      <c r="F32" s="268">
        <f>'- 42 -'!I32</f>
        <v>0</v>
      </c>
      <c r="G32" s="268">
        <f>'- 43 -'!C32</f>
        <v>4.7642037332776874E-2</v>
      </c>
      <c r="H32" s="268">
        <f>'- 43 -'!E32</f>
        <v>0.28074771999672088</v>
      </c>
      <c r="J32" s="338">
        <f t="shared" si="0"/>
        <v>100</v>
      </c>
    </row>
    <row r="33" spans="1:10" ht="14.1" customHeight="1">
      <c r="A33" s="272" t="s">
        <v>130</v>
      </c>
      <c r="B33" s="274">
        <f>'- 41 -'!I33</f>
        <v>62.130332112804908</v>
      </c>
      <c r="C33" s="274">
        <f>'- 42 -'!C33</f>
        <v>0</v>
      </c>
      <c r="D33" s="274">
        <f>'- 42 -'!E33</f>
        <v>36.352921570946137</v>
      </c>
      <c r="E33" s="274">
        <f>'- 42 -'!G33</f>
        <v>7.095889198825503E-2</v>
      </c>
      <c r="F33" s="274">
        <f>'- 42 -'!I33</f>
        <v>0.97568476483850675</v>
      </c>
      <c r="G33" s="274">
        <f>'- 43 -'!C33</f>
        <v>0.24835612195889262</v>
      </c>
      <c r="H33" s="274">
        <f>'- 43 -'!E33</f>
        <v>0.22174653746329698</v>
      </c>
      <c r="J33" s="338">
        <f t="shared" si="0"/>
        <v>100</v>
      </c>
    </row>
    <row r="34" spans="1:10" ht="14.1" customHeight="1">
      <c r="A34" s="16" t="s">
        <v>131</v>
      </c>
      <c r="B34" s="268">
        <f>'- 41 -'!I34</f>
        <v>56.250922505068438</v>
      </c>
      <c r="C34" s="268">
        <f>'- 42 -'!C34</f>
        <v>7.3747602894890865E-2</v>
      </c>
      <c r="D34" s="268">
        <f>'- 42 -'!E34</f>
        <v>40.443361436156948</v>
      </c>
      <c r="E34" s="268">
        <f>'- 42 -'!G34</f>
        <v>2.7640284749527266</v>
      </c>
      <c r="F34" s="268">
        <f>'- 42 -'!I34</f>
        <v>0</v>
      </c>
      <c r="G34" s="268">
        <f>'- 43 -'!C34</f>
        <v>0.36081762752870233</v>
      </c>
      <c r="H34" s="268">
        <f>'- 43 -'!E34</f>
        <v>0.10712235339830187</v>
      </c>
      <c r="J34" s="338">
        <f t="shared" si="0"/>
        <v>100</v>
      </c>
    </row>
    <row r="35" spans="1:10" ht="14.1" customHeight="1">
      <c r="A35" s="272" t="s">
        <v>132</v>
      </c>
      <c r="B35" s="274">
        <f>'- 41 -'!I35</f>
        <v>66.783769101827659</v>
      </c>
      <c r="C35" s="274">
        <f>'- 42 -'!C35</f>
        <v>0</v>
      </c>
      <c r="D35" s="274">
        <f>'- 42 -'!E35</f>
        <v>32.673859605927333</v>
      </c>
      <c r="E35" s="274">
        <f>'- 42 -'!G35</f>
        <v>0.12021631735327461</v>
      </c>
      <c r="F35" s="274">
        <f>'- 42 -'!I35</f>
        <v>0</v>
      </c>
      <c r="G35" s="274">
        <f>'- 43 -'!C35</f>
        <v>0.41097206164956668</v>
      </c>
      <c r="H35" s="274">
        <f>'- 43 -'!E35</f>
        <v>1.1182913242165081E-2</v>
      </c>
      <c r="J35" s="338">
        <f t="shared" si="0"/>
        <v>100</v>
      </c>
    </row>
    <row r="36" spans="1:10" ht="14.1" customHeight="1">
      <c r="A36" s="16" t="s">
        <v>133</v>
      </c>
      <c r="B36" s="268">
        <f>'- 41 -'!I36</f>
        <v>58.404693125662412</v>
      </c>
      <c r="C36" s="268">
        <f>'- 42 -'!C36</f>
        <v>0.32248986124381862</v>
      </c>
      <c r="D36" s="268">
        <f>'- 42 -'!E36</f>
        <v>35.027890668238342</v>
      </c>
      <c r="E36" s="268">
        <f>'- 42 -'!G36</f>
        <v>0.33639028629743145</v>
      </c>
      <c r="F36" s="268">
        <f>'- 42 -'!I36</f>
        <v>5.4502497371750396</v>
      </c>
      <c r="G36" s="268">
        <f>'- 43 -'!C36</f>
        <v>0.1462752421026339</v>
      </c>
      <c r="H36" s="268">
        <f>'- 43 -'!E36</f>
        <v>0.31201107928032579</v>
      </c>
      <c r="J36" s="338">
        <f t="shared" si="0"/>
        <v>100</v>
      </c>
    </row>
    <row r="37" spans="1:10" ht="14.1" customHeight="1">
      <c r="A37" s="272" t="s">
        <v>134</v>
      </c>
      <c r="B37" s="274">
        <f>'- 41 -'!I37</f>
        <v>71.227756306362465</v>
      </c>
      <c r="C37" s="274">
        <f>'- 42 -'!C37</f>
        <v>3.1168183518264555E-2</v>
      </c>
      <c r="D37" s="274">
        <f>'- 42 -'!E37</f>
        <v>28.209138511407556</v>
      </c>
      <c r="E37" s="274">
        <f>'- 42 -'!G37</f>
        <v>0.41557578024352737</v>
      </c>
      <c r="F37" s="274">
        <f>'- 42 -'!I37</f>
        <v>0</v>
      </c>
      <c r="G37" s="274">
        <f>'- 43 -'!C37</f>
        <v>0</v>
      </c>
      <c r="H37" s="274">
        <f>'- 43 -'!E37</f>
        <v>0.11636121846818769</v>
      </c>
      <c r="J37" s="338">
        <f t="shared" si="0"/>
        <v>100</v>
      </c>
    </row>
    <row r="38" spans="1:10" ht="14.1" customHeight="1">
      <c r="A38" s="16" t="s">
        <v>135</v>
      </c>
      <c r="B38" s="268">
        <f>'- 41 -'!I38</f>
        <v>69.342248040821914</v>
      </c>
      <c r="C38" s="268">
        <f>'- 42 -'!C38</f>
        <v>0.68528979245045585</v>
      </c>
      <c r="D38" s="268">
        <f>'- 42 -'!E38</f>
        <v>28.027857831837039</v>
      </c>
      <c r="E38" s="268">
        <f>'- 42 -'!G38</f>
        <v>0.82446564433884872</v>
      </c>
      <c r="F38" s="268">
        <f>'- 42 -'!I38</f>
        <v>0.31768400974524441</v>
      </c>
      <c r="G38" s="268">
        <f>'- 43 -'!C38</f>
        <v>0.76236598433864733</v>
      </c>
      <c r="H38" s="268">
        <f>'- 43 -'!E38</f>
        <v>4.0088696467852278E-2</v>
      </c>
      <c r="J38" s="338">
        <f t="shared" si="0"/>
        <v>100</v>
      </c>
    </row>
    <row r="39" spans="1:10" ht="14.1" customHeight="1">
      <c r="A39" s="272" t="s">
        <v>136</v>
      </c>
      <c r="B39" s="274">
        <f>'- 41 -'!I39</f>
        <v>53.491530998482673</v>
      </c>
      <c r="C39" s="274">
        <f>'- 42 -'!C39</f>
        <v>0</v>
      </c>
      <c r="D39" s="274">
        <f>'- 42 -'!E39</f>
        <v>45.762347551988469</v>
      </c>
      <c r="E39" s="274">
        <f>'- 42 -'!G39</f>
        <v>0.44327557600336531</v>
      </c>
      <c r="F39" s="274">
        <f>'- 42 -'!I39</f>
        <v>0</v>
      </c>
      <c r="G39" s="274">
        <f>'- 43 -'!C39</f>
        <v>0</v>
      </c>
      <c r="H39" s="274">
        <f>'- 43 -'!E39</f>
        <v>0.30284587352549924</v>
      </c>
      <c r="J39" s="338">
        <f t="shared" si="0"/>
        <v>100</v>
      </c>
    </row>
    <row r="40" spans="1:10" ht="14.1" customHeight="1">
      <c r="A40" s="16" t="s">
        <v>137</v>
      </c>
      <c r="B40" s="268">
        <f>'- 41 -'!I40</f>
        <v>56.398733990674586</v>
      </c>
      <c r="C40" s="268">
        <f>'- 42 -'!C40</f>
        <v>0</v>
      </c>
      <c r="D40" s="268">
        <f>'- 42 -'!E40</f>
        <v>39.590160418800508</v>
      </c>
      <c r="E40" s="268">
        <f>'- 42 -'!G40</f>
        <v>0.73079376121366046</v>
      </c>
      <c r="F40" s="268">
        <f>'- 42 -'!I40</f>
        <v>0.13533217800252972</v>
      </c>
      <c r="G40" s="268">
        <f>'- 43 -'!C40</f>
        <v>2.425510293418625</v>
      </c>
      <c r="H40" s="268">
        <f>'- 43 -'!E40</f>
        <v>0.7194693578900917</v>
      </c>
      <c r="J40" s="338">
        <f t="shared" si="0"/>
        <v>100</v>
      </c>
    </row>
    <row r="41" spans="1:10" ht="14.1" customHeight="1">
      <c r="A41" s="272" t="s">
        <v>138</v>
      </c>
      <c r="B41" s="274">
        <f>'- 41 -'!I41</f>
        <v>59.125353617872634</v>
      </c>
      <c r="C41" s="274">
        <f>'- 42 -'!C41</f>
        <v>0</v>
      </c>
      <c r="D41" s="274">
        <f>'- 42 -'!E41</f>
        <v>40.088163608316989</v>
      </c>
      <c r="E41" s="274">
        <f>'- 42 -'!G41</f>
        <v>0.20312539355545001</v>
      </c>
      <c r="F41" s="274">
        <f>'- 42 -'!I41</f>
        <v>0.48426343826041163</v>
      </c>
      <c r="G41" s="274">
        <f>'- 43 -'!C41</f>
        <v>0</v>
      </c>
      <c r="H41" s="274">
        <f>'- 43 -'!E41</f>
        <v>9.9093941994512616E-2</v>
      </c>
      <c r="J41" s="338">
        <f t="shared" si="0"/>
        <v>100</v>
      </c>
    </row>
    <row r="42" spans="1:10" ht="14.1" customHeight="1">
      <c r="A42" s="16" t="s">
        <v>139</v>
      </c>
      <c r="B42" s="268">
        <f>'- 41 -'!I42</f>
        <v>71.461423442175828</v>
      </c>
      <c r="C42" s="268">
        <f>'- 42 -'!C42</f>
        <v>0</v>
      </c>
      <c r="D42" s="268">
        <f>'- 42 -'!E42</f>
        <v>26.147274329600815</v>
      </c>
      <c r="E42" s="268">
        <f>'- 42 -'!G42</f>
        <v>0.12549727086877221</v>
      </c>
      <c r="F42" s="268">
        <f>'- 42 -'!I42</f>
        <v>0.72508461653488332</v>
      </c>
      <c r="G42" s="268">
        <f>'- 43 -'!C42</f>
        <v>1.1864318915209313</v>
      </c>
      <c r="H42" s="268">
        <f>'- 43 -'!E42</f>
        <v>0.35428844929876468</v>
      </c>
      <c r="J42" s="338">
        <f t="shared" si="0"/>
        <v>100</v>
      </c>
    </row>
    <row r="43" spans="1:10" ht="14.1" customHeight="1">
      <c r="A43" s="272" t="s">
        <v>140</v>
      </c>
      <c r="B43" s="274">
        <f>'- 41 -'!I43</f>
        <v>59.719104159099516</v>
      </c>
      <c r="C43" s="274">
        <f>'- 42 -'!C43</f>
        <v>0</v>
      </c>
      <c r="D43" s="274">
        <f>'- 42 -'!E43</f>
        <v>39.769222256457773</v>
      </c>
      <c r="E43" s="274">
        <f>'- 42 -'!G43</f>
        <v>0.1913313431812341</v>
      </c>
      <c r="F43" s="274">
        <f>'- 42 -'!I43</f>
        <v>0</v>
      </c>
      <c r="G43" s="274">
        <f>'- 43 -'!C43</f>
        <v>0.14355208016201632</v>
      </c>
      <c r="H43" s="274">
        <f>'- 43 -'!E43</f>
        <v>0.1767901610994603</v>
      </c>
      <c r="J43" s="338">
        <f t="shared" si="0"/>
        <v>99.999999999999986</v>
      </c>
    </row>
    <row r="44" spans="1:10" ht="14.1" customHeight="1">
      <c r="A44" s="16" t="s">
        <v>141</v>
      </c>
      <c r="B44" s="268">
        <f>'- 41 -'!I44</f>
        <v>78.631827206629737</v>
      </c>
      <c r="C44" s="268">
        <f>'- 42 -'!C44</f>
        <v>0</v>
      </c>
      <c r="D44" s="268">
        <f>'- 42 -'!E44</f>
        <v>21.052127861780161</v>
      </c>
      <c r="E44" s="268">
        <f>'- 42 -'!G44</f>
        <v>0.22051722627897535</v>
      </c>
      <c r="F44" s="268">
        <f>'- 42 -'!I44</f>
        <v>0</v>
      </c>
      <c r="G44" s="268">
        <f>'- 43 -'!C44</f>
        <v>0</v>
      </c>
      <c r="H44" s="268">
        <f>'- 43 -'!E44</f>
        <v>9.552770531113508E-2</v>
      </c>
      <c r="J44" s="338">
        <f t="shared" si="0"/>
        <v>100.00000000000001</v>
      </c>
    </row>
    <row r="45" spans="1:10" ht="14.1" customHeight="1">
      <c r="A45" s="272" t="s">
        <v>142</v>
      </c>
      <c r="B45" s="274">
        <f>'- 41 -'!I45</f>
        <v>66.232265414234277</v>
      </c>
      <c r="C45" s="274">
        <f>'- 42 -'!C45</f>
        <v>0.10630891307747402</v>
      </c>
      <c r="D45" s="274">
        <f>'- 42 -'!E45</f>
        <v>32.053237590108765</v>
      </c>
      <c r="E45" s="274">
        <f>'- 42 -'!G45</f>
        <v>0.31095357075161145</v>
      </c>
      <c r="F45" s="274">
        <f>'- 42 -'!I45</f>
        <v>0</v>
      </c>
      <c r="G45" s="274">
        <f>'- 43 -'!C45</f>
        <v>1.2403592433314281</v>
      </c>
      <c r="H45" s="274">
        <f>'- 43 -'!E45</f>
        <v>5.687526849644859E-2</v>
      </c>
      <c r="J45" s="338">
        <f t="shared" si="0"/>
        <v>100</v>
      </c>
    </row>
    <row r="46" spans="1:10" ht="14.1" customHeight="1">
      <c r="A46" s="16" t="s">
        <v>143</v>
      </c>
      <c r="B46" s="268">
        <f>'- 41 -'!I46</f>
        <v>61.736746378244021</v>
      </c>
      <c r="C46" s="268">
        <f>'- 42 -'!C46</f>
        <v>0.86523800700583786</v>
      </c>
      <c r="D46" s="268">
        <f>'- 42 -'!E46</f>
        <v>35.814895740807742</v>
      </c>
      <c r="E46" s="268">
        <f>'- 42 -'!G46</f>
        <v>0.59354011582806332</v>
      </c>
      <c r="F46" s="268">
        <f>'- 42 -'!I46</f>
        <v>0.65797147601039885</v>
      </c>
      <c r="G46" s="268">
        <f>'- 43 -'!C46</f>
        <v>0.14967533355664206</v>
      </c>
      <c r="H46" s="268">
        <f>'- 43 -'!E46</f>
        <v>0.18193294854729766</v>
      </c>
      <c r="J46" s="338">
        <f t="shared" si="0"/>
        <v>100.00000000000001</v>
      </c>
    </row>
    <row r="47" spans="1:10" ht="5.0999999999999996" customHeight="1">
      <c r="A47"/>
      <c r="B47"/>
      <c r="C47"/>
      <c r="D47"/>
      <c r="E47"/>
      <c r="F47"/>
      <c r="G47"/>
      <c r="H47"/>
      <c r="J47" s="338"/>
    </row>
    <row r="48" spans="1:10" ht="14.1" customHeight="1">
      <c r="A48" s="275" t="s">
        <v>144</v>
      </c>
      <c r="B48" s="277">
        <f>'- 41 -'!I48</f>
        <v>61.78841738513723</v>
      </c>
      <c r="C48" s="277">
        <f>'- 42 -'!C48</f>
        <v>0.20452237766164549</v>
      </c>
      <c r="D48" s="277">
        <f>'- 42 -'!E48</f>
        <v>32.44585418630912</v>
      </c>
      <c r="E48" s="277">
        <f>'- 42 -'!G48</f>
        <v>0.49561131282873233</v>
      </c>
      <c r="F48" s="277">
        <f>'- 42 -'!I48</f>
        <v>4.052347991573817</v>
      </c>
      <c r="G48" s="277">
        <f>'- 43 -'!C48</f>
        <v>0.80926251799193993</v>
      </c>
      <c r="H48" s="277">
        <f>'- 43 -'!E48</f>
        <v>0.20398422849751383</v>
      </c>
      <c r="J48" s="338">
        <f>SUM(B48:H48)</f>
        <v>100</v>
      </c>
    </row>
    <row r="49" spans="1:10" ht="5.0999999999999996" customHeight="1">
      <c r="A49" s="18" t="s">
        <v>1</v>
      </c>
      <c r="B49" s="267"/>
      <c r="C49" s="267"/>
      <c r="D49" s="267"/>
      <c r="E49" s="267"/>
      <c r="F49" s="267"/>
      <c r="G49" s="267"/>
      <c r="H49" s="267"/>
      <c r="J49" s="338"/>
    </row>
    <row r="50" spans="1:10" ht="14.1" customHeight="1">
      <c r="A50" s="16" t="s">
        <v>145</v>
      </c>
      <c r="B50" s="268">
        <f>'- 41 -'!I50</f>
        <v>41.977422100861688</v>
      </c>
      <c r="C50" s="268">
        <f>'- 42 -'!C50</f>
        <v>0</v>
      </c>
      <c r="D50" s="268">
        <f>'- 42 -'!E50</f>
        <v>55.130377356060336</v>
      </c>
      <c r="E50" s="268">
        <f>'- 42 -'!G50</f>
        <v>0.98943702789509846</v>
      </c>
      <c r="F50" s="268">
        <f>'- 42 -'!I50</f>
        <v>0</v>
      </c>
      <c r="G50" s="268">
        <f>'- 43 -'!C50</f>
        <v>0.43909927273451121</v>
      </c>
      <c r="H50" s="268">
        <f>'- 43 -'!E50</f>
        <v>1.4636642424483708</v>
      </c>
      <c r="J50" s="338">
        <f>SUM(B50:H50)</f>
        <v>100</v>
      </c>
    </row>
    <row r="51" spans="1:10" ht="14.1" customHeight="1">
      <c r="A51" s="364" t="s">
        <v>540</v>
      </c>
      <c r="B51" s="274">
        <f>'- 41 -'!I51</f>
        <v>36.343536238055947</v>
      </c>
      <c r="C51" s="274">
        <f>'- 42 -'!C51</f>
        <v>14.928052411244236</v>
      </c>
      <c r="D51" s="274">
        <f>'- 42 -'!E51</f>
        <v>0</v>
      </c>
      <c r="E51" s="274">
        <f>'- 42 -'!G51</f>
        <v>7.6267485940904267</v>
      </c>
      <c r="F51" s="274">
        <f>'- 42 -'!I51</f>
        <v>0</v>
      </c>
      <c r="G51" s="274">
        <f>'- 43 -'!C51</f>
        <v>33.937904234649061</v>
      </c>
      <c r="H51" s="274">
        <f>'- 43 -'!E51</f>
        <v>7.163758521960327</v>
      </c>
      <c r="J51" s="338">
        <f>SUM(B51:H51)</f>
        <v>100.00000000000001</v>
      </c>
    </row>
    <row r="52" spans="1:10" ht="50.1" customHeight="1">
      <c r="A52" s="20"/>
      <c r="B52" s="20"/>
      <c r="C52" s="20"/>
      <c r="D52" s="20"/>
      <c r="E52" s="20"/>
      <c r="F52" s="20"/>
      <c r="G52" s="20"/>
      <c r="H52" s="20"/>
    </row>
    <row r="53" spans="1:10" ht="14.45" customHeight="1">
      <c r="A53" s="698" t="e">
        <f>"(1)  The portion shown here is comprised of operating support only. The total provincial contribution to K-12 public school education, which also
"&amp;"       includes teachers' retirement allowances, capital support and the education property tax credit, is projected to be "&amp;TEXT(#REF!,"0.0%")&amp; " in "&amp;'- 60 -'!C9&amp;". See page i 
       for more information. "</f>
        <v>#REF!</v>
      </c>
      <c r="B53" s="698"/>
      <c r="C53" s="698"/>
      <c r="D53" s="698"/>
      <c r="E53" s="698"/>
      <c r="F53" s="698"/>
      <c r="G53" s="698"/>
      <c r="H53" s="698"/>
    </row>
    <row r="54" spans="1:10">
      <c r="A54" s="699"/>
      <c r="B54" s="699"/>
      <c r="C54" s="699"/>
      <c r="D54" s="699"/>
      <c r="E54" s="699"/>
      <c r="F54" s="699"/>
      <c r="G54" s="699"/>
      <c r="H54" s="699"/>
    </row>
    <row r="55" spans="1:10">
      <c r="A55" s="699"/>
      <c r="B55" s="699"/>
      <c r="C55" s="699"/>
      <c r="D55" s="699"/>
      <c r="E55" s="699"/>
      <c r="F55" s="699"/>
      <c r="G55" s="699"/>
      <c r="H55" s="699"/>
    </row>
    <row r="56" spans="1:10" ht="14.45" customHeight="1"/>
    <row r="57" spans="1:10" ht="14.45" customHeight="1"/>
    <row r="58" spans="1:10" ht="14.45" customHeight="1"/>
    <row r="59" spans="1:10" ht="14.45" customHeight="1"/>
  </sheetData>
  <mergeCells count="6">
    <mergeCell ref="A53:H55"/>
    <mergeCell ref="B6:H6"/>
    <mergeCell ref="B7:D8"/>
    <mergeCell ref="E7:E9"/>
    <mergeCell ref="F8:F9"/>
    <mergeCell ref="G7: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BB62"/>
  <sheetViews>
    <sheetView showGridLines="0" showZeros="0" workbookViewId="0"/>
  </sheetViews>
  <sheetFormatPr defaultColWidth="15.83203125" defaultRowHeight="12"/>
  <cols>
    <col min="1" max="1" width="26.83203125" style="1" customWidth="1"/>
    <col min="2" max="2" width="14.6640625" style="1" customWidth="1"/>
    <col min="3" max="3" width="15.5" style="1" customWidth="1"/>
    <col min="4" max="4" width="14.33203125" style="1" customWidth="1"/>
    <col min="5" max="5" width="14.1640625" style="1" customWidth="1"/>
    <col min="6" max="6" width="15.6640625" style="1" customWidth="1"/>
    <col min="7" max="7" width="13.5" style="1" customWidth="1"/>
    <col min="8" max="8" width="15.33203125" style="1" customWidth="1"/>
    <col min="9" max="9" width="13.33203125" style="1" customWidth="1"/>
    <col min="10" max="16384" width="15.83203125" style="1"/>
  </cols>
  <sheetData>
    <row r="1" spans="1:54" ht="18" customHeight="1">
      <c r="A1" s="184"/>
      <c r="B1" s="185" t="str">
        <f>IF(Lang=1,BA1,BB1)</f>
        <v>ANALYSIS OF OPERATING FUND REVENUE: 2015/2016 BUDGET</v>
      </c>
      <c r="C1" s="185"/>
      <c r="D1" s="185"/>
      <c r="E1" s="102"/>
      <c r="F1" s="102"/>
      <c r="G1" s="102"/>
      <c r="H1" s="102"/>
      <c r="I1" s="186" t="s">
        <v>0</v>
      </c>
      <c r="BA1" s="478" t="str">
        <f>"ANALYSIS OF OPERATING FUND REVENUE: "&amp;YEAR&amp;"/"&amp;YEAR+1&amp;" BUDGET"</f>
        <v>ANALYSIS OF OPERATING FUND REVENUE: 2015/2016 BUDGET</v>
      </c>
      <c r="BB1" s="478" t="str">
        <f>"ANALYSE DES RECETTES DU FONDS DE FONCTIONNEMENT : BUDGET "&amp;YEAR&amp;" - "&amp;YEAR+1</f>
        <v>ANALYSE DES RECETTES DU FONDS DE FONCTIONNEMENT : BUDGET 2015 - 2016</v>
      </c>
    </row>
    <row r="2" spans="1:54" ht="8.1" customHeight="1">
      <c r="A2" s="181"/>
    </row>
    <row r="3" spans="1:54" ht="15.95" customHeight="1">
      <c r="B3" s="582" t="s">
        <v>45</v>
      </c>
      <c r="C3" s="716"/>
      <c r="D3" s="716"/>
      <c r="E3" s="716"/>
      <c r="F3" s="716"/>
      <c r="G3" s="716"/>
      <c r="H3" s="716"/>
      <c r="I3" s="583"/>
    </row>
    <row r="4" spans="1:54" ht="8.1" customHeight="1"/>
    <row r="5" spans="1:54" ht="15.95" customHeight="1">
      <c r="B5" s="713" t="s">
        <v>34</v>
      </c>
      <c r="C5" s="714"/>
      <c r="D5" s="714"/>
      <c r="E5" s="714"/>
      <c r="F5" s="715"/>
    </row>
    <row r="6" spans="1:54" ht="15.95" customHeight="1">
      <c r="B6" s="252"/>
      <c r="C6" s="252"/>
      <c r="D6" s="252"/>
      <c r="E6" s="254"/>
      <c r="F6" s="254"/>
      <c r="G6" s="252"/>
      <c r="H6" s="476"/>
      <c r="I6" s="723" t="s">
        <v>467</v>
      </c>
    </row>
    <row r="7" spans="1:54" ht="15.95" customHeight="1">
      <c r="B7" s="717" t="s">
        <v>461</v>
      </c>
      <c r="C7" s="717" t="s">
        <v>462</v>
      </c>
      <c r="D7" s="717" t="s">
        <v>463</v>
      </c>
      <c r="E7" s="255"/>
      <c r="F7" s="255"/>
      <c r="G7" s="717" t="s">
        <v>465</v>
      </c>
      <c r="H7" s="721" t="s">
        <v>466</v>
      </c>
      <c r="I7" s="724"/>
    </row>
    <row r="8" spans="1:54" ht="15.95" customHeight="1">
      <c r="A8" s="250"/>
      <c r="B8" s="718"/>
      <c r="C8" s="718"/>
      <c r="D8" s="718"/>
      <c r="E8" s="717" t="s">
        <v>464</v>
      </c>
      <c r="F8" s="255"/>
      <c r="G8" s="718"/>
      <c r="H8" s="721"/>
      <c r="I8" s="724"/>
    </row>
    <row r="9" spans="1:54" ht="15.95" customHeight="1">
      <c r="A9" s="251" t="s">
        <v>37</v>
      </c>
      <c r="B9" s="719"/>
      <c r="C9" s="719"/>
      <c r="D9" s="719"/>
      <c r="E9" s="720"/>
      <c r="F9" s="253" t="s">
        <v>25</v>
      </c>
      <c r="G9" s="719"/>
      <c r="H9" s="722"/>
      <c r="I9" s="725"/>
    </row>
    <row r="10" spans="1:54" ht="5.0999999999999996" customHeight="1">
      <c r="A10" s="30"/>
      <c r="B10" s="183"/>
      <c r="C10" s="183"/>
      <c r="D10" s="183"/>
      <c r="E10" s="183"/>
      <c r="F10" s="183"/>
      <c r="G10" s="183"/>
      <c r="H10" s="183"/>
      <c r="I10" s="183"/>
    </row>
    <row r="11" spans="1:54" ht="14.1" customHeight="1">
      <c r="A11" s="272" t="s">
        <v>109</v>
      </c>
      <c r="B11" s="273">
        <f>'- 55 -'!$F11</f>
        <v>9571721</v>
      </c>
      <c r="C11" s="273">
        <v>1622638</v>
      </c>
      <c r="D11" s="273">
        <v>504331</v>
      </c>
      <c r="E11" s="273">
        <v>405190</v>
      </c>
      <c r="F11" s="273">
        <f>SUM(B11:E11)</f>
        <v>12103880</v>
      </c>
      <c r="G11" s="273">
        <v>0</v>
      </c>
      <c r="H11" s="273">
        <f>SUM(F11,G11)</f>
        <v>12103880</v>
      </c>
      <c r="I11" s="274">
        <f>H11/'- 43 -'!$I11*100</f>
        <v>65.027845560559129</v>
      </c>
    </row>
    <row r="12" spans="1:54" ht="14.1" customHeight="1">
      <c r="A12" s="16" t="s">
        <v>110</v>
      </c>
      <c r="B12" s="17">
        <f>'- 55 -'!$F12</f>
        <v>15560044</v>
      </c>
      <c r="C12" s="17">
        <v>2313089</v>
      </c>
      <c r="D12" s="17">
        <v>2708553</v>
      </c>
      <c r="E12" s="17">
        <v>762566</v>
      </c>
      <c r="F12" s="17">
        <f t="shared" ref="F12:F46" si="0">SUM(B12:E12)</f>
        <v>21344252</v>
      </c>
      <c r="G12" s="17">
        <v>424731</v>
      </c>
      <c r="H12" s="17">
        <f>SUM(F12,G12)</f>
        <v>21768983</v>
      </c>
      <c r="I12" s="268">
        <f>H12/'- 43 -'!$I12*100</f>
        <v>65.888409602553864</v>
      </c>
    </row>
    <row r="13" spans="1:54" ht="14.1" customHeight="1">
      <c r="A13" s="272" t="s">
        <v>111</v>
      </c>
      <c r="B13" s="273">
        <f>'- 55 -'!$F13</f>
        <v>45805400</v>
      </c>
      <c r="C13" s="273">
        <v>7671678</v>
      </c>
      <c r="D13" s="273">
        <v>1826581</v>
      </c>
      <c r="E13" s="273">
        <v>2195066</v>
      </c>
      <c r="F13" s="273">
        <f t="shared" si="0"/>
        <v>57498725</v>
      </c>
      <c r="G13" s="273">
        <v>0</v>
      </c>
      <c r="H13" s="273">
        <f t="shared" ref="H13:H46" si="1">SUM(F13,G13)</f>
        <v>57498725</v>
      </c>
      <c r="I13" s="274">
        <f>H13/'- 43 -'!$I13*100</f>
        <v>61.273346994928588</v>
      </c>
    </row>
    <row r="14" spans="1:54" ht="14.1" customHeight="1">
      <c r="A14" s="16" t="s">
        <v>324</v>
      </c>
      <c r="B14" s="17">
        <f>'- 55 -'!$F14</f>
        <v>34416141</v>
      </c>
      <c r="C14" s="17">
        <v>6115421</v>
      </c>
      <c r="D14" s="17">
        <v>1973735</v>
      </c>
      <c r="E14" s="17">
        <v>15874690</v>
      </c>
      <c r="F14" s="17">
        <f t="shared" si="0"/>
        <v>58379987</v>
      </c>
      <c r="G14" s="17">
        <v>847941</v>
      </c>
      <c r="H14" s="17">
        <f t="shared" si="1"/>
        <v>59227928</v>
      </c>
      <c r="I14" s="268">
        <f>H14/'- 43 -'!$I14*100</f>
        <v>72.401210177895493</v>
      </c>
    </row>
    <row r="15" spans="1:54" ht="14.1" customHeight="1">
      <c r="A15" s="272" t="s">
        <v>112</v>
      </c>
      <c r="B15" s="273">
        <f>'- 55 -'!$F15</f>
        <v>8262919</v>
      </c>
      <c r="C15" s="273">
        <v>2543509</v>
      </c>
      <c r="D15" s="273">
        <v>1595317</v>
      </c>
      <c r="E15" s="273">
        <v>442000</v>
      </c>
      <c r="F15" s="273">
        <f t="shared" si="0"/>
        <v>12843745</v>
      </c>
      <c r="G15" s="273">
        <v>0</v>
      </c>
      <c r="H15" s="273">
        <f t="shared" si="1"/>
        <v>12843745</v>
      </c>
      <c r="I15" s="274">
        <f>H15/'- 43 -'!$I15*100</f>
        <v>62.619760719897769</v>
      </c>
    </row>
    <row r="16" spans="1:54" ht="14.1" customHeight="1">
      <c r="A16" s="16" t="s">
        <v>113</v>
      </c>
      <c r="B16" s="17">
        <f>'- 55 -'!$F16</f>
        <v>8471219</v>
      </c>
      <c r="C16" s="17">
        <v>874338</v>
      </c>
      <c r="D16" s="17">
        <v>752713</v>
      </c>
      <c r="E16" s="17">
        <v>380020</v>
      </c>
      <c r="F16" s="17">
        <f t="shared" si="0"/>
        <v>10478290</v>
      </c>
      <c r="G16" s="17">
        <v>92300</v>
      </c>
      <c r="H16" s="17">
        <f t="shared" si="1"/>
        <v>10570590</v>
      </c>
      <c r="I16" s="268">
        <f>H16/'- 43 -'!$I16*100</f>
        <v>75.67496944892082</v>
      </c>
    </row>
    <row r="17" spans="1:9" ht="14.1" customHeight="1">
      <c r="A17" s="272" t="s">
        <v>114</v>
      </c>
      <c r="B17" s="273">
        <f>'- 55 -'!$F17</f>
        <v>7435566</v>
      </c>
      <c r="C17" s="273">
        <v>1379966</v>
      </c>
      <c r="D17" s="273">
        <v>487785</v>
      </c>
      <c r="E17" s="273">
        <v>285000</v>
      </c>
      <c r="F17" s="273">
        <f t="shared" si="0"/>
        <v>9588317</v>
      </c>
      <c r="G17" s="273">
        <v>235300</v>
      </c>
      <c r="H17" s="273">
        <f t="shared" si="1"/>
        <v>9823617</v>
      </c>
      <c r="I17" s="274">
        <f>H17/'- 43 -'!$I17*100</f>
        <v>54.898284166139732</v>
      </c>
    </row>
    <row r="18" spans="1:9" ht="14.1" customHeight="1">
      <c r="A18" s="16" t="s">
        <v>115</v>
      </c>
      <c r="B18" s="17">
        <f>'- 55 -'!$F18</f>
        <v>37907807</v>
      </c>
      <c r="C18" s="17">
        <v>508536</v>
      </c>
      <c r="D18" s="17">
        <v>318474</v>
      </c>
      <c r="E18" s="17">
        <v>11383215</v>
      </c>
      <c r="F18" s="17">
        <f t="shared" si="0"/>
        <v>50118032</v>
      </c>
      <c r="G18" s="17">
        <v>1244500</v>
      </c>
      <c r="H18" s="17">
        <f t="shared" si="1"/>
        <v>51362532</v>
      </c>
      <c r="I18" s="268">
        <f>H18/'- 43 -'!$I18*100</f>
        <v>38.505615552766969</v>
      </c>
    </row>
    <row r="19" spans="1:9" ht="14.1" customHeight="1">
      <c r="A19" s="272" t="s">
        <v>116</v>
      </c>
      <c r="B19" s="273">
        <f>'- 55 -'!$F19</f>
        <v>27369290</v>
      </c>
      <c r="C19" s="273">
        <v>3098921</v>
      </c>
      <c r="D19" s="273">
        <v>646173</v>
      </c>
      <c r="E19" s="273">
        <v>1014943</v>
      </c>
      <c r="F19" s="273">
        <f t="shared" si="0"/>
        <v>32129327</v>
      </c>
      <c r="G19" s="273">
        <v>0</v>
      </c>
      <c r="H19" s="273">
        <f t="shared" si="1"/>
        <v>32129327</v>
      </c>
      <c r="I19" s="274">
        <f>H19/'- 43 -'!$I19*100</f>
        <v>67.181589241068622</v>
      </c>
    </row>
    <row r="20" spans="1:9" ht="14.1" customHeight="1">
      <c r="A20" s="16" t="s">
        <v>117</v>
      </c>
      <c r="B20" s="17">
        <f>'- 55 -'!$F20</f>
        <v>47634496</v>
      </c>
      <c r="C20" s="17">
        <v>5897371</v>
      </c>
      <c r="D20" s="17">
        <v>1495030</v>
      </c>
      <c r="E20" s="17">
        <v>2384767</v>
      </c>
      <c r="F20" s="17">
        <f t="shared" si="0"/>
        <v>57411664</v>
      </c>
      <c r="G20" s="17">
        <v>42000</v>
      </c>
      <c r="H20" s="17">
        <f t="shared" si="1"/>
        <v>57453664</v>
      </c>
      <c r="I20" s="268">
        <f>H20/'- 43 -'!$I20*100</f>
        <v>69.958458649820884</v>
      </c>
    </row>
    <row r="21" spans="1:9" ht="14.1" customHeight="1">
      <c r="A21" s="272" t="s">
        <v>118</v>
      </c>
      <c r="B21" s="273">
        <f>'- 55 -'!$F21</f>
        <v>17173769</v>
      </c>
      <c r="C21" s="273">
        <v>3524250</v>
      </c>
      <c r="D21" s="273">
        <v>1289551</v>
      </c>
      <c r="E21" s="273">
        <v>811300</v>
      </c>
      <c r="F21" s="273">
        <f t="shared" si="0"/>
        <v>22798870</v>
      </c>
      <c r="G21" s="273">
        <v>30000</v>
      </c>
      <c r="H21" s="273">
        <f t="shared" si="1"/>
        <v>22828870</v>
      </c>
      <c r="I21" s="274">
        <f>H21/'- 43 -'!$I21*100</f>
        <v>63.042278802606866</v>
      </c>
    </row>
    <row r="22" spans="1:9" ht="14.1" customHeight="1">
      <c r="A22" s="16" t="s">
        <v>119</v>
      </c>
      <c r="B22" s="17">
        <f>'- 55 -'!$F22</f>
        <v>13745176</v>
      </c>
      <c r="C22" s="17">
        <v>1130510</v>
      </c>
      <c r="D22" s="17">
        <v>309407</v>
      </c>
      <c r="E22" s="17">
        <v>770000</v>
      </c>
      <c r="F22" s="17">
        <f t="shared" si="0"/>
        <v>15955093</v>
      </c>
      <c r="G22" s="17">
        <v>614635</v>
      </c>
      <c r="H22" s="17">
        <f t="shared" si="1"/>
        <v>16569728</v>
      </c>
      <c r="I22" s="268">
        <f>H22/'- 43 -'!$I22*100</f>
        <v>81.074927331061076</v>
      </c>
    </row>
    <row r="23" spans="1:9" ht="14.1" customHeight="1">
      <c r="A23" s="272" t="s">
        <v>120</v>
      </c>
      <c r="B23" s="273">
        <f>'- 55 -'!$F23</f>
        <v>9726897</v>
      </c>
      <c r="C23" s="273">
        <v>1061756</v>
      </c>
      <c r="D23" s="273">
        <v>440073</v>
      </c>
      <c r="E23" s="273">
        <v>408666</v>
      </c>
      <c r="F23" s="273">
        <f t="shared" si="0"/>
        <v>11637392</v>
      </c>
      <c r="G23" s="273">
        <v>257000</v>
      </c>
      <c r="H23" s="273">
        <f t="shared" si="1"/>
        <v>11894392</v>
      </c>
      <c r="I23" s="274">
        <f>H23/'- 43 -'!$I23*100</f>
        <v>71.283633046540132</v>
      </c>
    </row>
    <row r="24" spans="1:9" ht="14.1" customHeight="1">
      <c r="A24" s="16" t="s">
        <v>121</v>
      </c>
      <c r="B24" s="17">
        <f>'- 55 -'!$F24</f>
        <v>24026121</v>
      </c>
      <c r="C24" s="17">
        <v>5726275</v>
      </c>
      <c r="D24" s="17">
        <v>2692903</v>
      </c>
      <c r="E24" s="17">
        <v>1123418</v>
      </c>
      <c r="F24" s="17">
        <f t="shared" si="0"/>
        <v>33568717</v>
      </c>
      <c r="G24" s="17">
        <v>314300</v>
      </c>
      <c r="H24" s="17">
        <f t="shared" si="1"/>
        <v>33883017</v>
      </c>
      <c r="I24" s="268">
        <f>H24/'- 43 -'!$I24*100</f>
        <v>60.03188493557272</v>
      </c>
    </row>
    <row r="25" spans="1:9" ht="14.1" customHeight="1">
      <c r="A25" s="272" t="s">
        <v>122</v>
      </c>
      <c r="B25" s="273">
        <f>'- 55 -'!$F25</f>
        <v>71595389</v>
      </c>
      <c r="C25" s="273">
        <v>21351672</v>
      </c>
      <c r="D25" s="273">
        <v>5804217</v>
      </c>
      <c r="E25" s="273">
        <v>5248961</v>
      </c>
      <c r="F25" s="273">
        <f t="shared" si="0"/>
        <v>104000239</v>
      </c>
      <c r="G25" s="273">
        <v>0</v>
      </c>
      <c r="H25" s="273">
        <f t="shared" si="1"/>
        <v>104000239</v>
      </c>
      <c r="I25" s="274">
        <f>H25/'- 43 -'!$I25*100</f>
        <v>61.15509573458359</v>
      </c>
    </row>
    <row r="26" spans="1:9" ht="14.1" customHeight="1">
      <c r="A26" s="16" t="s">
        <v>123</v>
      </c>
      <c r="B26" s="17">
        <f>'- 55 -'!$F26</f>
        <v>22444000</v>
      </c>
      <c r="C26" s="17">
        <v>3516181</v>
      </c>
      <c r="D26" s="17">
        <v>690360</v>
      </c>
      <c r="E26" s="17">
        <v>827749</v>
      </c>
      <c r="F26" s="17">
        <f t="shared" si="0"/>
        <v>27478290</v>
      </c>
      <c r="G26" s="17">
        <v>0</v>
      </c>
      <c r="H26" s="17">
        <f t="shared" si="1"/>
        <v>27478290</v>
      </c>
      <c r="I26" s="268">
        <f>H26/'- 43 -'!$I26*100</f>
        <v>67.215237145490633</v>
      </c>
    </row>
    <row r="27" spans="1:9" ht="14.1" customHeight="1">
      <c r="A27" s="272" t="s">
        <v>124</v>
      </c>
      <c r="B27" s="273">
        <f>'- 55 -'!$F27</f>
        <v>28351617</v>
      </c>
      <c r="C27" s="273">
        <v>1711361</v>
      </c>
      <c r="D27" s="273">
        <v>1057658</v>
      </c>
      <c r="E27" s="273">
        <v>988015</v>
      </c>
      <c r="F27" s="273">
        <f t="shared" si="0"/>
        <v>32108651</v>
      </c>
      <c r="G27" s="273">
        <v>24000</v>
      </c>
      <c r="H27" s="273">
        <f t="shared" si="1"/>
        <v>32132651</v>
      </c>
      <c r="I27" s="274">
        <f>H27/'- 43 -'!$I27*100</f>
        <v>77.930552120421353</v>
      </c>
    </row>
    <row r="28" spans="1:9" ht="14.1" customHeight="1">
      <c r="A28" s="16" t="s">
        <v>125</v>
      </c>
      <c r="B28" s="17">
        <f>'- 55 -'!$F28</f>
        <v>10750703</v>
      </c>
      <c r="C28" s="17">
        <v>1595137</v>
      </c>
      <c r="D28" s="17">
        <v>787428</v>
      </c>
      <c r="E28" s="17">
        <v>546000</v>
      </c>
      <c r="F28" s="17">
        <f t="shared" si="0"/>
        <v>13679268</v>
      </c>
      <c r="G28" s="17">
        <v>0</v>
      </c>
      <c r="H28" s="17">
        <f t="shared" si="1"/>
        <v>13679268</v>
      </c>
      <c r="I28" s="268">
        <f>H28/'- 43 -'!$I28*100</f>
        <v>48.761091870599103</v>
      </c>
    </row>
    <row r="29" spans="1:9" ht="14.1" customHeight="1">
      <c r="A29" s="272" t="s">
        <v>126</v>
      </c>
      <c r="B29" s="273">
        <f>'- 55 -'!$F29</f>
        <v>54037109</v>
      </c>
      <c r="C29" s="273">
        <v>20447813</v>
      </c>
      <c r="D29" s="273">
        <v>4808314</v>
      </c>
      <c r="E29" s="273">
        <v>3627479</v>
      </c>
      <c r="F29" s="273">
        <f t="shared" si="0"/>
        <v>82920715</v>
      </c>
      <c r="G29" s="273">
        <v>74939</v>
      </c>
      <c r="H29" s="273">
        <f t="shared" si="1"/>
        <v>82995654</v>
      </c>
      <c r="I29" s="274">
        <f>H29/'- 43 -'!$I29*100</f>
        <v>52.435799820337955</v>
      </c>
    </row>
    <row r="30" spans="1:9" ht="14.1" customHeight="1">
      <c r="A30" s="16" t="s">
        <v>127</v>
      </c>
      <c r="B30" s="17">
        <f>'- 55 -'!$F30</f>
        <v>7554228</v>
      </c>
      <c r="C30" s="17">
        <v>929232</v>
      </c>
      <c r="D30" s="17">
        <v>331585</v>
      </c>
      <c r="E30" s="17">
        <v>244714</v>
      </c>
      <c r="F30" s="17">
        <f t="shared" si="0"/>
        <v>9059759</v>
      </c>
      <c r="G30" s="17">
        <v>0</v>
      </c>
      <c r="H30" s="17">
        <f t="shared" si="1"/>
        <v>9059759</v>
      </c>
      <c r="I30" s="268">
        <f>H30/'- 43 -'!$I30*100</f>
        <v>63.550609481287665</v>
      </c>
    </row>
    <row r="31" spans="1:9" ht="14.1" customHeight="1">
      <c r="A31" s="272" t="s">
        <v>128</v>
      </c>
      <c r="B31" s="273">
        <f>'- 55 -'!$F31</f>
        <v>19260094</v>
      </c>
      <c r="C31" s="273">
        <v>3135918</v>
      </c>
      <c r="D31" s="273">
        <v>520591</v>
      </c>
      <c r="E31" s="273">
        <v>751849</v>
      </c>
      <c r="F31" s="273">
        <f t="shared" si="0"/>
        <v>23668452</v>
      </c>
      <c r="G31" s="273">
        <v>0</v>
      </c>
      <c r="H31" s="273">
        <f t="shared" si="1"/>
        <v>23668452</v>
      </c>
      <c r="I31" s="274">
        <f>H31/'- 43 -'!$I31*100</f>
        <v>63.300637276115509</v>
      </c>
    </row>
    <row r="32" spans="1:9" ht="14.1" customHeight="1">
      <c r="A32" s="16" t="s">
        <v>129</v>
      </c>
      <c r="B32" s="17">
        <f>'- 55 -'!$F32</f>
        <v>13036137</v>
      </c>
      <c r="C32" s="17">
        <v>2309038</v>
      </c>
      <c r="D32" s="17">
        <v>1121756</v>
      </c>
      <c r="E32" s="17">
        <v>667020</v>
      </c>
      <c r="F32" s="17">
        <f t="shared" si="0"/>
        <v>17133951</v>
      </c>
      <c r="G32" s="17">
        <v>313110</v>
      </c>
      <c r="H32" s="17">
        <f t="shared" si="1"/>
        <v>17447061</v>
      </c>
      <c r="I32" s="268">
        <f>H32/'- 43 -'!$I32*100</f>
        <v>59.372395107802532</v>
      </c>
    </row>
    <row r="33" spans="1:9" ht="14.1" customHeight="1">
      <c r="A33" s="272" t="s">
        <v>130</v>
      </c>
      <c r="B33" s="273">
        <f>'- 55 -'!$F33</f>
        <v>14148990</v>
      </c>
      <c r="C33" s="273">
        <v>1921584</v>
      </c>
      <c r="D33" s="273">
        <v>811067</v>
      </c>
      <c r="E33" s="273">
        <v>630000</v>
      </c>
      <c r="F33" s="273">
        <f t="shared" si="0"/>
        <v>17511641</v>
      </c>
      <c r="G33" s="273">
        <v>0</v>
      </c>
      <c r="H33" s="273">
        <f t="shared" si="1"/>
        <v>17511641</v>
      </c>
      <c r="I33" s="274">
        <f>H33/'- 43 -'!$I33*100</f>
        <v>62.130332112804908</v>
      </c>
    </row>
    <row r="34" spans="1:9" ht="14.1" customHeight="1">
      <c r="A34" s="16" t="s">
        <v>131</v>
      </c>
      <c r="B34" s="17">
        <f>'- 55 -'!$F34</f>
        <v>12521324</v>
      </c>
      <c r="C34" s="17">
        <v>2048530</v>
      </c>
      <c r="D34" s="17">
        <v>695519</v>
      </c>
      <c r="E34" s="17">
        <v>714222</v>
      </c>
      <c r="F34" s="17">
        <f t="shared" si="0"/>
        <v>15979595</v>
      </c>
      <c r="G34" s="17">
        <v>0</v>
      </c>
      <c r="H34" s="17">
        <f t="shared" si="1"/>
        <v>15979595</v>
      </c>
      <c r="I34" s="268">
        <f>H34/'- 43 -'!$I34*100</f>
        <v>56.250922505068438</v>
      </c>
    </row>
    <row r="35" spans="1:9" ht="14.1" customHeight="1">
      <c r="A35" s="272" t="s">
        <v>132</v>
      </c>
      <c r="B35" s="273">
        <f>'- 55 -'!$F35</f>
        <v>89532890</v>
      </c>
      <c r="C35" s="273">
        <v>23244718</v>
      </c>
      <c r="D35" s="273">
        <v>1469174</v>
      </c>
      <c r="E35" s="273">
        <v>5192165</v>
      </c>
      <c r="F35" s="273">
        <f t="shared" si="0"/>
        <v>119438947</v>
      </c>
      <c r="G35" s="273">
        <v>0</v>
      </c>
      <c r="H35" s="273">
        <f t="shared" si="1"/>
        <v>119438947</v>
      </c>
      <c r="I35" s="274">
        <f>H35/'- 43 -'!$I35*100</f>
        <v>66.783769101827659</v>
      </c>
    </row>
    <row r="36" spans="1:9" ht="14.1" customHeight="1">
      <c r="A36" s="16" t="s">
        <v>133</v>
      </c>
      <c r="B36" s="17">
        <f>'- 55 -'!$F36</f>
        <v>10180015</v>
      </c>
      <c r="C36" s="17">
        <v>2078662</v>
      </c>
      <c r="D36" s="17">
        <v>761419</v>
      </c>
      <c r="E36" s="17">
        <v>485260</v>
      </c>
      <c r="F36" s="17">
        <f t="shared" si="0"/>
        <v>13505356</v>
      </c>
      <c r="G36" s="17">
        <v>150000</v>
      </c>
      <c r="H36" s="17">
        <f t="shared" si="1"/>
        <v>13655356</v>
      </c>
      <c r="I36" s="268">
        <f>H36/'- 43 -'!$I36*100</f>
        <v>58.404693125662412</v>
      </c>
    </row>
    <row r="37" spans="1:9" ht="14.1" customHeight="1">
      <c r="A37" s="272" t="s">
        <v>134</v>
      </c>
      <c r="B37" s="273">
        <f>'- 55 -'!$F37</f>
        <v>26778187</v>
      </c>
      <c r="C37" s="273">
        <v>4465186</v>
      </c>
      <c r="D37" s="273">
        <v>2019884</v>
      </c>
      <c r="E37" s="273">
        <v>1015813</v>
      </c>
      <c r="F37" s="273">
        <f t="shared" si="0"/>
        <v>34279070</v>
      </c>
      <c r="G37" s="273">
        <v>0</v>
      </c>
      <c r="H37" s="273">
        <f t="shared" si="1"/>
        <v>34279070</v>
      </c>
      <c r="I37" s="274">
        <f>H37/'- 43 -'!$I37*100</f>
        <v>71.227756306362465</v>
      </c>
    </row>
    <row r="38" spans="1:9" ht="14.1" customHeight="1">
      <c r="A38" s="16" t="s">
        <v>135</v>
      </c>
      <c r="B38" s="17">
        <f>'- 55 -'!$F38</f>
        <v>68880468</v>
      </c>
      <c r="C38" s="17">
        <v>12331938</v>
      </c>
      <c r="D38" s="17">
        <v>5354907</v>
      </c>
      <c r="E38" s="17">
        <v>3676684</v>
      </c>
      <c r="F38" s="17">
        <f t="shared" si="0"/>
        <v>90243997</v>
      </c>
      <c r="G38" s="17">
        <v>1431200</v>
      </c>
      <c r="H38" s="17">
        <f t="shared" si="1"/>
        <v>91675197</v>
      </c>
      <c r="I38" s="268">
        <f>H38/'- 43 -'!$I38*100</f>
        <v>69.342248040821914</v>
      </c>
    </row>
    <row r="39" spans="1:9" ht="14.1" customHeight="1">
      <c r="A39" s="272" t="s">
        <v>136</v>
      </c>
      <c r="B39" s="273">
        <f>'- 55 -'!$F39</f>
        <v>9162415</v>
      </c>
      <c r="C39" s="273">
        <v>1589460</v>
      </c>
      <c r="D39" s="273">
        <v>758456</v>
      </c>
      <c r="E39" s="273">
        <v>405000</v>
      </c>
      <c r="F39" s="273">
        <f t="shared" si="0"/>
        <v>11915331</v>
      </c>
      <c r="G39" s="273">
        <v>152000</v>
      </c>
      <c r="H39" s="273">
        <f t="shared" si="1"/>
        <v>12067331</v>
      </c>
      <c r="I39" s="274">
        <f>H39/'- 43 -'!$I39*100</f>
        <v>53.491530998482673</v>
      </c>
    </row>
    <row r="40" spans="1:9" ht="14.1" customHeight="1">
      <c r="A40" s="16" t="s">
        <v>137</v>
      </c>
      <c r="B40" s="17">
        <f>'- 55 -'!$F40</f>
        <v>38888123</v>
      </c>
      <c r="C40" s="17">
        <v>12857044</v>
      </c>
      <c r="D40" s="17">
        <v>3445931</v>
      </c>
      <c r="E40" s="17">
        <v>3043196</v>
      </c>
      <c r="F40" s="17">
        <f t="shared" si="0"/>
        <v>58234294</v>
      </c>
      <c r="G40" s="17">
        <v>109722</v>
      </c>
      <c r="H40" s="17">
        <f t="shared" si="1"/>
        <v>58344016</v>
      </c>
      <c r="I40" s="268">
        <f>H40/'- 43 -'!$I40*100</f>
        <v>56.398733990674586</v>
      </c>
    </row>
    <row r="41" spans="1:9" ht="14.1" customHeight="1">
      <c r="A41" s="272" t="s">
        <v>138</v>
      </c>
      <c r="B41" s="273">
        <f>'- 55 -'!$F41</f>
        <v>25670253</v>
      </c>
      <c r="C41" s="273">
        <v>6679603</v>
      </c>
      <c r="D41" s="273">
        <v>2934354</v>
      </c>
      <c r="E41" s="273">
        <v>1518704</v>
      </c>
      <c r="F41" s="273">
        <f t="shared" si="0"/>
        <v>36802914</v>
      </c>
      <c r="G41" s="273">
        <v>1037239</v>
      </c>
      <c r="H41" s="273">
        <f t="shared" si="1"/>
        <v>37840153</v>
      </c>
      <c r="I41" s="274">
        <f>H41/'- 43 -'!$I41*100</f>
        <v>59.125353617872634</v>
      </c>
    </row>
    <row r="42" spans="1:9" ht="14.1" customHeight="1">
      <c r="A42" s="16" t="s">
        <v>139</v>
      </c>
      <c r="B42" s="17">
        <f>'- 55 -'!$F42</f>
        <v>11764653</v>
      </c>
      <c r="C42" s="17">
        <v>1567318</v>
      </c>
      <c r="D42" s="17">
        <v>1056497</v>
      </c>
      <c r="E42" s="17">
        <v>375611</v>
      </c>
      <c r="F42" s="17">
        <f t="shared" si="0"/>
        <v>14764079</v>
      </c>
      <c r="G42" s="17">
        <v>41000</v>
      </c>
      <c r="H42" s="17">
        <f t="shared" si="1"/>
        <v>14805079</v>
      </c>
      <c r="I42" s="268">
        <f>H42/'- 43 -'!$I42*100</f>
        <v>71.461423442175828</v>
      </c>
    </row>
    <row r="43" spans="1:9" ht="14.1" customHeight="1">
      <c r="A43" s="272" t="s">
        <v>140</v>
      </c>
      <c r="B43" s="273">
        <f>'- 55 -'!$F43</f>
        <v>6038874</v>
      </c>
      <c r="C43" s="273">
        <v>1259108</v>
      </c>
      <c r="D43" s="273">
        <v>0</v>
      </c>
      <c r="E43" s="273">
        <v>330018</v>
      </c>
      <c r="F43" s="273">
        <f t="shared" si="0"/>
        <v>7628000</v>
      </c>
      <c r="G43" s="273">
        <v>175100</v>
      </c>
      <c r="H43" s="273">
        <f t="shared" si="1"/>
        <v>7803100</v>
      </c>
      <c r="I43" s="274">
        <f>H43/'- 43 -'!$I43*100</f>
        <v>59.719104159099516</v>
      </c>
    </row>
    <row r="44" spans="1:9" ht="14.1" customHeight="1">
      <c r="A44" s="16" t="s">
        <v>141</v>
      </c>
      <c r="B44" s="17">
        <f>'- 55 -'!$F44</f>
        <v>7303141</v>
      </c>
      <c r="C44" s="17">
        <v>685483</v>
      </c>
      <c r="D44" s="17">
        <v>454076</v>
      </c>
      <c r="E44" s="17">
        <v>364803</v>
      </c>
      <c r="F44" s="17">
        <f t="shared" si="0"/>
        <v>8807503</v>
      </c>
      <c r="G44" s="17">
        <v>0</v>
      </c>
      <c r="H44" s="17">
        <f t="shared" si="1"/>
        <v>8807503</v>
      </c>
      <c r="I44" s="268">
        <f>H44/'- 43 -'!$I44*100</f>
        <v>78.631827206629737</v>
      </c>
    </row>
    <row r="45" spans="1:9" ht="14.1" customHeight="1">
      <c r="A45" s="272" t="s">
        <v>142</v>
      </c>
      <c r="B45" s="273">
        <f>'- 55 -'!$F45</f>
        <v>9820258</v>
      </c>
      <c r="C45" s="273">
        <v>1898155</v>
      </c>
      <c r="D45" s="273">
        <v>0</v>
      </c>
      <c r="E45" s="273">
        <v>343028</v>
      </c>
      <c r="F45" s="273">
        <f t="shared" si="0"/>
        <v>12061441</v>
      </c>
      <c r="G45" s="273">
        <v>398900</v>
      </c>
      <c r="H45" s="273">
        <f t="shared" si="1"/>
        <v>12460341</v>
      </c>
      <c r="I45" s="274">
        <f>H45/'- 43 -'!$I45*100</f>
        <v>66.232265414234277</v>
      </c>
    </row>
    <row r="46" spans="1:9" ht="14.1" customHeight="1">
      <c r="A46" s="16" t="s">
        <v>143</v>
      </c>
      <c r="B46" s="17">
        <f>'- 55 -'!$F46</f>
        <v>181888600</v>
      </c>
      <c r="C46" s="17">
        <v>30098681</v>
      </c>
      <c r="D46" s="17">
        <v>9494508</v>
      </c>
      <c r="E46" s="17">
        <v>16994737</v>
      </c>
      <c r="F46" s="17">
        <f t="shared" si="0"/>
        <v>238476526</v>
      </c>
      <c r="G46" s="17">
        <v>756700</v>
      </c>
      <c r="H46" s="17">
        <f t="shared" si="1"/>
        <v>239233226</v>
      </c>
      <c r="I46" s="268">
        <f>H46/'- 43 -'!$I46*100</f>
        <v>61.736746378244021</v>
      </c>
    </row>
    <row r="47" spans="1:9" ht="5.0999999999999996" customHeight="1">
      <c r="A47"/>
      <c r="B47"/>
      <c r="C47"/>
      <c r="D47"/>
      <c r="E47"/>
      <c r="F47"/>
      <c r="G47"/>
      <c r="H47"/>
      <c r="I47"/>
    </row>
    <row r="48" spans="1:9" ht="14.1" customHeight="1">
      <c r="A48" s="275" t="s">
        <v>144</v>
      </c>
      <c r="B48" s="276">
        <f t="shared" ref="B48:H48" si="2">SUM(B11:B46)</f>
        <v>1046714034</v>
      </c>
      <c r="C48" s="276">
        <f t="shared" si="2"/>
        <v>201190080</v>
      </c>
      <c r="D48" s="276">
        <f>SUM(D11:D46)</f>
        <v>61418327</v>
      </c>
      <c r="E48" s="276">
        <f t="shared" si="2"/>
        <v>86231869</v>
      </c>
      <c r="F48" s="276">
        <f t="shared" si="2"/>
        <v>1395554310</v>
      </c>
      <c r="G48" s="276">
        <f t="shared" si="2"/>
        <v>8766617</v>
      </c>
      <c r="H48" s="276">
        <f t="shared" si="2"/>
        <v>1404320927</v>
      </c>
      <c r="I48" s="277">
        <f>H48/'- 43 -'!$I48*100</f>
        <v>61.78841738513723</v>
      </c>
    </row>
    <row r="49" spans="1:9" ht="5.0999999999999996" customHeight="1">
      <c r="A49" s="18" t="s">
        <v>1</v>
      </c>
      <c r="B49" s="19"/>
      <c r="C49" s="19"/>
      <c r="D49" s="19"/>
      <c r="E49" s="19"/>
      <c r="F49" s="19"/>
      <c r="G49" s="19"/>
      <c r="H49" s="19"/>
      <c r="I49" s="267"/>
    </row>
    <row r="50" spans="1:9" ht="14.1" customHeight="1">
      <c r="A50" s="16" t="s">
        <v>145</v>
      </c>
      <c r="B50" s="17">
        <f>'- 55 -'!$F50</f>
        <v>931141</v>
      </c>
      <c r="C50" s="17">
        <v>382867</v>
      </c>
      <c r="D50" s="17">
        <v>24000</v>
      </c>
      <c r="E50" s="17">
        <v>95976</v>
      </c>
      <c r="F50" s="17">
        <f>SUM(B50:E50)</f>
        <v>1433984</v>
      </c>
      <c r="G50" s="17">
        <v>0</v>
      </c>
      <c r="H50" s="17">
        <f>SUM(F50,G50)</f>
        <v>1433984</v>
      </c>
      <c r="I50" s="268">
        <f>H50/'- 43 -'!$I50*100</f>
        <v>41.977422100861688</v>
      </c>
    </row>
    <row r="51" spans="1:9" ht="14.1" customHeight="1">
      <c r="A51" s="364" t="s">
        <v>540</v>
      </c>
      <c r="B51" s="273">
        <f>'- 55 -'!$F51</f>
        <v>105096</v>
      </c>
      <c r="C51" s="273">
        <v>0</v>
      </c>
      <c r="D51" s="273">
        <v>0</v>
      </c>
      <c r="E51" s="273">
        <v>6496097</v>
      </c>
      <c r="F51" s="273">
        <f>SUM(B51:E51)</f>
        <v>6601193</v>
      </c>
      <c r="G51" s="273">
        <v>2957048</v>
      </c>
      <c r="H51" s="273">
        <f>SUM(F51,G51)</f>
        <v>9558241</v>
      </c>
      <c r="I51" s="274">
        <f>H51/'- 43 -'!$I51*100</f>
        <v>36.343536238055947</v>
      </c>
    </row>
    <row r="52" spans="1:9" ht="50.1" customHeight="1">
      <c r="A52" s="20"/>
      <c r="B52" s="20"/>
      <c r="C52" s="20"/>
      <c r="D52" s="20"/>
      <c r="E52" s="20"/>
      <c r="F52" s="20"/>
      <c r="G52" s="20"/>
      <c r="H52" s="20"/>
      <c r="I52" s="20"/>
    </row>
    <row r="53" spans="1:9" ht="15" customHeight="1">
      <c r="A53" s="2" t="s">
        <v>339</v>
      </c>
      <c r="E53" s="32"/>
      <c r="F53" s="188"/>
      <c r="G53" s="188"/>
      <c r="H53" s="188"/>
      <c r="I53" s="188"/>
    </row>
    <row r="54" spans="1:9" ht="12" customHeight="1">
      <c r="A54" s="536" t="s">
        <v>469</v>
      </c>
      <c r="B54" s="536"/>
      <c r="C54" s="536"/>
      <c r="D54" s="536"/>
      <c r="E54" s="536"/>
      <c r="F54" s="536"/>
      <c r="G54" s="536"/>
      <c r="H54" s="536"/>
      <c r="I54" s="536"/>
    </row>
    <row r="55" spans="1:9" ht="12" customHeight="1">
      <c r="A55" s="536"/>
      <c r="B55" s="536"/>
      <c r="C55" s="536"/>
      <c r="D55" s="536"/>
      <c r="E55" s="536"/>
      <c r="F55" s="536"/>
      <c r="G55" s="536"/>
      <c r="H55" s="536"/>
      <c r="I55" s="536"/>
    </row>
    <row r="56" spans="1:9" ht="12" customHeight="1">
      <c r="A56" s="536"/>
      <c r="B56" s="536"/>
      <c r="C56" s="536"/>
      <c r="D56" s="536"/>
      <c r="E56" s="536"/>
      <c r="F56" s="536"/>
      <c r="G56" s="536"/>
      <c r="H56" s="536"/>
      <c r="I56" s="536"/>
    </row>
    <row r="57" spans="1:9" ht="12" customHeight="1">
      <c r="A57" s="536"/>
      <c r="B57" s="536"/>
      <c r="C57" s="536"/>
      <c r="D57" s="536"/>
      <c r="E57" s="536"/>
      <c r="F57" s="536"/>
      <c r="G57" s="536"/>
      <c r="H57" s="536"/>
      <c r="I57" s="536"/>
    </row>
    <row r="58" spans="1:9" ht="12" customHeight="1">
      <c r="A58" s="712" t="s">
        <v>468</v>
      </c>
      <c r="B58" s="712"/>
      <c r="C58" s="712"/>
      <c r="D58" s="712"/>
      <c r="E58" s="712"/>
      <c r="F58" s="712"/>
      <c r="G58" s="712"/>
      <c r="H58" s="712"/>
      <c r="I58" s="712"/>
    </row>
    <row r="59" spans="1:9" ht="12" customHeight="1">
      <c r="A59" s="712"/>
      <c r="B59" s="712"/>
      <c r="C59" s="712"/>
      <c r="D59" s="712"/>
      <c r="E59" s="712"/>
      <c r="F59" s="712"/>
      <c r="G59" s="712"/>
      <c r="H59" s="712"/>
      <c r="I59" s="712"/>
    </row>
    <row r="60" spans="1:9" ht="12" customHeight="1">
      <c r="A60" s="358" t="s">
        <v>367</v>
      </c>
      <c r="B60" s="91"/>
      <c r="C60" s="91"/>
      <c r="D60" s="91"/>
      <c r="E60" s="91"/>
      <c r="F60" s="91"/>
      <c r="G60" s="91"/>
      <c r="H60" s="91"/>
      <c r="I60" s="91"/>
    </row>
    <row r="61" spans="1:9">
      <c r="A61" s="2" t="s">
        <v>340</v>
      </c>
      <c r="B61" s="91"/>
      <c r="C61" s="91"/>
      <c r="D61" s="91"/>
      <c r="E61" s="91"/>
      <c r="F61" s="91"/>
      <c r="G61" s="91"/>
      <c r="H61" s="91"/>
      <c r="I61" s="91"/>
    </row>
    <row r="62" spans="1:9">
      <c r="A62" s="449" t="e">
        <f>"(6)  Total provincial contribution to public education is "&amp;TEXT(#REF!,"0.0%")&amp;". See page i for more details."</f>
        <v>#REF!</v>
      </c>
    </row>
  </sheetData>
  <mergeCells count="11">
    <mergeCell ref="A58:I59"/>
    <mergeCell ref="A54:I57"/>
    <mergeCell ref="B5:F5"/>
    <mergeCell ref="B3:I3"/>
    <mergeCell ref="B7:B9"/>
    <mergeCell ref="C7:C9"/>
    <mergeCell ref="D7:D9"/>
    <mergeCell ref="E8:E9"/>
    <mergeCell ref="G7:G9"/>
    <mergeCell ref="H7:H9"/>
    <mergeCell ref="I6:I9"/>
  </mergeCells>
  <phoneticPr fontId="0" type="noConversion"/>
  <printOptions horizontalCentered="1"/>
  <pageMargins left="0.51181102362204722" right="0.51181102362204722" top="0.59055118110236227" bottom="0" header="0.31496062992125984" footer="0"/>
  <pageSetup scale="82" orientation="portrait"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7"/>
  <dimension ref="A1:I59"/>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15.83203125" style="1"/>
    <col min="9" max="9" width="8.83203125" style="1" customWidth="1"/>
    <col min="10" max="16384" width="15.83203125" style="1"/>
  </cols>
  <sheetData>
    <row r="1" spans="1:9" ht="6.95" customHeight="1">
      <c r="A1" s="3"/>
    </row>
    <row r="2" spans="1:9" ht="15.95" customHeight="1">
      <c r="A2" s="184"/>
      <c r="B2" s="54" t="str">
        <f>REVYEAR</f>
        <v>ANALYSIS OF OPERATING FUND REVENUE: 2015/2016 BUDGET</v>
      </c>
      <c r="C2" s="102"/>
      <c r="D2" s="102"/>
      <c r="E2" s="102"/>
      <c r="F2" s="102"/>
      <c r="G2" s="191"/>
      <c r="H2" s="192"/>
      <c r="I2" s="186" t="s">
        <v>2</v>
      </c>
    </row>
    <row r="3" spans="1:9" ht="15.95" customHeight="1">
      <c r="A3" s="181"/>
    </row>
    <row r="4" spans="1:9" ht="15.95" customHeight="1">
      <c r="B4" s="4"/>
      <c r="C4" s="4"/>
      <c r="D4" s="4"/>
      <c r="E4" s="4"/>
      <c r="F4" s="4"/>
      <c r="G4" s="4"/>
      <c r="H4" s="4"/>
      <c r="I4" s="56"/>
    </row>
    <row r="5" spans="1:9" ht="15.95" customHeight="1">
      <c r="B5" s="4"/>
      <c r="C5" s="4"/>
      <c r="D5" s="4"/>
      <c r="E5" s="4"/>
      <c r="F5" s="4"/>
      <c r="G5" s="4"/>
      <c r="H5" s="4"/>
      <c r="I5" s="4"/>
    </row>
    <row r="6" spans="1:9" ht="15.95" customHeight="1">
      <c r="B6" s="4"/>
      <c r="C6" s="4"/>
      <c r="D6" s="4"/>
      <c r="E6" s="4"/>
      <c r="F6" s="4"/>
      <c r="G6" s="4"/>
      <c r="H6" s="4"/>
      <c r="I6" s="4"/>
    </row>
    <row r="7" spans="1:9" ht="15.95" customHeight="1">
      <c r="B7" s="678" t="s">
        <v>470</v>
      </c>
      <c r="C7" s="679"/>
      <c r="D7" s="726" t="s">
        <v>471</v>
      </c>
      <c r="E7" s="608"/>
      <c r="F7" s="611" t="s">
        <v>459</v>
      </c>
      <c r="G7" s="608"/>
      <c r="H7" s="279"/>
      <c r="I7" s="271"/>
    </row>
    <row r="8" spans="1:9" ht="15.95" customHeight="1">
      <c r="A8" s="250"/>
      <c r="B8" s="680"/>
      <c r="C8" s="681"/>
      <c r="D8" s="727"/>
      <c r="E8" s="610"/>
      <c r="F8" s="609"/>
      <c r="G8" s="610"/>
      <c r="H8" s="614" t="s">
        <v>55</v>
      </c>
      <c r="I8" s="602"/>
    </row>
    <row r="9" spans="1:9" ht="15.95" customHeight="1">
      <c r="A9" s="28" t="s">
        <v>37</v>
      </c>
      <c r="B9" s="479" t="s">
        <v>56</v>
      </c>
      <c r="C9" s="109" t="s">
        <v>39</v>
      </c>
      <c r="D9" s="182" t="s">
        <v>56</v>
      </c>
      <c r="E9" s="182" t="s">
        <v>39</v>
      </c>
      <c r="F9" s="182" t="s">
        <v>56</v>
      </c>
      <c r="G9" s="182" t="s">
        <v>39</v>
      </c>
      <c r="H9" s="190" t="s">
        <v>56</v>
      </c>
      <c r="I9" s="190" t="s">
        <v>39</v>
      </c>
    </row>
    <row r="10" spans="1:9" ht="5.0999999999999996" customHeight="1">
      <c r="A10" s="30"/>
      <c r="B10" s="183"/>
      <c r="C10" s="183"/>
      <c r="D10" s="183"/>
      <c r="E10" s="183"/>
      <c r="F10" s="183"/>
      <c r="G10" s="183"/>
      <c r="H10" s="183"/>
      <c r="I10" s="183"/>
    </row>
    <row r="11" spans="1:9" ht="14.1" customHeight="1">
      <c r="A11" s="272" t="s">
        <v>109</v>
      </c>
      <c r="B11" s="273">
        <v>0</v>
      </c>
      <c r="C11" s="274">
        <f>B11/'- 43 -'!$I11*100</f>
        <v>0</v>
      </c>
      <c r="D11" s="273">
        <v>6363000</v>
      </c>
      <c r="E11" s="274">
        <f>D11/'- 43 -'!$I11*100</f>
        <v>34.185086212176401</v>
      </c>
      <c r="F11" s="273">
        <v>30000</v>
      </c>
      <c r="G11" s="274">
        <f>F11/'- 43 -'!$I11*100</f>
        <v>0.16117438100978973</v>
      </c>
      <c r="H11" s="273">
        <v>11000</v>
      </c>
      <c r="I11" s="274">
        <f>H11/'- 43 -'!$I11*100</f>
        <v>5.9097273036922901E-2</v>
      </c>
    </row>
    <row r="12" spans="1:9" ht="14.1" customHeight="1">
      <c r="A12" s="16" t="s">
        <v>110</v>
      </c>
      <c r="B12" s="17">
        <v>10160</v>
      </c>
      <c r="C12" s="268">
        <f>B12/'- 43 -'!$I12*100</f>
        <v>3.0751378765004653E-2</v>
      </c>
      <c r="D12" s="17">
        <v>9258804</v>
      </c>
      <c r="E12" s="268">
        <f>D12/'- 43 -'!$I12*100</f>
        <v>28.023719361706707</v>
      </c>
      <c r="F12" s="17">
        <v>352670</v>
      </c>
      <c r="G12" s="268">
        <f>F12/'- 43 -'!$I12*100</f>
        <v>1.0674299949856487</v>
      </c>
      <c r="H12" s="17">
        <v>1171070</v>
      </c>
      <c r="I12" s="268">
        <f>H12/'- 43 -'!$I12*100</f>
        <v>3.5444898750328737</v>
      </c>
    </row>
    <row r="13" spans="1:9" ht="14.1" customHeight="1">
      <c r="A13" s="272" t="s">
        <v>111</v>
      </c>
      <c r="B13" s="273">
        <v>20000</v>
      </c>
      <c r="C13" s="274">
        <f>B13/'- 43 -'!$I13*100</f>
        <v>2.1312941111278062E-2</v>
      </c>
      <c r="D13" s="273">
        <v>34923575</v>
      </c>
      <c r="E13" s="274">
        <f>D13/'- 43 -'!$I13*100</f>
        <v>37.216204868515142</v>
      </c>
      <c r="F13" s="273">
        <v>333800</v>
      </c>
      <c r="G13" s="274">
        <f>F13/'- 43 -'!$I13*100</f>
        <v>0.35571298714723087</v>
      </c>
      <c r="H13" s="273">
        <v>247600</v>
      </c>
      <c r="I13" s="274">
        <f>H13/'- 43 -'!$I13*100</f>
        <v>0.2638542109576224</v>
      </c>
    </row>
    <row r="14" spans="1:9" ht="14.1" customHeight="1">
      <c r="A14" s="16" t="s">
        <v>324</v>
      </c>
      <c r="B14" s="17">
        <v>55000</v>
      </c>
      <c r="C14" s="268">
        <f>B14/'- 43 -'!$I14*100</f>
        <v>6.7232920249789122E-2</v>
      </c>
      <c r="D14" s="17">
        <v>20911363</v>
      </c>
      <c r="E14" s="268">
        <f>D14/'- 43 -'!$I14*100</f>
        <v>25.562400016243476</v>
      </c>
      <c r="F14" s="17">
        <v>1515872</v>
      </c>
      <c r="G14" s="268">
        <f>F14/'- 43 -'!$I14*100</f>
        <v>1.853027296088879</v>
      </c>
      <c r="H14" s="17">
        <v>0</v>
      </c>
      <c r="I14" s="268">
        <f>H14/'- 43 -'!$I14*100</f>
        <v>0</v>
      </c>
    </row>
    <row r="15" spans="1:9" ht="14.1" customHeight="1">
      <c r="A15" s="272" t="s">
        <v>112</v>
      </c>
      <c r="B15" s="273">
        <v>0</v>
      </c>
      <c r="C15" s="274">
        <f>B15/'- 43 -'!$I15*100</f>
        <v>0</v>
      </c>
      <c r="D15" s="273">
        <v>7449445</v>
      </c>
      <c r="E15" s="274">
        <f>D15/'- 43 -'!$I15*100</f>
        <v>36.319816641955974</v>
      </c>
      <c r="F15" s="273">
        <v>45000</v>
      </c>
      <c r="G15" s="274">
        <f>F15/'- 43 -'!$I15*100</f>
        <v>0.21939778720267336</v>
      </c>
      <c r="H15" s="273">
        <v>110000</v>
      </c>
      <c r="I15" s="274">
        <f>H15/'- 43 -'!$I15*100</f>
        <v>0.53630570205097927</v>
      </c>
    </row>
    <row r="16" spans="1:9" ht="14.1" customHeight="1">
      <c r="A16" s="16" t="s">
        <v>113</v>
      </c>
      <c r="B16" s="17">
        <v>0</v>
      </c>
      <c r="C16" s="268">
        <f>B16/'- 43 -'!$I16*100</f>
        <v>0</v>
      </c>
      <c r="D16" s="17">
        <v>2903273</v>
      </c>
      <c r="E16" s="268">
        <f>D16/'- 43 -'!$I16*100</f>
        <v>20.784563167890976</v>
      </c>
      <c r="F16" s="17">
        <v>249095</v>
      </c>
      <c r="G16" s="268">
        <f>F16/'- 43 -'!$I16*100</f>
        <v>1.7832738300207398</v>
      </c>
      <c r="H16" s="17">
        <v>0</v>
      </c>
      <c r="I16" s="268">
        <f>H16/'- 43 -'!$I16*100</f>
        <v>0</v>
      </c>
    </row>
    <row r="17" spans="1:9" ht="14.1" customHeight="1">
      <c r="A17" s="272" t="s">
        <v>114</v>
      </c>
      <c r="B17" s="273">
        <v>0</v>
      </c>
      <c r="C17" s="274">
        <f>B17/'- 43 -'!$I17*100</f>
        <v>0</v>
      </c>
      <c r="D17" s="273">
        <v>7099218</v>
      </c>
      <c r="E17" s="274">
        <f>D17/'- 43 -'!$I17*100</f>
        <v>39.673257530436516</v>
      </c>
      <c r="F17" s="273">
        <v>12500</v>
      </c>
      <c r="G17" s="274">
        <f>F17/'- 43 -'!$I17*100</f>
        <v>6.9854978270910459E-2</v>
      </c>
      <c r="H17" s="273">
        <v>933780</v>
      </c>
      <c r="I17" s="274">
        <f>H17/'- 43 -'!$I17*100</f>
        <v>5.2183345287848608</v>
      </c>
    </row>
    <row r="18" spans="1:9" ht="14.1" customHeight="1">
      <c r="A18" s="16" t="s">
        <v>115</v>
      </c>
      <c r="B18" s="378">
        <v>0</v>
      </c>
      <c r="C18" s="379">
        <f>B18/'- 43 -'!$I18*100</f>
        <v>0</v>
      </c>
      <c r="D18" s="17">
        <v>2996673</v>
      </c>
      <c r="E18" s="268">
        <f>D18/'- 43 -'!$I18*100</f>
        <v>2.2465547157090473</v>
      </c>
      <c r="F18" s="17">
        <v>0</v>
      </c>
      <c r="G18" s="268">
        <f>F18/'- 43 -'!$I18*100</f>
        <v>0</v>
      </c>
      <c r="H18" s="17">
        <v>73745077</v>
      </c>
      <c r="I18" s="268">
        <f>H18/'- 43 -'!$I18*100</f>
        <v>55.28542837162307</v>
      </c>
    </row>
    <row r="19" spans="1:9" ht="14.1" customHeight="1">
      <c r="A19" s="272" t="s">
        <v>116</v>
      </c>
      <c r="B19" s="273">
        <v>0</v>
      </c>
      <c r="C19" s="274">
        <f>B19/'- 43 -'!$I19*100</f>
        <v>0</v>
      </c>
      <c r="D19" s="273">
        <v>15038274</v>
      </c>
      <c r="E19" s="274">
        <f>D19/'- 43 -'!$I19*100</f>
        <v>31.444640803171573</v>
      </c>
      <c r="F19" s="273">
        <v>332000</v>
      </c>
      <c r="G19" s="274">
        <f>F19/'- 43 -'!$I19*100</f>
        <v>0.69420338708105478</v>
      </c>
      <c r="H19" s="273">
        <v>0</v>
      </c>
      <c r="I19" s="274">
        <f>H19/'- 43 -'!$I19*100</f>
        <v>0</v>
      </c>
    </row>
    <row r="20" spans="1:9" ht="14.1" customHeight="1">
      <c r="A20" s="16" t="s">
        <v>117</v>
      </c>
      <c r="B20" s="17">
        <v>0</v>
      </c>
      <c r="C20" s="268">
        <f>B20/'- 43 -'!$I20*100</f>
        <v>0</v>
      </c>
      <c r="D20" s="17">
        <v>24056936</v>
      </c>
      <c r="E20" s="268">
        <f>D20/'- 43 -'!$I20*100</f>
        <v>29.292930080097022</v>
      </c>
      <c r="F20" s="17">
        <v>101000</v>
      </c>
      <c r="G20" s="268">
        <f>F20/'- 43 -'!$I20*100</f>
        <v>0.12298265822753983</v>
      </c>
      <c r="H20" s="17">
        <v>0</v>
      </c>
      <c r="I20" s="268">
        <f>H20/'- 43 -'!$I20*100</f>
        <v>0</v>
      </c>
    </row>
    <row r="21" spans="1:9" ht="14.1" customHeight="1">
      <c r="A21" s="272" t="s">
        <v>118</v>
      </c>
      <c r="B21" s="273">
        <v>0</v>
      </c>
      <c r="C21" s="274">
        <f>B21/'- 43 -'!$I21*100</f>
        <v>0</v>
      </c>
      <c r="D21" s="273">
        <v>13006199</v>
      </c>
      <c r="E21" s="274">
        <f>D21/'- 43 -'!$I21*100</f>
        <v>35.916820391030598</v>
      </c>
      <c r="F21" s="273">
        <v>57000</v>
      </c>
      <c r="G21" s="274">
        <f>F21/'- 43 -'!$I21*100</f>
        <v>0.1574063846238816</v>
      </c>
      <c r="H21" s="273">
        <v>0</v>
      </c>
      <c r="I21" s="274">
        <f>H21/'- 43 -'!$I21*100</f>
        <v>0</v>
      </c>
    </row>
    <row r="22" spans="1:9" ht="14.1" customHeight="1">
      <c r="A22" s="16" t="s">
        <v>119</v>
      </c>
      <c r="B22" s="17">
        <v>21000</v>
      </c>
      <c r="C22" s="268">
        <f>B22/'- 43 -'!$I22*100</f>
        <v>0.10275204722444947</v>
      </c>
      <c r="D22" s="17">
        <v>3722821</v>
      </c>
      <c r="E22" s="268">
        <f>D22/'- 43 -'!$I22*100</f>
        <v>18.215594247627248</v>
      </c>
      <c r="F22" s="17">
        <v>10000</v>
      </c>
      <c r="G22" s="268">
        <f>F22/'- 43 -'!$I22*100</f>
        <v>4.8929546297356893E-2</v>
      </c>
      <c r="H22" s="17">
        <v>10000</v>
      </c>
      <c r="I22" s="268">
        <f>H22/'- 43 -'!$I22*100</f>
        <v>4.8929546297356893E-2</v>
      </c>
    </row>
    <row r="23" spans="1:9" ht="14.1" customHeight="1">
      <c r="A23" s="272" t="s">
        <v>120</v>
      </c>
      <c r="B23" s="273">
        <v>0</v>
      </c>
      <c r="C23" s="274">
        <f>B23/'- 43 -'!$I23*100</f>
        <v>0</v>
      </c>
      <c r="D23" s="273">
        <v>3451887</v>
      </c>
      <c r="E23" s="274">
        <f>D23/'- 43 -'!$I23*100</f>
        <v>20.687316024738571</v>
      </c>
      <c r="F23" s="273">
        <v>80000</v>
      </c>
      <c r="G23" s="274">
        <f>F23/'- 43 -'!$I23*100</f>
        <v>0.47944364400662187</v>
      </c>
      <c r="H23" s="273">
        <v>975000</v>
      </c>
      <c r="I23" s="274">
        <f>H23/'- 43 -'!$I23*100</f>
        <v>5.8432194113307041</v>
      </c>
    </row>
    <row r="24" spans="1:9" ht="14.1" customHeight="1">
      <c r="A24" s="16" t="s">
        <v>121</v>
      </c>
      <c r="B24" s="17">
        <v>0</v>
      </c>
      <c r="C24" s="268">
        <f>B24/'- 43 -'!$I24*100</f>
        <v>0</v>
      </c>
      <c r="D24" s="17">
        <v>21536584</v>
      </c>
      <c r="E24" s="268">
        <f>D24/'- 43 -'!$I24*100</f>
        <v>38.157219960468595</v>
      </c>
      <c r="F24" s="17">
        <v>182050</v>
      </c>
      <c r="G24" s="268">
        <f>F24/'- 43 -'!$I24*100</f>
        <v>0.32254520465285058</v>
      </c>
      <c r="H24" s="17">
        <v>362350</v>
      </c>
      <c r="I24" s="268">
        <f>H24/'- 43 -'!$I24*100</f>
        <v>0.6419898649050283</v>
      </c>
    </row>
    <row r="25" spans="1:9" ht="14.1" customHeight="1">
      <c r="A25" s="272" t="s">
        <v>122</v>
      </c>
      <c r="B25" s="273">
        <v>0</v>
      </c>
      <c r="C25" s="274">
        <f>B25/'- 43 -'!$I25*100</f>
        <v>0</v>
      </c>
      <c r="D25" s="273">
        <v>63446947</v>
      </c>
      <c r="E25" s="274">
        <f>D25/'- 43 -'!$I25*100</f>
        <v>37.308607702834713</v>
      </c>
      <c r="F25" s="273">
        <v>455000</v>
      </c>
      <c r="G25" s="274">
        <f>F25/'- 43 -'!$I25*100</f>
        <v>0.26755292898159144</v>
      </c>
      <c r="H25" s="273">
        <v>0</v>
      </c>
      <c r="I25" s="274">
        <f>H25/'- 43 -'!$I25*100</f>
        <v>0</v>
      </c>
    </row>
    <row r="26" spans="1:9" ht="14.1" customHeight="1">
      <c r="A26" s="16" t="s">
        <v>123</v>
      </c>
      <c r="B26" s="17">
        <v>20010</v>
      </c>
      <c r="C26" s="268">
        <f>B26/'- 43 -'!$I26*100</f>
        <v>4.8946892083942178E-2</v>
      </c>
      <c r="D26" s="17">
        <v>11076703</v>
      </c>
      <c r="E26" s="268">
        <f>D26/'- 43 -'!$I26*100</f>
        <v>27.09496183842472</v>
      </c>
      <c r="F26" s="17">
        <v>535300</v>
      </c>
      <c r="G26" s="268">
        <f>F26/'- 43 -'!$I26*100</f>
        <v>1.3094088621956146</v>
      </c>
      <c r="H26" s="17">
        <v>923205</v>
      </c>
      <c r="I26" s="268">
        <f>H26/'- 43 -'!$I26*100</f>
        <v>2.2582716394980431</v>
      </c>
    </row>
    <row r="27" spans="1:9" ht="14.1" customHeight="1">
      <c r="A27" s="272" t="s">
        <v>124</v>
      </c>
      <c r="B27" s="273">
        <v>20000</v>
      </c>
      <c r="C27" s="274">
        <f>B27/'- 43 -'!$I27*100</f>
        <v>4.8505523008619093E-2</v>
      </c>
      <c r="D27" s="273">
        <v>8434397</v>
      </c>
      <c r="E27" s="274">
        <f>D27/'- 43 -'!$I27*100</f>
        <v>20.45574188736639</v>
      </c>
      <c r="F27" s="273">
        <v>125870</v>
      </c>
      <c r="G27" s="274">
        <f>F27/'- 43 -'!$I27*100</f>
        <v>0.30526950905474426</v>
      </c>
      <c r="H27" s="273">
        <v>205000</v>
      </c>
      <c r="I27" s="274">
        <f>H27/'- 43 -'!$I27*100</f>
        <v>0.49718161083834572</v>
      </c>
    </row>
    <row r="28" spans="1:9" ht="14.1" customHeight="1">
      <c r="A28" s="16" t="s">
        <v>125</v>
      </c>
      <c r="B28" s="17">
        <v>0</v>
      </c>
      <c r="C28" s="268">
        <f>B28/'- 43 -'!$I28*100</f>
        <v>0</v>
      </c>
      <c r="D28" s="17">
        <v>6764634</v>
      </c>
      <c r="E28" s="268">
        <f>D28/'- 43 -'!$I28*100</f>
        <v>24.113201082468617</v>
      </c>
      <c r="F28" s="17">
        <v>69600</v>
      </c>
      <c r="G28" s="268">
        <f>F28/'- 43 -'!$I28*100</f>
        <v>0.24809602342710865</v>
      </c>
      <c r="H28" s="17">
        <v>7503152</v>
      </c>
      <c r="I28" s="268">
        <f>H28/'- 43 -'!$I28*100</f>
        <v>26.745720896108576</v>
      </c>
    </row>
    <row r="29" spans="1:9" ht="14.1" customHeight="1">
      <c r="A29" s="272" t="s">
        <v>126</v>
      </c>
      <c r="B29" s="273">
        <v>92000</v>
      </c>
      <c r="C29" s="274">
        <f>B29/'- 43 -'!$I29*100</f>
        <v>5.8124652930273822E-2</v>
      </c>
      <c r="D29" s="273">
        <v>71676861</v>
      </c>
      <c r="E29" s="274">
        <f>D29/'- 43 -'!$I29*100</f>
        <v>45.284702921266081</v>
      </c>
      <c r="F29" s="273">
        <v>682500</v>
      </c>
      <c r="G29" s="274">
        <f>F29/'- 43 -'!$I29*100</f>
        <v>0.43119647418382484</v>
      </c>
      <c r="H29" s="273">
        <v>0</v>
      </c>
      <c r="I29" s="274">
        <f>H29/'- 43 -'!$I29*100</f>
        <v>0</v>
      </c>
    </row>
    <row r="30" spans="1:9" ht="14.1" customHeight="1">
      <c r="A30" s="16" t="s">
        <v>127</v>
      </c>
      <c r="B30" s="17">
        <v>0</v>
      </c>
      <c r="C30" s="268">
        <f>B30/'- 43 -'!$I30*100</f>
        <v>0</v>
      </c>
      <c r="D30" s="17">
        <v>5125116</v>
      </c>
      <c r="E30" s="268">
        <f>D30/'- 43 -'!$I30*100</f>
        <v>35.950652270363832</v>
      </c>
      <c r="F30" s="17">
        <v>29900</v>
      </c>
      <c r="G30" s="268">
        <f>F30/'- 43 -'!$I30*100</f>
        <v>0.20973661920703426</v>
      </c>
      <c r="H30" s="17">
        <v>0</v>
      </c>
      <c r="I30" s="268">
        <f>H30/'- 43 -'!$I30*100</f>
        <v>0</v>
      </c>
    </row>
    <row r="31" spans="1:9" ht="14.1" customHeight="1">
      <c r="A31" s="272" t="s">
        <v>128</v>
      </c>
      <c r="B31" s="273">
        <v>20000</v>
      </c>
      <c r="C31" s="274">
        <f>B31/'- 43 -'!$I31*100</f>
        <v>5.3489461225529673E-2</v>
      </c>
      <c r="D31" s="273">
        <v>12704091</v>
      </c>
      <c r="E31" s="274">
        <f>D31/'- 43 -'!$I31*100</f>
        <v>33.976749147505025</v>
      </c>
      <c r="F31" s="273">
        <v>180000</v>
      </c>
      <c r="G31" s="274">
        <f>F31/'- 43 -'!$I31*100</f>
        <v>0.48140515102976711</v>
      </c>
      <c r="H31" s="273">
        <v>785000</v>
      </c>
      <c r="I31" s="274">
        <f>H31/'- 43 -'!$I31*100</f>
        <v>2.0994613531020399</v>
      </c>
    </row>
    <row r="32" spans="1:9" ht="14.1" customHeight="1">
      <c r="A32" s="16" t="s">
        <v>129</v>
      </c>
      <c r="B32" s="17">
        <v>0</v>
      </c>
      <c r="C32" s="268">
        <f>B32/'- 43 -'!$I32*100</f>
        <v>0</v>
      </c>
      <c r="D32" s="17">
        <v>11766252</v>
      </c>
      <c r="E32" s="268">
        <f>D32/'- 43 -'!$I32*100</f>
        <v>40.040586932204327</v>
      </c>
      <c r="F32" s="17">
        <v>76000</v>
      </c>
      <c r="G32" s="268">
        <f>F32/'- 43 -'!$I32*100</f>
        <v>0.25862820266364589</v>
      </c>
      <c r="H32" s="17">
        <v>0</v>
      </c>
      <c r="I32" s="268">
        <f>H32/'- 43 -'!$I32*100</f>
        <v>0</v>
      </c>
    </row>
    <row r="33" spans="1:9" ht="14.1" customHeight="1">
      <c r="A33" s="272" t="s">
        <v>130</v>
      </c>
      <c r="B33" s="273">
        <v>0</v>
      </c>
      <c r="C33" s="274">
        <f>B33/'- 43 -'!$I33*100</f>
        <v>0</v>
      </c>
      <c r="D33" s="273">
        <v>10246192</v>
      </c>
      <c r="E33" s="274">
        <f>D33/'- 43 -'!$I33*100</f>
        <v>36.352921570946137</v>
      </c>
      <c r="F33" s="273">
        <v>20000</v>
      </c>
      <c r="G33" s="274">
        <f>F33/'- 43 -'!$I33*100</f>
        <v>7.095889198825503E-2</v>
      </c>
      <c r="H33" s="273">
        <v>275000</v>
      </c>
      <c r="I33" s="274">
        <f>H33/'- 43 -'!$I33*100</f>
        <v>0.97568476483850675</v>
      </c>
    </row>
    <row r="34" spans="1:9" ht="14.1" customHeight="1">
      <c r="A34" s="16" t="s">
        <v>131</v>
      </c>
      <c r="B34" s="17">
        <v>20950</v>
      </c>
      <c r="C34" s="268">
        <f>B34/'- 43 -'!$I34*100</f>
        <v>7.3747602894890865E-2</v>
      </c>
      <c r="D34" s="17">
        <v>11489030</v>
      </c>
      <c r="E34" s="268">
        <f>D34/'- 43 -'!$I34*100</f>
        <v>40.443361436156948</v>
      </c>
      <c r="F34" s="17">
        <v>785197</v>
      </c>
      <c r="G34" s="268">
        <f>F34/'- 43 -'!$I34*100</f>
        <v>2.7640284749527266</v>
      </c>
      <c r="H34" s="17">
        <v>0</v>
      </c>
      <c r="I34" s="268">
        <f>H34/'- 43 -'!$I34*100</f>
        <v>0</v>
      </c>
    </row>
    <row r="35" spans="1:9" ht="14.1" customHeight="1">
      <c r="A35" s="272" t="s">
        <v>132</v>
      </c>
      <c r="B35" s="273">
        <v>0</v>
      </c>
      <c r="C35" s="274">
        <f>B35/'- 43 -'!$I35*100</f>
        <v>0</v>
      </c>
      <c r="D35" s="273">
        <v>58435327</v>
      </c>
      <c r="E35" s="274">
        <f>D35/'- 43 -'!$I35*100</f>
        <v>32.673859605927333</v>
      </c>
      <c r="F35" s="273">
        <v>215000</v>
      </c>
      <c r="G35" s="274">
        <f>F35/'- 43 -'!$I35*100</f>
        <v>0.12021631735327461</v>
      </c>
      <c r="H35" s="273">
        <v>0</v>
      </c>
      <c r="I35" s="274">
        <f>H35/'- 43 -'!$I35*100</f>
        <v>0</v>
      </c>
    </row>
    <row r="36" spans="1:9" ht="14.1" customHeight="1">
      <c r="A36" s="16" t="s">
        <v>133</v>
      </c>
      <c r="B36" s="17">
        <v>75400</v>
      </c>
      <c r="C36" s="268">
        <f>B36/'- 43 -'!$I36*100</f>
        <v>0.32248986124381862</v>
      </c>
      <c r="D36" s="17">
        <v>8189724</v>
      </c>
      <c r="E36" s="268">
        <f>D36/'- 43 -'!$I36*100</f>
        <v>35.027890668238342</v>
      </c>
      <c r="F36" s="17">
        <v>78650</v>
      </c>
      <c r="G36" s="268">
        <f>F36/'- 43 -'!$I36*100</f>
        <v>0.33639028629743145</v>
      </c>
      <c r="H36" s="17">
        <v>1274300</v>
      </c>
      <c r="I36" s="268">
        <f>H36/'- 43 -'!$I36*100</f>
        <v>5.4502497371750396</v>
      </c>
    </row>
    <row r="37" spans="1:9" ht="14.1" customHeight="1">
      <c r="A37" s="272" t="s">
        <v>134</v>
      </c>
      <c r="B37" s="273">
        <v>15000</v>
      </c>
      <c r="C37" s="274">
        <f>B37/'- 43 -'!$I37*100</f>
        <v>3.1168183518264555E-2</v>
      </c>
      <c r="D37" s="273">
        <v>13575930</v>
      </c>
      <c r="E37" s="274">
        <f>D37/'- 43 -'!$I37*100</f>
        <v>28.209138511407556</v>
      </c>
      <c r="F37" s="273">
        <v>200000</v>
      </c>
      <c r="G37" s="274">
        <f>F37/'- 43 -'!$I37*100</f>
        <v>0.41557578024352737</v>
      </c>
      <c r="H37" s="273">
        <v>0</v>
      </c>
      <c r="I37" s="274">
        <f>H37/'- 43 -'!$I37*100</f>
        <v>0</v>
      </c>
    </row>
    <row r="38" spans="1:9" ht="14.1" customHeight="1">
      <c r="A38" s="16" t="s">
        <v>135</v>
      </c>
      <c r="B38" s="17">
        <v>906000</v>
      </c>
      <c r="C38" s="268">
        <f>B38/'- 43 -'!$I38*100</f>
        <v>0.68528979245045585</v>
      </c>
      <c r="D38" s="17">
        <v>37054746</v>
      </c>
      <c r="E38" s="268">
        <f>D38/'- 43 -'!$I38*100</f>
        <v>28.027857831837039</v>
      </c>
      <c r="F38" s="17">
        <v>1090000</v>
      </c>
      <c r="G38" s="268">
        <f>F38/'- 43 -'!$I38*100</f>
        <v>0.82446564433884872</v>
      </c>
      <c r="H38" s="17">
        <v>420000</v>
      </c>
      <c r="I38" s="268">
        <f>H38/'- 43 -'!$I38*100</f>
        <v>0.31768400974524441</v>
      </c>
    </row>
    <row r="39" spans="1:9" ht="14.1" customHeight="1">
      <c r="A39" s="272" t="s">
        <v>136</v>
      </c>
      <c r="B39" s="273">
        <v>0</v>
      </c>
      <c r="C39" s="274">
        <f>B39/'- 43 -'!$I39*100</f>
        <v>0</v>
      </c>
      <c r="D39" s="273">
        <v>10323679</v>
      </c>
      <c r="E39" s="274">
        <f>D39/'- 43 -'!$I39*100</f>
        <v>45.762347551988469</v>
      </c>
      <c r="F39" s="273">
        <v>100000</v>
      </c>
      <c r="G39" s="274">
        <f>F39/'- 43 -'!$I39*100</f>
        <v>0.44327557600336531</v>
      </c>
      <c r="H39" s="273">
        <v>0</v>
      </c>
      <c r="I39" s="274">
        <f>H39/'- 43 -'!$I39*100</f>
        <v>0</v>
      </c>
    </row>
    <row r="40" spans="1:9" ht="14.1" customHeight="1">
      <c r="A40" s="16" t="s">
        <v>137</v>
      </c>
      <c r="B40" s="17">
        <v>0</v>
      </c>
      <c r="C40" s="268">
        <f>B40/'- 43 -'!$I40*100</f>
        <v>0</v>
      </c>
      <c r="D40" s="17">
        <v>40955688</v>
      </c>
      <c r="E40" s="268">
        <f>D40/'- 43 -'!$I40*100</f>
        <v>39.590160418800508</v>
      </c>
      <c r="F40" s="17">
        <v>756000</v>
      </c>
      <c r="G40" s="268">
        <f>F40/'- 43 -'!$I40*100</f>
        <v>0.73079376121366046</v>
      </c>
      <c r="H40" s="17">
        <v>140000</v>
      </c>
      <c r="I40" s="268">
        <f>H40/'- 43 -'!$I40*100</f>
        <v>0.13533217800252972</v>
      </c>
    </row>
    <row r="41" spans="1:9" ht="14.1" customHeight="1">
      <c r="A41" s="272" t="s">
        <v>138</v>
      </c>
      <c r="B41" s="273">
        <v>0</v>
      </c>
      <c r="C41" s="274">
        <f>B41/'- 43 -'!$I41*100</f>
        <v>0</v>
      </c>
      <c r="D41" s="273">
        <v>25656375</v>
      </c>
      <c r="E41" s="274">
        <f>D41/'- 43 -'!$I41*100</f>
        <v>40.088163608316989</v>
      </c>
      <c r="F41" s="273">
        <v>130000</v>
      </c>
      <c r="G41" s="274">
        <f>F41/'- 43 -'!$I41*100</f>
        <v>0.20312539355545001</v>
      </c>
      <c r="H41" s="273">
        <v>309928</v>
      </c>
      <c r="I41" s="274">
        <f>H41/'- 43 -'!$I41*100</f>
        <v>0.48426343826041163</v>
      </c>
    </row>
    <row r="42" spans="1:9" ht="14.1" customHeight="1">
      <c r="A42" s="16" t="s">
        <v>139</v>
      </c>
      <c r="B42" s="17">
        <v>0</v>
      </c>
      <c r="C42" s="268">
        <f>B42/'- 43 -'!$I42*100</f>
        <v>0</v>
      </c>
      <c r="D42" s="17">
        <v>5417083</v>
      </c>
      <c r="E42" s="268">
        <f>D42/'- 43 -'!$I42*100</f>
        <v>26.147274329600815</v>
      </c>
      <c r="F42" s="17">
        <v>26000</v>
      </c>
      <c r="G42" s="268">
        <f>F42/'- 43 -'!$I42*100</f>
        <v>0.12549727086877221</v>
      </c>
      <c r="H42" s="17">
        <v>150220</v>
      </c>
      <c r="I42" s="268">
        <f>H42/'- 43 -'!$I42*100</f>
        <v>0.72508461653488332</v>
      </c>
    </row>
    <row r="43" spans="1:9" ht="14.1" customHeight="1">
      <c r="A43" s="272" t="s">
        <v>140</v>
      </c>
      <c r="B43" s="273">
        <v>0</v>
      </c>
      <c r="C43" s="274">
        <f>B43/'- 43 -'!$I43*100</f>
        <v>0</v>
      </c>
      <c r="D43" s="273">
        <v>5196381</v>
      </c>
      <c r="E43" s="274">
        <f>D43/'- 43 -'!$I43*100</f>
        <v>39.769222256457773</v>
      </c>
      <c r="F43" s="273">
        <v>25000</v>
      </c>
      <c r="G43" s="274">
        <f>F43/'- 43 -'!$I43*100</f>
        <v>0.1913313431812341</v>
      </c>
      <c r="H43" s="273">
        <v>0</v>
      </c>
      <c r="I43" s="274">
        <f>H43/'- 43 -'!$I43*100</f>
        <v>0</v>
      </c>
    </row>
    <row r="44" spans="1:9" ht="14.1" customHeight="1">
      <c r="A44" s="16" t="s">
        <v>141</v>
      </c>
      <c r="B44" s="17">
        <v>0</v>
      </c>
      <c r="C44" s="268">
        <f>B44/'- 43 -'!$I44*100</f>
        <v>0</v>
      </c>
      <c r="D44" s="17">
        <v>2358036</v>
      </c>
      <c r="E44" s="268">
        <f>D44/'- 43 -'!$I44*100</f>
        <v>21.052127861780161</v>
      </c>
      <c r="F44" s="17">
        <v>24700</v>
      </c>
      <c r="G44" s="268">
        <f>F44/'- 43 -'!$I44*100</f>
        <v>0.22051722627897535</v>
      </c>
      <c r="H44" s="17">
        <v>0</v>
      </c>
      <c r="I44" s="268">
        <f>H44/'- 43 -'!$I44*100</f>
        <v>0</v>
      </c>
    </row>
    <row r="45" spans="1:9" ht="14.1" customHeight="1">
      <c r="A45" s="272" t="s">
        <v>142</v>
      </c>
      <c r="B45" s="273">
        <v>20000</v>
      </c>
      <c r="C45" s="274">
        <f>B45/'- 43 -'!$I45*100</f>
        <v>0.10630891307747402</v>
      </c>
      <c r="D45" s="273">
        <v>6030207</v>
      </c>
      <c r="E45" s="274">
        <f>D45/'- 43 -'!$I45*100</f>
        <v>32.053237590108765</v>
      </c>
      <c r="F45" s="273">
        <v>58500</v>
      </c>
      <c r="G45" s="274">
        <f>F45/'- 43 -'!$I45*100</f>
        <v>0.31095357075161145</v>
      </c>
      <c r="H45" s="273">
        <v>0</v>
      </c>
      <c r="I45" s="274">
        <f>H45/'- 43 -'!$I45*100</f>
        <v>0</v>
      </c>
    </row>
    <row r="46" spans="1:9" ht="14.1" customHeight="1">
      <c r="A46" s="16" t="s">
        <v>143</v>
      </c>
      <c r="B46" s="17">
        <v>3352844</v>
      </c>
      <c r="C46" s="268">
        <f>B46/'- 43 -'!$I46*100</f>
        <v>0.86523800700583786</v>
      </c>
      <c r="D46" s="17">
        <v>138784655</v>
      </c>
      <c r="E46" s="268">
        <f>D46/'- 43 -'!$I46*100</f>
        <v>35.814895740807742</v>
      </c>
      <c r="F46" s="17">
        <v>2300000</v>
      </c>
      <c r="G46" s="268">
        <f>F46/'- 43 -'!$I46*100</f>
        <v>0.59354011582806332</v>
      </c>
      <c r="H46" s="17">
        <v>2549675</v>
      </c>
      <c r="I46" s="268">
        <f>H46/'- 43 -'!$I46*100</f>
        <v>0.65797147601039885</v>
      </c>
    </row>
    <row r="47" spans="1:9" ht="5.0999999999999996" customHeight="1">
      <c r="A47"/>
      <c r="B47"/>
      <c r="C47"/>
      <c r="D47"/>
      <c r="E47"/>
      <c r="F47"/>
      <c r="G47"/>
      <c r="H47"/>
      <c r="I47"/>
    </row>
    <row r="48" spans="1:9" ht="14.1" customHeight="1">
      <c r="A48" s="275" t="s">
        <v>144</v>
      </c>
      <c r="B48" s="276">
        <f>SUM(B11:B46)</f>
        <v>4648364</v>
      </c>
      <c r="C48" s="277">
        <f>B48/'- 43 -'!$I48*100</f>
        <v>0.20452237766164549</v>
      </c>
      <c r="D48" s="276">
        <f>SUM(D11:D46)</f>
        <v>737426106</v>
      </c>
      <c r="E48" s="277">
        <f>D48/'- 43 -'!$I48*100</f>
        <v>32.44585418630912</v>
      </c>
      <c r="F48" s="276">
        <f>SUM(F11:F46)</f>
        <v>11264204</v>
      </c>
      <c r="G48" s="277">
        <f>F48/'- 43 -'!$I48*100</f>
        <v>0.49561131282873233</v>
      </c>
      <c r="H48" s="276">
        <f>SUM(H11:H46)</f>
        <v>92101357</v>
      </c>
      <c r="I48" s="277">
        <f>H48/'- 43 -'!$I48*100</f>
        <v>4.052347991573817</v>
      </c>
    </row>
    <row r="49" spans="1:9" ht="5.0999999999999996" customHeight="1">
      <c r="A49" s="18" t="s">
        <v>1</v>
      </c>
      <c r="B49" s="19"/>
      <c r="C49" s="267"/>
      <c r="D49" s="19"/>
      <c r="E49" s="267"/>
      <c r="F49" s="19"/>
      <c r="G49" s="267"/>
      <c r="H49" s="19"/>
      <c r="I49" s="267"/>
    </row>
    <row r="50" spans="1:9" ht="14.1" customHeight="1">
      <c r="A50" s="16" t="s">
        <v>145</v>
      </c>
      <c r="B50" s="17">
        <v>0</v>
      </c>
      <c r="C50" s="268">
        <f>B50/'- 43 -'!$I50*100</f>
        <v>0</v>
      </c>
      <c r="D50" s="17">
        <v>1883300</v>
      </c>
      <c r="E50" s="268">
        <f>D50/'- 43 -'!$I50*100</f>
        <v>55.130377356060336</v>
      </c>
      <c r="F50" s="17">
        <v>33800</v>
      </c>
      <c r="G50" s="268">
        <f>F50/'- 43 -'!$I50*100</f>
        <v>0.98943702789509846</v>
      </c>
      <c r="H50" s="17">
        <v>0</v>
      </c>
      <c r="I50" s="268">
        <f>H50/'- 43 -'!$I50*100</f>
        <v>0</v>
      </c>
    </row>
    <row r="51" spans="1:9" ht="14.1" customHeight="1">
      <c r="A51" s="364" t="s">
        <v>540</v>
      </c>
      <c r="B51" s="273">
        <v>3926033</v>
      </c>
      <c r="C51" s="274">
        <f>B51/'- 43 -'!$I51*100</f>
        <v>14.928052411244236</v>
      </c>
      <c r="D51" s="273">
        <v>0</v>
      </c>
      <c r="E51" s="274">
        <f>D51/'- 43 -'!$I51*100</f>
        <v>0</v>
      </c>
      <c r="F51" s="273">
        <v>2005812</v>
      </c>
      <c r="G51" s="274">
        <f>F51/'- 43 -'!$I51*100</f>
        <v>7.6267485940904267</v>
      </c>
      <c r="H51" s="273">
        <v>0</v>
      </c>
      <c r="I51" s="274">
        <f>H51/'- 43 -'!$I51*100</f>
        <v>0</v>
      </c>
    </row>
    <row r="52" spans="1:9" ht="50.1" customHeight="1">
      <c r="A52" s="20"/>
      <c r="B52" s="20"/>
      <c r="C52" s="20"/>
      <c r="D52" s="20"/>
      <c r="E52" s="20"/>
      <c r="F52" s="20"/>
      <c r="G52" s="20"/>
      <c r="H52" s="20"/>
      <c r="I52" s="20"/>
    </row>
    <row r="53" spans="1:9" ht="14.45" customHeight="1">
      <c r="A53" s="728" t="str">
        <f>"(1)  Municipal Government revenue is net of "&amp;"$"&amp;TEXT('- 41 -'!C48,"00,0")&amp;" in Education Property Tax Credit (EPTC) revenue paid directly to school divisions. See 
       page 41 for EPTC revenue."</f>
        <v>(1)  Municipal Government revenue is net of $201,190,080 in Education Property Tax Credit (EPTC) revenue paid directly to school divisions. See 
       page 41 for EPTC revenue.</v>
      </c>
      <c r="B53" s="728"/>
      <c r="C53" s="728"/>
      <c r="D53" s="728"/>
      <c r="E53" s="728"/>
      <c r="F53" s="728"/>
      <c r="G53" s="728"/>
      <c r="H53" s="728"/>
      <c r="I53" s="728"/>
    </row>
    <row r="54" spans="1:9" ht="12" customHeight="1">
      <c r="A54" s="729"/>
      <c r="B54" s="729"/>
      <c r="C54" s="729"/>
      <c r="D54" s="729"/>
      <c r="E54" s="729"/>
      <c r="F54" s="729"/>
      <c r="G54" s="729"/>
      <c r="H54" s="729"/>
      <c r="I54" s="729"/>
    </row>
    <row r="55" spans="1:9" ht="14.45" customHeight="1"/>
    <row r="56" spans="1:9" ht="14.45" customHeight="1"/>
    <row r="57" spans="1:9" ht="14.45" customHeight="1"/>
    <row r="58" spans="1:9" ht="14.45" customHeight="1"/>
    <row r="59" spans="1:9" ht="14.45" customHeight="1"/>
  </sheetData>
  <mergeCells count="5">
    <mergeCell ref="B7:C8"/>
    <mergeCell ref="D7:E8"/>
    <mergeCell ref="F7:G8"/>
    <mergeCell ref="H8:I8"/>
    <mergeCell ref="A53:I54"/>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8"/>
  <dimension ref="A1:I63"/>
  <sheetViews>
    <sheetView showGridLines="0" showZeros="0" workbookViewId="0"/>
  </sheetViews>
  <sheetFormatPr defaultColWidth="15.83203125" defaultRowHeight="12"/>
  <cols>
    <col min="1" max="1" width="33.83203125" style="1" customWidth="1"/>
    <col min="2" max="2" width="16.83203125" style="1" customWidth="1"/>
    <col min="3" max="3" width="8.83203125" style="1" customWidth="1"/>
    <col min="4" max="4" width="15.83203125" style="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3"/>
    </row>
    <row r="2" spans="1:9" ht="15.95" customHeight="1">
      <c r="A2" s="184"/>
      <c r="B2" s="54" t="str">
        <f>REVYEAR</f>
        <v>ANALYSIS OF OPERATING FUND REVENUE: 2015/2016 BUDGET</v>
      </c>
      <c r="C2" s="102"/>
      <c r="D2" s="102"/>
      <c r="E2" s="102"/>
      <c r="F2" s="102"/>
      <c r="G2" s="189"/>
      <c r="H2" s="103"/>
      <c r="I2" s="186" t="s">
        <v>3</v>
      </c>
    </row>
    <row r="3" spans="1:9" ht="15.95" customHeight="1">
      <c r="A3" s="181"/>
    </row>
    <row r="4" spans="1:9" ht="15.95" customHeight="1">
      <c r="B4" s="56"/>
      <c r="C4" s="4"/>
      <c r="D4" s="4"/>
      <c r="E4" s="4"/>
      <c r="F4" s="4"/>
      <c r="G4" s="4"/>
      <c r="H4" s="4"/>
      <c r="I4" s="4"/>
    </row>
    <row r="5" spans="1:9" ht="15.95" customHeight="1">
      <c r="B5" s="4"/>
      <c r="C5" s="4"/>
      <c r="D5" s="4"/>
      <c r="E5" s="4"/>
      <c r="F5" s="4"/>
      <c r="G5" s="4"/>
      <c r="H5" s="4"/>
      <c r="I5" s="4"/>
    </row>
    <row r="6" spans="1:9" ht="15.95" customHeight="1">
      <c r="B6" s="678" t="s">
        <v>472</v>
      </c>
      <c r="C6" s="696"/>
      <c r="D6" s="279"/>
      <c r="E6" s="279"/>
      <c r="F6" s="607" t="s">
        <v>473</v>
      </c>
      <c r="G6" s="608"/>
      <c r="H6" s="4"/>
      <c r="I6" s="730" t="s">
        <v>474</v>
      </c>
    </row>
    <row r="7" spans="1:9" ht="15.95" customHeight="1">
      <c r="B7" s="668"/>
      <c r="C7" s="669"/>
      <c r="D7" s="316"/>
      <c r="E7" s="316"/>
      <c r="F7" s="674"/>
      <c r="G7" s="673"/>
      <c r="H7" s="4"/>
      <c r="I7" s="731"/>
    </row>
    <row r="8" spans="1:9" ht="15.95" customHeight="1">
      <c r="A8" s="250"/>
      <c r="B8" s="670"/>
      <c r="C8" s="671"/>
      <c r="D8" s="601" t="s">
        <v>19</v>
      </c>
      <c r="E8" s="602"/>
      <c r="F8" s="609"/>
      <c r="G8" s="610"/>
      <c r="H8" s="4"/>
      <c r="I8" s="732"/>
    </row>
    <row r="9" spans="1:9" ht="15.95" customHeight="1">
      <c r="A9" s="28" t="s">
        <v>37</v>
      </c>
      <c r="B9" s="479" t="s">
        <v>56</v>
      </c>
      <c r="C9" s="109" t="s">
        <v>39</v>
      </c>
      <c r="D9" s="190" t="s">
        <v>56</v>
      </c>
      <c r="E9" s="190" t="s">
        <v>39</v>
      </c>
      <c r="F9" s="182" t="s">
        <v>56</v>
      </c>
      <c r="G9" s="190" t="s">
        <v>39</v>
      </c>
      <c r="H9" s="4"/>
      <c r="I9" s="190" t="s">
        <v>56</v>
      </c>
    </row>
    <row r="10" spans="1:9" ht="5.0999999999999996" customHeight="1">
      <c r="A10" s="30"/>
      <c r="B10" s="183"/>
      <c r="C10" s="183"/>
      <c r="D10" s="183"/>
      <c r="E10" s="183"/>
      <c r="F10" s="183"/>
      <c r="G10" s="3"/>
      <c r="H10" s="3"/>
      <c r="I10" s="183"/>
    </row>
    <row r="11" spans="1:9" ht="14.1" customHeight="1">
      <c r="A11" s="272" t="s">
        <v>109</v>
      </c>
      <c r="B11" s="273">
        <v>18500</v>
      </c>
      <c r="C11" s="274">
        <f>B11/I11*100</f>
        <v>9.9390868289370327E-2</v>
      </c>
      <c r="D11" s="273">
        <v>87000</v>
      </c>
      <c r="E11" s="274">
        <f>D11/I11*100</f>
        <v>0.46740570492839023</v>
      </c>
      <c r="F11" s="273">
        <f>SUM('- 42 -'!$B11,'- 42 -'!$D11,'- 42 -'!$F11,'- 42 -'!$H11,B11,D11)</f>
        <v>6509500</v>
      </c>
      <c r="G11" s="274">
        <f>F11/I11*100</f>
        <v>34.972154439440878</v>
      </c>
      <c r="I11" s="273">
        <f>SUM('- 41 -'!$H11,F11)</f>
        <v>18613380</v>
      </c>
    </row>
    <row r="12" spans="1:9" ht="14.1" customHeight="1">
      <c r="A12" s="16" t="s">
        <v>110</v>
      </c>
      <c r="B12" s="17">
        <v>252306</v>
      </c>
      <c r="C12" s="268">
        <f t="shared" ref="C12:C46" si="0">B12/I12*100</f>
        <v>0.76365722152394322</v>
      </c>
      <c r="D12" s="17">
        <v>225176</v>
      </c>
      <c r="E12" s="268">
        <f t="shared" ref="E12:E48" si="1">D12/I12*100</f>
        <v>0.68154256543195746</v>
      </c>
      <c r="F12" s="17">
        <f>SUM('- 42 -'!$B12,'- 42 -'!$D12,'- 42 -'!$F12,'- 42 -'!$H12,B12,D12)</f>
        <v>11270186</v>
      </c>
      <c r="G12" s="268">
        <f t="shared" ref="G12:G48" si="2">F12/I12*100</f>
        <v>34.111590397446136</v>
      </c>
      <c r="I12" s="17">
        <f>SUM('- 41 -'!$H12,F12)</f>
        <v>33039169</v>
      </c>
    </row>
    <row r="13" spans="1:9" ht="14.1" customHeight="1">
      <c r="A13" s="272" t="s">
        <v>111</v>
      </c>
      <c r="B13" s="273">
        <v>728600</v>
      </c>
      <c r="C13" s="274">
        <f t="shared" si="0"/>
        <v>0.7764304446838598</v>
      </c>
      <c r="D13" s="273">
        <v>87400</v>
      </c>
      <c r="E13" s="274">
        <f t="shared" si="1"/>
        <v>9.3137552656285122E-2</v>
      </c>
      <c r="F13" s="273">
        <f>SUM('- 42 -'!$B13,'- 42 -'!$D13,'- 42 -'!$F13,'- 42 -'!$H13,B13,D13)</f>
        <v>36340975</v>
      </c>
      <c r="G13" s="274">
        <f t="shared" si="2"/>
        <v>38.726653005071412</v>
      </c>
      <c r="I13" s="273">
        <f>SUM('- 41 -'!$H13,F13)</f>
        <v>93839700</v>
      </c>
    </row>
    <row r="14" spans="1:9" ht="14.1" customHeight="1">
      <c r="A14" s="16" t="s">
        <v>324</v>
      </c>
      <c r="B14" s="17">
        <v>90000</v>
      </c>
      <c r="C14" s="268">
        <f t="shared" si="0"/>
        <v>0.11001750586329129</v>
      </c>
      <c r="D14" s="17">
        <v>5000</v>
      </c>
      <c r="E14" s="268">
        <f t="shared" si="1"/>
        <v>6.1120836590717381E-3</v>
      </c>
      <c r="F14" s="17">
        <f>SUM('- 42 -'!$B14,'- 42 -'!$D14,'- 42 -'!$F14,'- 42 -'!$H14,B14,D14)</f>
        <v>22577235</v>
      </c>
      <c r="G14" s="268">
        <f t="shared" si="2"/>
        <v>27.598789822104504</v>
      </c>
      <c r="I14" s="17">
        <f>SUM('- 41 -'!$H14,F14)</f>
        <v>81805163</v>
      </c>
    </row>
    <row r="15" spans="1:9" ht="14.1" customHeight="1">
      <c r="A15" s="272" t="s">
        <v>112</v>
      </c>
      <c r="B15" s="273">
        <v>53500</v>
      </c>
      <c r="C15" s="274">
        <f t="shared" si="0"/>
        <v>0.2608395914520672</v>
      </c>
      <c r="D15" s="273">
        <v>9000</v>
      </c>
      <c r="E15" s="274">
        <f t="shared" si="1"/>
        <v>4.3879557440534664E-2</v>
      </c>
      <c r="F15" s="273">
        <f>SUM('- 42 -'!$B15,'- 42 -'!$D15,'- 42 -'!$F15,'- 42 -'!$H15,B15,D15)</f>
        <v>7666945</v>
      </c>
      <c r="G15" s="274">
        <f t="shared" si="2"/>
        <v>37.380239280102231</v>
      </c>
      <c r="I15" s="273">
        <f>SUM('- 41 -'!$H15,F15)</f>
        <v>20510690</v>
      </c>
    </row>
    <row r="16" spans="1:9" ht="14.1" customHeight="1">
      <c r="A16" s="16" t="s">
        <v>113</v>
      </c>
      <c r="B16" s="17">
        <v>185332</v>
      </c>
      <c r="C16" s="268">
        <f t="shared" si="0"/>
        <v>1.3267938154736294</v>
      </c>
      <c r="D16" s="17">
        <v>60120</v>
      </c>
      <c r="E16" s="268">
        <f t="shared" si="1"/>
        <v>0.43039973769383916</v>
      </c>
      <c r="F16" s="17">
        <f>SUM('- 42 -'!$B16,'- 42 -'!$D16,'- 42 -'!$F16,'- 42 -'!$H16,B16,D16)</f>
        <v>3397820</v>
      </c>
      <c r="G16" s="268">
        <f t="shared" si="2"/>
        <v>24.325030551079184</v>
      </c>
      <c r="I16" s="17">
        <f>SUM('- 41 -'!$H16,F16)</f>
        <v>13968410</v>
      </c>
    </row>
    <row r="17" spans="1:9" ht="14.1" customHeight="1">
      <c r="A17" s="272" t="s">
        <v>114</v>
      </c>
      <c r="B17" s="273">
        <v>1600</v>
      </c>
      <c r="C17" s="274">
        <f t="shared" si="0"/>
        <v>8.9414372186765387E-3</v>
      </c>
      <c r="D17" s="273">
        <v>23500</v>
      </c>
      <c r="E17" s="274">
        <f t="shared" si="1"/>
        <v>0.13132735914931165</v>
      </c>
      <c r="F17" s="273">
        <f>SUM('- 42 -'!$B17,'- 42 -'!$D17,'- 42 -'!$F17,'- 42 -'!$H17,B17,D17)</f>
        <v>8070598</v>
      </c>
      <c r="G17" s="274">
        <f t="shared" si="2"/>
        <v>45.101715833860275</v>
      </c>
      <c r="I17" s="273">
        <f>SUM('- 41 -'!$H17,F17)</f>
        <v>17894215</v>
      </c>
    </row>
    <row r="18" spans="1:9" ht="14.1" customHeight="1">
      <c r="A18" s="16" t="s">
        <v>115</v>
      </c>
      <c r="B18" s="17">
        <v>4585436</v>
      </c>
      <c r="C18" s="268">
        <f t="shared" si="0"/>
        <v>3.4376232806789502</v>
      </c>
      <c r="D18" s="17">
        <v>700000</v>
      </c>
      <c r="E18" s="268">
        <f t="shared" si="1"/>
        <v>0.52477807922196817</v>
      </c>
      <c r="F18" s="17">
        <f>SUM('- 42 -'!$B18,'- 42 -'!$D18,'- 42 -'!$F18,'- 42 -'!$H18,B18,D18)</f>
        <v>82027186</v>
      </c>
      <c r="G18" s="268">
        <f t="shared" si="2"/>
        <v>61.494384447233031</v>
      </c>
      <c r="I18" s="17">
        <f>SUM('- 41 -'!$H18,F18)</f>
        <v>133389718</v>
      </c>
    </row>
    <row r="19" spans="1:9" ht="14.1" customHeight="1">
      <c r="A19" s="272" t="s">
        <v>116</v>
      </c>
      <c r="B19" s="273">
        <v>0</v>
      </c>
      <c r="C19" s="274">
        <f t="shared" si="0"/>
        <v>0</v>
      </c>
      <c r="D19" s="273">
        <v>325000</v>
      </c>
      <c r="E19" s="274">
        <f t="shared" si="1"/>
        <v>0.67956656867874332</v>
      </c>
      <c r="F19" s="273">
        <f>SUM('- 42 -'!$B19,'- 42 -'!$D19,'- 42 -'!$F19,'- 42 -'!$H19,B19,D19)</f>
        <v>15695274</v>
      </c>
      <c r="G19" s="274">
        <f t="shared" si="2"/>
        <v>32.818410758931371</v>
      </c>
      <c r="I19" s="273">
        <f>SUM('- 41 -'!$H19,F19)</f>
        <v>47824601</v>
      </c>
    </row>
    <row r="20" spans="1:9" ht="14.1" customHeight="1">
      <c r="A20" s="16" t="s">
        <v>117</v>
      </c>
      <c r="B20" s="17">
        <v>429500</v>
      </c>
      <c r="C20" s="268">
        <f t="shared" si="0"/>
        <v>0.52298070998740942</v>
      </c>
      <c r="D20" s="17">
        <v>84300</v>
      </c>
      <c r="E20" s="268">
        <f t="shared" si="1"/>
        <v>0.10264790186714463</v>
      </c>
      <c r="F20" s="17">
        <f>SUM('- 42 -'!$B20,'- 42 -'!$D20,'- 42 -'!$F20,'- 42 -'!$H20,B20,D20)</f>
        <v>24671736</v>
      </c>
      <c r="G20" s="268">
        <f t="shared" si="2"/>
        <v>30.04154135017912</v>
      </c>
      <c r="I20" s="17">
        <f>SUM('- 41 -'!$H20,F20)</f>
        <v>82125400</v>
      </c>
    </row>
    <row r="21" spans="1:9" ht="14.1" customHeight="1">
      <c r="A21" s="272" t="s">
        <v>118</v>
      </c>
      <c r="B21" s="273">
        <v>206300</v>
      </c>
      <c r="C21" s="274">
        <f t="shared" si="0"/>
        <v>0.5697006517176626</v>
      </c>
      <c r="D21" s="273">
        <v>113631</v>
      </c>
      <c r="E21" s="274">
        <f t="shared" si="1"/>
        <v>0.31379377002098752</v>
      </c>
      <c r="F21" s="273">
        <f>SUM('- 42 -'!$B21,'- 42 -'!$D21,'- 42 -'!$F21,'- 42 -'!$H21,B21,D21)</f>
        <v>13383130</v>
      </c>
      <c r="G21" s="274">
        <f t="shared" si="2"/>
        <v>36.957721197393127</v>
      </c>
      <c r="I21" s="273">
        <f>SUM('- 41 -'!$H21,F21)</f>
        <v>36212000</v>
      </c>
    </row>
    <row r="22" spans="1:9" ht="14.1" customHeight="1">
      <c r="A22" s="16" t="s">
        <v>119</v>
      </c>
      <c r="B22" s="17">
        <v>0</v>
      </c>
      <c r="C22" s="268">
        <f t="shared" si="0"/>
        <v>0</v>
      </c>
      <c r="D22" s="17">
        <v>104000</v>
      </c>
      <c r="E22" s="268">
        <f t="shared" si="1"/>
        <v>0.5088672814925117</v>
      </c>
      <c r="F22" s="17">
        <f>SUM('- 42 -'!$B22,'- 42 -'!$D22,'- 42 -'!$F22,'- 42 -'!$H22,B22,D22)</f>
        <v>3867821</v>
      </c>
      <c r="G22" s="268">
        <f t="shared" si="2"/>
        <v>18.92507266893892</v>
      </c>
      <c r="I22" s="17">
        <f>SUM('- 41 -'!$H22,F22)</f>
        <v>20437549</v>
      </c>
    </row>
    <row r="23" spans="1:9" ht="14.1" customHeight="1">
      <c r="A23" s="272" t="s">
        <v>120</v>
      </c>
      <c r="B23" s="273">
        <v>245728</v>
      </c>
      <c r="C23" s="274">
        <f t="shared" si="0"/>
        <v>1.4726590969307396</v>
      </c>
      <c r="D23" s="273">
        <v>39000</v>
      </c>
      <c r="E23" s="274">
        <f t="shared" si="1"/>
        <v>0.23372877645322815</v>
      </c>
      <c r="F23" s="273">
        <f>SUM('- 42 -'!$B23,'- 42 -'!$D23,'- 42 -'!$F23,'- 42 -'!$H23,B23,D23)</f>
        <v>4791615</v>
      </c>
      <c r="G23" s="274">
        <f t="shared" si="2"/>
        <v>28.716366953459865</v>
      </c>
      <c r="I23" s="273">
        <f>SUM('- 41 -'!$H23,F23)</f>
        <v>16686007</v>
      </c>
    </row>
    <row r="24" spans="1:9" ht="14.1" customHeight="1">
      <c r="A24" s="16" t="s">
        <v>121</v>
      </c>
      <c r="B24" s="17">
        <v>379700</v>
      </c>
      <c r="C24" s="268">
        <f t="shared" si="0"/>
        <v>0.67272954796312756</v>
      </c>
      <c r="D24" s="17">
        <v>98000</v>
      </c>
      <c r="E24" s="268">
        <f t="shared" si="1"/>
        <v>0.17363048643767839</v>
      </c>
      <c r="F24" s="17">
        <f>SUM('- 42 -'!$B24,'- 42 -'!$D24,'- 42 -'!$F24,'- 42 -'!$H24,B24,D24)</f>
        <v>22558684</v>
      </c>
      <c r="G24" s="268">
        <f t="shared" si="2"/>
        <v>39.968115064427273</v>
      </c>
      <c r="I24" s="17">
        <f>SUM('- 41 -'!$H24,F24)</f>
        <v>56441701</v>
      </c>
    </row>
    <row r="25" spans="1:9" ht="14.1" customHeight="1">
      <c r="A25" s="272" t="s">
        <v>122</v>
      </c>
      <c r="B25" s="273">
        <v>2082623</v>
      </c>
      <c r="C25" s="274">
        <f t="shared" si="0"/>
        <v>1.2246415024492943</v>
      </c>
      <c r="D25" s="273">
        <v>75000</v>
      </c>
      <c r="E25" s="274">
        <f t="shared" si="1"/>
        <v>4.4102131150811769E-2</v>
      </c>
      <c r="F25" s="273">
        <f>SUM('- 42 -'!$B25,'- 42 -'!$D25,'- 42 -'!$F25,'- 42 -'!$H25,B25,D25)</f>
        <v>66059570</v>
      </c>
      <c r="G25" s="274">
        <f t="shared" si="2"/>
        <v>38.84490426541641</v>
      </c>
      <c r="I25" s="273">
        <f>SUM('- 41 -'!$H25,F25)</f>
        <v>170059809</v>
      </c>
    </row>
    <row r="26" spans="1:9" ht="14.1" customHeight="1">
      <c r="A26" s="16" t="s">
        <v>123</v>
      </c>
      <c r="B26" s="17">
        <v>614535</v>
      </c>
      <c r="C26" s="268">
        <f t="shared" si="0"/>
        <v>1.503227302688926</v>
      </c>
      <c r="D26" s="17">
        <v>233000</v>
      </c>
      <c r="E26" s="268">
        <f t="shared" si="1"/>
        <v>0.56994631961811737</v>
      </c>
      <c r="F26" s="17">
        <f>SUM('- 42 -'!$B26,'- 42 -'!$D26,'- 42 -'!$F26,'- 42 -'!$H26,B26,D26)</f>
        <v>13402753</v>
      </c>
      <c r="G26" s="268">
        <f t="shared" si="2"/>
        <v>32.784762854509367</v>
      </c>
      <c r="I26" s="17">
        <f>SUM('- 41 -'!$H26,F26)</f>
        <v>40881043</v>
      </c>
    </row>
    <row r="27" spans="1:9" ht="14.1" customHeight="1">
      <c r="A27" s="272" t="s">
        <v>124</v>
      </c>
      <c r="B27" s="273">
        <v>229500</v>
      </c>
      <c r="C27" s="274">
        <f t="shared" si="0"/>
        <v>0.556600876523904</v>
      </c>
      <c r="D27" s="273">
        <v>85000</v>
      </c>
      <c r="E27" s="274">
        <f t="shared" si="1"/>
        <v>0.20614847278663112</v>
      </c>
      <c r="F27" s="273">
        <f>SUM('- 42 -'!$B27,'- 42 -'!$D27,'- 42 -'!$F27,'- 42 -'!$H27,B27,D27)</f>
        <v>9099767</v>
      </c>
      <c r="G27" s="274">
        <f t="shared" si="2"/>
        <v>22.069447879578636</v>
      </c>
      <c r="I27" s="273">
        <f>SUM('- 41 -'!$H27,F27)</f>
        <v>41232418</v>
      </c>
    </row>
    <row r="28" spans="1:9" ht="14.1" customHeight="1">
      <c r="A28" s="16" t="s">
        <v>125</v>
      </c>
      <c r="B28" s="17">
        <v>26000</v>
      </c>
      <c r="C28" s="268">
        <f t="shared" si="0"/>
        <v>9.2679548981391149E-2</v>
      </c>
      <c r="D28" s="17">
        <v>11000</v>
      </c>
      <c r="E28" s="268">
        <f t="shared" si="1"/>
        <v>3.921057841520395E-2</v>
      </c>
      <c r="F28" s="17">
        <f>SUM('- 42 -'!$B28,'- 42 -'!$D28,'- 42 -'!$F28,'- 42 -'!$H28,B28,D28)</f>
        <v>14374386</v>
      </c>
      <c r="G28" s="268">
        <f t="shared" si="2"/>
        <v>51.238908129400897</v>
      </c>
      <c r="I28" s="17">
        <f>SUM('- 41 -'!$H28,F28)</f>
        <v>28053654</v>
      </c>
    </row>
    <row r="29" spans="1:9" ht="14.1" customHeight="1">
      <c r="A29" s="272" t="s">
        <v>126</v>
      </c>
      <c r="B29" s="273">
        <v>2705000</v>
      </c>
      <c r="C29" s="274">
        <f t="shared" si="0"/>
        <v>1.7089911540912033</v>
      </c>
      <c r="D29" s="273">
        <v>128500</v>
      </c>
      <c r="E29" s="274">
        <f t="shared" si="1"/>
        <v>8.1184977190654192E-2</v>
      </c>
      <c r="F29" s="273">
        <f>SUM('- 42 -'!$B29,'- 42 -'!$D29,'- 42 -'!$F29,'- 42 -'!$H29,B29,D29)</f>
        <v>75284861</v>
      </c>
      <c r="G29" s="274">
        <f t="shared" si="2"/>
        <v>47.564200179662038</v>
      </c>
      <c r="I29" s="273">
        <f>SUM('- 41 -'!$H29,F29)</f>
        <v>158280515</v>
      </c>
    </row>
    <row r="30" spans="1:9" ht="14.1" customHeight="1">
      <c r="A30" s="16" t="s">
        <v>127</v>
      </c>
      <c r="B30" s="17">
        <v>3000</v>
      </c>
      <c r="C30" s="268">
        <f t="shared" si="0"/>
        <v>2.1043807947194071E-2</v>
      </c>
      <c r="D30" s="17">
        <v>38200</v>
      </c>
      <c r="E30" s="268">
        <f t="shared" si="1"/>
        <v>0.2679578211942712</v>
      </c>
      <c r="F30" s="17">
        <f>SUM('- 42 -'!$B30,'- 42 -'!$D30,'- 42 -'!$F30,'- 42 -'!$H30,B30,D30)</f>
        <v>5196216</v>
      </c>
      <c r="G30" s="268">
        <f t="shared" si="2"/>
        <v>36.449390518712327</v>
      </c>
      <c r="I30" s="17">
        <f>SUM('- 41 -'!$H30,F30)</f>
        <v>14255975</v>
      </c>
    </row>
    <row r="31" spans="1:9" ht="14.1" customHeight="1">
      <c r="A31" s="272" t="s">
        <v>128</v>
      </c>
      <c r="B31" s="273">
        <v>5000</v>
      </c>
      <c r="C31" s="274">
        <f t="shared" si="0"/>
        <v>1.3372365306382418E-2</v>
      </c>
      <c r="D31" s="273">
        <v>28000</v>
      </c>
      <c r="E31" s="274">
        <f t="shared" si="1"/>
        <v>7.4885245715741552E-2</v>
      </c>
      <c r="F31" s="273">
        <f>SUM('- 42 -'!$B31,'- 42 -'!$D31,'- 42 -'!$F31,'- 42 -'!$H31,B31,D31)</f>
        <v>13722091</v>
      </c>
      <c r="G31" s="274">
        <f t="shared" si="2"/>
        <v>36.699362723884491</v>
      </c>
      <c r="I31" s="273">
        <f>SUM('- 41 -'!$H31,F31)</f>
        <v>37390543</v>
      </c>
    </row>
    <row r="32" spans="1:9" ht="14.1" customHeight="1">
      <c r="A32" s="16" t="s">
        <v>129</v>
      </c>
      <c r="B32" s="17">
        <v>14000</v>
      </c>
      <c r="C32" s="268">
        <f t="shared" si="0"/>
        <v>4.7642037332776874E-2</v>
      </c>
      <c r="D32" s="17">
        <v>82500</v>
      </c>
      <c r="E32" s="268">
        <f t="shared" si="1"/>
        <v>0.28074771999672088</v>
      </c>
      <c r="F32" s="17">
        <f>SUM('- 42 -'!$B32,'- 42 -'!$D32,'- 42 -'!$F32,'- 42 -'!$H32,B32,D32)</f>
        <v>11938752</v>
      </c>
      <c r="G32" s="268">
        <f t="shared" si="2"/>
        <v>40.627604892197475</v>
      </c>
      <c r="I32" s="17">
        <f>SUM('- 41 -'!$H32,F32)</f>
        <v>29385813</v>
      </c>
    </row>
    <row r="33" spans="1:9" ht="14.1" customHeight="1">
      <c r="A33" s="272" t="s">
        <v>130</v>
      </c>
      <c r="B33" s="273">
        <v>70000</v>
      </c>
      <c r="C33" s="274">
        <f t="shared" si="0"/>
        <v>0.24835612195889262</v>
      </c>
      <c r="D33" s="273">
        <v>62500</v>
      </c>
      <c r="E33" s="274">
        <f t="shared" si="1"/>
        <v>0.22174653746329698</v>
      </c>
      <c r="F33" s="273">
        <f>SUM('- 42 -'!$B33,'- 42 -'!$D33,'- 42 -'!$F33,'- 42 -'!$H33,B33,D33)</f>
        <v>10673692</v>
      </c>
      <c r="G33" s="274">
        <f t="shared" si="2"/>
        <v>37.869667887195092</v>
      </c>
      <c r="I33" s="273">
        <f>SUM('- 41 -'!$H33,F33)</f>
        <v>28185333</v>
      </c>
    </row>
    <row r="34" spans="1:9" ht="14.1" customHeight="1">
      <c r="A34" s="16" t="s">
        <v>131</v>
      </c>
      <c r="B34" s="17">
        <v>102500</v>
      </c>
      <c r="C34" s="268">
        <f t="shared" si="0"/>
        <v>0.36081762752870233</v>
      </c>
      <c r="D34" s="17">
        <v>30431</v>
      </c>
      <c r="E34" s="268">
        <f t="shared" si="1"/>
        <v>0.10712235339830187</v>
      </c>
      <c r="F34" s="17">
        <f>SUM('- 42 -'!$B34,'- 42 -'!$D34,'- 42 -'!$F34,'- 42 -'!$H34,B34,D34)</f>
        <v>12428108</v>
      </c>
      <c r="G34" s="268">
        <f t="shared" si="2"/>
        <v>43.749077494931569</v>
      </c>
      <c r="I34" s="17">
        <f>SUM('- 41 -'!$H34,F34)</f>
        <v>28407703</v>
      </c>
    </row>
    <row r="35" spans="1:9" ht="14.1" customHeight="1">
      <c r="A35" s="272" t="s">
        <v>132</v>
      </c>
      <c r="B35" s="273">
        <v>735000</v>
      </c>
      <c r="C35" s="274">
        <f t="shared" si="0"/>
        <v>0.41097206164956668</v>
      </c>
      <c r="D35" s="273">
        <v>20000</v>
      </c>
      <c r="E35" s="274">
        <f t="shared" si="1"/>
        <v>1.1182913242165081E-2</v>
      </c>
      <c r="F35" s="273">
        <f>SUM('- 42 -'!$B35,'- 42 -'!$D35,'- 42 -'!$F35,'- 42 -'!$H35,B35,D35)</f>
        <v>59405327</v>
      </c>
      <c r="G35" s="274">
        <f t="shared" si="2"/>
        <v>33.216230898172341</v>
      </c>
      <c r="I35" s="273">
        <f>SUM('- 41 -'!$H35,F35)</f>
        <v>178844274</v>
      </c>
    </row>
    <row r="36" spans="1:9" ht="14.1" customHeight="1">
      <c r="A36" s="16" t="s">
        <v>133</v>
      </c>
      <c r="B36" s="17">
        <v>34200</v>
      </c>
      <c r="C36" s="268">
        <f t="shared" si="0"/>
        <v>0.1462752421026339</v>
      </c>
      <c r="D36" s="17">
        <v>72950</v>
      </c>
      <c r="E36" s="268">
        <f t="shared" si="1"/>
        <v>0.31201107928032579</v>
      </c>
      <c r="F36" s="17">
        <f>SUM('- 42 -'!$B36,'- 42 -'!$D36,'- 42 -'!$F36,'- 42 -'!$H36,B36,D36)</f>
        <v>9725224</v>
      </c>
      <c r="G36" s="268">
        <f t="shared" si="2"/>
        <v>41.595306874337588</v>
      </c>
      <c r="I36" s="17">
        <f>SUM('- 41 -'!$H36,F36)</f>
        <v>23380580</v>
      </c>
    </row>
    <row r="37" spans="1:9" ht="14.1" customHeight="1">
      <c r="A37" s="272" t="s">
        <v>134</v>
      </c>
      <c r="B37" s="273">
        <v>0</v>
      </c>
      <c r="C37" s="274">
        <f t="shared" si="0"/>
        <v>0</v>
      </c>
      <c r="D37" s="273">
        <v>56000</v>
      </c>
      <c r="E37" s="274">
        <f t="shared" si="1"/>
        <v>0.11636121846818769</v>
      </c>
      <c r="F37" s="273">
        <f>SUM('- 42 -'!$B37,'- 42 -'!$D37,'- 42 -'!$F37,'- 42 -'!$H37,B37,D37)</f>
        <v>13846930</v>
      </c>
      <c r="G37" s="274">
        <f t="shared" si="2"/>
        <v>28.772243693637535</v>
      </c>
      <c r="I37" s="273">
        <f>SUM('- 41 -'!$H37,F37)</f>
        <v>48126000</v>
      </c>
    </row>
    <row r="38" spans="1:9" ht="14.1" customHeight="1">
      <c r="A38" s="16" t="s">
        <v>135</v>
      </c>
      <c r="B38" s="17">
        <v>1007900</v>
      </c>
      <c r="C38" s="268">
        <f t="shared" si="0"/>
        <v>0.76236598433864733</v>
      </c>
      <c r="D38" s="17">
        <v>53000</v>
      </c>
      <c r="E38" s="268">
        <f t="shared" si="1"/>
        <v>4.0088696467852278E-2</v>
      </c>
      <c r="F38" s="17">
        <f>SUM('- 42 -'!$B38,'- 42 -'!$D38,'- 42 -'!$F38,'- 42 -'!$H38,B38,D38)</f>
        <v>40531646</v>
      </c>
      <c r="G38" s="268">
        <f t="shared" si="2"/>
        <v>30.657751959178086</v>
      </c>
      <c r="I38" s="17">
        <f>SUM('- 41 -'!$H38,F38)</f>
        <v>132206843</v>
      </c>
    </row>
    <row r="39" spans="1:9" ht="14.1" customHeight="1">
      <c r="A39" s="272" t="s">
        <v>136</v>
      </c>
      <c r="B39" s="273">
        <v>0</v>
      </c>
      <c r="C39" s="274">
        <f t="shared" si="0"/>
        <v>0</v>
      </c>
      <c r="D39" s="273">
        <v>68320</v>
      </c>
      <c r="E39" s="274">
        <f t="shared" si="1"/>
        <v>0.30284587352549924</v>
      </c>
      <c r="F39" s="273">
        <f>SUM('- 42 -'!$B39,'- 42 -'!$D39,'- 42 -'!$F39,'- 42 -'!$H39,B39,D39)</f>
        <v>10491999</v>
      </c>
      <c r="G39" s="274">
        <f t="shared" si="2"/>
        <v>46.508469001517334</v>
      </c>
      <c r="I39" s="273">
        <f>SUM('- 41 -'!$H39,F39)</f>
        <v>22559330</v>
      </c>
    </row>
    <row r="40" spans="1:9" ht="14.1" customHeight="1">
      <c r="A40" s="16" t="s">
        <v>137</v>
      </c>
      <c r="B40" s="17">
        <v>2509170</v>
      </c>
      <c r="C40" s="268">
        <f t="shared" si="0"/>
        <v>2.425510293418625</v>
      </c>
      <c r="D40" s="17">
        <v>744285</v>
      </c>
      <c r="E40" s="268">
        <f t="shared" si="1"/>
        <v>0.7194693578900917</v>
      </c>
      <c r="F40" s="17">
        <f>SUM('- 42 -'!$B40,'- 42 -'!$D40,'- 42 -'!$F40,'- 42 -'!$H40,B40,D40)</f>
        <v>45105143</v>
      </c>
      <c r="G40" s="268">
        <f t="shared" si="2"/>
        <v>43.601266009325414</v>
      </c>
      <c r="I40" s="17">
        <f>SUM('- 41 -'!$H40,F40)</f>
        <v>103449159</v>
      </c>
    </row>
    <row r="41" spans="1:9" ht="14.1" customHeight="1">
      <c r="A41" s="272" t="s">
        <v>138</v>
      </c>
      <c r="B41" s="273">
        <v>0</v>
      </c>
      <c r="C41" s="274">
        <f t="shared" si="0"/>
        <v>0</v>
      </c>
      <c r="D41" s="273">
        <v>63420</v>
      </c>
      <c r="E41" s="274">
        <f t="shared" si="1"/>
        <v>9.9093941994512616E-2</v>
      </c>
      <c r="F41" s="273">
        <f>SUM('- 42 -'!$B41,'- 42 -'!$D41,'- 42 -'!$F41,'- 42 -'!$H41,B41,D41)</f>
        <v>26159723</v>
      </c>
      <c r="G41" s="274">
        <f t="shared" si="2"/>
        <v>40.874646382127366</v>
      </c>
      <c r="I41" s="273">
        <f>SUM('- 41 -'!$H41,F41)</f>
        <v>63999876</v>
      </c>
    </row>
    <row r="42" spans="1:9" ht="14.1" customHeight="1">
      <c r="A42" s="16" t="s">
        <v>139</v>
      </c>
      <c r="B42" s="17">
        <v>245800</v>
      </c>
      <c r="C42" s="268">
        <f t="shared" si="0"/>
        <v>1.1864318915209313</v>
      </c>
      <c r="D42" s="17">
        <v>73400</v>
      </c>
      <c r="E42" s="268">
        <f t="shared" si="1"/>
        <v>0.35428844929876468</v>
      </c>
      <c r="F42" s="17">
        <f>SUM('- 42 -'!$B42,'- 42 -'!$D42,'- 42 -'!$F42,'- 42 -'!$H42,B42,D42)</f>
        <v>5912503</v>
      </c>
      <c r="G42" s="268">
        <f t="shared" si="2"/>
        <v>28.538576557824168</v>
      </c>
      <c r="I42" s="17">
        <f>SUM('- 41 -'!$H42,F42)</f>
        <v>20717582</v>
      </c>
    </row>
    <row r="43" spans="1:9" ht="14.1" customHeight="1">
      <c r="A43" s="272" t="s">
        <v>140</v>
      </c>
      <c r="B43" s="273">
        <v>18757</v>
      </c>
      <c r="C43" s="274">
        <f t="shared" si="0"/>
        <v>0.14355208016201632</v>
      </c>
      <c r="D43" s="273">
        <v>23100</v>
      </c>
      <c r="E43" s="274">
        <f t="shared" si="1"/>
        <v>0.1767901610994603</v>
      </c>
      <c r="F43" s="273">
        <f>SUM('- 42 -'!$B43,'- 42 -'!$D43,'- 42 -'!$F43,'- 42 -'!$H43,B43,D43)</f>
        <v>5263238</v>
      </c>
      <c r="G43" s="274">
        <f t="shared" si="2"/>
        <v>40.280895840900484</v>
      </c>
      <c r="I43" s="273">
        <f>SUM('- 41 -'!$H43,F43)</f>
        <v>13066338</v>
      </c>
    </row>
    <row r="44" spans="1:9" ht="14.1" customHeight="1">
      <c r="A44" s="16" t="s">
        <v>141</v>
      </c>
      <c r="B44" s="17">
        <v>0</v>
      </c>
      <c r="C44" s="268">
        <f t="shared" si="0"/>
        <v>0</v>
      </c>
      <c r="D44" s="17">
        <v>10700</v>
      </c>
      <c r="E44" s="268">
        <f t="shared" si="1"/>
        <v>9.552770531113508E-2</v>
      </c>
      <c r="F44" s="17">
        <f>SUM('- 42 -'!$B44,'- 42 -'!$D44,'- 42 -'!$F44,'- 42 -'!$H44,B44,D44)</f>
        <v>2393436</v>
      </c>
      <c r="G44" s="268">
        <f t="shared" si="2"/>
        <v>21.36817279337027</v>
      </c>
      <c r="I44" s="17">
        <f>SUM('- 41 -'!$H44,F44)</f>
        <v>11200939</v>
      </c>
    </row>
    <row r="45" spans="1:9" ht="14.1" customHeight="1">
      <c r="A45" s="272" t="s">
        <v>142</v>
      </c>
      <c r="B45" s="273">
        <v>233350</v>
      </c>
      <c r="C45" s="274">
        <f t="shared" si="0"/>
        <v>1.2403592433314281</v>
      </c>
      <c r="D45" s="273">
        <v>10700</v>
      </c>
      <c r="E45" s="274">
        <f t="shared" si="1"/>
        <v>5.687526849644859E-2</v>
      </c>
      <c r="F45" s="273">
        <f>SUM('- 42 -'!$B45,'- 42 -'!$D45,'- 42 -'!$F45,'- 42 -'!$H45,B45,D45)</f>
        <v>6352757</v>
      </c>
      <c r="G45" s="274">
        <f t="shared" si="2"/>
        <v>33.767734585765723</v>
      </c>
      <c r="I45" s="273">
        <f>SUM('- 41 -'!$H45,F45)</f>
        <v>18813098</v>
      </c>
    </row>
    <row r="46" spans="1:9" ht="14.1" customHeight="1">
      <c r="A46" s="16" t="s">
        <v>143</v>
      </c>
      <c r="B46" s="17">
        <v>580000</v>
      </c>
      <c r="C46" s="268">
        <f t="shared" si="0"/>
        <v>0.14967533355664206</v>
      </c>
      <c r="D46" s="17">
        <v>705000</v>
      </c>
      <c r="E46" s="268">
        <f t="shared" si="1"/>
        <v>0.18193294854729766</v>
      </c>
      <c r="F46" s="17">
        <f>SUM('- 42 -'!$B46,'- 42 -'!$D46,'- 42 -'!$F46,'- 42 -'!$H46,B46,D46)</f>
        <v>148272174</v>
      </c>
      <c r="G46" s="268">
        <f t="shared" si="2"/>
        <v>38.263253621755986</v>
      </c>
      <c r="I46" s="17">
        <f>SUM('- 41 -'!$H46,F46)</f>
        <v>387505400</v>
      </c>
    </row>
    <row r="47" spans="1:9" ht="5.0999999999999996" customHeight="1">
      <c r="A47"/>
      <c r="B47"/>
      <c r="C47"/>
      <c r="D47"/>
      <c r="E47"/>
      <c r="F47"/>
      <c r="G47"/>
      <c r="I47"/>
    </row>
    <row r="48" spans="1:9" ht="14.1" customHeight="1">
      <c r="A48" s="275" t="s">
        <v>144</v>
      </c>
      <c r="B48" s="276">
        <f>SUM(B11:B46)</f>
        <v>18392837</v>
      </c>
      <c r="C48" s="277">
        <f>B48/I48*100</f>
        <v>0.80926251799193993</v>
      </c>
      <c r="D48" s="276">
        <f>SUM(D11:D46)</f>
        <v>4636133</v>
      </c>
      <c r="E48" s="277">
        <f t="shared" si="1"/>
        <v>0.20398422849751383</v>
      </c>
      <c r="F48" s="276">
        <f>SUM(F11:F46)</f>
        <v>868469001</v>
      </c>
      <c r="G48" s="277">
        <f t="shared" si="2"/>
        <v>38.211582614862763</v>
      </c>
      <c r="I48" s="276">
        <f>SUM(I11:I46)</f>
        <v>2272789928</v>
      </c>
    </row>
    <row r="49" spans="1:9" ht="5.0999999999999996" customHeight="1">
      <c r="A49" s="18" t="s">
        <v>1</v>
      </c>
      <c r="B49" s="19"/>
      <c r="C49" s="267"/>
      <c r="D49" s="19"/>
      <c r="E49" s="267"/>
      <c r="F49" s="19"/>
      <c r="G49" s="267"/>
      <c r="I49" s="19"/>
    </row>
    <row r="50" spans="1:9" ht="14.1" customHeight="1">
      <c r="A50" s="16" t="s">
        <v>145</v>
      </c>
      <c r="B50" s="17">
        <v>15000</v>
      </c>
      <c r="C50" s="268">
        <f>B50/I50*100</f>
        <v>0.43909927273451121</v>
      </c>
      <c r="D50" s="17">
        <v>50000</v>
      </c>
      <c r="E50" s="268">
        <f>D50/I50*100</f>
        <v>1.4636642424483708</v>
      </c>
      <c r="F50" s="17">
        <f>SUM('- 42 -'!$B50,'- 42 -'!$D50,'- 42 -'!$F50,'- 42 -'!$H50,B50,D50)</f>
        <v>1982100</v>
      </c>
      <c r="G50" s="268">
        <f>F50/I50*100</f>
        <v>58.022577899138319</v>
      </c>
      <c r="I50" s="17">
        <f>SUM('- 41 -'!$H50,F50)</f>
        <v>3416084</v>
      </c>
    </row>
    <row r="51" spans="1:9" ht="14.1" customHeight="1">
      <c r="A51" s="364" t="s">
        <v>540</v>
      </c>
      <c r="B51" s="273">
        <v>8925567</v>
      </c>
      <c r="C51" s="274">
        <f>B51/I51*100</f>
        <v>33.937904234649061</v>
      </c>
      <c r="D51" s="273">
        <v>1884047</v>
      </c>
      <c r="E51" s="274">
        <f>D51/I51*100</f>
        <v>7.163758521960327</v>
      </c>
      <c r="F51" s="273">
        <f>SUM('- 42 -'!$B51,'- 42 -'!$D51,'- 42 -'!$F51,'- 42 -'!$H51,B51,D51)</f>
        <v>16741459</v>
      </c>
      <c r="G51" s="274">
        <f>F51/I51*100</f>
        <v>63.656463761944046</v>
      </c>
      <c r="I51" s="273">
        <f>SUM('- 41 -'!$H51,F51)</f>
        <v>26299700</v>
      </c>
    </row>
    <row r="52" spans="1:9" ht="50.1" customHeight="1"/>
    <row r="53" spans="1:9" ht="14.45" customHeight="1">
      <c r="I53" s="73"/>
    </row>
    <row r="54" spans="1:9" ht="14.45" customHeight="1"/>
    <row r="55" spans="1:9" ht="14.45" customHeight="1"/>
    <row r="56" spans="1:9" ht="14.45" customHeight="1"/>
    <row r="57" spans="1:9" ht="14.45" customHeight="1"/>
    <row r="58" spans="1:9" ht="14.45" customHeight="1"/>
    <row r="59" spans="1:9" ht="14.45" customHeight="1"/>
    <row r="63" spans="1:9">
      <c r="I63" s="1">
        <v>0</v>
      </c>
    </row>
  </sheetData>
  <mergeCells count="4">
    <mergeCell ref="B6:C8"/>
    <mergeCell ref="D8:E8"/>
    <mergeCell ref="F6:G8"/>
    <mergeCell ref="I6:I8"/>
  </mergeCells>
  <phoneticPr fontId="0" type="noConversion"/>
  <printOptions horizontalCentered="1"/>
  <pageMargins left="0.51181102362204722" right="0.51181102362204722" top="0.59055118110236227" bottom="0" header="0.31496062992125984" footer="0"/>
  <pageSetup scale="85" orientation="portrait"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41">
    <pageSetUpPr fitToPage="1"/>
  </sheetPr>
  <dimension ref="A1:BB60"/>
  <sheetViews>
    <sheetView showGridLines="0" showZeros="0" workbookViewId="0"/>
  </sheetViews>
  <sheetFormatPr defaultColWidth="19.83203125" defaultRowHeight="12"/>
  <cols>
    <col min="1" max="1" width="38.83203125" style="1" customWidth="1"/>
    <col min="2" max="2" width="40.83203125" style="1" customWidth="1"/>
    <col min="3" max="3" width="53.83203125" style="1" customWidth="1"/>
    <col min="4" max="16384" width="19.83203125" style="1"/>
  </cols>
  <sheetData>
    <row r="1" spans="1:54" ht="6.95" customHeight="1">
      <c r="A1" s="3"/>
    </row>
    <row r="2" spans="1:54" ht="15.95" customHeight="1">
      <c r="A2" s="194" t="str">
        <f>IF(Lang=1,BA2,BB2)</f>
        <v>NET TRANSFERS TO/(FROM) CAPITAL FUND</v>
      </c>
      <c r="B2" s="194"/>
      <c r="C2" s="195"/>
      <c r="BA2" s="462" t="s">
        <v>325</v>
      </c>
      <c r="BB2" s="480" t="s">
        <v>475</v>
      </c>
    </row>
    <row r="3" spans="1:54" ht="15.95" customHeight="1">
      <c r="A3" s="196" t="str">
        <f>IF(Lang=1,BA3,BB3)</f>
        <v>2015/2016 BUDGET</v>
      </c>
      <c r="B3" s="196"/>
      <c r="C3" s="197"/>
      <c r="BA3" s="462" t="str">
        <f>REPLACE(REVYEAR,1,36,"")</f>
        <v>2015/2016 BUDGET</v>
      </c>
      <c r="BB3" s="481" t="str">
        <f>"BUDGET "&amp;YEAR&amp;" -"&amp;YEAR+1</f>
        <v>BUDGET 2015 -2016</v>
      </c>
    </row>
    <row r="4" spans="1:54" ht="15.95" customHeight="1">
      <c r="B4" s="4"/>
    </row>
    <row r="5" spans="1:54" ht="15.95" customHeight="1">
      <c r="A5"/>
      <c r="B5"/>
      <c r="C5"/>
    </row>
    <row r="6" spans="1:54" ht="15.95" customHeight="1">
      <c r="A6"/>
      <c r="B6"/>
      <c r="C6"/>
    </row>
    <row r="7" spans="1:54" ht="15.95" customHeight="1">
      <c r="B7" s="730" t="s">
        <v>476</v>
      </c>
      <c r="C7"/>
    </row>
    <row r="8" spans="1:54" ht="15.95" customHeight="1">
      <c r="A8" s="250"/>
      <c r="B8" s="710"/>
      <c r="C8"/>
    </row>
    <row r="9" spans="1:54" ht="15.95" customHeight="1">
      <c r="A9" s="251" t="s">
        <v>37</v>
      </c>
      <c r="B9" s="594"/>
      <c r="C9"/>
    </row>
    <row r="10" spans="1:54" ht="5.0999999999999996" customHeight="1">
      <c r="A10" s="30"/>
      <c r="B10" s="183"/>
      <c r="C10"/>
    </row>
    <row r="11" spans="1:54" ht="14.1" customHeight="1">
      <c r="A11" s="272" t="s">
        <v>109</v>
      </c>
      <c r="B11" s="273">
        <v>145000</v>
      </c>
      <c r="C11"/>
    </row>
    <row r="12" spans="1:54" ht="14.1" customHeight="1">
      <c r="A12" s="16" t="s">
        <v>110</v>
      </c>
      <c r="B12" s="17">
        <v>600000</v>
      </c>
      <c r="C12"/>
    </row>
    <row r="13" spans="1:54" ht="14.1" customHeight="1">
      <c r="A13" s="272" t="s">
        <v>111</v>
      </c>
      <c r="B13" s="273">
        <v>814000</v>
      </c>
      <c r="C13"/>
    </row>
    <row r="14" spans="1:54" ht="14.1" customHeight="1">
      <c r="A14" s="16" t="s">
        <v>324</v>
      </c>
      <c r="B14" s="17">
        <v>32500</v>
      </c>
      <c r="C14"/>
    </row>
    <row r="15" spans="1:54" ht="14.1" customHeight="1">
      <c r="A15" s="272" t="s">
        <v>112</v>
      </c>
      <c r="B15" s="273">
        <v>334163</v>
      </c>
      <c r="C15"/>
    </row>
    <row r="16" spans="1:54" ht="14.1" customHeight="1">
      <c r="A16" s="16" t="s">
        <v>113</v>
      </c>
      <c r="B16" s="17">
        <v>30000</v>
      </c>
      <c r="C16"/>
    </row>
    <row r="17" spans="1:3" ht="14.1" customHeight="1">
      <c r="A17" s="272" t="s">
        <v>114</v>
      </c>
      <c r="B17" s="273">
        <v>225000</v>
      </c>
      <c r="C17"/>
    </row>
    <row r="18" spans="1:3" ht="14.1" customHeight="1">
      <c r="A18" s="16" t="s">
        <v>115</v>
      </c>
      <c r="B18" s="17">
        <v>1000000</v>
      </c>
      <c r="C18"/>
    </row>
    <row r="19" spans="1:3" ht="14.1" customHeight="1">
      <c r="A19" s="272" t="s">
        <v>116</v>
      </c>
      <c r="B19" s="273">
        <v>1897900</v>
      </c>
      <c r="C19"/>
    </row>
    <row r="20" spans="1:3" ht="14.1" customHeight="1">
      <c r="A20" s="16" t="s">
        <v>117</v>
      </c>
      <c r="B20" s="17">
        <v>2097100</v>
      </c>
      <c r="C20"/>
    </row>
    <row r="21" spans="1:3" ht="14.1" customHeight="1">
      <c r="A21" s="272" t="s">
        <v>118</v>
      </c>
      <c r="B21" s="273">
        <v>350000</v>
      </c>
      <c r="C21"/>
    </row>
    <row r="22" spans="1:3" ht="14.1" customHeight="1">
      <c r="A22" s="16" t="s">
        <v>119</v>
      </c>
      <c r="B22" s="17">
        <v>40000</v>
      </c>
      <c r="C22"/>
    </row>
    <row r="23" spans="1:3" ht="14.1" customHeight="1">
      <c r="A23" s="272" t="s">
        <v>120</v>
      </c>
      <c r="B23" s="273">
        <v>200000</v>
      </c>
      <c r="C23"/>
    </row>
    <row r="24" spans="1:3" ht="14.1" customHeight="1">
      <c r="A24" s="16" t="s">
        <v>121</v>
      </c>
      <c r="B24" s="17">
        <v>480886</v>
      </c>
      <c r="C24"/>
    </row>
    <row r="25" spans="1:3" ht="14.1" customHeight="1">
      <c r="A25" s="272" t="s">
        <v>122</v>
      </c>
      <c r="B25" s="273">
        <v>1735508</v>
      </c>
      <c r="C25"/>
    </row>
    <row r="26" spans="1:3" ht="14.1" customHeight="1">
      <c r="A26" s="16" t="s">
        <v>123</v>
      </c>
      <c r="B26" s="17">
        <v>986472</v>
      </c>
      <c r="C26"/>
    </row>
    <row r="27" spans="1:3" ht="14.1" customHeight="1">
      <c r="A27" s="272" t="s">
        <v>124</v>
      </c>
      <c r="B27" s="273">
        <v>850000</v>
      </c>
      <c r="C27"/>
    </row>
    <row r="28" spans="1:3" ht="14.1" customHeight="1">
      <c r="A28" s="16" t="s">
        <v>125</v>
      </c>
      <c r="B28" s="17">
        <v>30000</v>
      </c>
      <c r="C28"/>
    </row>
    <row r="29" spans="1:3" ht="14.1" customHeight="1">
      <c r="A29" s="272" t="s">
        <v>126</v>
      </c>
      <c r="B29" s="273">
        <v>1519000</v>
      </c>
      <c r="C29"/>
    </row>
    <row r="30" spans="1:3" ht="14.1" customHeight="1">
      <c r="A30" s="16" t="s">
        <v>127</v>
      </c>
      <c r="B30" s="17">
        <v>216234</v>
      </c>
      <c r="C30"/>
    </row>
    <row r="31" spans="1:3" ht="14.1" customHeight="1">
      <c r="A31" s="272" t="s">
        <v>128</v>
      </c>
      <c r="B31" s="273">
        <v>1231000</v>
      </c>
      <c r="C31"/>
    </row>
    <row r="32" spans="1:3" ht="14.1" customHeight="1">
      <c r="A32" s="16" t="s">
        <v>129</v>
      </c>
      <c r="B32" s="17">
        <v>425100</v>
      </c>
      <c r="C32"/>
    </row>
    <row r="33" spans="1:3" ht="14.1" customHeight="1">
      <c r="A33" s="272" t="s">
        <v>130</v>
      </c>
      <c r="B33" s="273">
        <v>804533</v>
      </c>
      <c r="C33"/>
    </row>
    <row r="34" spans="1:3" ht="14.1" customHeight="1">
      <c r="A34" s="16" t="s">
        <v>131</v>
      </c>
      <c r="B34" s="17">
        <v>335455</v>
      </c>
      <c r="C34"/>
    </row>
    <row r="35" spans="1:3" ht="14.1" customHeight="1">
      <c r="A35" s="272" t="s">
        <v>132</v>
      </c>
      <c r="B35" s="273">
        <v>2608000</v>
      </c>
      <c r="C35"/>
    </row>
    <row r="36" spans="1:3" ht="14.1" customHeight="1">
      <c r="A36" s="16" t="s">
        <v>133</v>
      </c>
      <c r="B36" s="17">
        <v>145000</v>
      </c>
      <c r="C36"/>
    </row>
    <row r="37" spans="1:3" ht="14.1" customHeight="1">
      <c r="A37" s="272" t="s">
        <v>134</v>
      </c>
      <c r="B37" s="273">
        <v>823000</v>
      </c>
      <c r="C37"/>
    </row>
    <row r="38" spans="1:3" ht="14.1" customHeight="1">
      <c r="A38" s="16" t="s">
        <v>135</v>
      </c>
      <c r="B38" s="17">
        <v>1841000</v>
      </c>
      <c r="C38"/>
    </row>
    <row r="39" spans="1:3" ht="14.1" customHeight="1">
      <c r="A39" s="272" t="s">
        <v>136</v>
      </c>
      <c r="B39" s="273">
        <v>453500</v>
      </c>
      <c r="C39"/>
    </row>
    <row r="40" spans="1:3" ht="14.1" customHeight="1">
      <c r="A40" s="16" t="s">
        <v>137</v>
      </c>
      <c r="B40" s="17">
        <v>890410</v>
      </c>
      <c r="C40"/>
    </row>
    <row r="41" spans="1:3" ht="14.1" customHeight="1">
      <c r="A41" s="272" t="s">
        <v>138</v>
      </c>
      <c r="B41" s="273">
        <v>1075652</v>
      </c>
      <c r="C41"/>
    </row>
    <row r="42" spans="1:3" ht="14.1" customHeight="1">
      <c r="A42" s="16" t="s">
        <v>139</v>
      </c>
      <c r="B42" s="17">
        <v>149331</v>
      </c>
      <c r="C42"/>
    </row>
    <row r="43" spans="1:3" ht="14.1" customHeight="1">
      <c r="A43" s="272" t="s">
        <v>140</v>
      </c>
      <c r="B43" s="273">
        <v>206000</v>
      </c>
      <c r="C43"/>
    </row>
    <row r="44" spans="1:3" ht="14.1" customHeight="1">
      <c r="A44" s="16" t="s">
        <v>141</v>
      </c>
      <c r="B44" s="17">
        <v>30000</v>
      </c>
      <c r="C44"/>
    </row>
    <row r="45" spans="1:3" ht="14.1" customHeight="1">
      <c r="A45" s="272" t="s">
        <v>142</v>
      </c>
      <c r="B45" s="273">
        <v>403200</v>
      </c>
      <c r="C45"/>
    </row>
    <row r="46" spans="1:3" ht="14.1" customHeight="1">
      <c r="A46" s="16" t="s">
        <v>143</v>
      </c>
      <c r="B46" s="17">
        <v>2037400</v>
      </c>
      <c r="C46"/>
    </row>
    <row r="47" spans="1:3" ht="5.0999999999999996" customHeight="1">
      <c r="A47"/>
      <c r="B47" s="372"/>
      <c r="C47"/>
    </row>
    <row r="48" spans="1:3" ht="14.1" customHeight="1">
      <c r="A48" s="275" t="s">
        <v>144</v>
      </c>
      <c r="B48" s="276">
        <f>SUM(B11:B46)</f>
        <v>27042344</v>
      </c>
      <c r="C48"/>
    </row>
    <row r="49" spans="1:3" ht="5.0999999999999996" customHeight="1">
      <c r="A49" s="18" t="s">
        <v>1</v>
      </c>
      <c r="B49" s="373"/>
      <c r="C49"/>
    </row>
    <row r="50" spans="1:3" ht="14.1" customHeight="1">
      <c r="A50" s="16" t="s">
        <v>145</v>
      </c>
      <c r="B50" s="17">
        <v>45500</v>
      </c>
      <c r="C50"/>
    </row>
    <row r="51" spans="1:3" ht="14.1" customHeight="1">
      <c r="A51" s="364" t="s">
        <v>540</v>
      </c>
      <c r="B51" s="273">
        <v>374619</v>
      </c>
      <c r="C51"/>
    </row>
    <row r="52" spans="1:3" ht="14.1" customHeight="1">
      <c r="A52" s="240"/>
      <c r="B52" s="241"/>
      <c r="C52"/>
    </row>
    <row r="53" spans="1:3" ht="50.1" customHeight="1">
      <c r="A53" s="20"/>
      <c r="B53" s="20"/>
      <c r="C53" s="435"/>
    </row>
    <row r="54" spans="1:3" ht="14.45" customHeight="1">
      <c r="A54" s="128" t="s">
        <v>338</v>
      </c>
    </row>
    <row r="55" spans="1:3" ht="14.45" customHeight="1"/>
    <row r="56" spans="1:3" ht="14.45" customHeight="1"/>
    <row r="57" spans="1:3" ht="14.45" customHeight="1"/>
    <row r="58" spans="1:3" ht="14.45" customHeight="1"/>
    <row r="59" spans="1:3" ht="14.45" customHeight="1"/>
    <row r="60" spans="1:3" ht="14.45" customHeight="1"/>
  </sheetData>
  <mergeCells count="1">
    <mergeCell ref="B7:B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BC59"/>
  <sheetViews>
    <sheetView showGridLines="0" showZeros="0" workbookViewId="0"/>
  </sheetViews>
  <sheetFormatPr defaultColWidth="12.83203125" defaultRowHeight="12"/>
  <cols>
    <col min="1" max="1" width="29.83203125" style="1" customWidth="1"/>
    <col min="2" max="8" width="14.83203125" style="1" customWidth="1"/>
    <col min="9" max="9" width="15.83203125" style="1" customWidth="1"/>
    <col min="10" max="16384" width="12.83203125" style="1"/>
  </cols>
  <sheetData>
    <row r="1" spans="1:55" ht="6.95" customHeight="1">
      <c r="A1" s="3"/>
      <c r="B1" s="33"/>
      <c r="C1" s="33"/>
      <c r="D1" s="33"/>
      <c r="E1" s="33"/>
      <c r="F1" s="33"/>
      <c r="G1" s="33"/>
      <c r="H1" s="33"/>
      <c r="I1" s="33"/>
      <c r="BA1" s="165"/>
      <c r="BB1" s="165"/>
      <c r="BC1" s="165"/>
    </row>
    <row r="2" spans="1:55" ht="15.95" customHeight="1">
      <c r="A2" s="34"/>
      <c r="B2" s="35" t="str">
        <f>IF(Lang=1,BA2,BB2)</f>
        <v>FRAME STUDENT STATISTICS</v>
      </c>
      <c r="C2" s="36"/>
      <c r="D2" s="36"/>
      <c r="E2" s="36"/>
      <c r="F2" s="36"/>
      <c r="G2" s="36"/>
      <c r="H2" s="37" t="s">
        <v>75</v>
      </c>
      <c r="BA2" s="467" t="s">
        <v>74</v>
      </c>
      <c r="BB2" s="467" t="s">
        <v>388</v>
      </c>
      <c r="BC2" s="165"/>
    </row>
    <row r="3" spans="1:55" ht="15.95" customHeight="1">
      <c r="A3" s="38"/>
      <c r="B3" s="39" t="str">
        <f>IF(Lang=1,BA3,BB3)</f>
        <v>ESTIMATE SEPTEMBER 30, 2015</v>
      </c>
      <c r="C3" s="40"/>
      <c r="D3" s="41"/>
      <c r="E3" s="40"/>
      <c r="F3" s="41"/>
      <c r="G3" s="40"/>
      <c r="H3" s="42"/>
      <c r="BA3" s="468" t="str">
        <f>"ESTIMATE SEPTEMBER 30, "&amp;YEAR</f>
        <v>ESTIMATE SEPTEMBER 30, 2015</v>
      </c>
      <c r="BB3" s="468" t="str">
        <f>"PRÉVISIONS AU 30 SEPTEMBRE "&amp;YEAR</f>
        <v>PRÉVISIONS AU 30 SEPTEMBRE 2015</v>
      </c>
      <c r="BC3" s="165"/>
    </row>
    <row r="4" spans="1:55" ht="15.95" customHeight="1">
      <c r="B4" s="33"/>
      <c r="C4" s="33"/>
      <c r="D4" s="33"/>
      <c r="E4" s="33"/>
      <c r="F4" s="33"/>
      <c r="G4" s="43"/>
      <c r="H4" s="33"/>
      <c r="I4" s="33"/>
      <c r="BA4" s="165"/>
      <c r="BB4" s="165"/>
      <c r="BC4" s="165"/>
    </row>
    <row r="5" spans="1:55" ht="15.95" customHeight="1">
      <c r="B5" s="33"/>
      <c r="C5" s="33"/>
      <c r="D5" s="33"/>
      <c r="E5" s="33"/>
      <c r="F5" s="33"/>
      <c r="G5" s="33"/>
      <c r="H5" s="33"/>
      <c r="I5" s="33"/>
    </row>
    <row r="6" spans="1:55" ht="15.95" customHeight="1">
      <c r="B6" s="544" t="s">
        <v>21</v>
      </c>
      <c r="C6" s="545"/>
      <c r="D6" s="545"/>
      <c r="E6" s="545"/>
      <c r="F6" s="545"/>
      <c r="G6" s="545"/>
      <c r="H6" s="546"/>
    </row>
    <row r="7" spans="1:55" ht="15.95" customHeight="1">
      <c r="B7" s="542" t="s">
        <v>233</v>
      </c>
      <c r="C7" s="540"/>
      <c r="D7" s="543"/>
      <c r="E7" s="539" t="s">
        <v>234</v>
      </c>
      <c r="F7" s="540"/>
      <c r="G7" s="540"/>
      <c r="H7" s="541"/>
    </row>
    <row r="8" spans="1:55" ht="15.95" customHeight="1">
      <c r="A8" s="45"/>
      <c r="B8" s="547" t="s">
        <v>15</v>
      </c>
      <c r="C8" s="537" t="s">
        <v>16</v>
      </c>
      <c r="D8" s="549" t="s">
        <v>17</v>
      </c>
      <c r="E8" s="551" t="s">
        <v>15</v>
      </c>
      <c r="F8" s="537" t="s">
        <v>386</v>
      </c>
      <c r="G8" s="537" t="s">
        <v>17</v>
      </c>
      <c r="H8" s="537" t="s">
        <v>387</v>
      </c>
    </row>
    <row r="9" spans="1:55" ht="15.95" customHeight="1">
      <c r="A9" s="46" t="s">
        <v>37</v>
      </c>
      <c r="B9" s="548"/>
      <c r="C9" s="538"/>
      <c r="D9" s="550"/>
      <c r="E9" s="552"/>
      <c r="F9" s="538"/>
      <c r="G9" s="538"/>
      <c r="H9" s="538"/>
    </row>
    <row r="10" spans="1:55" ht="5.0999999999999996" customHeight="1">
      <c r="A10" s="30"/>
      <c r="B10" s="47"/>
      <c r="C10" s="47"/>
      <c r="D10" s="47"/>
      <c r="E10" s="47"/>
      <c r="F10" s="47"/>
      <c r="G10" s="47"/>
      <c r="H10" s="47"/>
    </row>
    <row r="11" spans="1:55" ht="14.1" customHeight="1">
      <c r="A11" s="272" t="s">
        <v>109</v>
      </c>
      <c r="B11" s="293">
        <v>1647</v>
      </c>
      <c r="C11" s="293">
        <v>0</v>
      </c>
      <c r="D11" s="296">
        <v>0</v>
      </c>
      <c r="E11" s="297">
        <v>0</v>
      </c>
      <c r="F11" s="293">
        <v>0</v>
      </c>
      <c r="G11" s="293">
        <v>0</v>
      </c>
      <c r="H11" s="293">
        <v>0</v>
      </c>
    </row>
    <row r="12" spans="1:55" ht="14.1" customHeight="1">
      <c r="A12" s="16" t="s">
        <v>110</v>
      </c>
      <c r="B12" s="48">
        <v>2004</v>
      </c>
      <c r="C12" s="48">
        <v>0</v>
      </c>
      <c r="D12" s="49">
        <v>0</v>
      </c>
      <c r="E12" s="50">
        <v>0</v>
      </c>
      <c r="F12" s="48">
        <v>0</v>
      </c>
      <c r="G12" s="48">
        <v>0</v>
      </c>
      <c r="H12" s="48">
        <v>0</v>
      </c>
    </row>
    <row r="13" spans="1:55" ht="14.1" customHeight="1">
      <c r="A13" s="272" t="s">
        <v>111</v>
      </c>
      <c r="B13" s="293">
        <v>5997</v>
      </c>
      <c r="C13" s="293">
        <v>0</v>
      </c>
      <c r="D13" s="296">
        <v>318</v>
      </c>
      <c r="E13" s="297">
        <v>1042.5</v>
      </c>
      <c r="F13" s="293">
        <v>0</v>
      </c>
      <c r="G13" s="293">
        <v>389</v>
      </c>
      <c r="H13" s="293">
        <v>0</v>
      </c>
    </row>
    <row r="14" spans="1:55" ht="14.1" customHeight="1">
      <c r="A14" s="16" t="s">
        <v>324</v>
      </c>
      <c r="B14" s="48">
        <v>0</v>
      </c>
      <c r="C14" s="48">
        <v>5323</v>
      </c>
      <c r="D14" s="49">
        <v>0</v>
      </c>
      <c r="E14" s="50">
        <v>0</v>
      </c>
      <c r="F14" s="48">
        <v>0</v>
      </c>
      <c r="G14" s="48">
        <v>0</v>
      </c>
      <c r="H14" s="48">
        <v>0</v>
      </c>
    </row>
    <row r="15" spans="1:55" ht="14.1" customHeight="1">
      <c r="A15" s="272" t="s">
        <v>112</v>
      </c>
      <c r="B15" s="293">
        <v>1406.5</v>
      </c>
      <c r="C15" s="293">
        <v>0</v>
      </c>
      <c r="D15" s="296">
        <v>0</v>
      </c>
      <c r="E15" s="297">
        <v>0</v>
      </c>
      <c r="F15" s="293">
        <v>0</v>
      </c>
      <c r="G15" s="293">
        <v>0</v>
      </c>
      <c r="H15" s="293">
        <v>0</v>
      </c>
    </row>
    <row r="16" spans="1:55" ht="14.1" customHeight="1">
      <c r="A16" s="16" t="s">
        <v>113</v>
      </c>
      <c r="B16" s="48">
        <v>511.9</v>
      </c>
      <c r="C16" s="48">
        <v>0</v>
      </c>
      <c r="D16" s="49">
        <v>0</v>
      </c>
      <c r="E16" s="50">
        <v>304.5</v>
      </c>
      <c r="F16" s="48">
        <v>0</v>
      </c>
      <c r="G16" s="48">
        <v>96.5</v>
      </c>
      <c r="H16" s="48">
        <v>0</v>
      </c>
    </row>
    <row r="17" spans="1:8" ht="14.1" customHeight="1">
      <c r="A17" s="272" t="s">
        <v>114</v>
      </c>
      <c r="B17" s="293">
        <v>1328.5</v>
      </c>
      <c r="C17" s="293">
        <v>0</v>
      </c>
      <c r="D17" s="296">
        <v>0</v>
      </c>
      <c r="E17" s="297">
        <v>0</v>
      </c>
      <c r="F17" s="293">
        <v>0</v>
      </c>
      <c r="G17" s="293">
        <v>0</v>
      </c>
      <c r="H17" s="293">
        <v>0</v>
      </c>
    </row>
    <row r="18" spans="1:8" ht="14.1" customHeight="1">
      <c r="A18" s="16" t="s">
        <v>115</v>
      </c>
      <c r="B18" s="48">
        <v>6211.1</v>
      </c>
      <c r="C18" s="48">
        <v>0</v>
      </c>
      <c r="D18" s="49">
        <v>0</v>
      </c>
      <c r="E18" s="50">
        <v>0</v>
      </c>
      <c r="F18" s="48">
        <v>0</v>
      </c>
      <c r="G18" s="48">
        <v>0</v>
      </c>
      <c r="H18" s="48">
        <v>0</v>
      </c>
    </row>
    <row r="19" spans="1:8" ht="14.1" customHeight="1">
      <c r="A19" s="272" t="s">
        <v>116</v>
      </c>
      <c r="B19" s="293">
        <v>4063.6</v>
      </c>
      <c r="C19" s="293">
        <v>0</v>
      </c>
      <c r="D19" s="296">
        <v>0</v>
      </c>
      <c r="E19" s="297">
        <v>0</v>
      </c>
      <c r="F19" s="293">
        <v>0</v>
      </c>
      <c r="G19" s="293">
        <v>0</v>
      </c>
      <c r="H19" s="293">
        <v>0</v>
      </c>
    </row>
    <row r="20" spans="1:8" ht="14.1" customHeight="1">
      <c r="A20" s="16" t="s">
        <v>117</v>
      </c>
      <c r="B20" s="48">
        <v>7020.71</v>
      </c>
      <c r="C20" s="48">
        <v>0</v>
      </c>
      <c r="D20" s="49">
        <v>0</v>
      </c>
      <c r="E20" s="50">
        <v>0</v>
      </c>
      <c r="F20" s="48">
        <v>0</v>
      </c>
      <c r="G20" s="48">
        <v>0</v>
      </c>
      <c r="H20" s="48">
        <v>0</v>
      </c>
    </row>
    <row r="21" spans="1:8" ht="14.1" customHeight="1">
      <c r="A21" s="272" t="s">
        <v>118</v>
      </c>
      <c r="B21" s="293">
        <v>2052</v>
      </c>
      <c r="C21" s="293">
        <v>0</v>
      </c>
      <c r="D21" s="296">
        <v>0</v>
      </c>
      <c r="E21" s="297">
        <v>436</v>
      </c>
      <c r="F21" s="293">
        <v>0</v>
      </c>
      <c r="G21" s="293">
        <v>209</v>
      </c>
      <c r="H21" s="293">
        <v>0</v>
      </c>
    </row>
    <row r="22" spans="1:8" ht="14.1" customHeight="1">
      <c r="A22" s="16" t="s">
        <v>119</v>
      </c>
      <c r="B22" s="48">
        <v>928.7</v>
      </c>
      <c r="C22" s="48">
        <v>0</v>
      </c>
      <c r="D22" s="49">
        <v>0</v>
      </c>
      <c r="E22" s="50">
        <v>506</v>
      </c>
      <c r="F22" s="48">
        <v>0</v>
      </c>
      <c r="G22" s="48">
        <v>133.5</v>
      </c>
      <c r="H22" s="48">
        <v>0</v>
      </c>
    </row>
    <row r="23" spans="1:8" ht="14.1" customHeight="1">
      <c r="A23" s="272" t="s">
        <v>120</v>
      </c>
      <c r="B23" s="293">
        <v>1100</v>
      </c>
      <c r="C23" s="293">
        <v>0</v>
      </c>
      <c r="D23" s="296">
        <v>0</v>
      </c>
      <c r="E23" s="297">
        <v>0</v>
      </c>
      <c r="F23" s="293">
        <v>0</v>
      </c>
      <c r="G23" s="293">
        <v>0</v>
      </c>
      <c r="H23" s="293">
        <v>0</v>
      </c>
    </row>
    <row r="24" spans="1:8" ht="14.1" customHeight="1">
      <c r="A24" s="16" t="s">
        <v>121</v>
      </c>
      <c r="B24" s="48">
        <v>2765.5</v>
      </c>
      <c r="C24" s="48">
        <v>0</v>
      </c>
      <c r="D24" s="49">
        <v>253</v>
      </c>
      <c r="E24" s="50">
        <v>444.5</v>
      </c>
      <c r="F24" s="48">
        <v>0</v>
      </c>
      <c r="G24" s="48">
        <v>112</v>
      </c>
      <c r="H24" s="48">
        <v>66.5</v>
      </c>
    </row>
    <row r="25" spans="1:8" ht="14.1" customHeight="1">
      <c r="A25" s="272" t="s">
        <v>122</v>
      </c>
      <c r="B25" s="293">
        <v>9428.5</v>
      </c>
      <c r="C25" s="293">
        <v>0</v>
      </c>
      <c r="D25" s="296">
        <v>4403</v>
      </c>
      <c r="E25" s="297">
        <v>0</v>
      </c>
      <c r="F25" s="293">
        <v>0</v>
      </c>
      <c r="G25" s="293">
        <v>0</v>
      </c>
      <c r="H25" s="293">
        <v>0</v>
      </c>
    </row>
    <row r="26" spans="1:8" ht="14.1" customHeight="1">
      <c r="A26" s="16" t="s">
        <v>123</v>
      </c>
      <c r="B26" s="48">
        <v>2445.5</v>
      </c>
      <c r="C26" s="48">
        <v>0</v>
      </c>
      <c r="D26" s="49">
        <v>219.5</v>
      </c>
      <c r="E26" s="50">
        <v>212</v>
      </c>
      <c r="F26" s="48">
        <v>0</v>
      </c>
      <c r="G26" s="48">
        <v>35</v>
      </c>
      <c r="H26" s="48">
        <v>76.5</v>
      </c>
    </row>
    <row r="27" spans="1:8" ht="14.1" customHeight="1">
      <c r="A27" s="272" t="s">
        <v>124</v>
      </c>
      <c r="B27" s="293">
        <v>2312</v>
      </c>
      <c r="C27" s="293">
        <v>0</v>
      </c>
      <c r="D27" s="296">
        <v>0</v>
      </c>
      <c r="E27" s="297">
        <v>125</v>
      </c>
      <c r="F27" s="293">
        <v>0</v>
      </c>
      <c r="G27" s="293">
        <v>198</v>
      </c>
      <c r="H27" s="293">
        <v>0</v>
      </c>
    </row>
    <row r="28" spans="1:8" ht="14.1" customHeight="1">
      <c r="A28" s="16" t="s">
        <v>125</v>
      </c>
      <c r="B28" s="48">
        <v>1970.5</v>
      </c>
      <c r="C28" s="48">
        <v>0</v>
      </c>
      <c r="D28" s="49">
        <v>0</v>
      </c>
      <c r="E28" s="50">
        <v>0</v>
      </c>
      <c r="F28" s="48">
        <v>0</v>
      </c>
      <c r="G28" s="48">
        <v>0</v>
      </c>
      <c r="H28" s="48">
        <v>0</v>
      </c>
    </row>
    <row r="29" spans="1:8" ht="14.1" customHeight="1">
      <c r="A29" s="272" t="s">
        <v>126</v>
      </c>
      <c r="B29" s="293">
        <v>8204.5</v>
      </c>
      <c r="C29" s="293">
        <v>0</v>
      </c>
      <c r="D29" s="296">
        <v>1290.5</v>
      </c>
      <c r="E29" s="297">
        <v>1794</v>
      </c>
      <c r="F29" s="293">
        <v>0</v>
      </c>
      <c r="G29" s="293">
        <v>1055</v>
      </c>
      <c r="H29" s="293">
        <v>0</v>
      </c>
    </row>
    <row r="30" spans="1:8" ht="14.1" customHeight="1">
      <c r="A30" s="16" t="s">
        <v>127</v>
      </c>
      <c r="B30" s="48">
        <v>999</v>
      </c>
      <c r="C30" s="48">
        <v>0</v>
      </c>
      <c r="D30" s="49">
        <v>0</v>
      </c>
      <c r="E30" s="50">
        <v>0</v>
      </c>
      <c r="F30" s="48">
        <v>0</v>
      </c>
      <c r="G30" s="48">
        <v>0</v>
      </c>
      <c r="H30" s="48">
        <v>0</v>
      </c>
    </row>
    <row r="31" spans="1:8" ht="14.1" customHeight="1">
      <c r="A31" s="272" t="s">
        <v>128</v>
      </c>
      <c r="B31" s="293">
        <v>2400</v>
      </c>
      <c r="C31" s="293">
        <v>0</v>
      </c>
      <c r="D31" s="296">
        <v>0</v>
      </c>
      <c r="E31" s="297">
        <v>432</v>
      </c>
      <c r="F31" s="293">
        <v>0</v>
      </c>
      <c r="G31" s="293">
        <v>284</v>
      </c>
      <c r="H31" s="293">
        <v>0</v>
      </c>
    </row>
    <row r="32" spans="1:8" ht="14.1" customHeight="1">
      <c r="A32" s="16" t="s">
        <v>129</v>
      </c>
      <c r="B32" s="48">
        <v>1780.2</v>
      </c>
      <c r="C32" s="48">
        <v>0</v>
      </c>
      <c r="D32" s="49">
        <v>118.5</v>
      </c>
      <c r="E32" s="50">
        <v>103</v>
      </c>
      <c r="F32" s="48">
        <v>0</v>
      </c>
      <c r="G32" s="48">
        <v>76</v>
      </c>
      <c r="H32" s="48">
        <v>0</v>
      </c>
    </row>
    <row r="33" spans="1:9" ht="14.1" customHeight="1">
      <c r="A33" s="272" t="s">
        <v>130</v>
      </c>
      <c r="B33" s="293">
        <v>1500</v>
      </c>
      <c r="C33" s="293">
        <v>0</v>
      </c>
      <c r="D33" s="296">
        <v>0</v>
      </c>
      <c r="E33" s="297">
        <v>225</v>
      </c>
      <c r="F33" s="293">
        <v>80</v>
      </c>
      <c r="G33" s="293">
        <v>120.5</v>
      </c>
      <c r="H33" s="293">
        <v>0</v>
      </c>
    </row>
    <row r="34" spans="1:9" ht="14.1" customHeight="1">
      <c r="A34" s="16" t="s">
        <v>131</v>
      </c>
      <c r="B34" s="48">
        <v>1539</v>
      </c>
      <c r="C34" s="48">
        <v>0</v>
      </c>
      <c r="D34" s="49">
        <v>231</v>
      </c>
      <c r="E34" s="50">
        <v>56</v>
      </c>
      <c r="F34" s="48">
        <v>126.5</v>
      </c>
      <c r="G34" s="48">
        <v>0</v>
      </c>
      <c r="H34" s="48">
        <v>0</v>
      </c>
    </row>
    <row r="35" spans="1:9" ht="14.1" customHeight="1">
      <c r="A35" s="272" t="s">
        <v>132</v>
      </c>
      <c r="B35" s="293">
        <v>9335</v>
      </c>
      <c r="C35" s="293">
        <v>0</v>
      </c>
      <c r="D35" s="296">
        <v>1145</v>
      </c>
      <c r="E35" s="297">
        <v>2407.5</v>
      </c>
      <c r="F35" s="293">
        <v>0</v>
      </c>
      <c r="G35" s="293">
        <v>1703</v>
      </c>
      <c r="H35" s="293">
        <v>374.5</v>
      </c>
    </row>
    <row r="36" spans="1:9" ht="14.1" customHeight="1">
      <c r="A36" s="16" t="s">
        <v>133</v>
      </c>
      <c r="B36" s="48">
        <v>1666.5</v>
      </c>
      <c r="C36" s="48">
        <v>0</v>
      </c>
      <c r="D36" s="49">
        <v>0</v>
      </c>
      <c r="E36" s="50">
        <v>0</v>
      </c>
      <c r="F36" s="48">
        <v>0</v>
      </c>
      <c r="G36" s="48">
        <v>0</v>
      </c>
      <c r="H36" s="48">
        <v>0</v>
      </c>
    </row>
    <row r="37" spans="1:9" ht="14.1" customHeight="1">
      <c r="A37" s="272" t="s">
        <v>134</v>
      </c>
      <c r="B37" s="293">
        <v>2021.5</v>
      </c>
      <c r="C37" s="293">
        <v>0</v>
      </c>
      <c r="D37" s="296">
        <v>717</v>
      </c>
      <c r="E37" s="297">
        <v>737.5</v>
      </c>
      <c r="F37" s="293">
        <v>0</v>
      </c>
      <c r="G37" s="293">
        <v>472.5</v>
      </c>
      <c r="H37" s="293">
        <v>0</v>
      </c>
    </row>
    <row r="38" spans="1:9" ht="14.1" customHeight="1">
      <c r="A38" s="16" t="s">
        <v>135</v>
      </c>
      <c r="B38" s="48">
        <v>6071</v>
      </c>
      <c r="C38" s="48">
        <v>0</v>
      </c>
      <c r="D38" s="49">
        <v>323</v>
      </c>
      <c r="E38" s="50">
        <v>2751</v>
      </c>
      <c r="F38" s="48">
        <v>0</v>
      </c>
      <c r="G38" s="48">
        <v>1288</v>
      </c>
      <c r="H38" s="48">
        <v>112</v>
      </c>
    </row>
    <row r="39" spans="1:9" ht="14.1" customHeight="1">
      <c r="A39" s="272" t="s">
        <v>136</v>
      </c>
      <c r="B39" s="293">
        <v>1535</v>
      </c>
      <c r="C39" s="293">
        <v>0</v>
      </c>
      <c r="D39" s="296">
        <v>0</v>
      </c>
      <c r="E39" s="297">
        <v>0</v>
      </c>
      <c r="F39" s="293">
        <v>0</v>
      </c>
      <c r="G39" s="293">
        <v>0</v>
      </c>
      <c r="H39" s="293">
        <v>0</v>
      </c>
    </row>
    <row r="40" spans="1:9" ht="14.1" customHeight="1">
      <c r="A40" s="16" t="s">
        <v>137</v>
      </c>
      <c r="B40" s="48">
        <v>5234.6099999999997</v>
      </c>
      <c r="C40" s="48">
        <v>0</v>
      </c>
      <c r="D40" s="49">
        <v>875.5</v>
      </c>
      <c r="E40" s="50">
        <v>849.15</v>
      </c>
      <c r="F40" s="48">
        <v>0</v>
      </c>
      <c r="G40" s="48">
        <v>583</v>
      </c>
      <c r="H40" s="48">
        <v>0</v>
      </c>
    </row>
    <row r="41" spans="1:9" ht="14.1" customHeight="1">
      <c r="A41" s="272" t="s">
        <v>138</v>
      </c>
      <c r="B41" s="293">
        <v>2072.5</v>
      </c>
      <c r="C41" s="293">
        <v>0</v>
      </c>
      <c r="D41" s="296">
        <v>0</v>
      </c>
      <c r="E41" s="297">
        <v>1557.5</v>
      </c>
      <c r="F41" s="293">
        <v>0</v>
      </c>
      <c r="G41" s="293">
        <v>673.5</v>
      </c>
      <c r="H41" s="293">
        <v>52</v>
      </c>
    </row>
    <row r="42" spans="1:9" ht="14.1" customHeight="1">
      <c r="A42" s="16" t="s">
        <v>139</v>
      </c>
      <c r="B42" s="48">
        <v>1000</v>
      </c>
      <c r="C42" s="48">
        <v>0</v>
      </c>
      <c r="D42" s="49">
        <v>0</v>
      </c>
      <c r="E42" s="50">
        <v>145</v>
      </c>
      <c r="F42" s="48">
        <v>0</v>
      </c>
      <c r="G42" s="48">
        <v>78</v>
      </c>
      <c r="H42" s="48">
        <v>0</v>
      </c>
    </row>
    <row r="43" spans="1:9" ht="14.1" customHeight="1">
      <c r="A43" s="272" t="s">
        <v>140</v>
      </c>
      <c r="B43" s="293">
        <v>912</v>
      </c>
      <c r="C43" s="293">
        <v>0</v>
      </c>
      <c r="D43" s="296">
        <v>0</v>
      </c>
      <c r="E43" s="297">
        <v>0</v>
      </c>
      <c r="F43" s="293">
        <v>0</v>
      </c>
      <c r="G43" s="293">
        <v>0</v>
      </c>
      <c r="H43" s="293">
        <v>0</v>
      </c>
    </row>
    <row r="44" spans="1:9" ht="14.1" customHeight="1">
      <c r="A44" s="16" t="s">
        <v>141</v>
      </c>
      <c r="B44" s="48">
        <v>674</v>
      </c>
      <c r="C44" s="48">
        <v>36</v>
      </c>
      <c r="D44" s="49">
        <v>0</v>
      </c>
      <c r="E44" s="50">
        <v>0</v>
      </c>
      <c r="F44" s="48">
        <v>0</v>
      </c>
      <c r="G44" s="48">
        <v>0</v>
      </c>
      <c r="H44" s="48">
        <v>0</v>
      </c>
    </row>
    <row r="45" spans="1:9" ht="14.1" customHeight="1">
      <c r="A45" s="272" t="s">
        <v>142</v>
      </c>
      <c r="B45" s="293">
        <v>750</v>
      </c>
      <c r="C45" s="293">
        <v>0</v>
      </c>
      <c r="D45" s="296">
        <v>0</v>
      </c>
      <c r="E45" s="297">
        <v>676</v>
      </c>
      <c r="F45" s="293">
        <v>0</v>
      </c>
      <c r="G45" s="293">
        <v>229</v>
      </c>
      <c r="H45" s="293">
        <v>0</v>
      </c>
    </row>
    <row r="46" spans="1:9" ht="14.1" customHeight="1">
      <c r="A46" s="16" t="s">
        <v>143</v>
      </c>
      <c r="B46" s="48">
        <v>22045.599999999999</v>
      </c>
      <c r="C46" s="48">
        <v>0</v>
      </c>
      <c r="D46" s="49">
        <v>1227</v>
      </c>
      <c r="E46" s="50">
        <v>3700</v>
      </c>
      <c r="F46" s="48">
        <v>0</v>
      </c>
      <c r="G46" s="48">
        <v>2316.5</v>
      </c>
      <c r="H46" s="48">
        <v>222.5</v>
      </c>
    </row>
    <row r="47" spans="1:9" ht="5.0999999999999996" customHeight="1">
      <c r="A47"/>
      <c r="B47"/>
      <c r="C47"/>
      <c r="D47"/>
      <c r="E47"/>
      <c r="F47"/>
      <c r="G47"/>
      <c r="H47"/>
      <c r="I47"/>
    </row>
    <row r="48" spans="1:9" ht="14.1" customHeight="1">
      <c r="A48" s="275" t="s">
        <v>144</v>
      </c>
      <c r="B48" s="294">
        <f>SUM(B11:B46)</f>
        <v>122933.41999999998</v>
      </c>
      <c r="C48" s="294">
        <f t="shared" ref="C48:H48" si="0">SUM(C11:C46)</f>
        <v>5359</v>
      </c>
      <c r="D48" s="360">
        <f t="shared" si="0"/>
        <v>11121</v>
      </c>
      <c r="E48" s="359">
        <f t="shared" si="0"/>
        <v>18504.150000000001</v>
      </c>
      <c r="F48" s="294">
        <f t="shared" si="0"/>
        <v>206.5</v>
      </c>
      <c r="G48" s="294">
        <f t="shared" si="0"/>
        <v>10052</v>
      </c>
      <c r="H48" s="294">
        <f t="shared" si="0"/>
        <v>904</v>
      </c>
    </row>
    <row r="49" spans="1:9" ht="5.0999999999999996" customHeight="1">
      <c r="A49" s="18" t="s">
        <v>1</v>
      </c>
      <c r="B49" s="51"/>
      <c r="C49" s="51"/>
      <c r="D49" s="51"/>
      <c r="E49" s="51"/>
      <c r="F49" s="51"/>
      <c r="G49" s="51"/>
      <c r="H49" s="51"/>
    </row>
    <row r="50" spans="1:9" ht="14.1" customHeight="1">
      <c r="A50" s="16" t="s">
        <v>145</v>
      </c>
      <c r="B50" s="48">
        <v>162</v>
      </c>
      <c r="C50" s="48">
        <v>0</v>
      </c>
      <c r="D50" s="49">
        <v>0</v>
      </c>
      <c r="E50" s="50">
        <v>0</v>
      </c>
      <c r="F50" s="48">
        <v>0</v>
      </c>
      <c r="G50" s="48">
        <v>0</v>
      </c>
      <c r="H50" s="48">
        <v>0</v>
      </c>
    </row>
    <row r="51" spans="1:9" ht="14.1" customHeight="1">
      <c r="A51" s="364" t="s">
        <v>540</v>
      </c>
      <c r="B51" s="293">
        <v>135.9</v>
      </c>
      <c r="C51" s="293">
        <v>0</v>
      </c>
      <c r="D51" s="296">
        <v>0</v>
      </c>
      <c r="E51" s="297">
        <v>0</v>
      </c>
      <c r="F51" s="293">
        <v>0</v>
      </c>
      <c r="G51" s="293">
        <v>0</v>
      </c>
      <c r="H51" s="293">
        <v>0</v>
      </c>
    </row>
    <row r="52" spans="1:9" ht="50.1" customHeight="1">
      <c r="A52" s="20"/>
      <c r="B52" s="52"/>
      <c r="C52" s="52"/>
      <c r="D52" s="52"/>
      <c r="E52" s="52"/>
      <c r="F52" s="52"/>
      <c r="G52" s="52"/>
      <c r="H52" s="52"/>
      <c r="I52" s="47"/>
    </row>
    <row r="53" spans="1:9" ht="15" customHeight="1">
      <c r="A53" s="47" t="s">
        <v>346</v>
      </c>
      <c r="C53" s="47"/>
      <c r="D53" s="47"/>
      <c r="E53" s="47"/>
      <c r="F53" s="47"/>
      <c r="G53" s="47"/>
      <c r="H53" s="47"/>
      <c r="I53" s="47"/>
    </row>
    <row r="54" spans="1:9" ht="12" customHeight="1">
      <c r="A54" s="47" t="s">
        <v>347</v>
      </c>
      <c r="C54" s="47"/>
      <c r="D54" s="47"/>
      <c r="E54" s="47"/>
      <c r="F54" s="47"/>
      <c r="G54" s="47"/>
      <c r="H54" s="47"/>
      <c r="I54" s="47"/>
    </row>
    <row r="55" spans="1:9" ht="14.45" customHeight="1"/>
    <row r="56" spans="1:9" ht="14.45" customHeight="1"/>
    <row r="57" spans="1:9" ht="14.45" customHeight="1"/>
    <row r="58" spans="1:9" ht="14.45" customHeight="1"/>
    <row r="59" spans="1:9" ht="14.45" customHeight="1"/>
  </sheetData>
  <mergeCells count="10">
    <mergeCell ref="H8:H9"/>
    <mergeCell ref="E7:H7"/>
    <mergeCell ref="B7:D7"/>
    <mergeCell ref="B6:H6"/>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42">
    <pageSetUpPr fitToPage="1"/>
  </sheetPr>
  <dimension ref="A1:BB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52" width="15.83203125" style="1"/>
    <col min="53" max="53" width="73.5" style="1" bestFit="1" customWidth="1"/>
    <col min="54" max="16384" width="15.83203125" style="1"/>
  </cols>
  <sheetData>
    <row r="1" spans="1:54" ht="6.95" customHeight="1">
      <c r="A1" s="3"/>
    </row>
    <row r="2" spans="1:54" ht="17.100000000000001" customHeight="1">
      <c r="A2" s="242"/>
      <c r="B2" s="243" t="s">
        <v>592</v>
      </c>
      <c r="C2" s="134"/>
      <c r="D2" s="142"/>
      <c r="BA2" s="132" t="s">
        <v>479</v>
      </c>
      <c r="BB2" s="1" t="s">
        <v>475</v>
      </c>
    </row>
    <row r="3" spans="1:54" ht="15" customHeight="1">
      <c r="A3" s="244"/>
      <c r="B3" s="196" t="str">
        <f>IF(Lang=1,BA3,BB3)</f>
        <v xml:space="preserve">FOR THE 2015 TAXATION YEAR </v>
      </c>
      <c r="C3" s="145"/>
      <c r="D3" s="245"/>
      <c r="BA3" s="1" t="str">
        <f>"FOR THE "&amp;YEAR&amp;" TAXATION YEAR "</f>
        <v xml:space="preserve">FOR THE 2015 TAXATION YEAR </v>
      </c>
      <c r="BB3" s="1" t="str">
        <f>"POUR L'ANNÉE D'IMPOSITION "&amp;YEAR&amp;""</f>
        <v>POUR L'ANNÉE D'IMPOSITION 2015</v>
      </c>
    </row>
    <row r="4" spans="1:54" ht="15.95" customHeight="1">
      <c r="A4" s="132"/>
      <c r="B4" s="4"/>
      <c r="C4" s="56"/>
    </row>
    <row r="5" spans="1:54" ht="15.95" customHeight="1">
      <c r="A5" s="1" t="str">
        <f>REPLACE(A4,5,5,"")</f>
        <v/>
      </c>
      <c r="B5" s="4"/>
      <c r="C5" s="4"/>
    </row>
    <row r="6" spans="1:54" ht="15.95" customHeight="1">
      <c r="B6"/>
      <c r="C6"/>
    </row>
    <row r="7" spans="1:54" ht="15.95" customHeight="1">
      <c r="B7" s="733" t="s">
        <v>477</v>
      </c>
      <c r="C7" s="482"/>
    </row>
    <row r="8" spans="1:54" ht="15.95" customHeight="1">
      <c r="A8" s="250"/>
      <c r="B8" s="734"/>
      <c r="C8" s="736" t="s">
        <v>478</v>
      </c>
    </row>
    <row r="9" spans="1:54" ht="15.95" customHeight="1">
      <c r="A9" s="251" t="s">
        <v>37</v>
      </c>
      <c r="B9" s="735"/>
      <c r="C9" s="737"/>
    </row>
    <row r="10" spans="1:54" ht="5.0999999999999996" customHeight="1">
      <c r="A10" s="30"/>
      <c r="B10" s="183"/>
      <c r="C10" s="428">
        <v>1.1610000000000001E-2</v>
      </c>
    </row>
    <row r="11" spans="1:54" ht="14.1" customHeight="1">
      <c r="A11" s="272" t="s">
        <v>109</v>
      </c>
      <c r="B11" s="273">
        <f>'- 47 -'!D11</f>
        <v>135160780</v>
      </c>
      <c r="C11" s="273">
        <f t="shared" ref="C11:C46" si="0">B11*C$10</f>
        <v>1569216.6558000001</v>
      </c>
    </row>
    <row r="12" spans="1:54" ht="14.1" customHeight="1">
      <c r="A12" s="16" t="s">
        <v>110</v>
      </c>
      <c r="B12" s="17">
        <f>'- 47 -'!D12</f>
        <v>168126760</v>
      </c>
      <c r="C12" s="17">
        <f t="shared" si="0"/>
        <v>1951951.6836000001</v>
      </c>
    </row>
    <row r="13" spans="1:54" ht="14.1" customHeight="1">
      <c r="A13" s="272" t="s">
        <v>111</v>
      </c>
      <c r="B13" s="273">
        <f>'- 47 -'!D13</f>
        <v>828811170</v>
      </c>
      <c r="C13" s="273">
        <f t="shared" si="0"/>
        <v>9622497.6837000009</v>
      </c>
    </row>
    <row r="14" spans="1:54" ht="14.1" customHeight="1">
      <c r="A14" s="16" t="s">
        <v>324</v>
      </c>
      <c r="B14" s="17">
        <f>'- 47 -'!D14</f>
        <v>0</v>
      </c>
      <c r="C14" s="17">
        <f t="shared" si="0"/>
        <v>0</v>
      </c>
    </row>
    <row r="15" spans="1:54" ht="14.1" customHeight="1">
      <c r="A15" s="272" t="s">
        <v>112</v>
      </c>
      <c r="B15" s="273">
        <f>'- 47 -'!D15</f>
        <v>109364020</v>
      </c>
      <c r="C15" s="273">
        <f t="shared" si="0"/>
        <v>1269716.2722</v>
      </c>
    </row>
    <row r="16" spans="1:54" ht="14.1" customHeight="1">
      <c r="A16" s="16" t="s">
        <v>113</v>
      </c>
      <c r="B16" s="17">
        <f>'- 47 -'!D16</f>
        <v>33005360</v>
      </c>
      <c r="C16" s="17">
        <f t="shared" si="0"/>
        <v>383192.22960000002</v>
      </c>
    </row>
    <row r="17" spans="1:3" ht="14.1" customHeight="1">
      <c r="A17" s="272" t="s">
        <v>114</v>
      </c>
      <c r="B17" s="273">
        <f>'- 47 -'!D17</f>
        <v>456093070</v>
      </c>
      <c r="C17" s="273">
        <f t="shared" si="0"/>
        <v>5295240.5427000001</v>
      </c>
    </row>
    <row r="18" spans="1:3" ht="14.1" customHeight="1">
      <c r="A18" s="16" t="s">
        <v>115</v>
      </c>
      <c r="B18" s="17">
        <f>'- 47 -'!D18</f>
        <v>66902240</v>
      </c>
      <c r="C18" s="17">
        <f t="shared" si="0"/>
        <v>776735.00640000007</v>
      </c>
    </row>
    <row r="19" spans="1:3" ht="14.1" customHeight="1">
      <c r="A19" s="272" t="s">
        <v>116</v>
      </c>
      <c r="B19" s="273">
        <f>'- 47 -'!D19</f>
        <v>261622470</v>
      </c>
      <c r="C19" s="273">
        <f t="shared" si="0"/>
        <v>3037436.8766999999</v>
      </c>
    </row>
    <row r="20" spans="1:3" ht="14.1" customHeight="1">
      <c r="A20" s="16" t="s">
        <v>117</v>
      </c>
      <c r="B20" s="17">
        <f>'- 47 -'!D20</f>
        <v>347706020</v>
      </c>
      <c r="C20" s="17">
        <f t="shared" si="0"/>
        <v>4036866.8922000001</v>
      </c>
    </row>
    <row r="21" spans="1:3" ht="14.1" customHeight="1">
      <c r="A21" s="272" t="s">
        <v>118</v>
      </c>
      <c r="B21" s="273">
        <f>'- 47 -'!D21</f>
        <v>236086050</v>
      </c>
      <c r="C21" s="273">
        <f t="shared" si="0"/>
        <v>2740959.0405000001</v>
      </c>
    </row>
    <row r="22" spans="1:3" ht="14.1" customHeight="1">
      <c r="A22" s="16" t="s">
        <v>119</v>
      </c>
      <c r="B22" s="17">
        <f>'- 47 -'!D22</f>
        <v>60695780</v>
      </c>
      <c r="C22" s="17">
        <f t="shared" si="0"/>
        <v>704678.00580000004</v>
      </c>
    </row>
    <row r="23" spans="1:3" ht="14.1" customHeight="1">
      <c r="A23" s="272" t="s">
        <v>120</v>
      </c>
      <c r="B23" s="273">
        <f>'- 47 -'!D23</f>
        <v>28799920</v>
      </c>
      <c r="C23" s="273">
        <f t="shared" si="0"/>
        <v>334367.07120000001</v>
      </c>
    </row>
    <row r="24" spans="1:3" ht="14.1" customHeight="1">
      <c r="A24" s="16" t="s">
        <v>121</v>
      </c>
      <c r="B24" s="17">
        <f>'- 47 -'!D24</f>
        <v>218224160</v>
      </c>
      <c r="C24" s="17">
        <f t="shared" si="0"/>
        <v>2533582.4975999999</v>
      </c>
    </row>
    <row r="25" spans="1:3" ht="14.1" customHeight="1">
      <c r="A25" s="272" t="s">
        <v>122</v>
      </c>
      <c r="B25" s="273">
        <f>'- 47 -'!D25</f>
        <v>1163675700</v>
      </c>
      <c r="C25" s="273">
        <f t="shared" si="0"/>
        <v>13510274.877</v>
      </c>
    </row>
    <row r="26" spans="1:3" ht="14.1" customHeight="1">
      <c r="A26" s="16" t="s">
        <v>123</v>
      </c>
      <c r="B26" s="17">
        <f>'- 47 -'!D26</f>
        <v>122284020</v>
      </c>
      <c r="C26" s="17">
        <f t="shared" si="0"/>
        <v>1419717.4722</v>
      </c>
    </row>
    <row r="27" spans="1:3" ht="14.1" customHeight="1">
      <c r="A27" s="272" t="s">
        <v>124</v>
      </c>
      <c r="B27" s="273">
        <f>'- 47 -'!D27</f>
        <v>137119490</v>
      </c>
      <c r="C27" s="273">
        <f t="shared" si="0"/>
        <v>1591957.2789</v>
      </c>
    </row>
    <row r="28" spans="1:3" ht="14.1" customHeight="1">
      <c r="A28" s="16" t="s">
        <v>125</v>
      </c>
      <c r="B28" s="17">
        <f>'- 47 -'!D28</f>
        <v>176876710</v>
      </c>
      <c r="C28" s="17">
        <f t="shared" si="0"/>
        <v>2053538.6031000002</v>
      </c>
    </row>
    <row r="29" spans="1:3" ht="14.1" customHeight="1">
      <c r="A29" s="272" t="s">
        <v>126</v>
      </c>
      <c r="B29" s="273">
        <f>'- 47 -'!D29</f>
        <v>1259537890</v>
      </c>
      <c r="C29" s="273">
        <f t="shared" si="0"/>
        <v>14623234.902900001</v>
      </c>
    </row>
    <row r="30" spans="1:3" ht="14.1" customHeight="1">
      <c r="A30" s="16" t="s">
        <v>127</v>
      </c>
      <c r="B30" s="17">
        <f>'- 47 -'!D30</f>
        <v>86500150</v>
      </c>
      <c r="C30" s="17">
        <f t="shared" si="0"/>
        <v>1004266.7415</v>
      </c>
    </row>
    <row r="31" spans="1:3" ht="14.1" customHeight="1">
      <c r="A31" s="272" t="s">
        <v>128</v>
      </c>
      <c r="B31" s="273">
        <f>'- 47 -'!D31</f>
        <v>311376140</v>
      </c>
      <c r="C31" s="273">
        <f t="shared" si="0"/>
        <v>3615076.9854000001</v>
      </c>
    </row>
    <row r="32" spans="1:3" ht="14.1" customHeight="1">
      <c r="A32" s="16" t="s">
        <v>129</v>
      </c>
      <c r="B32" s="17">
        <f>'- 47 -'!D32</f>
        <v>128886450</v>
      </c>
      <c r="C32" s="17">
        <f t="shared" si="0"/>
        <v>1496371.6845</v>
      </c>
    </row>
    <row r="33" spans="1:4" ht="14.1" customHeight="1">
      <c r="A33" s="272" t="s">
        <v>130</v>
      </c>
      <c r="B33" s="273">
        <f>'- 47 -'!D33</f>
        <v>158409540</v>
      </c>
      <c r="C33" s="273">
        <f t="shared" si="0"/>
        <v>1839134.7594000001</v>
      </c>
    </row>
    <row r="34" spans="1:4" ht="14.1" customHeight="1">
      <c r="A34" s="16" t="s">
        <v>131</v>
      </c>
      <c r="B34" s="17">
        <f>'- 47 -'!D34</f>
        <v>229854060</v>
      </c>
      <c r="C34" s="17">
        <f t="shared" si="0"/>
        <v>2668605.6366000003</v>
      </c>
    </row>
    <row r="35" spans="1:4" ht="14.1" customHeight="1">
      <c r="A35" s="272" t="s">
        <v>132</v>
      </c>
      <c r="B35" s="273">
        <f>'- 47 -'!D35</f>
        <v>879449940</v>
      </c>
      <c r="C35" s="273">
        <f t="shared" si="0"/>
        <v>10210413.803400001</v>
      </c>
    </row>
    <row r="36" spans="1:4" ht="14.1" customHeight="1">
      <c r="A36" s="16" t="s">
        <v>133</v>
      </c>
      <c r="B36" s="17">
        <f>'- 47 -'!D36</f>
        <v>166950300</v>
      </c>
      <c r="C36" s="17">
        <f t="shared" si="0"/>
        <v>1938292.983</v>
      </c>
    </row>
    <row r="37" spans="1:4" ht="14.1" customHeight="1">
      <c r="A37" s="272" t="s">
        <v>134</v>
      </c>
      <c r="B37" s="273">
        <f>'- 47 -'!D37</f>
        <v>165876450</v>
      </c>
      <c r="C37" s="273">
        <f t="shared" si="0"/>
        <v>1925825.5845000001</v>
      </c>
    </row>
    <row r="38" spans="1:4" ht="14.1" customHeight="1">
      <c r="A38" s="16" t="s">
        <v>135</v>
      </c>
      <c r="B38" s="17">
        <f>'- 47 -'!D38</f>
        <v>326433340</v>
      </c>
      <c r="C38" s="17">
        <f t="shared" si="0"/>
        <v>3789891.0774000003</v>
      </c>
    </row>
    <row r="39" spans="1:4" ht="14.1" customHeight="1">
      <c r="A39" s="272" t="s">
        <v>136</v>
      </c>
      <c r="B39" s="273">
        <f>'- 47 -'!D39</f>
        <v>422100890</v>
      </c>
      <c r="C39" s="273">
        <f t="shared" si="0"/>
        <v>4900591.3328999998</v>
      </c>
    </row>
    <row r="40" spans="1:4" ht="14.1" customHeight="1">
      <c r="A40" s="16" t="s">
        <v>137</v>
      </c>
      <c r="B40" s="17">
        <f>'- 47 -'!D40</f>
        <v>1426641200</v>
      </c>
      <c r="C40" s="17">
        <f t="shared" si="0"/>
        <v>16563304.332</v>
      </c>
    </row>
    <row r="41" spans="1:4" ht="14.1" customHeight="1">
      <c r="A41" s="272" t="s">
        <v>138</v>
      </c>
      <c r="B41" s="273">
        <f>'- 47 -'!D41</f>
        <v>373787700</v>
      </c>
      <c r="C41" s="273">
        <f t="shared" si="0"/>
        <v>4339675.1970000006</v>
      </c>
    </row>
    <row r="42" spans="1:4" ht="14.1" customHeight="1">
      <c r="A42" s="16" t="s">
        <v>139</v>
      </c>
      <c r="B42" s="17">
        <f>'- 47 -'!D42</f>
        <v>72496670</v>
      </c>
      <c r="C42" s="17">
        <f t="shared" si="0"/>
        <v>841686.33870000008</v>
      </c>
    </row>
    <row r="43" spans="1:4" ht="14.1" customHeight="1">
      <c r="A43" s="272" t="s">
        <v>140</v>
      </c>
      <c r="B43" s="273">
        <f>'- 47 -'!D43</f>
        <v>60143670</v>
      </c>
      <c r="C43" s="273">
        <f t="shared" si="0"/>
        <v>698268.00870000001</v>
      </c>
    </row>
    <row r="44" spans="1:4" ht="14.1" customHeight="1">
      <c r="A44" s="16" t="s">
        <v>141</v>
      </c>
      <c r="B44" s="17">
        <f>'- 47 -'!D44</f>
        <v>13126490</v>
      </c>
      <c r="C44" s="17">
        <f t="shared" si="0"/>
        <v>152398.54889999999</v>
      </c>
    </row>
    <row r="45" spans="1:4" ht="14.1" customHeight="1">
      <c r="A45" s="272" t="s">
        <v>142</v>
      </c>
      <c r="B45" s="273">
        <f>'- 47 -'!D45</f>
        <v>89413590</v>
      </c>
      <c r="C45" s="273">
        <f t="shared" si="0"/>
        <v>1038091.7799000001</v>
      </c>
    </row>
    <row r="46" spans="1:4" ht="14.1" customHeight="1">
      <c r="A46" s="16" t="s">
        <v>143</v>
      </c>
      <c r="B46" s="17">
        <f>'- 47 -'!D46</f>
        <v>4115150090</v>
      </c>
      <c r="C46" s="17">
        <f t="shared" si="0"/>
        <v>47776892.5449</v>
      </c>
      <c r="D46"/>
    </row>
    <row r="47" spans="1:4" ht="6" customHeight="1">
      <c r="A47"/>
      <c r="B47"/>
      <c r="C47"/>
      <c r="D47"/>
    </row>
    <row r="48" spans="1:4" ht="14.1" customHeight="1">
      <c r="A48" s="275" t="s">
        <v>148</v>
      </c>
      <c r="B48" s="276">
        <f>SUM(B11:B46)</f>
        <v>14836688280</v>
      </c>
      <c r="C48" s="276">
        <f>SUM(C11:C46)</f>
        <v>172253950.93079996</v>
      </c>
      <c r="D48"/>
    </row>
    <row r="49" spans="1:4" ht="6" customHeight="1">
      <c r="A49" s="18"/>
      <c r="B49" s="19"/>
      <c r="C49" s="19"/>
      <c r="D49"/>
    </row>
    <row r="50" spans="1:4" ht="14.1" customHeight="1">
      <c r="A50" s="16" t="s">
        <v>146</v>
      </c>
      <c r="B50" s="17">
        <f>'- 47 -'!D50</f>
        <v>3483330</v>
      </c>
      <c r="C50" s="17">
        <v>0</v>
      </c>
      <c r="D50"/>
    </row>
    <row r="51" spans="1:4" ht="14.1" customHeight="1">
      <c r="A51" s="272" t="s">
        <v>147</v>
      </c>
      <c r="B51" s="273">
        <f>'- 47 -'!D51</f>
        <v>50275020</v>
      </c>
      <c r="C51" s="273">
        <f>B51*C$10</f>
        <v>583692.98219999997</v>
      </c>
      <c r="D51"/>
    </row>
    <row r="52" spans="1:4" ht="6" customHeight="1">
      <c r="A52" s="128"/>
      <c r="B52" s="141"/>
      <c r="C52" s="141"/>
      <c r="D52"/>
    </row>
    <row r="53" spans="1:4" ht="14.45" customHeight="1">
      <c r="A53" s="275" t="s">
        <v>144</v>
      </c>
      <c r="B53" s="276">
        <f>SUM(B48,B50:B51)</f>
        <v>14890446630</v>
      </c>
      <c r="C53" s="276">
        <f>SUM(C48,C50:C51)</f>
        <v>172837643.91299996</v>
      </c>
      <c r="D53" s="434"/>
    </row>
    <row r="54" spans="1:4" ht="29.1" customHeight="1">
      <c r="A54" s="246"/>
      <c r="B54" s="246"/>
      <c r="C54" s="246"/>
      <c r="D54" s="20"/>
    </row>
    <row r="55" spans="1:4" ht="14.45" customHeight="1">
      <c r="A55" s="358" t="s">
        <v>548</v>
      </c>
      <c r="B55" s="32"/>
      <c r="C55" s="32"/>
      <c r="D55" s="32"/>
    </row>
    <row r="56" spans="1:4" ht="14.45" customHeight="1">
      <c r="A56" s="21"/>
      <c r="B56" s="32"/>
      <c r="C56" s="32"/>
      <c r="D56" s="32"/>
    </row>
    <row r="57" spans="1:4" ht="14.45" customHeight="1">
      <c r="A57" s="22"/>
      <c r="B57" s="32"/>
      <c r="C57" s="32"/>
      <c r="D57" s="32"/>
    </row>
    <row r="58" spans="1:4" ht="14.45" customHeight="1">
      <c r="B58" s="91"/>
      <c r="C58" s="91"/>
    </row>
    <row r="59" spans="1:4" ht="14.45" customHeight="1"/>
  </sheetData>
  <mergeCells count="2">
    <mergeCell ref="B7:B9"/>
    <mergeCell ref="C8:C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3">
    <pageSetUpPr fitToPage="1"/>
  </sheetPr>
  <dimension ref="A1:BB57"/>
  <sheetViews>
    <sheetView showGridLines="0" showZeros="0" workbookViewId="0"/>
  </sheetViews>
  <sheetFormatPr defaultColWidth="15.83203125" defaultRowHeight="12"/>
  <cols>
    <col min="1" max="1" width="30.83203125" style="1" customWidth="1"/>
    <col min="2" max="2" width="18.83203125" style="1" customWidth="1"/>
    <col min="3" max="3" width="15.83203125" style="1"/>
    <col min="4" max="4" width="16.83203125" style="1" customWidth="1"/>
    <col min="5" max="5" width="17.83203125" style="1" customWidth="1"/>
    <col min="6" max="6" width="15.83203125" style="1"/>
    <col min="7" max="7" width="16" style="1" customWidth="1"/>
    <col min="8" max="8" width="15.83203125" style="1"/>
    <col min="9" max="9" width="21" style="1" customWidth="1"/>
    <col min="10" max="16384" width="15.83203125" style="1"/>
  </cols>
  <sheetData>
    <row r="1" spans="1:54" ht="6.95" customHeight="1">
      <c r="A1" s="3"/>
    </row>
    <row r="2" spans="1:54" ht="15.95" customHeight="1">
      <c r="A2" s="194" t="str">
        <f>IF(Lang=1,BA2,BB2)</f>
        <v>TOTAL PORTIONED ASSESSMENT, SPECIAL LEVY AND MILL RATES</v>
      </c>
      <c r="B2" s="195"/>
      <c r="C2" s="195"/>
      <c r="D2" s="195"/>
      <c r="E2" s="195"/>
      <c r="F2" s="195"/>
      <c r="G2" s="195"/>
      <c r="BA2" s="462" t="s">
        <v>43</v>
      </c>
      <c r="BB2" s="462" t="s">
        <v>484</v>
      </c>
    </row>
    <row r="3" spans="1:54" ht="15.95" customHeight="1">
      <c r="A3" s="196" t="str">
        <f>TAXYEAR</f>
        <v xml:space="preserve">FOR THE 2015 TAXATION YEAR </v>
      </c>
      <c r="B3" s="197"/>
      <c r="C3" s="197"/>
      <c r="D3" s="197"/>
      <c r="E3" s="198"/>
      <c r="F3" s="198"/>
      <c r="G3" s="197"/>
    </row>
    <row r="4" spans="1:54" ht="15.95" customHeight="1">
      <c r="B4" s="4"/>
      <c r="C4" s="4"/>
      <c r="D4" s="4"/>
      <c r="E4" s="56"/>
      <c r="F4" s="56"/>
      <c r="G4" s="56"/>
    </row>
    <row r="5" spans="1:54" ht="15.95" customHeight="1">
      <c r="B5" s="4"/>
      <c r="C5" s="4"/>
      <c r="D5" s="4"/>
      <c r="E5" s="4"/>
      <c r="F5" s="4"/>
      <c r="G5" s="4"/>
    </row>
    <row r="6" spans="1:54" ht="15.95" customHeight="1">
      <c r="B6" s="741" t="s">
        <v>304</v>
      </c>
      <c r="C6" s="702"/>
      <c r="D6" s="702"/>
      <c r="E6" s="703"/>
      <c r="F6" s="4"/>
      <c r="G6" s="4"/>
      <c r="H6" s="129" t="s">
        <v>57</v>
      </c>
    </row>
    <row r="7" spans="1:54" ht="15.95" customHeight="1">
      <c r="B7" s="742" t="s">
        <v>480</v>
      </c>
      <c r="C7" s="742" t="s">
        <v>481</v>
      </c>
      <c r="D7" s="319"/>
      <c r="E7" s="285"/>
      <c r="F7" s="318"/>
      <c r="G7" s="730" t="s">
        <v>483</v>
      </c>
      <c r="H7" s="129" t="s">
        <v>56</v>
      </c>
    </row>
    <row r="8" spans="1:54" ht="15.95" customHeight="1">
      <c r="A8" s="25"/>
      <c r="B8" s="743"/>
      <c r="C8" s="745"/>
      <c r="D8" s="321" t="s">
        <v>1</v>
      </c>
      <c r="E8" s="322"/>
      <c r="F8" s="731" t="s">
        <v>482</v>
      </c>
      <c r="G8" s="710"/>
      <c r="H8" s="129" t="s">
        <v>100</v>
      </c>
    </row>
    <row r="9" spans="1:54" ht="15.95" customHeight="1">
      <c r="A9" s="199" t="s">
        <v>37</v>
      </c>
      <c r="B9" s="744"/>
      <c r="C9" s="746"/>
      <c r="D9" s="320" t="s">
        <v>61</v>
      </c>
      <c r="E9" s="286" t="s">
        <v>25</v>
      </c>
      <c r="F9" s="594"/>
      <c r="G9" s="594"/>
      <c r="H9" s="129" t="s">
        <v>101</v>
      </c>
    </row>
    <row r="10" spans="1:54" ht="5.0999999999999996" customHeight="1">
      <c r="A10" s="15"/>
      <c r="B10" s="183"/>
      <c r="C10" s="3"/>
      <c r="D10" s="183"/>
      <c r="E10" s="183"/>
      <c r="F10" s="3"/>
      <c r="G10" s="3"/>
    </row>
    <row r="11" spans="1:54" ht="14.1" customHeight="1">
      <c r="A11" s="272" t="s">
        <v>109</v>
      </c>
      <c r="B11" s="273">
        <v>252839480</v>
      </c>
      <c r="C11" s="273">
        <v>194224230</v>
      </c>
      <c r="D11" s="273">
        <v>135160780</v>
      </c>
      <c r="E11" s="273">
        <v>582224490</v>
      </c>
      <c r="F11" s="273">
        <f>'- 50 -'!C11</f>
        <v>7858369</v>
      </c>
      <c r="G11" s="274">
        <f t="shared" ref="G11:G46" si="0">F11/E11*1000</f>
        <v>13.49714609222295</v>
      </c>
      <c r="I11" s="193" t="str">
        <f>A11</f>
        <v xml:space="preserve"> BEAUTIFUL PLAINS</v>
      </c>
      <c r="J11" s="200">
        <f>G11</f>
        <v>13.49714609222295</v>
      </c>
      <c r="K11" s="1">
        <f>F11-'- 50 -'!C11</f>
        <v>0</v>
      </c>
    </row>
    <row r="12" spans="1:54" ht="14.1" customHeight="1">
      <c r="A12" s="16" t="s">
        <v>110</v>
      </c>
      <c r="B12" s="17">
        <v>287231430</v>
      </c>
      <c r="C12" s="17">
        <v>233808200</v>
      </c>
      <c r="D12" s="17">
        <v>168126760</v>
      </c>
      <c r="E12" s="17">
        <v>689166390</v>
      </c>
      <c r="F12" s="17">
        <f>'- 50 -'!C12</f>
        <v>11420793</v>
      </c>
      <c r="G12" s="268">
        <f t="shared" si="0"/>
        <v>16.571894923662775</v>
      </c>
      <c r="I12" s="193" t="str">
        <f>A12</f>
        <v xml:space="preserve"> BORDER LAND</v>
      </c>
      <c r="J12" s="200">
        <f>G12</f>
        <v>16.571894923662775</v>
      </c>
      <c r="K12" s="80">
        <f>F12-'- 50 -'!C12</f>
        <v>0</v>
      </c>
    </row>
    <row r="13" spans="1:54" ht="14.1" customHeight="1">
      <c r="A13" s="272" t="s">
        <v>111</v>
      </c>
      <c r="B13" s="273">
        <v>1788758490</v>
      </c>
      <c r="C13" s="273">
        <v>61713330</v>
      </c>
      <c r="D13" s="273">
        <v>828811170</v>
      </c>
      <c r="E13" s="273">
        <v>2679282990</v>
      </c>
      <c r="F13" s="273">
        <f>'- 50 -'!C13</f>
        <v>41542953</v>
      </c>
      <c r="G13" s="274">
        <f t="shared" si="0"/>
        <v>15.505250156498025</v>
      </c>
      <c r="I13" s="193" t="str">
        <f>A13</f>
        <v xml:space="preserve"> BRANDON</v>
      </c>
      <c r="J13" s="200">
        <f>G13</f>
        <v>15.505250156498025</v>
      </c>
      <c r="K13" s="1">
        <f>F13-'- 50 -'!C13</f>
        <v>0</v>
      </c>
    </row>
    <row r="14" spans="1:54" ht="14.1" customHeight="1">
      <c r="A14" s="16" t="s">
        <v>324</v>
      </c>
      <c r="B14" s="17"/>
      <c r="C14" s="17"/>
      <c r="D14" s="17"/>
      <c r="E14" s="17"/>
      <c r="F14" s="17">
        <f>'- 50 -'!C14</f>
        <v>0</v>
      </c>
      <c r="G14" s="268"/>
      <c r="I14" s="193" t="str">
        <f>A15</f>
        <v xml:space="preserve"> EVERGREEN</v>
      </c>
      <c r="J14" s="200">
        <f>G15</f>
        <v>11.703041840878955</v>
      </c>
      <c r="K14" s="1">
        <f>F14-'- 50 -'!C14</f>
        <v>0</v>
      </c>
      <c r="L14" s="448"/>
    </row>
    <row r="15" spans="1:54" ht="14.1" customHeight="1">
      <c r="A15" s="272" t="s">
        <v>112</v>
      </c>
      <c r="B15" s="273">
        <v>657627900</v>
      </c>
      <c r="C15" s="273">
        <v>73976790</v>
      </c>
      <c r="D15" s="273">
        <v>109364020</v>
      </c>
      <c r="E15" s="273">
        <v>840968710</v>
      </c>
      <c r="F15" s="273">
        <f>'- 50 -'!C15</f>
        <v>9841892</v>
      </c>
      <c r="G15" s="274">
        <f t="shared" si="0"/>
        <v>11.703041840878955</v>
      </c>
      <c r="I15" s="193" t="str">
        <f t="shared" ref="I15:I45" si="1">A16</f>
        <v xml:space="preserve"> FLIN FLON</v>
      </c>
      <c r="J15" s="200">
        <f t="shared" ref="J15:J45" si="2">G16</f>
        <v>20.735635678710477</v>
      </c>
      <c r="K15" s="1">
        <f>F15-'- 50 -'!C15</f>
        <v>0</v>
      </c>
    </row>
    <row r="16" spans="1:54" ht="14.1" customHeight="1">
      <c r="A16" s="16" t="s">
        <v>113</v>
      </c>
      <c r="B16" s="17">
        <v>86975770</v>
      </c>
      <c r="C16" s="17">
        <v>0</v>
      </c>
      <c r="D16" s="17">
        <v>33005360</v>
      </c>
      <c r="E16" s="17">
        <v>119981130</v>
      </c>
      <c r="F16" s="17">
        <f>'- 50 -'!C16</f>
        <v>3888172</v>
      </c>
      <c r="G16" s="268">
        <f>(F16-H16)/E16*1000</f>
        <v>20.735635678710477</v>
      </c>
      <c r="H16" s="452">
        <v>1400287</v>
      </c>
      <c r="I16" s="193" t="str">
        <f t="shared" si="1"/>
        <v xml:space="preserve"> FORT LA BOSSE</v>
      </c>
      <c r="J16" s="200">
        <f t="shared" si="2"/>
        <v>9.6706185300122893</v>
      </c>
      <c r="K16" s="1">
        <f>F16-'- 50 -'!C16</f>
        <v>0</v>
      </c>
    </row>
    <row r="17" spans="1:11" ht="14.1" customHeight="1">
      <c r="A17" s="272" t="s">
        <v>114</v>
      </c>
      <c r="B17" s="273">
        <v>256857090</v>
      </c>
      <c r="C17" s="273">
        <v>138986350</v>
      </c>
      <c r="D17" s="273">
        <v>456093070</v>
      </c>
      <c r="E17" s="273">
        <v>851936510</v>
      </c>
      <c r="F17" s="273">
        <f>'- 50 -'!C17</f>
        <v>8238753</v>
      </c>
      <c r="G17" s="274">
        <f t="shared" si="0"/>
        <v>9.6706185300122893</v>
      </c>
      <c r="I17" s="193" t="str">
        <f t="shared" si="1"/>
        <v xml:space="preserve"> FRONTIER</v>
      </c>
      <c r="J17" s="200">
        <f t="shared" si="2"/>
        <v>15.398998929353137</v>
      </c>
      <c r="K17" s="1">
        <f>F17-'- 50 -'!C17</f>
        <v>0</v>
      </c>
    </row>
    <row r="18" spans="1:11" ht="14.1" customHeight="1">
      <c r="A18" s="16" t="s">
        <v>115</v>
      </c>
      <c r="B18" s="17">
        <v>128972110</v>
      </c>
      <c r="C18" s="17">
        <v>18911690</v>
      </c>
      <c r="D18" s="17">
        <v>66902240</v>
      </c>
      <c r="E18" s="17">
        <v>214786040</v>
      </c>
      <c r="F18" s="17">
        <f>'- 50 -'!C18</f>
        <v>3307490</v>
      </c>
      <c r="G18" s="268">
        <f t="shared" si="0"/>
        <v>15.398998929353137</v>
      </c>
      <c r="I18" s="193" t="str">
        <f t="shared" si="1"/>
        <v xml:space="preserve"> GARDEN VALLEY</v>
      </c>
      <c r="J18" s="200">
        <f t="shared" si="2"/>
        <v>18.048139981536597</v>
      </c>
      <c r="K18" s="1">
        <f>F18-'- 50 -'!C18</f>
        <v>0</v>
      </c>
    </row>
    <row r="19" spans="1:11" ht="14.1" customHeight="1">
      <c r="A19" s="272" t="s">
        <v>116</v>
      </c>
      <c r="B19" s="273">
        <v>524778490</v>
      </c>
      <c r="C19" s="273">
        <v>168666710</v>
      </c>
      <c r="D19" s="273">
        <v>261622470</v>
      </c>
      <c r="E19" s="273">
        <v>955067670</v>
      </c>
      <c r="F19" s="273">
        <f>'- 50 -'!C19</f>
        <v>17237195</v>
      </c>
      <c r="G19" s="274">
        <f t="shared" si="0"/>
        <v>18.048139981536597</v>
      </c>
      <c r="I19" s="193" t="str">
        <f t="shared" si="1"/>
        <v xml:space="preserve"> HANOVER</v>
      </c>
      <c r="J19" s="200">
        <f t="shared" si="2"/>
        <v>16.01964862641659</v>
      </c>
      <c r="K19" s="1">
        <f>F19-'- 50 -'!C19</f>
        <v>0</v>
      </c>
    </row>
    <row r="20" spans="1:11" ht="14.1" customHeight="1">
      <c r="A20" s="16" t="s">
        <v>117</v>
      </c>
      <c r="B20" s="17">
        <v>1294950490</v>
      </c>
      <c r="C20" s="17">
        <v>174928050</v>
      </c>
      <c r="D20" s="17">
        <v>347706020</v>
      </c>
      <c r="E20" s="17">
        <v>1817584560</v>
      </c>
      <c r="F20" s="17">
        <f>'- 50 -'!C20</f>
        <v>29117066</v>
      </c>
      <c r="G20" s="268">
        <f t="shared" si="0"/>
        <v>16.01964862641659</v>
      </c>
      <c r="I20" s="193" t="str">
        <f t="shared" si="1"/>
        <v xml:space="preserve"> INTERLAKE</v>
      </c>
      <c r="J20" s="200">
        <f t="shared" si="2"/>
        <v>14.380395883652278</v>
      </c>
      <c r="K20" s="1">
        <f>F20-'- 50 -'!C20</f>
        <v>0</v>
      </c>
    </row>
    <row r="21" spans="1:11" ht="14.1" customHeight="1">
      <c r="A21" s="272" t="s">
        <v>118</v>
      </c>
      <c r="B21" s="273">
        <v>701428520</v>
      </c>
      <c r="C21" s="273">
        <v>171498640</v>
      </c>
      <c r="D21" s="273">
        <v>236086050</v>
      </c>
      <c r="E21" s="273">
        <v>1109013210</v>
      </c>
      <c r="F21" s="273">
        <f>'- 50 -'!C21</f>
        <v>15948049</v>
      </c>
      <c r="G21" s="274">
        <f>F21/E21*1000</f>
        <v>14.380395883652278</v>
      </c>
      <c r="I21" s="193" t="str">
        <f t="shared" si="1"/>
        <v xml:space="preserve"> KELSEY</v>
      </c>
      <c r="J21" s="200">
        <f t="shared" si="2"/>
        <v>20.702062140486383</v>
      </c>
      <c r="K21" s="1">
        <f>F21-'- 50 -'!C21</f>
        <v>0</v>
      </c>
    </row>
    <row r="22" spans="1:11" ht="14.1" customHeight="1">
      <c r="A22" s="16" t="s">
        <v>119</v>
      </c>
      <c r="B22" s="17">
        <v>141720370</v>
      </c>
      <c r="C22" s="17">
        <v>13385830</v>
      </c>
      <c r="D22" s="17">
        <v>60695780</v>
      </c>
      <c r="E22" s="17">
        <v>215801980</v>
      </c>
      <c r="F22" s="17">
        <f>'- 50 -'!C22</f>
        <v>4467546</v>
      </c>
      <c r="G22" s="268">
        <f t="shared" si="0"/>
        <v>20.702062140486383</v>
      </c>
      <c r="I22" s="193" t="str">
        <f t="shared" si="1"/>
        <v xml:space="preserve"> LAKESHORE</v>
      </c>
      <c r="J22" s="200">
        <f t="shared" si="2"/>
        <v>18.712788216767052</v>
      </c>
      <c r="K22" s="1">
        <f>F22-'- 50 -'!C22</f>
        <v>0</v>
      </c>
    </row>
    <row r="23" spans="1:11" ht="14.1" customHeight="1">
      <c r="A23" s="272" t="s">
        <v>120</v>
      </c>
      <c r="B23" s="273">
        <v>123307830</v>
      </c>
      <c r="C23" s="273">
        <v>85731900</v>
      </c>
      <c r="D23" s="273">
        <v>28799920</v>
      </c>
      <c r="E23" s="273">
        <v>237839650</v>
      </c>
      <c r="F23" s="273">
        <f>'- 50 -'!C23</f>
        <v>4450643</v>
      </c>
      <c r="G23" s="274">
        <f t="shared" si="0"/>
        <v>18.712788216767052</v>
      </c>
      <c r="H23" s="202"/>
      <c r="I23" s="193" t="str">
        <f t="shared" si="1"/>
        <v xml:space="preserve"> LORD SELKIRK</v>
      </c>
      <c r="J23" s="200">
        <f t="shared" si="2"/>
        <v>14.804598145193991</v>
      </c>
      <c r="K23" s="1">
        <f>H23*E23</f>
        <v>0</v>
      </c>
    </row>
    <row r="24" spans="1:11" ht="14.1" customHeight="1">
      <c r="A24" s="16" t="s">
        <v>121</v>
      </c>
      <c r="B24" s="17">
        <v>1505555960</v>
      </c>
      <c r="C24" s="17">
        <v>62309630</v>
      </c>
      <c r="D24" s="17">
        <v>218224160</v>
      </c>
      <c r="E24" s="17">
        <v>1786089750</v>
      </c>
      <c r="F24" s="17">
        <f>'- 50 -'!C24</f>
        <v>26442341</v>
      </c>
      <c r="G24" s="268">
        <f t="shared" si="0"/>
        <v>14.804598145193991</v>
      </c>
      <c r="I24" s="193" t="str">
        <f t="shared" si="1"/>
        <v xml:space="preserve"> LOUIS RIEL</v>
      </c>
      <c r="J24" s="200">
        <f t="shared" si="2"/>
        <v>13.029825839779617</v>
      </c>
      <c r="K24" s="1">
        <f>F24-'- 50 -'!C24</f>
        <v>0</v>
      </c>
    </row>
    <row r="25" spans="1:11" ht="14.1" customHeight="1">
      <c r="A25" s="272" t="s">
        <v>122</v>
      </c>
      <c r="B25" s="273">
        <v>5712901280</v>
      </c>
      <c r="C25" s="273">
        <v>20852280</v>
      </c>
      <c r="D25" s="273">
        <v>1163675700</v>
      </c>
      <c r="E25" s="273">
        <v>6897429260</v>
      </c>
      <c r="F25" s="273">
        <f>'- 50 -'!C25</f>
        <v>89872302</v>
      </c>
      <c r="G25" s="274">
        <f t="shared" si="0"/>
        <v>13.029825839779617</v>
      </c>
      <c r="I25" s="193" t="str">
        <f t="shared" si="1"/>
        <v xml:space="preserve"> MOUNTAIN VIEW</v>
      </c>
      <c r="J25" s="200">
        <f t="shared" si="2"/>
        <v>17.079867584267916</v>
      </c>
      <c r="K25" s="1">
        <f>F25-'- 50 -'!C25</f>
        <v>0</v>
      </c>
    </row>
    <row r="26" spans="1:11" ht="14.1" customHeight="1">
      <c r="A26" s="16" t="s">
        <v>123</v>
      </c>
      <c r="B26" s="17">
        <v>470029360</v>
      </c>
      <c r="C26" s="17">
        <v>245553830</v>
      </c>
      <c r="D26" s="17">
        <v>122284020</v>
      </c>
      <c r="E26" s="17">
        <v>837867210</v>
      </c>
      <c r="F26" s="17">
        <f>'- 50 -'!C26</f>
        <v>14310661</v>
      </c>
      <c r="G26" s="268">
        <f t="shared" si="0"/>
        <v>17.079867584267916</v>
      </c>
      <c r="I26" s="193" t="str">
        <f t="shared" si="1"/>
        <v xml:space="preserve"> MYSTERY LAKE</v>
      </c>
      <c r="J26" s="200">
        <f t="shared" si="2"/>
        <v>17.62758894501566</v>
      </c>
      <c r="K26" s="1">
        <f>F26-'- 50 -'!C26</f>
        <v>0</v>
      </c>
    </row>
    <row r="27" spans="1:11" ht="14.1" customHeight="1">
      <c r="A27" s="272" t="s">
        <v>124</v>
      </c>
      <c r="B27" s="273">
        <v>320380570</v>
      </c>
      <c r="C27" s="273">
        <v>0</v>
      </c>
      <c r="D27" s="273">
        <v>137119490</v>
      </c>
      <c r="E27" s="273">
        <v>457500060</v>
      </c>
      <c r="F27" s="273">
        <f>'- 50 -'!C27</f>
        <v>8064623</v>
      </c>
      <c r="G27" s="274">
        <f t="shared" si="0"/>
        <v>17.62758894501566</v>
      </c>
      <c r="I27" s="193" t="str">
        <f t="shared" si="1"/>
        <v xml:space="preserve"> PARK WEST</v>
      </c>
      <c r="J27" s="200">
        <f t="shared" si="2"/>
        <v>13.250661113249206</v>
      </c>
      <c r="K27" s="1">
        <f>F27-'- 50 -'!C27</f>
        <v>0</v>
      </c>
    </row>
    <row r="28" spans="1:11" ht="14.1" customHeight="1">
      <c r="A28" s="16" t="s">
        <v>125</v>
      </c>
      <c r="B28" s="17">
        <v>217425130</v>
      </c>
      <c r="C28" s="17">
        <v>255575470</v>
      </c>
      <c r="D28" s="17">
        <v>176876710</v>
      </c>
      <c r="E28" s="17">
        <v>649877310</v>
      </c>
      <c r="F28" s="17">
        <f>'- 50 -'!C28</f>
        <v>8611304</v>
      </c>
      <c r="G28" s="268">
        <f t="shared" si="0"/>
        <v>13.250661113249206</v>
      </c>
      <c r="I28" s="193" t="str">
        <f t="shared" si="1"/>
        <v xml:space="preserve"> PEMBINA TRAILS</v>
      </c>
      <c r="J28" s="200">
        <f t="shared" si="2"/>
        <v>12.452841586775635</v>
      </c>
      <c r="K28" s="1">
        <f>F28-'- 50 -'!C28</f>
        <v>0</v>
      </c>
    </row>
    <row r="29" spans="1:11" ht="14.1" customHeight="1">
      <c r="A29" s="272" t="s">
        <v>126</v>
      </c>
      <c r="B29" s="273">
        <v>5710967030</v>
      </c>
      <c r="C29" s="273">
        <v>17752370</v>
      </c>
      <c r="D29" s="273">
        <v>1259537890</v>
      </c>
      <c r="E29" s="273">
        <v>6988257290</v>
      </c>
      <c r="F29" s="273">
        <f>'- 50 -'!C29</f>
        <v>87023661</v>
      </c>
      <c r="G29" s="274">
        <f t="shared" si="0"/>
        <v>12.452841586775635</v>
      </c>
      <c r="I29" s="193" t="str">
        <f t="shared" si="1"/>
        <v xml:space="preserve"> PINE CREEK</v>
      </c>
      <c r="J29" s="200">
        <f t="shared" si="2"/>
        <v>15.021312488035266</v>
      </c>
    </row>
    <row r="30" spans="1:11" ht="14.1" customHeight="1">
      <c r="A30" s="16" t="s">
        <v>127</v>
      </c>
      <c r="B30" s="17">
        <v>125923160</v>
      </c>
      <c r="C30" s="17">
        <v>162741710</v>
      </c>
      <c r="D30" s="17">
        <v>86500150</v>
      </c>
      <c r="E30" s="17">
        <v>375165020</v>
      </c>
      <c r="F30" s="17">
        <f>'- 50 -'!C30</f>
        <v>5635471</v>
      </c>
      <c r="G30" s="268">
        <f>F30/E30*1000</f>
        <v>15.021312488035266</v>
      </c>
      <c r="I30" s="193" t="str">
        <f t="shared" si="1"/>
        <v xml:space="preserve"> PORTAGE LA PRAIRIE</v>
      </c>
      <c r="J30" s="200">
        <f t="shared" si="2"/>
        <v>14.973609195437771</v>
      </c>
      <c r="K30" s="1">
        <f>F30-'- 50 -'!C30</f>
        <v>0</v>
      </c>
    </row>
    <row r="31" spans="1:11" ht="14.1" customHeight="1">
      <c r="A31" s="272" t="s">
        <v>128</v>
      </c>
      <c r="B31" s="273">
        <v>498394270</v>
      </c>
      <c r="C31" s="273">
        <v>227143790</v>
      </c>
      <c r="D31" s="273">
        <v>311376140</v>
      </c>
      <c r="E31" s="273">
        <v>1036914200</v>
      </c>
      <c r="F31" s="273">
        <f>'- 50 -'!C31</f>
        <v>15526348</v>
      </c>
      <c r="G31" s="274">
        <f>F31/E31*1000</f>
        <v>14.973609195437771</v>
      </c>
      <c r="I31" s="193" t="str">
        <f t="shared" si="1"/>
        <v xml:space="preserve"> PRAIRIE ROSE</v>
      </c>
      <c r="J31" s="200">
        <f t="shared" si="2"/>
        <v>13.996251930497856</v>
      </c>
      <c r="K31" s="1">
        <f>F31-'- 50 -'!C31</f>
        <v>0</v>
      </c>
    </row>
    <row r="32" spans="1:11" ht="14.1" customHeight="1">
      <c r="A32" s="16" t="s">
        <v>129</v>
      </c>
      <c r="B32" s="17">
        <v>429050040</v>
      </c>
      <c r="C32" s="17">
        <v>406277220</v>
      </c>
      <c r="D32" s="17">
        <v>128886450</v>
      </c>
      <c r="E32" s="17">
        <v>964213710</v>
      </c>
      <c r="F32" s="17">
        <f>'- 50 -'!C32</f>
        <v>13495378</v>
      </c>
      <c r="G32" s="268">
        <f t="shared" si="0"/>
        <v>13.996251930497856</v>
      </c>
      <c r="I32" s="193" t="str">
        <f t="shared" si="1"/>
        <v xml:space="preserve"> PRAIRIE SPIRIT</v>
      </c>
      <c r="J32" s="200">
        <f t="shared" si="2"/>
        <v>14.478366511808822</v>
      </c>
      <c r="K32" s="1">
        <f>F32-'- 50 -'!C32</f>
        <v>0</v>
      </c>
    </row>
    <row r="33" spans="1:11" ht="14.1" customHeight="1">
      <c r="A33" s="272" t="s">
        <v>130</v>
      </c>
      <c r="B33" s="273">
        <v>261878650</v>
      </c>
      <c r="C33" s="273">
        <v>497217800</v>
      </c>
      <c r="D33" s="273">
        <v>158409540</v>
      </c>
      <c r="E33" s="273">
        <v>917505990</v>
      </c>
      <c r="F33" s="273">
        <f>'- 50 -'!C33</f>
        <v>13283988</v>
      </c>
      <c r="G33" s="274">
        <f t="shared" si="0"/>
        <v>14.478366511808822</v>
      </c>
      <c r="I33" s="193" t="str">
        <f t="shared" si="1"/>
        <v xml:space="preserve"> RED RIVER VALLEY</v>
      </c>
      <c r="J33" s="200">
        <f t="shared" si="2"/>
        <v>15.799773867203545</v>
      </c>
      <c r="K33" s="1">
        <f>F33-'- 50 -'!C33</f>
        <v>0</v>
      </c>
    </row>
    <row r="34" spans="1:11" ht="14.1" customHeight="1">
      <c r="A34" s="16" t="s">
        <v>131</v>
      </c>
      <c r="B34" s="17">
        <v>451688520</v>
      </c>
      <c r="C34" s="17">
        <v>326794130</v>
      </c>
      <c r="D34" s="17">
        <v>229854060</v>
      </c>
      <c r="E34" s="17">
        <v>1008336710</v>
      </c>
      <c r="F34" s="17">
        <f>'- 50 -'!C34</f>
        <v>15931492</v>
      </c>
      <c r="G34" s="268">
        <f t="shared" si="0"/>
        <v>15.799773867203545</v>
      </c>
      <c r="I34" s="193" t="str">
        <f t="shared" si="1"/>
        <v xml:space="preserve"> RIVER EAST TRANSCONA</v>
      </c>
      <c r="J34" s="200">
        <f t="shared" si="2"/>
        <v>13.566637667228783</v>
      </c>
      <c r="K34" s="1">
        <f>F34-'- 50 -'!C34</f>
        <v>0</v>
      </c>
    </row>
    <row r="35" spans="1:11" ht="14.1" customHeight="1">
      <c r="A35" s="272" t="s">
        <v>132</v>
      </c>
      <c r="B35" s="273">
        <v>4935810110</v>
      </c>
      <c r="C35" s="273">
        <v>14013860</v>
      </c>
      <c r="D35" s="273">
        <v>879449940</v>
      </c>
      <c r="E35" s="273">
        <v>5829273910</v>
      </c>
      <c r="F35" s="273">
        <f>'- 50 -'!C35</f>
        <v>79083647</v>
      </c>
      <c r="G35" s="274">
        <f t="shared" si="0"/>
        <v>13.566637667228783</v>
      </c>
      <c r="I35" s="193" t="str">
        <f t="shared" si="1"/>
        <v xml:space="preserve"> ROLLING RIVER</v>
      </c>
      <c r="J35" s="200">
        <f t="shared" si="2"/>
        <v>13.386935075211806</v>
      </c>
      <c r="K35" s="1">
        <f>F35-'- 50 -'!C35</f>
        <v>0</v>
      </c>
    </row>
    <row r="36" spans="1:11" ht="14.1" customHeight="1">
      <c r="A36" s="16" t="s">
        <v>133</v>
      </c>
      <c r="B36" s="17">
        <v>404906650</v>
      </c>
      <c r="C36" s="17">
        <v>171948480</v>
      </c>
      <c r="D36" s="17">
        <v>166950300</v>
      </c>
      <c r="E36" s="17">
        <v>743805430</v>
      </c>
      <c r="F36" s="17">
        <f>'- 50 -'!C36</f>
        <v>9957275</v>
      </c>
      <c r="G36" s="268">
        <f t="shared" si="0"/>
        <v>13.386935075211806</v>
      </c>
      <c r="I36" s="193" t="str">
        <f t="shared" si="1"/>
        <v xml:space="preserve"> SEINE RIVER</v>
      </c>
      <c r="J36" s="200">
        <f t="shared" si="2"/>
        <v>15.098522110613921</v>
      </c>
      <c r="K36" s="1">
        <f>F36-'- 50 -'!C36</f>
        <v>0</v>
      </c>
    </row>
    <row r="37" spans="1:11" ht="14.1" customHeight="1">
      <c r="A37" s="272" t="s">
        <v>134</v>
      </c>
      <c r="B37" s="273">
        <v>1199462780</v>
      </c>
      <c r="C37" s="273">
        <v>107111970</v>
      </c>
      <c r="D37" s="273">
        <v>165876450</v>
      </c>
      <c r="E37" s="273">
        <v>1472451200</v>
      </c>
      <c r="F37" s="273">
        <f>'- 50 -'!C37</f>
        <v>22231837</v>
      </c>
      <c r="G37" s="274">
        <f t="shared" si="0"/>
        <v>15.098522110613921</v>
      </c>
      <c r="I37" s="193" t="str">
        <f t="shared" si="1"/>
        <v xml:space="preserve"> SEVEN OAKS</v>
      </c>
      <c r="J37" s="200">
        <f t="shared" si="2"/>
        <v>15.624721952113394</v>
      </c>
      <c r="K37" s="1">
        <f>F37-'- 50 -'!C37</f>
        <v>0</v>
      </c>
    </row>
    <row r="38" spans="1:11" ht="14.1" customHeight="1">
      <c r="A38" s="16" t="s">
        <v>135</v>
      </c>
      <c r="B38" s="17">
        <v>2694465570</v>
      </c>
      <c r="C38" s="17">
        <v>12189240</v>
      </c>
      <c r="D38" s="17">
        <v>326433340</v>
      </c>
      <c r="E38" s="17">
        <v>3033088150</v>
      </c>
      <c r="F38" s="17">
        <f>'- 50 -'!C38</f>
        <v>47391159</v>
      </c>
      <c r="G38" s="268">
        <f t="shared" si="0"/>
        <v>15.624721952113394</v>
      </c>
      <c r="I38" s="193" t="str">
        <f t="shared" si="1"/>
        <v xml:space="preserve"> SOUTHWEST HORIZON</v>
      </c>
      <c r="J38" s="200">
        <f t="shared" si="2"/>
        <v>11.364694225956022</v>
      </c>
      <c r="K38" s="1">
        <f>F38-'- 50 -'!C38</f>
        <v>0</v>
      </c>
    </row>
    <row r="39" spans="1:11" ht="14.1" customHeight="1">
      <c r="A39" s="272" t="s">
        <v>136</v>
      </c>
      <c r="B39" s="273">
        <v>254438190</v>
      </c>
      <c r="C39" s="273">
        <v>310184960</v>
      </c>
      <c r="D39" s="273">
        <v>422100890</v>
      </c>
      <c r="E39" s="273">
        <v>986724040</v>
      </c>
      <c r="F39" s="273">
        <f>'- 50 -'!C39</f>
        <v>11213817</v>
      </c>
      <c r="G39" s="274">
        <f t="shared" si="0"/>
        <v>11.364694225956022</v>
      </c>
      <c r="I39" s="193" t="str">
        <f t="shared" si="1"/>
        <v xml:space="preserve"> ST. JAMES-ASSINIBOIA</v>
      </c>
      <c r="J39" s="200">
        <f t="shared" si="2"/>
        <v>12.620605803816643</v>
      </c>
      <c r="K39" s="1">
        <f>F39-'- 50 -'!C39</f>
        <v>0</v>
      </c>
    </row>
    <row r="40" spans="1:11" ht="14.1" customHeight="1">
      <c r="A40" s="16" t="s">
        <v>137</v>
      </c>
      <c r="B40" s="17">
        <v>2748656440</v>
      </c>
      <c r="C40" s="17">
        <v>15755850</v>
      </c>
      <c r="D40" s="17">
        <v>1426641200</v>
      </c>
      <c r="E40" s="17">
        <v>4191053490</v>
      </c>
      <c r="F40" s="17">
        <f>'- 50 -'!C40</f>
        <v>52893634</v>
      </c>
      <c r="G40" s="268">
        <f t="shared" si="0"/>
        <v>12.620605803816643</v>
      </c>
      <c r="I40" s="193" t="str">
        <f t="shared" si="1"/>
        <v xml:space="preserve"> SUNRISE</v>
      </c>
      <c r="J40" s="200">
        <f t="shared" si="2"/>
        <v>14.341634769958029</v>
      </c>
      <c r="K40" s="1">
        <f>F40-'- 50 -'!C40</f>
        <v>0</v>
      </c>
    </row>
    <row r="41" spans="1:11" ht="14.1" customHeight="1">
      <c r="A41" s="272" t="s">
        <v>138</v>
      </c>
      <c r="B41" s="273">
        <v>1630503150</v>
      </c>
      <c r="C41" s="273">
        <v>183461000</v>
      </c>
      <c r="D41" s="273">
        <v>373787700</v>
      </c>
      <c r="E41" s="273">
        <v>2187751850</v>
      </c>
      <c r="F41" s="273">
        <f>'- 50 -'!C41</f>
        <v>31375938</v>
      </c>
      <c r="G41" s="274">
        <f t="shared" si="0"/>
        <v>14.341634769958029</v>
      </c>
      <c r="I41" s="193" t="str">
        <f t="shared" si="1"/>
        <v xml:space="preserve"> SWAN VALLEY</v>
      </c>
      <c r="J41" s="200">
        <f t="shared" si="2"/>
        <v>16.672999371777209</v>
      </c>
      <c r="K41" s="1">
        <f>F41-'- 50 -'!C41</f>
        <v>0</v>
      </c>
    </row>
    <row r="42" spans="1:11" ht="14.1" customHeight="1">
      <c r="A42" s="16" t="s">
        <v>139</v>
      </c>
      <c r="B42" s="17">
        <v>189704850</v>
      </c>
      <c r="C42" s="17">
        <v>149865670</v>
      </c>
      <c r="D42" s="17">
        <v>72496670</v>
      </c>
      <c r="E42" s="17">
        <v>412067190</v>
      </c>
      <c r="F42" s="17">
        <f>'- 50 -'!C42</f>
        <v>6870396</v>
      </c>
      <c r="G42" s="268">
        <f t="shared" si="0"/>
        <v>16.672999371777209</v>
      </c>
      <c r="I42" s="193" t="str">
        <f t="shared" si="1"/>
        <v xml:space="preserve"> TURTLE MOUNTAIN</v>
      </c>
      <c r="J42" s="200">
        <f t="shared" si="2"/>
        <v>15.184728225006923</v>
      </c>
      <c r="K42" s="1">
        <f>F42-'- 50 -'!C42</f>
        <v>0</v>
      </c>
    </row>
    <row r="43" spans="1:11" ht="14.1" customHeight="1">
      <c r="A43" s="272" t="s">
        <v>140</v>
      </c>
      <c r="B43" s="273">
        <v>192984400</v>
      </c>
      <c r="C43" s="273">
        <v>160936700</v>
      </c>
      <c r="D43" s="273">
        <v>60143670</v>
      </c>
      <c r="E43" s="273">
        <v>414064770</v>
      </c>
      <c r="F43" s="273">
        <f>'- 50 -'!C43</f>
        <v>6287461</v>
      </c>
      <c r="G43" s="274">
        <f t="shared" si="0"/>
        <v>15.184728225006923</v>
      </c>
      <c r="I43" s="193" t="str">
        <f t="shared" si="1"/>
        <v xml:space="preserve"> TURTLE RIVER</v>
      </c>
      <c r="J43" s="200">
        <f t="shared" si="2"/>
        <v>18.917748698919478</v>
      </c>
      <c r="K43" s="1">
        <f>F43-'- 50 -'!C43</f>
        <v>0</v>
      </c>
    </row>
    <row r="44" spans="1:11" ht="14.1" customHeight="1">
      <c r="A44" s="16" t="s">
        <v>141</v>
      </c>
      <c r="B44" s="17">
        <v>78894060</v>
      </c>
      <c r="C44" s="17">
        <v>74152870</v>
      </c>
      <c r="D44" s="17">
        <v>13126490</v>
      </c>
      <c r="E44" s="17">
        <v>166173420</v>
      </c>
      <c r="F44" s="17">
        <f>'- 50 -'!C44</f>
        <v>3143627</v>
      </c>
      <c r="G44" s="268">
        <f t="shared" si="0"/>
        <v>18.917748698919478</v>
      </c>
      <c r="I44" s="193" t="str">
        <f t="shared" si="1"/>
        <v xml:space="preserve"> WESTERN</v>
      </c>
      <c r="J44" s="200">
        <f t="shared" si="2"/>
        <v>17.434999319764238</v>
      </c>
      <c r="K44" s="1">
        <f>F44-'- 50 -'!C44</f>
        <v>0</v>
      </c>
    </row>
    <row r="45" spans="1:11" ht="14.1" customHeight="1">
      <c r="A45" s="272" t="s">
        <v>142</v>
      </c>
      <c r="B45" s="273">
        <v>290592830</v>
      </c>
      <c r="C45" s="273">
        <v>65427380</v>
      </c>
      <c r="D45" s="273">
        <v>89413590</v>
      </c>
      <c r="E45" s="273">
        <v>445433800</v>
      </c>
      <c r="F45" s="273">
        <f>'- 50 -'!C45</f>
        <v>7766138</v>
      </c>
      <c r="G45" s="274">
        <f t="shared" si="0"/>
        <v>17.434999319764238</v>
      </c>
      <c r="I45" s="193" t="str">
        <f t="shared" si="1"/>
        <v xml:space="preserve"> WINNIPEG</v>
      </c>
      <c r="J45" s="200">
        <f t="shared" si="2"/>
        <v>15.583288681265151</v>
      </c>
      <c r="K45" s="1">
        <f>F45-'- 50 -'!C45</f>
        <v>0</v>
      </c>
    </row>
    <row r="46" spans="1:11" ht="14.1" customHeight="1">
      <c r="A46" s="16" t="s">
        <v>143</v>
      </c>
      <c r="B46" s="17">
        <v>6430088380</v>
      </c>
      <c r="C46" s="17">
        <v>4683460</v>
      </c>
      <c r="D46" s="17">
        <v>4115150090</v>
      </c>
      <c r="E46" s="17">
        <v>10549921930</v>
      </c>
      <c r="F46" s="17">
        <f>'- 50 -'!C46</f>
        <v>164402479</v>
      </c>
      <c r="G46" s="268">
        <f t="shared" si="0"/>
        <v>15.583288681265151</v>
      </c>
      <c r="K46" s="1">
        <f>F46-'- 50 -'!C46</f>
        <v>0</v>
      </c>
    </row>
    <row r="47" spans="1:11" ht="5.0999999999999996" customHeight="1">
      <c r="A47"/>
      <c r="B47"/>
      <c r="C47"/>
      <c r="D47"/>
      <c r="E47"/>
      <c r="F47"/>
      <c r="G47"/>
      <c r="K47" s="1">
        <f>F47-'- 50 -'!C47</f>
        <v>0</v>
      </c>
    </row>
    <row r="48" spans="1:11" ht="14.1" customHeight="1">
      <c r="A48" s="275" t="s">
        <v>148</v>
      </c>
      <c r="B48" s="276">
        <f>SUM(B11:B46)</f>
        <v>43000149350</v>
      </c>
      <c r="C48" s="276">
        <f>SUM(C11:C46)</f>
        <v>4827781390</v>
      </c>
      <c r="D48" s="276">
        <f>SUM(D11:D46)</f>
        <v>14836688280</v>
      </c>
      <c r="E48" s="276">
        <f>SUM(E11:E46)</f>
        <v>62664619020</v>
      </c>
      <c r="F48" s="276">
        <f>SUM(F11:F46)</f>
        <v>898133898</v>
      </c>
      <c r="G48" s="277">
        <f>F48/E48*1000</f>
        <v>14.332392218220495</v>
      </c>
      <c r="K48" s="1">
        <f>F48-'- 50 -'!C48</f>
        <v>0</v>
      </c>
    </row>
    <row r="49" spans="1:10" ht="5.0999999999999996" customHeight="1">
      <c r="A49" s="128"/>
      <c r="B49" s="141"/>
      <c r="C49" s="141"/>
      <c r="D49" s="141"/>
      <c r="E49" s="141"/>
      <c r="F49" s="141"/>
      <c r="G49"/>
    </row>
    <row r="50" spans="1:10" ht="14.1" customHeight="1">
      <c r="A50" s="16" t="s">
        <v>146</v>
      </c>
      <c r="B50" s="17">
        <v>62351770</v>
      </c>
      <c r="C50" s="17">
        <v>383760</v>
      </c>
      <c r="D50" s="17">
        <v>3483330</v>
      </c>
      <c r="E50" s="17">
        <v>66218860</v>
      </c>
      <c r="F50"/>
      <c r="G50"/>
    </row>
    <row r="51" spans="1:10" ht="14.1" customHeight="1">
      <c r="A51" s="272" t="s">
        <v>147</v>
      </c>
      <c r="B51" s="273">
        <v>16635340</v>
      </c>
      <c r="C51" s="273">
        <v>13516060</v>
      </c>
      <c r="D51" s="273">
        <v>50275020</v>
      </c>
      <c r="E51" s="273">
        <v>80426420</v>
      </c>
      <c r="F51"/>
      <c r="G51"/>
    </row>
    <row r="52" spans="1:10" ht="5.0999999999999996" customHeight="1">
      <c r="A52" s="128"/>
      <c r="B52" s="141"/>
      <c r="C52" s="141"/>
      <c r="D52" s="141"/>
      <c r="E52" s="141"/>
      <c r="F52"/>
      <c r="G52"/>
    </row>
    <row r="53" spans="1:10" ht="14.1" customHeight="1">
      <c r="A53" s="275" t="s">
        <v>144</v>
      </c>
      <c r="B53" s="276">
        <f>SUM(B48,B50:B51)</f>
        <v>43079136460</v>
      </c>
      <c r="C53" s="276">
        <f>SUM(C48,C50:C51)</f>
        <v>4841681210</v>
      </c>
      <c r="D53" s="276">
        <f>SUM(D48,D50:D51)</f>
        <v>14890446630</v>
      </c>
      <c r="E53" s="276">
        <f>SUM(E48,E50:E51)</f>
        <v>62811264300</v>
      </c>
      <c r="F53" s="434"/>
      <c r="G53" s="434"/>
    </row>
    <row r="54" spans="1:10" ht="30" customHeight="1">
      <c r="A54" s="20"/>
      <c r="B54" s="20"/>
      <c r="C54" s="20"/>
      <c r="D54" s="20"/>
      <c r="E54" s="20"/>
      <c r="F54" s="20"/>
      <c r="G54" s="20"/>
    </row>
    <row r="55" spans="1:10" ht="15" customHeight="1">
      <c r="A55" s="738" t="s">
        <v>579</v>
      </c>
      <c r="B55" s="739"/>
      <c r="C55" s="739"/>
      <c r="D55" s="739"/>
      <c r="E55" s="739"/>
      <c r="F55" s="739"/>
      <c r="G55" s="739"/>
      <c r="H55" s="32"/>
      <c r="I55" s="32"/>
      <c r="J55" s="32"/>
    </row>
    <row r="56" spans="1:10" ht="12" customHeight="1">
      <c r="A56" s="740"/>
      <c r="B56" s="740"/>
      <c r="C56" s="740"/>
      <c r="D56" s="740"/>
      <c r="E56" s="740"/>
      <c r="F56" s="740"/>
      <c r="G56" s="740"/>
      <c r="H56" s="32"/>
      <c r="I56" s="32"/>
      <c r="J56" s="32"/>
    </row>
    <row r="57" spans="1:10" ht="12" customHeight="1">
      <c r="A57" s="1" t="s">
        <v>337</v>
      </c>
      <c r="B57" s="32"/>
      <c r="C57" s="32"/>
      <c r="D57" s="32"/>
      <c r="E57" s="32"/>
      <c r="F57" s="32"/>
      <c r="G57" s="32"/>
      <c r="H57" s="32"/>
      <c r="I57" s="32"/>
      <c r="J57" s="32"/>
    </row>
  </sheetData>
  <mergeCells count="6">
    <mergeCell ref="A55:G56"/>
    <mergeCell ref="B6:E6"/>
    <mergeCell ref="B7:B9"/>
    <mergeCell ref="C7:C9"/>
    <mergeCell ref="F8:F9"/>
    <mergeCell ref="G7:G9"/>
  </mergeCells>
  <phoneticPr fontId="0" type="noConversion"/>
  <printOptions horizontalCentered="1"/>
  <pageMargins left="0.5" right="0.5" top="0.6" bottom="0" header="0.3" footer="0"/>
  <pageSetup scale="89" orientation="portrait" r:id="rId1"/>
  <headerFooter alignWithMargins="0">
    <oddHeader>&amp;C&amp;"Arial,Bold"&amp;10&amp;A</oddHeader>
  </headerFooter>
  <legacyDrawing r:id="rId2"/>
</worksheet>
</file>

<file path=xl/worksheets/sheet42.xml><?xml version="1.0" encoding="utf-8"?>
<worksheet xmlns="http://schemas.openxmlformats.org/spreadsheetml/2006/main" xmlns:r="http://schemas.openxmlformats.org/officeDocument/2006/relationships">
  <sheetPr codeName="Sheet55"/>
  <dimension ref="A1:BB56"/>
  <sheetViews>
    <sheetView showGridLines="0" showZeros="0" workbookViewId="0"/>
  </sheetViews>
  <sheetFormatPr defaultColWidth="13.6640625" defaultRowHeight="12"/>
  <cols>
    <col min="1" max="1" width="37.5" style="1" customWidth="1"/>
    <col min="2" max="2" width="23.1640625" style="1" customWidth="1"/>
    <col min="3" max="3" width="19.83203125" style="1" customWidth="1"/>
    <col min="4" max="4" width="19.6640625" style="1" customWidth="1"/>
    <col min="5" max="5" width="13.6640625" style="1"/>
    <col min="6" max="6" width="15.6640625" style="1" customWidth="1"/>
    <col min="7" max="16384" width="13.6640625" style="1"/>
  </cols>
  <sheetData>
    <row r="1" spans="1:54" ht="6.95" customHeight="1">
      <c r="A1" s="3"/>
    </row>
    <row r="2" spans="1:54" ht="15.95" customHeight="1">
      <c r="A2" s="749" t="str">
        <f>IF(Lang=1,BA2,BB2)</f>
        <v>NET SPECIAL LEVY</v>
      </c>
      <c r="B2" s="749"/>
      <c r="C2" s="749"/>
      <c r="D2" s="749"/>
      <c r="E2" s="749"/>
      <c r="F2" s="749"/>
      <c r="BA2" s="466" t="s">
        <v>305</v>
      </c>
      <c r="BB2" s="462" t="s">
        <v>488</v>
      </c>
    </row>
    <row r="3" spans="1:54" ht="15.95" customHeight="1">
      <c r="A3" s="750" t="str">
        <f>TAXYEAR</f>
        <v xml:space="preserve">FOR THE 2015 TAXATION YEAR </v>
      </c>
      <c r="B3" s="750"/>
      <c r="C3" s="750"/>
      <c r="D3" s="750"/>
      <c r="E3" s="750"/>
      <c r="F3" s="750"/>
    </row>
    <row r="4" spans="1:54" ht="15.95" customHeight="1">
      <c r="B4" s="4"/>
      <c r="C4" s="4"/>
      <c r="D4" s="4"/>
    </row>
    <row r="5" spans="1:54" ht="15.95" customHeight="1">
      <c r="B5" s="4"/>
      <c r="C5" s="4"/>
      <c r="D5" s="4"/>
    </row>
    <row r="6" spans="1:54" ht="15.95" customHeight="1">
      <c r="B6" s="377"/>
      <c r="C6" s="377"/>
      <c r="D6" s="377"/>
    </row>
    <row r="7" spans="1:54" ht="15.95" customHeight="1">
      <c r="B7" s="323"/>
      <c r="C7" s="375"/>
      <c r="D7" s="317"/>
    </row>
    <row r="8" spans="1:54" ht="15.95" customHeight="1">
      <c r="A8" s="13"/>
      <c r="B8" s="751" t="s">
        <v>485</v>
      </c>
      <c r="C8" s="731" t="s">
        <v>486</v>
      </c>
      <c r="D8" s="731" t="s">
        <v>487</v>
      </c>
    </row>
    <row r="9" spans="1:54" ht="15.95" customHeight="1">
      <c r="A9" s="14" t="s">
        <v>37</v>
      </c>
      <c r="B9" s="752"/>
      <c r="C9" s="594"/>
      <c r="D9" s="592"/>
    </row>
    <row r="10" spans="1:54" ht="5.0999999999999996" customHeight="1">
      <c r="A10" s="15"/>
      <c r="B10" s="183"/>
      <c r="C10" s="183"/>
      <c r="D10" s="183"/>
    </row>
    <row r="11" spans="1:54" ht="14.1" customHeight="1">
      <c r="A11" s="272" t="s">
        <v>109</v>
      </c>
      <c r="B11" s="273">
        <v>8362700</v>
      </c>
      <c r="C11" s="273">
        <v>504331</v>
      </c>
      <c r="D11" s="273">
        <v>7858369</v>
      </c>
    </row>
    <row r="12" spans="1:54" ht="14.1" customHeight="1">
      <c r="A12" s="16" t="s">
        <v>110</v>
      </c>
      <c r="B12" s="17">
        <v>14157748</v>
      </c>
      <c r="C12" s="17">
        <v>2736955</v>
      </c>
      <c r="D12" s="17">
        <v>11420793</v>
      </c>
    </row>
    <row r="13" spans="1:54" ht="14.1" customHeight="1">
      <c r="A13" s="272" t="s">
        <v>111</v>
      </c>
      <c r="B13" s="273">
        <v>43390966</v>
      </c>
      <c r="C13" s="273">
        <v>1848013</v>
      </c>
      <c r="D13" s="273">
        <v>41542953</v>
      </c>
    </row>
    <row r="14" spans="1:54" ht="14.1" customHeight="1">
      <c r="A14" s="16" t="s">
        <v>324</v>
      </c>
      <c r="B14" s="17">
        <v>0</v>
      </c>
      <c r="C14" s="17">
        <v>0</v>
      </c>
      <c r="D14" s="17">
        <v>0</v>
      </c>
    </row>
    <row r="15" spans="1:54" ht="14.1" customHeight="1">
      <c r="A15" s="272" t="s">
        <v>112</v>
      </c>
      <c r="B15" s="273">
        <v>11437209</v>
      </c>
      <c r="C15" s="273">
        <v>1595317</v>
      </c>
      <c r="D15" s="273">
        <v>9841892</v>
      </c>
    </row>
    <row r="16" spans="1:54" ht="14.1" customHeight="1">
      <c r="A16" s="16" t="s">
        <v>113</v>
      </c>
      <c r="B16" s="17">
        <v>4640885</v>
      </c>
      <c r="C16" s="17">
        <v>752713</v>
      </c>
      <c r="D16" s="17">
        <v>3888172</v>
      </c>
    </row>
    <row r="17" spans="1:4" ht="14.1" customHeight="1">
      <c r="A17" s="272" t="s">
        <v>114</v>
      </c>
      <c r="B17" s="273">
        <v>8726538</v>
      </c>
      <c r="C17" s="273">
        <v>487785</v>
      </c>
      <c r="D17" s="273">
        <v>8238753</v>
      </c>
    </row>
    <row r="18" spans="1:4" ht="14.1" customHeight="1">
      <c r="A18" s="16" t="s">
        <v>115</v>
      </c>
      <c r="B18" s="17">
        <v>3625964</v>
      </c>
      <c r="C18" s="17">
        <v>318474</v>
      </c>
      <c r="D18" s="17">
        <v>3307490</v>
      </c>
    </row>
    <row r="19" spans="1:4" ht="14.1" customHeight="1">
      <c r="A19" s="272" t="s">
        <v>116</v>
      </c>
      <c r="B19" s="273">
        <v>17883368</v>
      </c>
      <c r="C19" s="273">
        <v>646173</v>
      </c>
      <c r="D19" s="273">
        <v>17237195</v>
      </c>
    </row>
    <row r="20" spans="1:4" ht="14.1" customHeight="1">
      <c r="A20" s="16" t="s">
        <v>117</v>
      </c>
      <c r="B20" s="17">
        <v>30625192</v>
      </c>
      <c r="C20" s="17">
        <v>1508126</v>
      </c>
      <c r="D20" s="17">
        <v>29117066</v>
      </c>
    </row>
    <row r="21" spans="1:4" ht="14.1" customHeight="1">
      <c r="A21" s="272" t="s">
        <v>118</v>
      </c>
      <c r="B21" s="273">
        <v>17237600</v>
      </c>
      <c r="C21" s="273">
        <v>1289551</v>
      </c>
      <c r="D21" s="273">
        <v>15948049</v>
      </c>
    </row>
    <row r="22" spans="1:4" ht="14.1" customHeight="1">
      <c r="A22" s="16" t="s">
        <v>119</v>
      </c>
      <c r="B22" s="17">
        <v>4776953</v>
      </c>
      <c r="C22" s="17">
        <v>309407</v>
      </c>
      <c r="D22" s="17">
        <v>4467546</v>
      </c>
    </row>
    <row r="23" spans="1:4" ht="14.1" customHeight="1">
      <c r="A23" s="272" t="s">
        <v>120</v>
      </c>
      <c r="B23" s="273">
        <v>4890716</v>
      </c>
      <c r="C23" s="273">
        <v>440073</v>
      </c>
      <c r="D23" s="273">
        <v>4450643</v>
      </c>
    </row>
    <row r="24" spans="1:4" ht="14.1" customHeight="1">
      <c r="A24" s="16" t="s">
        <v>121</v>
      </c>
      <c r="B24" s="17">
        <v>29135244</v>
      </c>
      <c r="C24" s="17">
        <v>2692903</v>
      </c>
      <c r="D24" s="17">
        <v>26442341</v>
      </c>
    </row>
    <row r="25" spans="1:4" ht="14.1" customHeight="1">
      <c r="A25" s="272" t="s">
        <v>122</v>
      </c>
      <c r="B25" s="273">
        <v>96413305</v>
      </c>
      <c r="C25" s="273">
        <v>6541003</v>
      </c>
      <c r="D25" s="273">
        <v>89872302</v>
      </c>
    </row>
    <row r="26" spans="1:4" ht="14.1" customHeight="1">
      <c r="A26" s="16" t="s">
        <v>123</v>
      </c>
      <c r="B26" s="17">
        <v>15001021</v>
      </c>
      <c r="C26" s="17">
        <v>690360</v>
      </c>
      <c r="D26" s="17">
        <v>14310661</v>
      </c>
    </row>
    <row r="27" spans="1:4" ht="14.1" customHeight="1">
      <c r="A27" s="272" t="s">
        <v>124</v>
      </c>
      <c r="B27" s="273">
        <v>9150673</v>
      </c>
      <c r="C27" s="273">
        <v>1086050</v>
      </c>
      <c r="D27" s="273">
        <v>8064623</v>
      </c>
    </row>
    <row r="28" spans="1:4" ht="14.1" customHeight="1">
      <c r="A28" s="16" t="s">
        <v>125</v>
      </c>
      <c r="B28" s="17">
        <v>9428657</v>
      </c>
      <c r="C28" s="17">
        <v>817353</v>
      </c>
      <c r="D28" s="17">
        <v>8611304</v>
      </c>
    </row>
    <row r="29" spans="1:4" ht="14.1" customHeight="1">
      <c r="A29" s="272" t="s">
        <v>126</v>
      </c>
      <c r="B29" s="273">
        <v>91883350</v>
      </c>
      <c r="C29" s="273">
        <v>4859689</v>
      </c>
      <c r="D29" s="273">
        <v>87023661</v>
      </c>
    </row>
    <row r="30" spans="1:4" ht="14.1" customHeight="1">
      <c r="A30" s="16" t="s">
        <v>127</v>
      </c>
      <c r="B30" s="17">
        <v>5967686</v>
      </c>
      <c r="C30" s="17">
        <v>332215</v>
      </c>
      <c r="D30" s="17">
        <v>5635471</v>
      </c>
    </row>
    <row r="31" spans="1:4" ht="14.1" customHeight="1">
      <c r="A31" s="272" t="s">
        <v>128</v>
      </c>
      <c r="B31" s="273">
        <v>16049384</v>
      </c>
      <c r="C31" s="273">
        <v>523036</v>
      </c>
      <c r="D31" s="273">
        <v>15526348</v>
      </c>
    </row>
    <row r="32" spans="1:4" ht="14.1" customHeight="1">
      <c r="A32" s="16" t="s">
        <v>129</v>
      </c>
      <c r="B32" s="17">
        <v>14648487</v>
      </c>
      <c r="C32" s="17">
        <v>1153109</v>
      </c>
      <c r="D32" s="17">
        <v>13495378</v>
      </c>
    </row>
    <row r="33" spans="1:4" ht="14.1" customHeight="1">
      <c r="A33" s="272" t="s">
        <v>130</v>
      </c>
      <c r="B33" s="273">
        <v>14177973</v>
      </c>
      <c r="C33" s="273">
        <v>893985</v>
      </c>
      <c r="D33" s="273">
        <v>13283988</v>
      </c>
    </row>
    <row r="34" spans="1:4" ht="14.1" customHeight="1">
      <c r="A34" s="16" t="s">
        <v>131</v>
      </c>
      <c r="B34" s="17">
        <v>16801368</v>
      </c>
      <c r="C34" s="17">
        <v>869876</v>
      </c>
      <c r="D34" s="17">
        <v>15931492</v>
      </c>
    </row>
    <row r="35" spans="1:4" ht="14.1" customHeight="1">
      <c r="A35" s="272" t="s">
        <v>132</v>
      </c>
      <c r="B35" s="273">
        <v>80574170</v>
      </c>
      <c r="C35" s="273">
        <v>1490523</v>
      </c>
      <c r="D35" s="273">
        <v>79083647</v>
      </c>
    </row>
    <row r="36" spans="1:4" ht="14.1" customHeight="1">
      <c r="A36" s="16" t="s">
        <v>133</v>
      </c>
      <c r="B36" s="17">
        <v>10721166</v>
      </c>
      <c r="C36" s="17">
        <v>763891</v>
      </c>
      <c r="D36" s="17">
        <v>9957275</v>
      </c>
    </row>
    <row r="37" spans="1:4" ht="14.1" customHeight="1">
      <c r="A37" s="272" t="s">
        <v>134</v>
      </c>
      <c r="B37" s="273">
        <v>24810931</v>
      </c>
      <c r="C37" s="273">
        <v>2579094</v>
      </c>
      <c r="D37" s="273">
        <v>22231837</v>
      </c>
    </row>
    <row r="38" spans="1:4" ht="14.1" customHeight="1">
      <c r="A38" s="16" t="s">
        <v>135</v>
      </c>
      <c r="B38" s="17">
        <v>52754993</v>
      </c>
      <c r="C38" s="17">
        <v>5363834</v>
      </c>
      <c r="D38" s="17">
        <v>47391159</v>
      </c>
    </row>
    <row r="39" spans="1:4" ht="14.1" customHeight="1">
      <c r="A39" s="272" t="s">
        <v>136</v>
      </c>
      <c r="B39" s="273">
        <v>11972273</v>
      </c>
      <c r="C39" s="273">
        <v>758456</v>
      </c>
      <c r="D39" s="273">
        <v>11213817</v>
      </c>
    </row>
    <row r="40" spans="1:4" ht="14.1" customHeight="1">
      <c r="A40" s="16" t="s">
        <v>137</v>
      </c>
      <c r="B40" s="17">
        <v>56374157</v>
      </c>
      <c r="C40" s="17">
        <v>3480523</v>
      </c>
      <c r="D40" s="17">
        <v>52893634</v>
      </c>
    </row>
    <row r="41" spans="1:4" ht="14.1" customHeight="1">
      <c r="A41" s="272" t="s">
        <v>138</v>
      </c>
      <c r="B41" s="273">
        <v>34355635</v>
      </c>
      <c r="C41" s="273">
        <v>2979697</v>
      </c>
      <c r="D41" s="273">
        <v>31375938</v>
      </c>
    </row>
    <row r="42" spans="1:4" ht="14.1" customHeight="1">
      <c r="A42" s="16" t="s">
        <v>139</v>
      </c>
      <c r="B42" s="17">
        <v>7926893</v>
      </c>
      <c r="C42" s="17">
        <v>1056497</v>
      </c>
      <c r="D42" s="17">
        <v>6870396</v>
      </c>
    </row>
    <row r="43" spans="1:4" ht="14.1" customHeight="1">
      <c r="A43" s="272" t="s">
        <v>140</v>
      </c>
      <c r="B43" s="273">
        <v>6287461</v>
      </c>
      <c r="C43" s="273">
        <v>0</v>
      </c>
      <c r="D43" s="273">
        <v>6287461</v>
      </c>
    </row>
    <row r="44" spans="1:4" ht="14.1" customHeight="1">
      <c r="A44" s="16" t="s">
        <v>141</v>
      </c>
      <c r="B44" s="17">
        <v>3612546</v>
      </c>
      <c r="C44" s="17">
        <v>468919</v>
      </c>
      <c r="D44" s="17">
        <v>3143627</v>
      </c>
    </row>
    <row r="45" spans="1:4" ht="14.1" customHeight="1">
      <c r="A45" s="272" t="s">
        <v>142</v>
      </c>
      <c r="B45" s="273">
        <v>7766138</v>
      </c>
      <c r="C45" s="273">
        <v>0</v>
      </c>
      <c r="D45" s="273">
        <v>7766138</v>
      </c>
    </row>
    <row r="46" spans="1:4" ht="14.1" customHeight="1">
      <c r="A46" s="16" t="s">
        <v>143</v>
      </c>
      <c r="B46" s="17">
        <v>173982875</v>
      </c>
      <c r="C46" s="17">
        <v>9580396</v>
      </c>
      <c r="D46" s="17">
        <v>164402479</v>
      </c>
    </row>
    <row r="47" spans="1:4" ht="5.0999999999999996" customHeight="1">
      <c r="A47"/>
      <c r="B47"/>
      <c r="C47"/>
      <c r="D47"/>
    </row>
    <row r="48" spans="1:4" ht="14.1" customHeight="1">
      <c r="A48" s="275" t="s">
        <v>144</v>
      </c>
      <c r="B48" s="276">
        <f>SUM(B11:B47)</f>
        <v>959552225</v>
      </c>
      <c r="C48" s="276">
        <f>SUM(C11:C47)</f>
        <v>61418327</v>
      </c>
      <c r="D48" s="276">
        <f>SUM(D11:D47)</f>
        <v>898133898</v>
      </c>
    </row>
    <row r="49" spans="1:6" s="165" customFormat="1" ht="49.5" customHeight="1">
      <c r="A49" s="376"/>
      <c r="B49" s="376"/>
      <c r="C49" s="376"/>
      <c r="D49" s="376"/>
      <c r="E49" s="20"/>
      <c r="F49" s="20"/>
    </row>
    <row r="50" spans="1:6" s="224" customFormat="1" ht="14.25" customHeight="1">
      <c r="A50" s="747" t="s">
        <v>549</v>
      </c>
      <c r="B50" s="747"/>
      <c r="C50" s="747"/>
      <c r="D50" s="747"/>
      <c r="E50" s="747"/>
      <c r="F50" s="747"/>
    </row>
    <row r="51" spans="1:6" s="484" customFormat="1">
      <c r="A51" s="748"/>
      <c r="B51" s="748"/>
      <c r="C51" s="748"/>
      <c r="D51" s="748"/>
      <c r="E51" s="748"/>
      <c r="F51" s="748"/>
    </row>
    <row r="52" spans="1:6" s="484" customFormat="1">
      <c r="A52" s="748"/>
      <c r="B52" s="748"/>
      <c r="C52" s="748"/>
      <c r="D52" s="748"/>
      <c r="E52" s="748"/>
      <c r="F52" s="748"/>
    </row>
    <row r="53" spans="1:6" ht="14.45" customHeight="1"/>
    <row r="54" spans="1:6" ht="14.45" customHeight="1"/>
    <row r="55" spans="1:6" ht="14.45" customHeight="1"/>
    <row r="56" spans="1:6" ht="14.45" customHeight="1"/>
  </sheetData>
  <mergeCells count="6">
    <mergeCell ref="A50:F52"/>
    <mergeCell ref="A2:F2"/>
    <mergeCell ref="A3:F3"/>
    <mergeCell ref="B8:B9"/>
    <mergeCell ref="C8:C9"/>
    <mergeCell ref="D8:D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&amp;C&amp;"Arial,Regular"&amp;10 &amp;A</oddHeader>
  </headerFooter>
</worksheet>
</file>

<file path=xl/worksheets/sheet43.xml><?xml version="1.0" encoding="utf-8"?>
<worksheet xmlns="http://schemas.openxmlformats.org/spreadsheetml/2006/main" xmlns:r="http://schemas.openxmlformats.org/officeDocument/2006/relationships">
  <sheetPr codeName="Sheet44">
    <pageSetUpPr fitToPage="1"/>
  </sheetPr>
  <dimension ref="A1:BB58"/>
  <sheetViews>
    <sheetView showGridLines="0" showZeros="0" workbookViewId="0"/>
  </sheetViews>
  <sheetFormatPr defaultColWidth="15.83203125" defaultRowHeight="12"/>
  <cols>
    <col min="1" max="1" width="38.6640625" style="1" customWidth="1"/>
    <col min="2" max="2" width="24.1640625" style="1" customWidth="1"/>
    <col min="3" max="3" width="24" style="1" customWidth="1"/>
    <col min="4" max="4" width="20.33203125" style="1" customWidth="1"/>
    <col min="5" max="5" width="3.83203125" style="1" customWidth="1"/>
    <col min="6" max="6" width="25" style="1" customWidth="1"/>
    <col min="7" max="16384" width="15.83203125" style="1"/>
  </cols>
  <sheetData>
    <row r="1" spans="1:54" ht="6.95" customHeight="1">
      <c r="A1" s="3"/>
    </row>
    <row r="2" spans="1:54" ht="15.95" customHeight="1">
      <c r="A2" s="34"/>
      <c r="B2" s="194" t="str">
        <f>IF(Lang=1,BA2,BB2)</f>
        <v>LOCAL TAXATION AND ASSESSMENT PER RESIDENT PUPIL</v>
      </c>
      <c r="C2" s="213"/>
      <c r="D2" s="213"/>
      <c r="E2" s="214"/>
      <c r="F2" s="214"/>
      <c r="BA2" s="462" t="s">
        <v>192</v>
      </c>
      <c r="BB2" s="462" t="s">
        <v>489</v>
      </c>
    </row>
    <row r="3" spans="1:54" ht="15.95" customHeight="1">
      <c r="A3" s="38"/>
      <c r="B3" s="196" t="str">
        <f>TAXYEAR</f>
        <v xml:space="preserve">FOR THE 2015 TAXATION YEAR </v>
      </c>
      <c r="C3" s="215"/>
      <c r="D3" s="215"/>
      <c r="E3" s="216"/>
      <c r="F3" s="216"/>
    </row>
    <row r="4" spans="1:54" ht="15.95" customHeight="1">
      <c r="B4" s="4"/>
      <c r="C4" s="4"/>
      <c r="D4" s="4"/>
      <c r="E4" s="4"/>
      <c r="F4" s="4"/>
    </row>
    <row r="5" spans="1:54" ht="15.95" customHeight="1">
      <c r="B5" s="4"/>
      <c r="C5" s="4"/>
      <c r="D5" s="4"/>
      <c r="E5" s="4"/>
      <c r="F5" s="4"/>
    </row>
    <row r="6" spans="1:54" ht="15.95" customHeight="1">
      <c r="B6" s="4"/>
      <c r="C6" s="4"/>
      <c r="D6" s="4"/>
      <c r="E6" s="4"/>
      <c r="F6" s="377"/>
    </row>
    <row r="7" spans="1:54" ht="15.95" customHeight="1">
      <c r="B7" s="753" t="s">
        <v>491</v>
      </c>
      <c r="C7" s="487"/>
      <c r="D7" s="324"/>
      <c r="E7" s="4"/>
      <c r="F7" s="730" t="s">
        <v>490</v>
      </c>
    </row>
    <row r="8" spans="1:54" ht="15.95" customHeight="1">
      <c r="A8" s="485"/>
      <c r="B8" s="754"/>
      <c r="C8" s="483"/>
      <c r="D8" s="325"/>
      <c r="E8" s="4"/>
      <c r="F8" s="731"/>
    </row>
    <row r="9" spans="1:54" ht="15.95" customHeight="1">
      <c r="A9" s="486" t="s">
        <v>37</v>
      </c>
      <c r="B9" s="755"/>
      <c r="C9" s="326" t="s">
        <v>62</v>
      </c>
      <c r="D9" s="327" t="s">
        <v>25</v>
      </c>
      <c r="E9" s="4"/>
      <c r="F9" s="732"/>
    </row>
    <row r="10" spans="1:54" ht="5.0999999999999996" customHeight="1">
      <c r="A10" s="15"/>
      <c r="B10" s="183"/>
      <c r="C10" s="183"/>
      <c r="D10" s="183"/>
      <c r="E10" s="183"/>
      <c r="F10" s="183"/>
    </row>
    <row r="11" spans="1:54" ht="14.1" customHeight="1">
      <c r="A11" s="272" t="s">
        <v>109</v>
      </c>
      <c r="B11" s="273">
        <f>'- 45 -'!C11</f>
        <v>1569216.6558000001</v>
      </c>
      <c r="C11" s="273">
        <v>7858369</v>
      </c>
      <c r="D11" s="273">
        <f t="shared" ref="D11:D46" si="0">SUM(B11,C11)</f>
        <v>9427585.6557999998</v>
      </c>
      <c r="F11" s="273">
        <f>+Data!P11</f>
        <v>369198</v>
      </c>
    </row>
    <row r="12" spans="1:54" ht="14.1" customHeight="1">
      <c r="A12" s="16" t="s">
        <v>110</v>
      </c>
      <c r="B12" s="17">
        <f>'- 45 -'!C12</f>
        <v>1951951.6836000001</v>
      </c>
      <c r="C12" s="17">
        <v>11420793</v>
      </c>
      <c r="D12" s="17">
        <f t="shared" si="0"/>
        <v>13372744.683600001</v>
      </c>
      <c r="F12" s="17">
        <f>+Data!P12</f>
        <v>325373</v>
      </c>
    </row>
    <row r="13" spans="1:54" ht="14.1" customHeight="1">
      <c r="A13" s="272" t="s">
        <v>111</v>
      </c>
      <c r="B13" s="273">
        <f>'- 45 -'!C13</f>
        <v>9622497.6837000009</v>
      </c>
      <c r="C13" s="273">
        <v>41542953</v>
      </c>
      <c r="D13" s="273">
        <f t="shared" si="0"/>
        <v>51165450.683700003</v>
      </c>
      <c r="F13" s="273">
        <f>+Data!P13</f>
        <v>332327</v>
      </c>
    </row>
    <row r="14" spans="1:54" ht="14.1" customHeight="1">
      <c r="A14" s="16" t="s">
        <v>324</v>
      </c>
      <c r="B14" s="17">
        <f>'- 45 -'!C14</f>
        <v>0</v>
      </c>
      <c r="C14" s="17">
        <v>0</v>
      </c>
      <c r="D14" s="17">
        <f t="shared" si="0"/>
        <v>0</v>
      </c>
      <c r="F14" s="17">
        <f>+Data!P14</f>
        <v>389123</v>
      </c>
    </row>
    <row r="15" spans="1:54" ht="14.1" customHeight="1">
      <c r="A15" s="272" t="s">
        <v>112</v>
      </c>
      <c r="B15" s="273">
        <f>'- 45 -'!C15</f>
        <v>1269716.2722</v>
      </c>
      <c r="C15" s="273">
        <v>9841892</v>
      </c>
      <c r="D15" s="273">
        <f t="shared" si="0"/>
        <v>11111608.2722</v>
      </c>
      <c r="F15" s="273">
        <f>+Data!P15</f>
        <v>572165</v>
      </c>
    </row>
    <row r="16" spans="1:54" ht="14.1" customHeight="1">
      <c r="A16" s="16" t="s">
        <v>113</v>
      </c>
      <c r="B16" s="17">
        <f>'- 45 -'!C16</f>
        <v>383192.22960000002</v>
      </c>
      <c r="C16" s="17">
        <v>3888172</v>
      </c>
      <c r="D16" s="17">
        <f t="shared" si="0"/>
        <v>4271364.2296000002</v>
      </c>
      <c r="F16" s="17">
        <f>+Data!P16</f>
        <v>178472</v>
      </c>
    </row>
    <row r="17" spans="1:6" ht="14.1" customHeight="1">
      <c r="A17" s="272" t="s">
        <v>114</v>
      </c>
      <c r="B17" s="273">
        <f>'- 45 -'!C17</f>
        <v>5295240.5427000001</v>
      </c>
      <c r="C17" s="273">
        <v>8238753</v>
      </c>
      <c r="D17" s="273">
        <f t="shared" si="0"/>
        <v>13533993.5427</v>
      </c>
      <c r="F17" s="273">
        <f>+Data!P17</f>
        <v>670922</v>
      </c>
    </row>
    <row r="18" spans="1:6" ht="14.1" customHeight="1">
      <c r="A18" s="16" t="s">
        <v>115</v>
      </c>
      <c r="B18" s="17">
        <f>'- 45 -'!C18</f>
        <v>776735.00640000007</v>
      </c>
      <c r="C18" s="17">
        <v>3307490</v>
      </c>
      <c r="D18" s="17">
        <f t="shared" si="0"/>
        <v>4084225.0064000003</v>
      </c>
      <c r="F18" s="17">
        <f>+Data!P18</f>
        <v>86964</v>
      </c>
    </row>
    <row r="19" spans="1:6" ht="14.1" customHeight="1">
      <c r="A19" s="272" t="s">
        <v>116</v>
      </c>
      <c r="B19" s="273">
        <f>'- 45 -'!C19</f>
        <v>3037436.8766999999</v>
      </c>
      <c r="C19" s="273">
        <v>17237195</v>
      </c>
      <c r="D19" s="273">
        <f t="shared" si="0"/>
        <v>20274631.876699999</v>
      </c>
      <c r="F19" s="273">
        <f>+Data!P19</f>
        <v>229523</v>
      </c>
    </row>
    <row r="20" spans="1:6" ht="14.1" customHeight="1">
      <c r="A20" s="16" t="s">
        <v>117</v>
      </c>
      <c r="B20" s="17">
        <f>'- 45 -'!C20</f>
        <v>4036866.8922000001</v>
      </c>
      <c r="C20" s="17">
        <v>29117066</v>
      </c>
      <c r="D20" s="17">
        <f t="shared" si="0"/>
        <v>33153932.892200001</v>
      </c>
      <c r="F20" s="17">
        <f>+Data!P20</f>
        <v>237528</v>
      </c>
    </row>
    <row r="21" spans="1:6" ht="14.1" customHeight="1">
      <c r="A21" s="272" t="s">
        <v>118</v>
      </c>
      <c r="B21" s="273">
        <f>'- 45 -'!C21</f>
        <v>2740959.0405000001</v>
      </c>
      <c r="C21" s="273">
        <v>15948049</v>
      </c>
      <c r="D21" s="273">
        <f t="shared" si="0"/>
        <v>18689008.0405</v>
      </c>
      <c r="F21" s="273">
        <f>+Data!P21</f>
        <v>397881</v>
      </c>
    </row>
    <row r="22" spans="1:6" ht="14.1" customHeight="1">
      <c r="A22" s="16" t="s">
        <v>119</v>
      </c>
      <c r="B22" s="17">
        <f>'- 45 -'!C22</f>
        <v>704678.00580000004</v>
      </c>
      <c r="C22" s="17">
        <v>4467546</v>
      </c>
      <c r="D22" s="17">
        <f t="shared" si="0"/>
        <v>5172224.0058000004</v>
      </c>
      <c r="F22" s="17">
        <f>+Data!P22</f>
        <v>138583</v>
      </c>
    </row>
    <row r="23" spans="1:6" ht="14.1" customHeight="1">
      <c r="A23" s="272" t="s">
        <v>120</v>
      </c>
      <c r="B23" s="273">
        <f>'- 45 -'!C23</f>
        <v>334367.07120000001</v>
      </c>
      <c r="C23" s="273">
        <v>4450643</v>
      </c>
      <c r="D23" s="273">
        <f t="shared" si="0"/>
        <v>4785010.0712000001</v>
      </c>
      <c r="F23" s="273">
        <f>+Data!P23</f>
        <v>229221</v>
      </c>
    </row>
    <row r="24" spans="1:6" ht="14.1" customHeight="1">
      <c r="A24" s="16" t="s">
        <v>121</v>
      </c>
      <c r="B24" s="17">
        <f>'- 45 -'!C24</f>
        <v>2533582.4975999999</v>
      </c>
      <c r="C24" s="17">
        <v>26442341</v>
      </c>
      <c r="D24" s="17">
        <f t="shared" si="0"/>
        <v>28975923.4976</v>
      </c>
      <c r="F24" s="17">
        <f>+Data!P24</f>
        <v>435908</v>
      </c>
    </row>
    <row r="25" spans="1:6" ht="14.1" customHeight="1">
      <c r="A25" s="272" t="s">
        <v>122</v>
      </c>
      <c r="B25" s="273">
        <f>'- 45 -'!C25</f>
        <v>13510274.877</v>
      </c>
      <c r="C25" s="273">
        <v>89872302</v>
      </c>
      <c r="D25" s="273">
        <f t="shared" si="0"/>
        <v>103382576.877</v>
      </c>
      <c r="F25" s="273">
        <f>+Data!P25</f>
        <v>445645</v>
      </c>
    </row>
    <row r="26" spans="1:6" ht="14.1" customHeight="1">
      <c r="A26" s="16" t="s">
        <v>123</v>
      </c>
      <c r="B26" s="17">
        <f>'- 45 -'!C26</f>
        <v>1419717.4722</v>
      </c>
      <c r="C26" s="17">
        <v>14310661</v>
      </c>
      <c r="D26" s="17">
        <f t="shared" si="0"/>
        <v>15730378.472200001</v>
      </c>
      <c r="F26" s="17">
        <f>+Data!P26</f>
        <v>292858</v>
      </c>
    </row>
    <row r="27" spans="1:6" ht="14.1" customHeight="1">
      <c r="A27" s="272" t="s">
        <v>124</v>
      </c>
      <c r="B27" s="273">
        <f>'- 45 -'!C27</f>
        <v>1591957.2789</v>
      </c>
      <c r="C27" s="273">
        <v>8064623</v>
      </c>
      <c r="D27" s="273">
        <f t="shared" si="0"/>
        <v>9656580.2788999993</v>
      </c>
      <c r="F27" s="273">
        <f>+Data!P27</f>
        <v>186944</v>
      </c>
    </row>
    <row r="28" spans="1:6" ht="14.1" customHeight="1">
      <c r="A28" s="16" t="s">
        <v>125</v>
      </c>
      <c r="B28" s="17">
        <f>'- 45 -'!C28</f>
        <v>2053538.6031000002</v>
      </c>
      <c r="C28" s="17">
        <v>8611304</v>
      </c>
      <c r="D28" s="17">
        <f t="shared" si="0"/>
        <v>10664842.6031</v>
      </c>
      <c r="F28" s="17">
        <f>+Data!P28</f>
        <v>412739</v>
      </c>
    </row>
    <row r="29" spans="1:6" ht="14.1" customHeight="1">
      <c r="A29" s="272" t="s">
        <v>126</v>
      </c>
      <c r="B29" s="273">
        <f>'- 45 -'!C29</f>
        <v>14623234.902900001</v>
      </c>
      <c r="C29" s="273">
        <v>87023661</v>
      </c>
      <c r="D29" s="273">
        <f t="shared" si="0"/>
        <v>101646895.9029</v>
      </c>
      <c r="F29" s="273">
        <f>+Data!P29</f>
        <v>555673</v>
      </c>
    </row>
    <row r="30" spans="1:6" ht="14.1" customHeight="1">
      <c r="A30" s="16" t="s">
        <v>127</v>
      </c>
      <c r="B30" s="17">
        <f>'- 45 -'!C30</f>
        <v>1004266.7415</v>
      </c>
      <c r="C30" s="17">
        <v>5635471</v>
      </c>
      <c r="D30" s="17">
        <f t="shared" si="0"/>
        <v>6639737.7414999995</v>
      </c>
      <c r="F30" s="17">
        <f>+Data!P30</f>
        <v>351997</v>
      </c>
    </row>
    <row r="31" spans="1:6" ht="14.1" customHeight="1">
      <c r="A31" s="272" t="s">
        <v>128</v>
      </c>
      <c r="B31" s="273">
        <f>'- 45 -'!C31</f>
        <v>3615076.9854000001</v>
      </c>
      <c r="C31" s="273">
        <v>15526348</v>
      </c>
      <c r="D31" s="273">
        <f t="shared" si="0"/>
        <v>19141424.985399999</v>
      </c>
      <c r="F31" s="273">
        <f>+Data!P31</f>
        <v>334327</v>
      </c>
    </row>
    <row r="32" spans="1:6" ht="14.1" customHeight="1">
      <c r="A32" s="16" t="s">
        <v>129</v>
      </c>
      <c r="B32" s="17">
        <f>'- 45 -'!C32</f>
        <v>1496371.6845</v>
      </c>
      <c r="C32" s="17">
        <v>13495378</v>
      </c>
      <c r="D32" s="17">
        <f t="shared" si="0"/>
        <v>14991749.6845</v>
      </c>
      <c r="F32" s="17">
        <f>+Data!P32</f>
        <v>429781</v>
      </c>
    </row>
    <row r="33" spans="1:6" ht="14.1" customHeight="1">
      <c r="A33" s="272" t="s">
        <v>130</v>
      </c>
      <c r="B33" s="273">
        <f>'- 45 -'!C33</f>
        <v>1839134.7594000001</v>
      </c>
      <c r="C33" s="273">
        <v>13283988</v>
      </c>
      <c r="D33" s="273">
        <f t="shared" si="0"/>
        <v>15123122.759400001</v>
      </c>
      <c r="F33" s="273">
        <f>+Data!P33</f>
        <v>412082</v>
      </c>
    </row>
    <row r="34" spans="1:6" ht="14.1" customHeight="1">
      <c r="A34" s="16" t="s">
        <v>131</v>
      </c>
      <c r="B34" s="17">
        <f>'- 45 -'!C34</f>
        <v>2668605.6366000003</v>
      </c>
      <c r="C34" s="17">
        <v>15931492</v>
      </c>
      <c r="D34" s="17">
        <f t="shared" si="0"/>
        <v>18600097.636599999</v>
      </c>
      <c r="F34" s="17">
        <f>+Data!P34</f>
        <v>450123</v>
      </c>
    </row>
    <row r="35" spans="1:6" ht="14.1" customHeight="1">
      <c r="A35" s="272" t="s">
        <v>132</v>
      </c>
      <c r="B35" s="273">
        <f>'- 45 -'!C35</f>
        <v>10210413.803400001</v>
      </c>
      <c r="C35" s="273">
        <v>79083647</v>
      </c>
      <c r="D35" s="273">
        <f t="shared" si="0"/>
        <v>89294060.803399995</v>
      </c>
      <c r="F35" s="273">
        <f>+Data!P35</f>
        <v>377228</v>
      </c>
    </row>
    <row r="36" spans="1:6" ht="14.1" customHeight="1">
      <c r="A36" s="16" t="s">
        <v>133</v>
      </c>
      <c r="B36" s="17">
        <f>'- 45 -'!C36</f>
        <v>1938292.983</v>
      </c>
      <c r="C36" s="17">
        <v>9957275</v>
      </c>
      <c r="D36" s="17">
        <f t="shared" si="0"/>
        <v>11895567.982999999</v>
      </c>
      <c r="F36" s="17">
        <f>+Data!P36</f>
        <v>474772</v>
      </c>
    </row>
    <row r="37" spans="1:6" ht="14.1" customHeight="1">
      <c r="A37" s="272" t="s">
        <v>134</v>
      </c>
      <c r="B37" s="273">
        <f>'- 45 -'!C37</f>
        <v>1925825.5845000001</v>
      </c>
      <c r="C37" s="273">
        <v>22231837</v>
      </c>
      <c r="D37" s="273">
        <f t="shared" si="0"/>
        <v>24157662.5845</v>
      </c>
      <c r="F37" s="273">
        <f>+Data!P37</f>
        <v>278467</v>
      </c>
    </row>
    <row r="38" spans="1:6" ht="14.1" customHeight="1">
      <c r="A38" s="16" t="s">
        <v>135</v>
      </c>
      <c r="B38" s="17">
        <f>'- 45 -'!C38</f>
        <v>3789891.0774000003</v>
      </c>
      <c r="C38" s="17">
        <v>47391159</v>
      </c>
      <c r="D38" s="17">
        <f t="shared" si="0"/>
        <v>51181050.077399999</v>
      </c>
      <c r="F38" s="17">
        <f>+Data!P38</f>
        <v>296939</v>
      </c>
    </row>
    <row r="39" spans="1:6" ht="14.1" customHeight="1">
      <c r="A39" s="272" t="s">
        <v>136</v>
      </c>
      <c r="B39" s="273">
        <f>'- 45 -'!C39</f>
        <v>4900591.3328999998</v>
      </c>
      <c r="C39" s="273">
        <v>11213817</v>
      </c>
      <c r="D39" s="273">
        <f t="shared" si="0"/>
        <v>16114408.332899999</v>
      </c>
      <c r="F39" s="273">
        <f>+Data!P39</f>
        <v>639816</v>
      </c>
    </row>
    <row r="40" spans="1:6" ht="14.1" customHeight="1">
      <c r="A40" s="16" t="s">
        <v>137</v>
      </c>
      <c r="B40" s="17">
        <f>'- 45 -'!C40</f>
        <v>16563304.332</v>
      </c>
      <c r="C40" s="17">
        <v>52893634</v>
      </c>
      <c r="D40" s="17">
        <f t="shared" si="0"/>
        <v>69456938.332000002</v>
      </c>
      <c r="F40" s="17">
        <f>+Data!P40</f>
        <v>541167</v>
      </c>
    </row>
    <row r="41" spans="1:6" ht="14.1" customHeight="1">
      <c r="A41" s="272" t="s">
        <v>138</v>
      </c>
      <c r="B41" s="273">
        <f>'- 45 -'!C41</f>
        <v>4339675.1970000006</v>
      </c>
      <c r="C41" s="273">
        <v>31375938</v>
      </c>
      <c r="D41" s="273">
        <f t="shared" si="0"/>
        <v>35715613.196999997</v>
      </c>
      <c r="F41" s="273">
        <f>+Data!P41</f>
        <v>469811</v>
      </c>
    </row>
    <row r="42" spans="1:6" ht="14.1" customHeight="1">
      <c r="A42" s="16" t="s">
        <v>139</v>
      </c>
      <c r="B42" s="17">
        <f>'- 45 -'!C42</f>
        <v>841686.33870000008</v>
      </c>
      <c r="C42" s="17">
        <v>6870396</v>
      </c>
      <c r="D42" s="17">
        <f t="shared" si="0"/>
        <v>7712082.3387000002</v>
      </c>
      <c r="F42" s="17">
        <f>+Data!P42</f>
        <v>299120</v>
      </c>
    </row>
    <row r="43" spans="1:6" ht="14.1" customHeight="1">
      <c r="A43" s="272" t="s">
        <v>140</v>
      </c>
      <c r="B43" s="273">
        <f>'- 45 -'!C43</f>
        <v>698268.00870000001</v>
      </c>
      <c r="C43" s="273">
        <v>6287461</v>
      </c>
      <c r="D43" s="273">
        <f t="shared" si="0"/>
        <v>6985729.0087000001</v>
      </c>
      <c r="F43" s="273">
        <f>+Data!P43</f>
        <v>431452</v>
      </c>
    </row>
    <row r="44" spans="1:6" ht="14.1" customHeight="1">
      <c r="A44" s="16" t="s">
        <v>141</v>
      </c>
      <c r="B44" s="17">
        <f>'- 45 -'!C44</f>
        <v>152398.54889999999</v>
      </c>
      <c r="C44" s="17">
        <v>3143627</v>
      </c>
      <c r="D44" s="17">
        <f t="shared" si="0"/>
        <v>3296025.5488999998</v>
      </c>
      <c r="F44" s="17">
        <f>+Data!P44</f>
        <v>212427</v>
      </c>
    </row>
    <row r="45" spans="1:6" ht="14.1" customHeight="1">
      <c r="A45" s="272" t="s">
        <v>142</v>
      </c>
      <c r="B45" s="273">
        <f>'- 45 -'!C45</f>
        <v>1038091.7799000001</v>
      </c>
      <c r="C45" s="273">
        <v>7766138</v>
      </c>
      <c r="D45" s="273">
        <f t="shared" si="0"/>
        <v>8804229.7798999995</v>
      </c>
      <c r="F45" s="273">
        <f>+Data!P45</f>
        <v>286085</v>
      </c>
    </row>
    <row r="46" spans="1:6" ht="14.1" customHeight="1">
      <c r="A46" s="16" t="s">
        <v>143</v>
      </c>
      <c r="B46" s="17">
        <f>'- 45 -'!C46</f>
        <v>47776892.5449</v>
      </c>
      <c r="C46" s="17">
        <v>164402479</v>
      </c>
      <c r="D46" s="17">
        <f t="shared" si="0"/>
        <v>212179371.5449</v>
      </c>
      <c r="F46" s="17">
        <f>+Data!P46</f>
        <v>362827</v>
      </c>
    </row>
    <row r="47" spans="1:6" ht="5.0999999999999996" customHeight="1">
      <c r="A47"/>
      <c r="B47"/>
      <c r="C47"/>
      <c r="D47"/>
      <c r="F47"/>
    </row>
    <row r="48" spans="1:6" ht="14.1" customHeight="1">
      <c r="A48" s="275" t="s">
        <v>144</v>
      </c>
      <c r="B48" s="276">
        <f>SUM(B11:B46)</f>
        <v>172253950.93079996</v>
      </c>
      <c r="C48" s="276">
        <f>SUM(C11:C46)</f>
        <v>898133898</v>
      </c>
      <c r="D48" s="276">
        <f>SUM(D11:D46)</f>
        <v>1070387848.9308002</v>
      </c>
      <c r="F48" s="276">
        <f>+Data!P48</f>
        <v>378947.90222884336</v>
      </c>
    </row>
    <row r="49" spans="1:6" ht="50.1" customHeight="1">
      <c r="A49" s="217" t="s">
        <v>1</v>
      </c>
      <c r="B49" s="20"/>
      <c r="C49" s="20"/>
      <c r="D49" s="20"/>
      <c r="E49" s="20"/>
      <c r="F49" s="20"/>
    </row>
    <row r="50" spans="1:6" ht="15" customHeight="1">
      <c r="A50" s="747" t="s">
        <v>492</v>
      </c>
      <c r="B50" s="747"/>
      <c r="C50" s="747"/>
      <c r="D50" s="747"/>
      <c r="E50" s="747"/>
      <c r="F50" s="747"/>
    </row>
    <row r="51" spans="1:6" ht="12" customHeight="1">
      <c r="A51" s="748"/>
      <c r="B51" s="748"/>
      <c r="C51" s="748"/>
      <c r="D51" s="748"/>
      <c r="E51" s="748"/>
      <c r="F51" s="748"/>
    </row>
    <row r="52" spans="1:6" ht="12" customHeight="1">
      <c r="A52" s="748"/>
      <c r="B52" s="748"/>
      <c r="C52" s="748"/>
      <c r="D52" s="748"/>
      <c r="E52" s="748"/>
      <c r="F52" s="748"/>
    </row>
    <row r="53" spans="1:6" ht="14.45" customHeight="1"/>
    <row r="54" spans="1:6" ht="14.45" customHeight="1"/>
    <row r="55" spans="1:6" ht="14.45" customHeight="1"/>
    <row r="56" spans="1:6" ht="14.45" customHeight="1"/>
    <row r="57" spans="1:6" ht="14.45" customHeight="1"/>
    <row r="58" spans="1:6" ht="14.45" customHeight="1"/>
  </sheetData>
  <mergeCells count="3">
    <mergeCell ref="F7:F9"/>
    <mergeCell ref="B7:B9"/>
    <mergeCell ref="A50:F52"/>
  </mergeCells>
  <phoneticPr fontId="0" type="noConversion"/>
  <printOptions horizontalCentered="1"/>
  <pageMargins left="0.51181102362204722" right="0.51181102362204722" top="0.59055118110236227" bottom="0" header="0.31496062992125984" footer="0"/>
  <pageSetup scale="86" orientation="portrait"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sheetPr codeName="Sheet45"/>
  <dimension ref="A1:G63"/>
  <sheetViews>
    <sheetView showGridLines="0" showZeros="0" workbookViewId="0"/>
  </sheetViews>
  <sheetFormatPr defaultColWidth="19.83203125" defaultRowHeight="12"/>
  <cols>
    <col min="1" max="1" width="31.6640625" style="1" customWidth="1"/>
    <col min="2" max="2" width="21.83203125" style="1" customWidth="1"/>
    <col min="3" max="3" width="18.5" style="1" customWidth="1"/>
    <col min="4" max="4" width="13.6640625" style="1" customWidth="1"/>
    <col min="5" max="5" width="15.33203125" style="1" customWidth="1"/>
    <col min="6" max="6" width="15.83203125" style="1" customWidth="1"/>
    <col min="7" max="7" width="13.33203125" style="1" customWidth="1"/>
    <col min="8" max="16384" width="19.83203125" style="1"/>
  </cols>
  <sheetData>
    <row r="1" spans="1:7" ht="6.95" customHeight="1">
      <c r="A1" s="3"/>
      <c r="B1" s="3"/>
      <c r="C1" s="3"/>
      <c r="D1" s="3"/>
      <c r="E1" s="3"/>
      <c r="F1" s="3"/>
      <c r="G1" s="3"/>
    </row>
    <row r="2" spans="1:7" ht="15.95" customHeight="1">
      <c r="A2" s="230"/>
      <c r="B2" s="236" t="str">
        <f>REVYEAR</f>
        <v>ANALYSIS OF OPERATING FUND REVENUE: 2015/2016 BUDGET</v>
      </c>
      <c r="C2" s="236"/>
      <c r="D2" s="237"/>
      <c r="E2" s="233"/>
      <c r="F2" s="233"/>
      <c r="G2" s="186" t="s">
        <v>93</v>
      </c>
    </row>
    <row r="3" spans="1:7" ht="15.95" customHeight="1">
      <c r="A3" s="181"/>
      <c r="B3" s="3"/>
      <c r="C3" s="3"/>
      <c r="D3" s="3"/>
      <c r="E3" s="3"/>
      <c r="F3" s="3"/>
      <c r="G3" s="3"/>
    </row>
    <row r="4" spans="1:7" ht="15.95" customHeight="1">
      <c r="B4" s="756" t="s">
        <v>34</v>
      </c>
      <c r="C4" s="757"/>
      <c r="D4" s="757"/>
      <c r="E4" s="757"/>
      <c r="F4" s="757"/>
      <c r="G4" s="758"/>
    </row>
    <row r="5" spans="1:7" ht="15.95" customHeight="1">
      <c r="B5" s="759" t="s">
        <v>107</v>
      </c>
      <c r="C5" s="760"/>
      <c r="D5" s="760"/>
      <c r="E5" s="760"/>
      <c r="F5" s="760"/>
      <c r="G5" s="761"/>
    </row>
    <row r="6" spans="1:7" ht="15.95" customHeight="1">
      <c r="B6" s="603" t="s">
        <v>46</v>
      </c>
      <c r="C6" s="604"/>
      <c r="D6" s="604"/>
      <c r="E6" s="604"/>
      <c r="F6" s="604"/>
      <c r="G6" s="605"/>
    </row>
    <row r="7" spans="1:7" ht="15.95" customHeight="1">
      <c r="B7" s="187"/>
      <c r="C7" s="689" t="s">
        <v>494</v>
      </c>
      <c r="D7" s="25"/>
      <c r="E7" s="25"/>
      <c r="F7" s="25"/>
      <c r="G7" s="25"/>
    </row>
    <row r="8" spans="1:7" ht="15.95" customHeight="1">
      <c r="A8" s="83"/>
      <c r="B8" s="762" t="s">
        <v>493</v>
      </c>
      <c r="C8" s="764"/>
      <c r="D8" s="764" t="s">
        <v>495</v>
      </c>
      <c r="E8" s="764" t="s">
        <v>496</v>
      </c>
      <c r="F8" s="764" t="s">
        <v>497</v>
      </c>
      <c r="G8" s="764" t="s">
        <v>498</v>
      </c>
    </row>
    <row r="9" spans="1:7" ht="15.95" customHeight="1">
      <c r="A9" s="28" t="s">
        <v>37</v>
      </c>
      <c r="B9" s="763"/>
      <c r="C9" s="765"/>
      <c r="D9" s="765"/>
      <c r="E9" s="765"/>
      <c r="F9" s="765"/>
      <c r="G9" s="765"/>
    </row>
    <row r="10" spans="1:7" ht="5.0999999999999996" customHeight="1">
      <c r="A10" s="30"/>
      <c r="E10" s="3"/>
      <c r="F10" s="3"/>
      <c r="G10" s="3"/>
    </row>
    <row r="11" spans="1:7" ht="14.1" customHeight="1">
      <c r="A11" s="272" t="s">
        <v>109</v>
      </c>
      <c r="B11" s="273">
        <v>3063930</v>
      </c>
      <c r="C11" s="273">
        <v>99194</v>
      </c>
      <c r="D11" s="273">
        <v>182507</v>
      </c>
      <c r="E11" s="273">
        <v>95400</v>
      </c>
      <c r="F11" s="273">
        <v>98580</v>
      </c>
      <c r="G11" s="273">
        <v>146280</v>
      </c>
    </row>
    <row r="12" spans="1:7" ht="14.1" customHeight="1">
      <c r="A12" s="16" t="s">
        <v>110</v>
      </c>
      <c r="B12" s="17">
        <v>3864984</v>
      </c>
      <c r="C12" s="17">
        <v>0</v>
      </c>
      <c r="D12" s="17">
        <v>394212</v>
      </c>
      <c r="E12" s="17">
        <v>120342</v>
      </c>
      <c r="F12" s="17">
        <v>124353</v>
      </c>
      <c r="G12" s="17">
        <v>184524</v>
      </c>
    </row>
    <row r="13" spans="1:7" ht="14.1" customHeight="1">
      <c r="A13" s="272" t="s">
        <v>111</v>
      </c>
      <c r="B13" s="273">
        <v>15417300</v>
      </c>
      <c r="C13" s="273">
        <v>0</v>
      </c>
      <c r="D13" s="273">
        <v>118400</v>
      </c>
      <c r="E13" s="273">
        <v>480000</v>
      </c>
      <c r="F13" s="273">
        <v>496000</v>
      </c>
      <c r="G13" s="273">
        <v>736100</v>
      </c>
    </row>
    <row r="14" spans="1:7" ht="14.1" customHeight="1">
      <c r="A14" s="16" t="s">
        <v>324</v>
      </c>
      <c r="B14" s="17">
        <v>9639818</v>
      </c>
      <c r="C14" s="17">
        <v>30697</v>
      </c>
      <c r="D14" s="17">
        <v>761363</v>
      </c>
      <c r="E14" s="17">
        <v>300150</v>
      </c>
      <c r="F14" s="17">
        <v>310155</v>
      </c>
      <c r="G14" s="17">
        <v>460230</v>
      </c>
    </row>
    <row r="15" spans="1:7" ht="14.1" customHeight="1">
      <c r="A15" s="272" t="s">
        <v>112</v>
      </c>
      <c r="B15" s="273">
        <v>2763896</v>
      </c>
      <c r="C15" s="273">
        <v>0</v>
      </c>
      <c r="D15" s="273">
        <v>241638</v>
      </c>
      <c r="E15" s="273">
        <v>86058</v>
      </c>
      <c r="F15" s="273">
        <v>88927</v>
      </c>
      <c r="G15" s="273">
        <v>131956</v>
      </c>
    </row>
    <row r="16" spans="1:7" ht="14.1" customHeight="1">
      <c r="A16" s="16" t="s">
        <v>113</v>
      </c>
      <c r="B16" s="17">
        <v>1727363</v>
      </c>
      <c r="C16" s="17">
        <v>42139</v>
      </c>
      <c r="D16" s="17">
        <v>0</v>
      </c>
      <c r="E16" s="17">
        <v>53784</v>
      </c>
      <c r="F16" s="17">
        <v>55577</v>
      </c>
      <c r="G16" s="17">
        <v>82469</v>
      </c>
    </row>
    <row r="17" spans="1:7" ht="14.1" customHeight="1">
      <c r="A17" s="272" t="s">
        <v>114</v>
      </c>
      <c r="B17" s="273">
        <v>2441124</v>
      </c>
      <c r="C17" s="273">
        <v>11753</v>
      </c>
      <c r="D17" s="273">
        <v>286035</v>
      </c>
      <c r="E17" s="273">
        <v>76008</v>
      </c>
      <c r="F17" s="273">
        <v>78542</v>
      </c>
      <c r="G17" s="273">
        <v>116546</v>
      </c>
    </row>
    <row r="18" spans="1:7" ht="14.1" customHeight="1">
      <c r="A18" s="16" t="s">
        <v>115</v>
      </c>
      <c r="B18" s="17">
        <v>4571422</v>
      </c>
      <c r="C18" s="17">
        <v>0</v>
      </c>
      <c r="D18" s="17">
        <v>1021436</v>
      </c>
      <c r="E18" s="17">
        <v>142338</v>
      </c>
      <c r="F18" s="17">
        <v>147083</v>
      </c>
      <c r="G18" s="17">
        <v>218252</v>
      </c>
    </row>
    <row r="19" spans="1:7" ht="14.1" customHeight="1">
      <c r="A19" s="272" t="s">
        <v>116</v>
      </c>
      <c r="B19" s="273">
        <v>8043876</v>
      </c>
      <c r="C19" s="273">
        <v>25743</v>
      </c>
      <c r="D19" s="273">
        <v>191291</v>
      </c>
      <c r="E19" s="273">
        <v>250458</v>
      </c>
      <c r="F19" s="273">
        <v>258807</v>
      </c>
      <c r="G19" s="273">
        <v>384036</v>
      </c>
    </row>
    <row r="20" spans="1:7" ht="14.1" customHeight="1">
      <c r="A20" s="16" t="s">
        <v>117</v>
      </c>
      <c r="B20" s="17">
        <v>14198329</v>
      </c>
      <c r="C20" s="17">
        <v>0</v>
      </c>
      <c r="D20" s="17">
        <v>256504</v>
      </c>
      <c r="E20" s="17">
        <v>442086</v>
      </c>
      <c r="F20" s="17">
        <v>456822</v>
      </c>
      <c r="G20" s="17">
        <v>677865</v>
      </c>
    </row>
    <row r="21" spans="1:7" ht="14.1" customHeight="1">
      <c r="A21" s="272" t="s">
        <v>118</v>
      </c>
      <c r="B21" s="273">
        <v>5152798</v>
      </c>
      <c r="C21" s="273">
        <v>62805</v>
      </c>
      <c r="D21" s="273">
        <v>481324</v>
      </c>
      <c r="E21" s="273">
        <v>160440</v>
      </c>
      <c r="F21" s="273">
        <v>165788</v>
      </c>
      <c r="G21" s="273">
        <v>246008</v>
      </c>
    </row>
    <row r="22" spans="1:7" ht="14.1" customHeight="1">
      <c r="A22" s="16" t="s">
        <v>119</v>
      </c>
      <c r="B22" s="17">
        <v>2951971</v>
      </c>
      <c r="C22" s="17">
        <v>0</v>
      </c>
      <c r="D22" s="17">
        <v>24882</v>
      </c>
      <c r="E22" s="17">
        <v>91914</v>
      </c>
      <c r="F22" s="17">
        <v>94978</v>
      </c>
      <c r="G22" s="17">
        <v>140935</v>
      </c>
    </row>
    <row r="23" spans="1:7" ht="14.1" customHeight="1">
      <c r="A23" s="272" t="s">
        <v>120</v>
      </c>
      <c r="B23" s="273">
        <v>1950317</v>
      </c>
      <c r="C23" s="273">
        <v>0</v>
      </c>
      <c r="D23" s="273">
        <v>379032</v>
      </c>
      <c r="E23" s="273">
        <v>60726</v>
      </c>
      <c r="F23" s="273">
        <v>62750</v>
      </c>
      <c r="G23" s="273">
        <v>93113</v>
      </c>
    </row>
    <row r="24" spans="1:7" ht="14.1" customHeight="1">
      <c r="A24" s="16" t="s">
        <v>121</v>
      </c>
      <c r="B24" s="17">
        <v>7652502</v>
      </c>
      <c r="C24" s="17">
        <v>0</v>
      </c>
      <c r="D24" s="17">
        <v>348139</v>
      </c>
      <c r="E24" s="17">
        <v>238272</v>
      </c>
      <c r="F24" s="17">
        <v>246214</v>
      </c>
      <c r="G24" s="17">
        <v>365350</v>
      </c>
    </row>
    <row r="25" spans="1:7" ht="14.1" customHeight="1">
      <c r="A25" s="272" t="s">
        <v>122</v>
      </c>
      <c r="B25" s="273">
        <v>26295842</v>
      </c>
      <c r="C25" s="273">
        <v>11114</v>
      </c>
      <c r="D25" s="273">
        <v>0</v>
      </c>
      <c r="E25" s="273">
        <v>818760</v>
      </c>
      <c r="F25" s="273">
        <v>846052</v>
      </c>
      <c r="G25" s="273">
        <v>1255432</v>
      </c>
    </row>
    <row r="26" spans="1:7" ht="14.1" customHeight="1">
      <c r="A26" s="16" t="s">
        <v>123</v>
      </c>
      <c r="B26" s="17">
        <v>5633777</v>
      </c>
      <c r="C26" s="17">
        <v>0</v>
      </c>
      <c r="D26" s="17">
        <v>572586</v>
      </c>
      <c r="E26" s="17">
        <v>175416</v>
      </c>
      <c r="F26" s="17">
        <v>181263</v>
      </c>
      <c r="G26" s="17">
        <v>268971</v>
      </c>
    </row>
    <row r="27" spans="1:7" ht="14.1" customHeight="1">
      <c r="A27" s="272" t="s">
        <v>124</v>
      </c>
      <c r="B27" s="273">
        <v>5371513</v>
      </c>
      <c r="C27" s="273">
        <v>0</v>
      </c>
      <c r="D27" s="273">
        <v>0</v>
      </c>
      <c r="E27" s="273">
        <v>167250</v>
      </c>
      <c r="F27" s="273">
        <v>172825</v>
      </c>
      <c r="G27" s="273">
        <v>256450</v>
      </c>
    </row>
    <row r="28" spans="1:7" ht="14.1" customHeight="1">
      <c r="A28" s="16" t="s">
        <v>125</v>
      </c>
      <c r="B28" s="17">
        <v>2907843</v>
      </c>
      <c r="C28" s="17">
        <v>25779</v>
      </c>
      <c r="D28" s="17">
        <v>517261</v>
      </c>
      <c r="E28" s="17">
        <v>90540</v>
      </c>
      <c r="F28" s="17">
        <v>93558</v>
      </c>
      <c r="G28" s="17">
        <v>138828</v>
      </c>
    </row>
    <row r="29" spans="1:7" ht="14.1" customHeight="1">
      <c r="A29" s="272" t="s">
        <v>126</v>
      </c>
      <c r="B29" s="273">
        <v>23678549</v>
      </c>
      <c r="C29" s="273">
        <v>9380</v>
      </c>
      <c r="D29" s="273">
        <v>0</v>
      </c>
      <c r="E29" s="273">
        <v>737292</v>
      </c>
      <c r="F29" s="273">
        <v>761868</v>
      </c>
      <c r="G29" s="273">
        <v>1130514</v>
      </c>
    </row>
    <row r="30" spans="1:7" ht="14.1" customHeight="1">
      <c r="A30" s="16" t="s">
        <v>127</v>
      </c>
      <c r="B30" s="17">
        <v>2008898</v>
      </c>
      <c r="C30" s="17">
        <v>59628</v>
      </c>
      <c r="D30" s="17">
        <v>316015</v>
      </c>
      <c r="E30" s="17">
        <v>62550</v>
      </c>
      <c r="F30" s="17">
        <v>64635</v>
      </c>
      <c r="G30" s="17">
        <v>95910</v>
      </c>
    </row>
    <row r="31" spans="1:7" ht="14.1" customHeight="1">
      <c r="A31" s="272" t="s">
        <v>128</v>
      </c>
      <c r="B31" s="273">
        <v>5981023</v>
      </c>
      <c r="C31" s="273">
        <v>0</v>
      </c>
      <c r="D31" s="273">
        <v>196820</v>
      </c>
      <c r="E31" s="273">
        <v>186228</v>
      </c>
      <c r="F31" s="273">
        <v>192436</v>
      </c>
      <c r="G31" s="273">
        <v>285550</v>
      </c>
    </row>
    <row r="32" spans="1:7" ht="14.1" customHeight="1">
      <c r="A32" s="16" t="s">
        <v>129</v>
      </c>
      <c r="B32" s="17">
        <v>4017795</v>
      </c>
      <c r="C32" s="17">
        <v>0</v>
      </c>
      <c r="D32" s="17">
        <v>613965</v>
      </c>
      <c r="E32" s="17">
        <v>125100</v>
      </c>
      <c r="F32" s="17">
        <v>129270</v>
      </c>
      <c r="G32" s="17">
        <v>191820</v>
      </c>
    </row>
    <row r="33" spans="1:7" ht="14.1" customHeight="1">
      <c r="A33" s="272" t="s">
        <v>130</v>
      </c>
      <c r="B33" s="273">
        <v>3817772</v>
      </c>
      <c r="C33" s="273">
        <v>38589</v>
      </c>
      <c r="D33" s="273">
        <v>796198</v>
      </c>
      <c r="E33" s="273">
        <v>118872</v>
      </c>
      <c r="F33" s="273">
        <v>122834</v>
      </c>
      <c r="G33" s="273">
        <v>182270</v>
      </c>
    </row>
    <row r="34" spans="1:7" ht="14.1" customHeight="1">
      <c r="A34" s="16" t="s">
        <v>131</v>
      </c>
      <c r="B34" s="17">
        <v>3843209</v>
      </c>
      <c r="C34" s="17">
        <v>82075</v>
      </c>
      <c r="D34" s="17">
        <v>580983</v>
      </c>
      <c r="E34" s="17">
        <v>119664</v>
      </c>
      <c r="F34" s="17">
        <v>123653</v>
      </c>
      <c r="G34" s="17">
        <v>183485</v>
      </c>
    </row>
    <row r="35" spans="1:7" ht="14.1" customHeight="1">
      <c r="A35" s="272" t="s">
        <v>132</v>
      </c>
      <c r="B35" s="273">
        <v>29578679</v>
      </c>
      <c r="C35" s="273">
        <v>0</v>
      </c>
      <c r="D35" s="273">
        <v>0</v>
      </c>
      <c r="E35" s="273">
        <v>920976</v>
      </c>
      <c r="F35" s="273">
        <v>951675</v>
      </c>
      <c r="G35" s="273">
        <v>1412163</v>
      </c>
    </row>
    <row r="36" spans="1:7" ht="14.1" customHeight="1">
      <c r="A36" s="16" t="s">
        <v>133</v>
      </c>
      <c r="B36" s="17">
        <v>2935206</v>
      </c>
      <c r="C36" s="17">
        <v>77406</v>
      </c>
      <c r="D36" s="17">
        <v>443409</v>
      </c>
      <c r="E36" s="17">
        <v>91392</v>
      </c>
      <c r="F36" s="17">
        <v>94438</v>
      </c>
      <c r="G36" s="17">
        <v>140134</v>
      </c>
    </row>
    <row r="37" spans="1:7" ht="14.1" customHeight="1">
      <c r="A37" s="272" t="s">
        <v>134</v>
      </c>
      <c r="B37" s="273">
        <v>7608760</v>
      </c>
      <c r="C37" s="273">
        <v>0</v>
      </c>
      <c r="D37" s="273">
        <v>452878</v>
      </c>
      <c r="E37" s="273">
        <v>236910</v>
      </c>
      <c r="F37" s="273">
        <v>244807</v>
      </c>
      <c r="G37" s="273">
        <v>363262</v>
      </c>
    </row>
    <row r="38" spans="1:7" ht="14.1" customHeight="1">
      <c r="A38" s="16" t="s">
        <v>135</v>
      </c>
      <c r="B38" s="17">
        <v>20125973</v>
      </c>
      <c r="C38" s="17">
        <v>0</v>
      </c>
      <c r="D38" s="17">
        <v>0</v>
      </c>
      <c r="E38" s="17">
        <v>626652</v>
      </c>
      <c r="F38" s="17">
        <v>647540</v>
      </c>
      <c r="G38" s="17">
        <v>960866</v>
      </c>
    </row>
    <row r="39" spans="1:7" ht="14.1" customHeight="1">
      <c r="A39" s="272" t="s">
        <v>136</v>
      </c>
      <c r="B39" s="273">
        <v>2969892</v>
      </c>
      <c r="C39" s="273">
        <v>0</v>
      </c>
      <c r="D39" s="273">
        <v>520278</v>
      </c>
      <c r="E39" s="273">
        <v>92472</v>
      </c>
      <c r="F39" s="273">
        <v>95554</v>
      </c>
      <c r="G39" s="273">
        <v>141790</v>
      </c>
    </row>
    <row r="40" spans="1:7" ht="14.1" customHeight="1">
      <c r="A40" s="16" t="s">
        <v>137</v>
      </c>
      <c r="B40" s="17">
        <v>15019616</v>
      </c>
      <c r="C40" s="17">
        <v>0</v>
      </c>
      <c r="D40" s="17">
        <v>0</v>
      </c>
      <c r="E40" s="17">
        <v>467658</v>
      </c>
      <c r="F40" s="17">
        <v>483247</v>
      </c>
      <c r="G40" s="17">
        <v>717076</v>
      </c>
    </row>
    <row r="41" spans="1:7" ht="14.1" customHeight="1">
      <c r="A41" s="272" t="s">
        <v>138</v>
      </c>
      <c r="B41" s="273">
        <v>8289101</v>
      </c>
      <c r="C41" s="273">
        <v>0</v>
      </c>
      <c r="D41" s="273">
        <v>492616</v>
      </c>
      <c r="E41" s="273">
        <v>258144</v>
      </c>
      <c r="F41" s="273">
        <v>266749</v>
      </c>
      <c r="G41" s="273">
        <v>395821</v>
      </c>
    </row>
    <row r="42" spans="1:7" ht="14.1" customHeight="1">
      <c r="A42" s="16" t="s">
        <v>139</v>
      </c>
      <c r="B42" s="17">
        <v>2643073</v>
      </c>
      <c r="C42" s="17">
        <v>0</v>
      </c>
      <c r="D42" s="17">
        <v>279068</v>
      </c>
      <c r="E42" s="17">
        <v>82296</v>
      </c>
      <c r="F42" s="17">
        <v>85039</v>
      </c>
      <c r="G42" s="17">
        <v>126187</v>
      </c>
    </row>
    <row r="43" spans="1:7" ht="14.1" customHeight="1">
      <c r="A43" s="272" t="s">
        <v>140</v>
      </c>
      <c r="B43" s="273">
        <v>1852232</v>
      </c>
      <c r="C43" s="273">
        <v>49372</v>
      </c>
      <c r="D43" s="273">
        <v>249763</v>
      </c>
      <c r="E43" s="273">
        <v>57672</v>
      </c>
      <c r="F43" s="273">
        <v>59594</v>
      </c>
      <c r="G43" s="273">
        <v>88430</v>
      </c>
    </row>
    <row r="44" spans="1:7" ht="14.1" customHeight="1">
      <c r="A44" s="16" t="s">
        <v>141</v>
      </c>
      <c r="B44" s="17">
        <v>1344468</v>
      </c>
      <c r="C44" s="17">
        <v>38589</v>
      </c>
      <c r="D44" s="17">
        <v>299197</v>
      </c>
      <c r="E44" s="17">
        <v>41862</v>
      </c>
      <c r="F44" s="17">
        <v>43257</v>
      </c>
      <c r="G44" s="17">
        <v>64188</v>
      </c>
    </row>
    <row r="45" spans="1:7" ht="14.1" customHeight="1">
      <c r="A45" s="272" t="s">
        <v>142</v>
      </c>
      <c r="B45" s="273">
        <v>3071638</v>
      </c>
      <c r="C45" s="273">
        <v>0</v>
      </c>
      <c r="D45" s="273">
        <v>15347</v>
      </c>
      <c r="E45" s="273">
        <v>95640</v>
      </c>
      <c r="F45" s="273">
        <v>98828</v>
      </c>
      <c r="G45" s="273">
        <v>146648</v>
      </c>
    </row>
    <row r="46" spans="1:7" ht="14.1" customHeight="1">
      <c r="A46" s="16" t="s">
        <v>143</v>
      </c>
      <c r="B46" s="17">
        <v>57007234</v>
      </c>
      <c r="C46" s="17">
        <v>0</v>
      </c>
      <c r="D46" s="17">
        <v>0</v>
      </c>
      <c r="E46" s="17">
        <v>1775004</v>
      </c>
      <c r="F46" s="17">
        <v>1834171</v>
      </c>
      <c r="G46" s="17">
        <v>2721673</v>
      </c>
    </row>
    <row r="47" spans="1:7" ht="5.0999999999999996" customHeight="1">
      <c r="A47"/>
      <c r="B47"/>
      <c r="C47"/>
      <c r="D47"/>
      <c r="E47"/>
      <c r="F47"/>
      <c r="G47"/>
    </row>
    <row r="48" spans="1:7" ht="14.1" customHeight="1">
      <c r="A48" s="275" t="s">
        <v>144</v>
      </c>
      <c r="B48" s="276">
        <f t="shared" ref="B48:G48" si="0">SUM(B11:B46)</f>
        <v>319441723</v>
      </c>
      <c r="C48" s="276">
        <f t="shared" si="0"/>
        <v>664263</v>
      </c>
      <c r="D48" s="276">
        <f t="shared" si="0"/>
        <v>11033147</v>
      </c>
      <c r="E48" s="276">
        <f t="shared" si="0"/>
        <v>9946326</v>
      </c>
      <c r="F48" s="276">
        <f t="shared" si="0"/>
        <v>10277869</v>
      </c>
      <c r="G48" s="276">
        <f t="shared" si="0"/>
        <v>15251132</v>
      </c>
    </row>
    <row r="49" spans="1:7" ht="5.0999999999999996" customHeight="1">
      <c r="A49" s="18" t="s">
        <v>1</v>
      </c>
      <c r="B49" s="19"/>
      <c r="C49" s="19"/>
      <c r="D49" s="19"/>
      <c r="E49" s="19"/>
      <c r="F49" s="19"/>
      <c r="G49" s="19"/>
    </row>
    <row r="50" spans="1:7" ht="14.45" customHeight="1">
      <c r="A50" s="16" t="s">
        <v>145</v>
      </c>
      <c r="B50" s="17">
        <v>202794</v>
      </c>
      <c r="C50" s="17">
        <v>47206</v>
      </c>
      <c r="D50" s="17">
        <v>0</v>
      </c>
      <c r="E50" s="17">
        <v>9864</v>
      </c>
      <c r="F50" s="17">
        <v>10193</v>
      </c>
      <c r="G50" s="17">
        <v>15125</v>
      </c>
    </row>
    <row r="51" spans="1:7" ht="14.1" customHeight="1">
      <c r="A51" s="364" t="s">
        <v>540</v>
      </c>
      <c r="B51" s="273">
        <v>0</v>
      </c>
      <c r="C51" s="273">
        <v>0</v>
      </c>
      <c r="D51" s="273">
        <v>0</v>
      </c>
      <c r="E51" s="273">
        <v>0</v>
      </c>
      <c r="F51" s="273">
        <v>0</v>
      </c>
      <c r="G51" s="273">
        <v>0</v>
      </c>
    </row>
    <row r="52" spans="1:7" ht="50.1" customHeight="1">
      <c r="A52" s="20"/>
      <c r="B52" s="20"/>
      <c r="C52" s="20"/>
      <c r="D52" s="20"/>
      <c r="E52" s="20"/>
      <c r="F52" s="20"/>
      <c r="G52" s="20"/>
    </row>
    <row r="53" spans="1:7" ht="15" customHeight="1">
      <c r="A53" s="132" t="s">
        <v>558</v>
      </c>
      <c r="D53" s="32"/>
      <c r="E53" s="32"/>
      <c r="F53" s="32"/>
      <c r="G53" s="32"/>
    </row>
    <row r="54" spans="1:7" ht="12" customHeight="1">
      <c r="A54" s="32" t="s">
        <v>326</v>
      </c>
      <c r="D54" s="32"/>
      <c r="E54" s="32"/>
      <c r="F54" s="32"/>
      <c r="G54" s="32"/>
    </row>
    <row r="55" spans="1:7" ht="14.45" customHeight="1">
      <c r="A55" s="32"/>
      <c r="D55" s="32"/>
      <c r="E55" s="32"/>
      <c r="F55" s="32"/>
      <c r="G55" s="32"/>
    </row>
    <row r="56" spans="1:7" ht="14.45" customHeight="1">
      <c r="D56" s="91"/>
      <c r="E56" s="91"/>
      <c r="F56" s="91"/>
      <c r="G56" s="91"/>
    </row>
    <row r="57" spans="1:7" ht="14.45" customHeight="1"/>
    <row r="58" spans="1:7" ht="14.45" customHeight="1"/>
    <row r="59" spans="1:7" ht="14.45" customHeight="1"/>
    <row r="63" spans="1:7" ht="15" customHeight="1"/>
  </sheetData>
  <mergeCells count="9">
    <mergeCell ref="B4:G4"/>
    <mergeCell ref="B5:G5"/>
    <mergeCell ref="B6:G6"/>
    <mergeCell ref="B8:B9"/>
    <mergeCell ref="C7:C9"/>
    <mergeCell ref="D8:D9"/>
    <mergeCell ref="E8:E9"/>
    <mergeCell ref="F8:F9"/>
    <mergeCell ref="G8: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51">
    <pageSetUpPr fitToPage="1"/>
  </sheetPr>
  <dimension ref="A1:K59"/>
  <sheetViews>
    <sheetView showGridLines="0" showZeros="0" workbookViewId="0"/>
  </sheetViews>
  <sheetFormatPr defaultColWidth="19.83203125" defaultRowHeight="12"/>
  <cols>
    <col min="1" max="1" width="29.83203125" style="1" customWidth="1"/>
    <col min="2" max="2" width="15.83203125" style="1" customWidth="1"/>
    <col min="3" max="3" width="17.83203125" style="1" customWidth="1"/>
    <col min="4" max="4" width="18.83203125" style="1" customWidth="1"/>
    <col min="5" max="5" width="14.83203125" style="1" customWidth="1"/>
    <col min="6" max="7" width="17.83203125" style="1" customWidth="1"/>
    <col min="8" max="16384" width="19.83203125" style="1"/>
  </cols>
  <sheetData>
    <row r="1" spans="1:7" ht="6.95" customHeight="1">
      <c r="A1" s="3"/>
      <c r="B1" s="3"/>
      <c r="C1" s="3"/>
      <c r="D1" s="3"/>
      <c r="E1" s="3"/>
      <c r="F1" s="3"/>
      <c r="G1" s="3"/>
    </row>
    <row r="2" spans="1:7" ht="15.95" customHeight="1">
      <c r="A2" s="230"/>
      <c r="B2" s="236" t="str">
        <f>REVYEAR</f>
        <v>ANALYSIS OF OPERATING FUND REVENUE: 2015/2016 BUDGET</v>
      </c>
      <c r="C2" s="237"/>
      <c r="D2" s="233"/>
      <c r="E2" s="233"/>
      <c r="F2" s="238"/>
      <c r="G2" s="186" t="s">
        <v>94</v>
      </c>
    </row>
    <row r="3" spans="1:7" ht="15.95" customHeight="1">
      <c r="A3" s="181"/>
      <c r="B3" s="181"/>
      <c r="C3" s="3"/>
      <c r="D3" s="3"/>
      <c r="E3" s="3"/>
      <c r="F3" s="3"/>
      <c r="G3" s="3"/>
    </row>
    <row r="4" spans="1:7" ht="15.95" customHeight="1">
      <c r="B4" s="756" t="s">
        <v>34</v>
      </c>
      <c r="C4" s="757"/>
      <c r="D4" s="757"/>
      <c r="E4" s="757"/>
      <c r="F4" s="757"/>
      <c r="G4" s="758"/>
    </row>
    <row r="5" spans="1:7" ht="15.95" customHeight="1">
      <c r="B5" s="759" t="s">
        <v>106</v>
      </c>
      <c r="C5" s="760"/>
      <c r="D5" s="760"/>
      <c r="E5" s="760"/>
      <c r="F5" s="760"/>
      <c r="G5" s="761"/>
    </row>
    <row r="6" spans="1:7" ht="15.95" customHeight="1">
      <c r="B6" s="766" t="s">
        <v>46</v>
      </c>
      <c r="C6" s="767"/>
      <c r="D6" s="767"/>
      <c r="E6" s="767"/>
      <c r="F6" s="767"/>
      <c r="G6" s="768"/>
    </row>
    <row r="7" spans="1:7" ht="15.95" customHeight="1">
      <c r="B7" s="187"/>
      <c r="C7" s="25"/>
      <c r="D7" s="25"/>
      <c r="E7" s="25"/>
      <c r="F7" s="25"/>
      <c r="G7" s="689" t="s">
        <v>502</v>
      </c>
    </row>
    <row r="8" spans="1:7" ht="15.95" customHeight="1">
      <c r="A8" s="83"/>
      <c r="B8" s="762" t="s">
        <v>499</v>
      </c>
      <c r="C8" s="764" t="s">
        <v>425</v>
      </c>
      <c r="D8" s="764" t="s">
        <v>500</v>
      </c>
      <c r="E8" s="764" t="s">
        <v>501</v>
      </c>
      <c r="F8" s="239"/>
      <c r="G8" s="764"/>
    </row>
    <row r="9" spans="1:7" ht="15.95" customHeight="1">
      <c r="A9" s="28" t="s">
        <v>37</v>
      </c>
      <c r="B9" s="763"/>
      <c r="C9" s="765"/>
      <c r="D9" s="765"/>
      <c r="E9" s="765"/>
      <c r="F9" s="95" t="s">
        <v>58</v>
      </c>
      <c r="G9" s="765"/>
    </row>
    <row r="10" spans="1:7" ht="5.0999999999999996" customHeight="1">
      <c r="A10" s="30"/>
      <c r="B10" s="3"/>
      <c r="F10" s="3"/>
      <c r="G10" s="3"/>
    </row>
    <row r="11" spans="1:7" ht="14.1" customHeight="1">
      <c r="A11" s="272" t="s">
        <v>109</v>
      </c>
      <c r="B11" s="273">
        <v>499790</v>
      </c>
      <c r="C11" s="273">
        <v>131970</v>
      </c>
      <c r="D11" s="273">
        <v>73140</v>
      </c>
      <c r="E11" s="273">
        <v>31375</v>
      </c>
      <c r="F11" s="273">
        <v>884925</v>
      </c>
      <c r="G11" s="273">
        <f>SUM('- 51 -'!$B11:G11,B11:F11)</f>
        <v>5307091</v>
      </c>
    </row>
    <row r="12" spans="1:7" ht="14.1" customHeight="1">
      <c r="A12" s="16" t="s">
        <v>110</v>
      </c>
      <c r="B12" s="17">
        <v>664814</v>
      </c>
      <c r="C12" s="17">
        <v>166473</v>
      </c>
      <c r="D12" s="17">
        <v>92262</v>
      </c>
      <c r="E12" s="17">
        <v>43750</v>
      </c>
      <c r="F12" s="17">
        <v>1231200</v>
      </c>
      <c r="G12" s="17">
        <f>SUM('- 51 -'!$B12:G12,B12:F12)</f>
        <v>6886914</v>
      </c>
    </row>
    <row r="13" spans="1:7" ht="14.1" customHeight="1">
      <c r="A13" s="272" t="s">
        <v>111</v>
      </c>
      <c r="B13" s="273">
        <v>2714000</v>
      </c>
      <c r="C13" s="273">
        <v>664100</v>
      </c>
      <c r="D13" s="273">
        <v>368000</v>
      </c>
      <c r="E13" s="273">
        <v>191300</v>
      </c>
      <c r="F13" s="273">
        <v>3027600</v>
      </c>
      <c r="G13" s="273">
        <f>SUM('- 51 -'!$B13:G13,B13:F13)</f>
        <v>24212800</v>
      </c>
    </row>
    <row r="14" spans="1:7" ht="14.1" customHeight="1">
      <c r="A14" s="16" t="s">
        <v>324</v>
      </c>
      <c r="B14" s="17">
        <v>1588790</v>
      </c>
      <c r="C14" s="17">
        <v>415208</v>
      </c>
      <c r="D14" s="17">
        <v>195098</v>
      </c>
      <c r="E14" s="17">
        <v>80250</v>
      </c>
      <c r="F14" s="17">
        <v>2611170</v>
      </c>
      <c r="G14" s="17">
        <f>SUM('- 51 -'!$B14:G14,B14:F14)</f>
        <v>16392929</v>
      </c>
    </row>
    <row r="15" spans="1:7" ht="14.1" customHeight="1">
      <c r="A15" s="272" t="s">
        <v>112</v>
      </c>
      <c r="B15" s="273">
        <v>473806</v>
      </c>
      <c r="C15" s="273">
        <v>119047</v>
      </c>
      <c r="D15" s="273">
        <v>55938</v>
      </c>
      <c r="E15" s="273">
        <v>32000</v>
      </c>
      <c r="F15" s="273">
        <v>856710</v>
      </c>
      <c r="G15" s="273">
        <f>SUM('- 51 -'!$B15:G15,B15:F15)</f>
        <v>4849976</v>
      </c>
    </row>
    <row r="16" spans="1:7" ht="14.1" customHeight="1">
      <c r="A16" s="16" t="s">
        <v>113</v>
      </c>
      <c r="B16" s="17">
        <v>317264</v>
      </c>
      <c r="C16" s="17">
        <v>74401</v>
      </c>
      <c r="D16" s="17">
        <v>24375</v>
      </c>
      <c r="E16" s="17">
        <v>45716</v>
      </c>
      <c r="F16" s="17">
        <v>601920</v>
      </c>
      <c r="G16" s="17">
        <f>SUM('- 51 -'!$B16:G16,B16:F16)</f>
        <v>3025008</v>
      </c>
    </row>
    <row r="17" spans="1:7" ht="14.1" customHeight="1">
      <c r="A17" s="272" t="s">
        <v>114</v>
      </c>
      <c r="B17" s="273">
        <v>395350</v>
      </c>
      <c r="C17" s="273">
        <v>105144</v>
      </c>
      <c r="D17" s="273">
        <v>58273</v>
      </c>
      <c r="E17" s="273">
        <v>27000</v>
      </c>
      <c r="F17" s="273">
        <v>855855</v>
      </c>
      <c r="G17" s="273">
        <f>SUM('- 51 -'!$B17:G17,B17:F17)</f>
        <v>4451630</v>
      </c>
    </row>
    <row r="18" spans="1:7" ht="14.1" customHeight="1">
      <c r="A18" s="16" t="s">
        <v>115</v>
      </c>
      <c r="B18" s="17">
        <v>1374563</v>
      </c>
      <c r="C18" s="17">
        <v>196901</v>
      </c>
      <c r="D18" s="17">
        <v>92520</v>
      </c>
      <c r="E18" s="17">
        <v>35125</v>
      </c>
      <c r="F18" s="17">
        <v>4072365</v>
      </c>
      <c r="G18" s="17">
        <f>SUM('- 51 -'!$B18:G18,B18:F18)</f>
        <v>11872005</v>
      </c>
    </row>
    <row r="19" spans="1:7" ht="14.1" customHeight="1">
      <c r="A19" s="272" t="s">
        <v>116</v>
      </c>
      <c r="B19" s="273">
        <v>1336203</v>
      </c>
      <c r="C19" s="273">
        <v>346467</v>
      </c>
      <c r="D19" s="273">
        <v>192018</v>
      </c>
      <c r="E19" s="273">
        <v>86013</v>
      </c>
      <c r="F19" s="273">
        <v>1710000</v>
      </c>
      <c r="G19" s="273">
        <f>SUM('- 51 -'!$B19:G19,B19:F19)</f>
        <v>12824912</v>
      </c>
    </row>
    <row r="20" spans="1:7" ht="14.1" customHeight="1">
      <c r="A20" s="16" t="s">
        <v>117</v>
      </c>
      <c r="B20" s="17">
        <v>2434422</v>
      </c>
      <c r="C20" s="17">
        <v>611552</v>
      </c>
      <c r="D20" s="17">
        <v>287356</v>
      </c>
      <c r="E20" s="17">
        <v>150263</v>
      </c>
      <c r="F20" s="17">
        <v>2827485</v>
      </c>
      <c r="G20" s="17">
        <f>SUM('- 51 -'!$B20:G20,B20:F20)</f>
        <v>22342684</v>
      </c>
    </row>
    <row r="21" spans="1:7" ht="14.1" customHeight="1">
      <c r="A21" s="272" t="s">
        <v>118</v>
      </c>
      <c r="B21" s="273">
        <v>865378</v>
      </c>
      <c r="C21" s="273">
        <v>221942</v>
      </c>
      <c r="D21" s="273">
        <v>104286</v>
      </c>
      <c r="E21" s="273">
        <v>57750</v>
      </c>
      <c r="F21" s="273">
        <v>1550115</v>
      </c>
      <c r="G21" s="273">
        <f>SUM('- 51 -'!$B21:G21,B21:F21)</f>
        <v>9068634</v>
      </c>
    </row>
    <row r="22" spans="1:7" ht="14.1" customHeight="1">
      <c r="A22" s="16" t="s">
        <v>119</v>
      </c>
      <c r="B22" s="17">
        <v>538355</v>
      </c>
      <c r="C22" s="17">
        <v>127148</v>
      </c>
      <c r="D22" s="17">
        <v>78127</v>
      </c>
      <c r="E22" s="17">
        <v>31125</v>
      </c>
      <c r="F22" s="17">
        <v>955890</v>
      </c>
      <c r="G22" s="17">
        <f>SUM('- 51 -'!$B22:G22,B22:F22)</f>
        <v>5035325</v>
      </c>
    </row>
    <row r="23" spans="1:7" ht="14.1" customHeight="1">
      <c r="A23" s="272" t="s">
        <v>120</v>
      </c>
      <c r="B23" s="273">
        <v>365599</v>
      </c>
      <c r="C23" s="273">
        <v>84004</v>
      </c>
      <c r="D23" s="273">
        <v>46557</v>
      </c>
      <c r="E23" s="273">
        <v>19125</v>
      </c>
      <c r="F23" s="273">
        <v>805410</v>
      </c>
      <c r="G23" s="273">
        <f>SUM('- 51 -'!$B23:G23,B23:F23)</f>
        <v>3866633</v>
      </c>
    </row>
    <row r="24" spans="1:7" ht="14.1" customHeight="1">
      <c r="A24" s="16" t="s">
        <v>121</v>
      </c>
      <c r="B24" s="17">
        <v>1329178</v>
      </c>
      <c r="C24" s="17">
        <v>329610</v>
      </c>
      <c r="D24" s="17">
        <v>154877</v>
      </c>
      <c r="E24" s="17">
        <v>98125</v>
      </c>
      <c r="F24" s="17">
        <v>2028915</v>
      </c>
      <c r="G24" s="17">
        <f>SUM('- 51 -'!$B24:G24,B24:F24)</f>
        <v>12791182</v>
      </c>
    </row>
    <row r="25" spans="1:7" ht="14.1" customHeight="1">
      <c r="A25" s="272" t="s">
        <v>122</v>
      </c>
      <c r="B25" s="273">
        <v>4748240</v>
      </c>
      <c r="C25" s="273">
        <v>1132618</v>
      </c>
      <c r="D25" s="273">
        <v>532194</v>
      </c>
      <c r="E25" s="273">
        <v>302125</v>
      </c>
      <c r="F25" s="273">
        <v>6413355</v>
      </c>
      <c r="G25" s="273">
        <f>SUM('- 51 -'!$B25:G25,B25:F25)</f>
        <v>42355732</v>
      </c>
    </row>
    <row r="26" spans="1:7" ht="14.1" customHeight="1">
      <c r="A26" s="16" t="s">
        <v>123</v>
      </c>
      <c r="B26" s="17">
        <v>1008675</v>
      </c>
      <c r="C26" s="17">
        <v>242659</v>
      </c>
      <c r="D26" s="17">
        <v>134486</v>
      </c>
      <c r="E26" s="17">
        <v>67163</v>
      </c>
      <c r="F26" s="17">
        <v>2299950</v>
      </c>
      <c r="G26" s="17">
        <f>SUM('- 51 -'!$B26:G26,B26:F26)</f>
        <v>10584946</v>
      </c>
    </row>
    <row r="27" spans="1:7" ht="14.1" customHeight="1">
      <c r="A27" s="272" t="s">
        <v>124</v>
      </c>
      <c r="B27" s="273">
        <v>1053814</v>
      </c>
      <c r="C27" s="273">
        <v>231363</v>
      </c>
      <c r="D27" s="273">
        <v>142163</v>
      </c>
      <c r="E27" s="273">
        <v>55750</v>
      </c>
      <c r="F27" s="273">
        <v>1307295</v>
      </c>
      <c r="G27" s="273">
        <f>SUM('- 51 -'!$B27:G27,B27:F27)</f>
        <v>8758423</v>
      </c>
    </row>
    <row r="28" spans="1:7" ht="14.1" customHeight="1">
      <c r="A28" s="16" t="s">
        <v>125</v>
      </c>
      <c r="B28" s="17">
        <v>487253</v>
      </c>
      <c r="C28" s="17">
        <v>125247</v>
      </c>
      <c r="D28" s="17">
        <v>69414</v>
      </c>
      <c r="E28" s="17">
        <v>33750</v>
      </c>
      <c r="F28" s="17">
        <v>1288485</v>
      </c>
      <c r="G28" s="17">
        <f>SUM('- 51 -'!$B28:G28,B28:F28)</f>
        <v>5777958</v>
      </c>
    </row>
    <row r="29" spans="1:7" ht="14.1" customHeight="1">
      <c r="A29" s="272" t="s">
        <v>126</v>
      </c>
      <c r="B29" s="273">
        <v>3979950</v>
      </c>
      <c r="C29" s="273">
        <v>1019921</v>
      </c>
      <c r="D29" s="273">
        <v>479240</v>
      </c>
      <c r="E29" s="273">
        <v>277038</v>
      </c>
      <c r="F29" s="273">
        <v>4951305</v>
      </c>
      <c r="G29" s="273">
        <f>SUM('- 51 -'!$B29:G29,B29:F29)</f>
        <v>37025057</v>
      </c>
    </row>
    <row r="30" spans="1:7" ht="14.1" customHeight="1">
      <c r="A30" s="16" t="s">
        <v>127</v>
      </c>
      <c r="B30" s="17">
        <v>343287</v>
      </c>
      <c r="C30" s="17">
        <v>86528</v>
      </c>
      <c r="D30" s="17">
        <v>47955</v>
      </c>
      <c r="E30" s="17">
        <v>24625</v>
      </c>
      <c r="F30" s="17">
        <v>791730</v>
      </c>
      <c r="G30" s="17">
        <f>SUM('- 51 -'!$B30:G30,B30:F30)</f>
        <v>3901761</v>
      </c>
    </row>
    <row r="31" spans="1:7" ht="14.1" customHeight="1">
      <c r="A31" s="272" t="s">
        <v>128</v>
      </c>
      <c r="B31" s="273">
        <v>1111169</v>
      </c>
      <c r="C31" s="273">
        <v>257615</v>
      </c>
      <c r="D31" s="273">
        <v>121048</v>
      </c>
      <c r="E31" s="273">
        <v>70750</v>
      </c>
      <c r="F31" s="273">
        <v>1816875</v>
      </c>
      <c r="G31" s="273">
        <f>SUM('- 51 -'!$B31:G31,B31:F31)</f>
        <v>10219514</v>
      </c>
    </row>
    <row r="32" spans="1:7" ht="14.1" customHeight="1">
      <c r="A32" s="16" t="s">
        <v>129</v>
      </c>
      <c r="B32" s="17">
        <v>682164</v>
      </c>
      <c r="C32" s="17">
        <v>173055</v>
      </c>
      <c r="D32" s="17">
        <v>81315</v>
      </c>
      <c r="E32" s="17">
        <v>37625</v>
      </c>
      <c r="F32" s="17">
        <v>1403055</v>
      </c>
      <c r="G32" s="17">
        <f>SUM('- 51 -'!$B32:G32,B32:F32)</f>
        <v>7455164</v>
      </c>
    </row>
    <row r="33" spans="1:7" ht="14.1" customHeight="1">
      <c r="A33" s="272" t="s">
        <v>130</v>
      </c>
      <c r="B33" s="273">
        <v>639162</v>
      </c>
      <c r="C33" s="273">
        <v>164440</v>
      </c>
      <c r="D33" s="273">
        <v>91135</v>
      </c>
      <c r="E33" s="273">
        <v>41500</v>
      </c>
      <c r="F33" s="273">
        <v>1756170</v>
      </c>
      <c r="G33" s="273">
        <f>SUM('- 51 -'!$B33:G33,B33:F33)</f>
        <v>7768942</v>
      </c>
    </row>
    <row r="34" spans="1:7" ht="14.1" customHeight="1">
      <c r="A34" s="16" t="s">
        <v>131</v>
      </c>
      <c r="B34" s="17">
        <v>637081</v>
      </c>
      <c r="C34" s="17">
        <v>165535</v>
      </c>
      <c r="D34" s="17">
        <v>77782</v>
      </c>
      <c r="E34" s="17">
        <v>44750</v>
      </c>
      <c r="F34" s="17">
        <v>1208970</v>
      </c>
      <c r="G34" s="17">
        <f>SUM('- 51 -'!$B34:G34,B34:F34)</f>
        <v>7067187</v>
      </c>
    </row>
    <row r="35" spans="1:7" ht="14.1" customHeight="1">
      <c r="A35" s="272" t="s">
        <v>132</v>
      </c>
      <c r="B35" s="273">
        <v>5106779</v>
      </c>
      <c r="C35" s="273">
        <v>1274017</v>
      </c>
      <c r="D35" s="273">
        <v>598634</v>
      </c>
      <c r="E35" s="273">
        <v>356750</v>
      </c>
      <c r="F35" s="273">
        <v>7008435</v>
      </c>
      <c r="G35" s="273">
        <f>SUM('- 51 -'!$B35:G35,B35:F35)</f>
        <v>47208108</v>
      </c>
    </row>
    <row r="36" spans="1:7" ht="14.1" customHeight="1">
      <c r="A36" s="16" t="s">
        <v>133</v>
      </c>
      <c r="B36" s="17">
        <v>510639</v>
      </c>
      <c r="C36" s="17">
        <v>126426</v>
      </c>
      <c r="D36" s="17">
        <v>70067</v>
      </c>
      <c r="E36" s="17">
        <v>29250</v>
      </c>
      <c r="F36" s="17">
        <v>1167930</v>
      </c>
      <c r="G36" s="17">
        <f>SUM('- 51 -'!$B36:G36,B36:F36)</f>
        <v>5686297</v>
      </c>
    </row>
    <row r="37" spans="1:7" ht="14.1" customHeight="1">
      <c r="A37" s="272" t="s">
        <v>134</v>
      </c>
      <c r="B37" s="273">
        <v>1296675</v>
      </c>
      <c r="C37" s="273">
        <v>327726</v>
      </c>
      <c r="D37" s="273">
        <v>153992</v>
      </c>
      <c r="E37" s="273">
        <v>70250</v>
      </c>
      <c r="F37" s="273">
        <v>1721115</v>
      </c>
      <c r="G37" s="273">
        <f>SUM('- 51 -'!$B37:G37,B37:F37)</f>
        <v>12476375</v>
      </c>
    </row>
    <row r="38" spans="1:7" ht="14.1" customHeight="1">
      <c r="A38" s="16" t="s">
        <v>135</v>
      </c>
      <c r="B38" s="17">
        <v>3639074</v>
      </c>
      <c r="C38" s="17">
        <v>866869</v>
      </c>
      <c r="D38" s="17">
        <v>407324</v>
      </c>
      <c r="E38" s="17">
        <v>251750</v>
      </c>
      <c r="F38" s="17">
        <v>3408030</v>
      </c>
      <c r="G38" s="17">
        <f>SUM('- 51 -'!$B38:G38,B38:F38)</f>
        <v>30934078</v>
      </c>
    </row>
    <row r="39" spans="1:7" ht="14.1" customHeight="1">
      <c r="A39" s="272" t="s">
        <v>136</v>
      </c>
      <c r="B39" s="273">
        <v>483664</v>
      </c>
      <c r="C39" s="273">
        <v>127920</v>
      </c>
      <c r="D39" s="273">
        <v>70895</v>
      </c>
      <c r="E39" s="273">
        <v>29400</v>
      </c>
      <c r="F39" s="273">
        <v>1036260</v>
      </c>
      <c r="G39" s="273">
        <f>SUM('- 51 -'!$B39:G39,B39:F39)</f>
        <v>5568125</v>
      </c>
    </row>
    <row r="40" spans="1:7" ht="14.1" customHeight="1">
      <c r="A40" s="16" t="s">
        <v>137</v>
      </c>
      <c r="B40" s="17">
        <v>2643891</v>
      </c>
      <c r="C40" s="17">
        <v>646927</v>
      </c>
      <c r="D40" s="17">
        <v>303978</v>
      </c>
      <c r="E40" s="17">
        <v>186000</v>
      </c>
      <c r="F40" s="17">
        <v>4186935</v>
      </c>
      <c r="G40" s="17">
        <f>SUM('- 51 -'!$B40:G40,B40:F40)</f>
        <v>24655328</v>
      </c>
    </row>
    <row r="41" spans="1:7" ht="14.1" customHeight="1">
      <c r="A41" s="272" t="s">
        <v>138</v>
      </c>
      <c r="B41" s="273">
        <v>1410335</v>
      </c>
      <c r="C41" s="273">
        <v>357099</v>
      </c>
      <c r="D41" s="273">
        <v>197910</v>
      </c>
      <c r="E41" s="273">
        <v>75375</v>
      </c>
      <c r="F41" s="273">
        <v>2177685</v>
      </c>
      <c r="G41" s="273">
        <f>SUM('- 51 -'!$B41:G41,B41:F41)</f>
        <v>13920835</v>
      </c>
    </row>
    <row r="42" spans="1:7" ht="14.1" customHeight="1">
      <c r="A42" s="16" t="s">
        <v>139</v>
      </c>
      <c r="B42" s="17">
        <v>483457</v>
      </c>
      <c r="C42" s="17">
        <v>113843</v>
      </c>
      <c r="D42" s="17">
        <v>69952</v>
      </c>
      <c r="E42" s="17">
        <v>29750</v>
      </c>
      <c r="F42" s="17">
        <v>1057635</v>
      </c>
      <c r="G42" s="17">
        <f>SUM('- 51 -'!$B42:G42,B42:F42)</f>
        <v>4970300</v>
      </c>
    </row>
    <row r="43" spans="1:7" ht="14.1" customHeight="1">
      <c r="A43" s="272" t="s">
        <v>140</v>
      </c>
      <c r="B43" s="273">
        <v>305776</v>
      </c>
      <c r="C43" s="273">
        <v>79780</v>
      </c>
      <c r="D43" s="273">
        <v>44215</v>
      </c>
      <c r="E43" s="273">
        <v>21250</v>
      </c>
      <c r="F43" s="273">
        <v>594225</v>
      </c>
      <c r="G43" s="273">
        <f>SUM('- 51 -'!$B43:G43,B43:F43)</f>
        <v>3402309</v>
      </c>
    </row>
    <row r="44" spans="1:7" ht="14.1" customHeight="1">
      <c r="A44" s="16" t="s">
        <v>141</v>
      </c>
      <c r="B44" s="17">
        <v>337978</v>
      </c>
      <c r="C44" s="17">
        <v>57909</v>
      </c>
      <c r="D44" s="17">
        <v>32094</v>
      </c>
      <c r="E44" s="17">
        <v>13250</v>
      </c>
      <c r="F44" s="17">
        <v>623295</v>
      </c>
      <c r="G44" s="17">
        <f>SUM('- 51 -'!$B44:G44,B44:F44)</f>
        <v>2896087</v>
      </c>
    </row>
    <row r="45" spans="1:7" ht="14.1" customHeight="1">
      <c r="A45" s="272" t="s">
        <v>142</v>
      </c>
      <c r="B45" s="273">
        <v>510552</v>
      </c>
      <c r="C45" s="273">
        <v>132302</v>
      </c>
      <c r="D45" s="273">
        <v>73324</v>
      </c>
      <c r="E45" s="273">
        <v>32500</v>
      </c>
      <c r="F45" s="273">
        <v>588240</v>
      </c>
      <c r="G45" s="273">
        <f>SUM('- 51 -'!$B45:G45,B45:F45)</f>
        <v>4765019</v>
      </c>
    </row>
    <row r="46" spans="1:7" ht="14.1" customHeight="1">
      <c r="A46" s="16" t="s">
        <v>143</v>
      </c>
      <c r="B46" s="17">
        <v>16560610</v>
      </c>
      <c r="C46" s="17">
        <v>2455422</v>
      </c>
      <c r="D46" s="17">
        <v>1153753</v>
      </c>
      <c r="E46" s="17">
        <v>708125</v>
      </c>
      <c r="F46" s="17">
        <v>14438385</v>
      </c>
      <c r="G46" s="17">
        <f>SUM('- 51 -'!$B46:G46,B46:F46)</f>
        <v>98654377</v>
      </c>
    </row>
    <row r="47" spans="1:7" ht="5.0999999999999996" customHeight="1">
      <c r="A47"/>
      <c r="B47"/>
      <c r="C47"/>
      <c r="D47"/>
      <c r="E47"/>
      <c r="F47"/>
      <c r="G47"/>
    </row>
    <row r="48" spans="1:7" ht="14.1" customHeight="1">
      <c r="A48" s="275" t="s">
        <v>144</v>
      </c>
      <c r="B48" s="276">
        <f t="shared" ref="B48:G48" si="0">SUM(B11:B46)</f>
        <v>62877737</v>
      </c>
      <c r="C48" s="276">
        <f t="shared" si="0"/>
        <v>13759188</v>
      </c>
      <c r="D48" s="276">
        <f t="shared" si="0"/>
        <v>6775697</v>
      </c>
      <c r="E48" s="276">
        <f t="shared" si="0"/>
        <v>3687643</v>
      </c>
      <c r="F48" s="276">
        <f t="shared" si="0"/>
        <v>85264920</v>
      </c>
      <c r="G48" s="276">
        <f t="shared" si="0"/>
        <v>538979645</v>
      </c>
    </row>
    <row r="49" spans="1:11" ht="5.0999999999999996" customHeight="1">
      <c r="A49" s="18" t="s">
        <v>1</v>
      </c>
      <c r="B49" s="19"/>
      <c r="C49" s="19"/>
      <c r="D49" s="19"/>
      <c r="E49" s="19"/>
      <c r="F49" s="19"/>
      <c r="G49" s="19"/>
    </row>
    <row r="50" spans="1:11" ht="14.45" customHeight="1">
      <c r="A50" s="16" t="s">
        <v>145</v>
      </c>
      <c r="B50" s="17">
        <v>51809</v>
      </c>
      <c r="C50" s="17">
        <v>13645</v>
      </c>
      <c r="D50" s="17">
        <v>7562</v>
      </c>
      <c r="E50" s="17">
        <v>4625</v>
      </c>
      <c r="F50" s="17">
        <v>235125</v>
      </c>
      <c r="G50" s="17">
        <f>SUM('- 51 -'!$B50:G50,B50:F50)</f>
        <v>597948</v>
      </c>
    </row>
    <row r="51" spans="1:11" ht="14.1" customHeight="1">
      <c r="A51" s="364" t="s">
        <v>540</v>
      </c>
      <c r="B51" s="273">
        <v>0</v>
      </c>
      <c r="C51" s="273">
        <v>0</v>
      </c>
      <c r="D51" s="273">
        <v>0</v>
      </c>
      <c r="E51" s="273">
        <v>0</v>
      </c>
      <c r="F51" s="273">
        <v>0</v>
      </c>
      <c r="G51" s="273">
        <f>SUM('- 51 -'!$B51:G51,B51:F51)</f>
        <v>0</v>
      </c>
      <c r="H51" s="1">
        <v>0</v>
      </c>
    </row>
    <row r="52" spans="1:11" ht="50.1" customHeight="1">
      <c r="A52" s="20"/>
      <c r="B52" s="20"/>
      <c r="C52" s="20"/>
      <c r="D52" s="20"/>
      <c r="E52" s="20"/>
      <c r="F52" s="20"/>
      <c r="G52" s="374"/>
      <c r="H52"/>
      <c r="I52"/>
      <c r="J52"/>
      <c r="K52"/>
    </row>
    <row r="53" spans="1:11" ht="15" customHeight="1">
      <c r="A53" s="32" t="s">
        <v>301</v>
      </c>
      <c r="B53" s="32"/>
      <c r="D53" s="32"/>
      <c r="E53" s="32"/>
      <c r="F53" s="32"/>
      <c r="G53" s="434"/>
      <c r="H53" s="434"/>
      <c r="I53" s="434"/>
      <c r="J53" s="434"/>
      <c r="K53" s="434"/>
    </row>
    <row r="54" spans="1:11" ht="14.45" customHeight="1">
      <c r="A54" s="434"/>
      <c r="B54" s="434"/>
      <c r="C54" s="434"/>
      <c r="D54" s="434"/>
      <c r="E54" s="434"/>
      <c r="F54" s="434"/>
      <c r="G54" s="434"/>
      <c r="H54" s="434"/>
      <c r="I54" s="434"/>
      <c r="J54" s="434"/>
      <c r="K54" s="434"/>
    </row>
    <row r="55" spans="1:11" ht="14.45" customHeight="1">
      <c r="A55" s="32"/>
      <c r="B55" s="32"/>
      <c r="D55" s="32"/>
      <c r="E55" s="32"/>
      <c r="F55" s="32"/>
      <c r="G55" s="32"/>
    </row>
    <row r="56" spans="1:11" ht="14.45" customHeight="1">
      <c r="D56" s="91"/>
      <c r="E56" s="91"/>
      <c r="F56" s="91"/>
      <c r="G56" s="91"/>
    </row>
    <row r="57" spans="1:11" ht="14.45" customHeight="1"/>
    <row r="58" spans="1:11" ht="14.45" customHeight="1"/>
    <row r="59" spans="1:11" ht="14.45" customHeight="1"/>
  </sheetData>
  <mergeCells count="8">
    <mergeCell ref="B4:G4"/>
    <mergeCell ref="B5:G5"/>
    <mergeCell ref="B6:G6"/>
    <mergeCell ref="B8:B9"/>
    <mergeCell ref="C8:C9"/>
    <mergeCell ref="D8:D9"/>
    <mergeCell ref="E8:E9"/>
    <mergeCell ref="G7:G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7">
    <pageSetUpPr fitToPage="1"/>
  </sheetPr>
  <dimension ref="A1:F58"/>
  <sheetViews>
    <sheetView showGridLines="0" showZeros="0" workbookViewId="0"/>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ols>
  <sheetData>
    <row r="1" spans="1:6" ht="6.95" customHeight="1">
      <c r="A1" s="3"/>
      <c r="B1" s="3"/>
      <c r="C1" s="3"/>
      <c r="D1" s="3"/>
      <c r="E1" s="3"/>
      <c r="F1" s="3"/>
    </row>
    <row r="2" spans="1:6" ht="15.95" customHeight="1">
      <c r="A2" s="230"/>
      <c r="B2" s="54" t="str">
        <f>REVYEAR</f>
        <v>ANALYSIS OF OPERATING FUND REVENUE: 2015/2016 BUDGET</v>
      </c>
      <c r="C2" s="231"/>
      <c r="D2" s="233"/>
      <c r="E2" s="233"/>
      <c r="F2" s="186" t="s">
        <v>95</v>
      </c>
    </row>
    <row r="3" spans="1:6" ht="15.95" customHeight="1">
      <c r="A3" s="181"/>
      <c r="B3" s="181"/>
      <c r="C3" s="3"/>
      <c r="D3" s="3"/>
      <c r="E3" s="3"/>
      <c r="F3" s="3"/>
    </row>
    <row r="4" spans="1:6" ht="15.95" customHeight="1">
      <c r="B4" s="756" t="s">
        <v>34</v>
      </c>
      <c r="C4" s="757"/>
      <c r="D4" s="757"/>
      <c r="E4" s="757"/>
      <c r="F4" s="758"/>
    </row>
    <row r="5" spans="1:6" ht="15.95" customHeight="1">
      <c r="B5" s="759" t="s">
        <v>106</v>
      </c>
      <c r="C5" s="760"/>
      <c r="D5" s="760"/>
      <c r="E5" s="760"/>
      <c r="F5" s="761"/>
    </row>
    <row r="6" spans="1:6" ht="15.95" customHeight="1">
      <c r="B6" s="766" t="s">
        <v>47</v>
      </c>
      <c r="C6" s="767"/>
      <c r="D6" s="767"/>
      <c r="E6" s="767"/>
      <c r="F6" s="768"/>
    </row>
    <row r="7" spans="1:6" ht="15.95" customHeight="1">
      <c r="B7" s="187"/>
      <c r="C7" s="187"/>
      <c r="D7" s="689" t="s">
        <v>505</v>
      </c>
      <c r="E7" s="689" t="s">
        <v>429</v>
      </c>
      <c r="F7" s="689" t="s">
        <v>506</v>
      </c>
    </row>
    <row r="8" spans="1:6" ht="15.95" customHeight="1">
      <c r="A8" s="83"/>
      <c r="B8" s="762" t="s">
        <v>503</v>
      </c>
      <c r="C8" s="764" t="s">
        <v>504</v>
      </c>
      <c r="D8" s="764"/>
      <c r="E8" s="764"/>
      <c r="F8" s="764"/>
    </row>
    <row r="9" spans="1:6" ht="15.95" customHeight="1">
      <c r="A9" s="28" t="s">
        <v>37</v>
      </c>
      <c r="B9" s="763"/>
      <c r="C9" s="765"/>
      <c r="D9" s="765"/>
      <c r="E9" s="765"/>
      <c r="F9" s="765"/>
    </row>
    <row r="10" spans="1:6" ht="5.0999999999999996" customHeight="1">
      <c r="A10" s="30"/>
      <c r="B10" s="3"/>
      <c r="C10" s="3"/>
      <c r="D10" s="3"/>
      <c r="E10" s="3"/>
    </row>
    <row r="11" spans="1:6" ht="14.1" customHeight="1">
      <c r="A11" s="272" t="s">
        <v>109</v>
      </c>
      <c r="B11" s="273">
        <v>675278</v>
      </c>
      <c r="C11" s="273">
        <v>633120</v>
      </c>
      <c r="D11" s="273">
        <v>48896</v>
      </c>
      <c r="E11" s="273">
        <v>153750</v>
      </c>
      <c r="F11" s="273">
        <v>37500</v>
      </c>
    </row>
    <row r="12" spans="1:6" ht="14.1" customHeight="1">
      <c r="A12" s="16" t="s">
        <v>110</v>
      </c>
      <c r="B12" s="17">
        <v>1235370</v>
      </c>
      <c r="C12" s="17">
        <v>1035771</v>
      </c>
      <c r="D12" s="17">
        <v>200530</v>
      </c>
      <c r="E12" s="17">
        <v>102225</v>
      </c>
      <c r="F12" s="17">
        <v>51000</v>
      </c>
    </row>
    <row r="13" spans="1:6" ht="14.1" customHeight="1">
      <c r="A13" s="272" t="s">
        <v>111</v>
      </c>
      <c r="B13" s="273">
        <v>1031100</v>
      </c>
      <c r="C13" s="273">
        <v>2684200</v>
      </c>
      <c r="D13" s="273">
        <v>568000</v>
      </c>
      <c r="E13" s="273">
        <v>664200</v>
      </c>
      <c r="F13" s="273">
        <v>331500</v>
      </c>
    </row>
    <row r="14" spans="1:6" ht="14.1" customHeight="1">
      <c r="A14" s="16" t="s">
        <v>324</v>
      </c>
      <c r="B14" s="17">
        <v>3244225</v>
      </c>
      <c r="C14" s="17">
        <v>1524250</v>
      </c>
      <c r="D14" s="17">
        <v>24585</v>
      </c>
      <c r="E14" s="17">
        <v>211700</v>
      </c>
      <c r="F14" s="17">
        <v>501500</v>
      </c>
    </row>
    <row r="15" spans="1:6" ht="14.1" customHeight="1">
      <c r="A15" s="272" t="s">
        <v>112</v>
      </c>
      <c r="B15" s="273">
        <v>887755</v>
      </c>
      <c r="C15" s="273">
        <v>864034</v>
      </c>
      <c r="D15" s="273">
        <v>88880</v>
      </c>
      <c r="E15" s="273">
        <v>10950</v>
      </c>
      <c r="F15" s="273">
        <v>122000</v>
      </c>
    </row>
    <row r="16" spans="1:6" ht="14.1" customHeight="1">
      <c r="A16" s="16" t="s">
        <v>113</v>
      </c>
      <c r="B16" s="17">
        <v>111935</v>
      </c>
      <c r="C16" s="17">
        <v>434342</v>
      </c>
      <c r="D16" s="17">
        <v>27693</v>
      </c>
      <c r="E16" s="17">
        <v>1125</v>
      </c>
      <c r="F16" s="17">
        <v>78500</v>
      </c>
    </row>
    <row r="17" spans="1:6" ht="14.1" customHeight="1">
      <c r="A17" s="272" t="s">
        <v>114</v>
      </c>
      <c r="B17" s="273">
        <v>913071</v>
      </c>
      <c r="C17" s="273">
        <v>615225</v>
      </c>
      <c r="D17" s="273">
        <v>67485</v>
      </c>
      <c r="E17" s="273">
        <v>15500</v>
      </c>
      <c r="F17" s="273">
        <v>17000</v>
      </c>
    </row>
    <row r="18" spans="1:6" ht="14.1" customHeight="1">
      <c r="A18" s="16" t="s">
        <v>115</v>
      </c>
      <c r="B18" s="17">
        <v>1414992</v>
      </c>
      <c r="C18" s="17">
        <v>1567153</v>
      </c>
      <c r="D18" s="17">
        <v>95260</v>
      </c>
      <c r="E18" s="17">
        <v>1500</v>
      </c>
      <c r="F18" s="17">
        <v>808900</v>
      </c>
    </row>
    <row r="19" spans="1:6" ht="14.1" customHeight="1">
      <c r="A19" s="272" t="s">
        <v>116</v>
      </c>
      <c r="B19" s="273">
        <v>1478466</v>
      </c>
      <c r="C19" s="273">
        <v>1786781</v>
      </c>
      <c r="D19" s="273">
        <v>317515</v>
      </c>
      <c r="E19" s="273">
        <v>569675</v>
      </c>
      <c r="F19" s="273">
        <v>25500</v>
      </c>
    </row>
    <row r="20" spans="1:6" ht="14.1" customHeight="1">
      <c r="A20" s="16" t="s">
        <v>117</v>
      </c>
      <c r="B20" s="17">
        <v>2577206</v>
      </c>
      <c r="C20" s="17">
        <v>3251602</v>
      </c>
      <c r="D20" s="17">
        <v>512600</v>
      </c>
      <c r="E20" s="17">
        <v>555950</v>
      </c>
      <c r="F20" s="17">
        <v>161500</v>
      </c>
    </row>
    <row r="21" spans="1:6" ht="14.1" customHeight="1">
      <c r="A21" s="272" t="s">
        <v>118</v>
      </c>
      <c r="B21" s="273">
        <v>1230420</v>
      </c>
      <c r="C21" s="273">
        <v>1219562</v>
      </c>
      <c r="D21" s="273">
        <v>87808</v>
      </c>
      <c r="E21" s="273">
        <v>48100</v>
      </c>
      <c r="F21" s="273">
        <v>127500</v>
      </c>
    </row>
    <row r="22" spans="1:6" ht="14.1" customHeight="1">
      <c r="A22" s="16" t="s">
        <v>119</v>
      </c>
      <c r="B22" s="17">
        <v>285148</v>
      </c>
      <c r="C22" s="17">
        <v>919247</v>
      </c>
      <c r="D22" s="17">
        <v>55000</v>
      </c>
      <c r="E22" s="17">
        <v>6600</v>
      </c>
      <c r="F22" s="17">
        <v>161500</v>
      </c>
    </row>
    <row r="23" spans="1:6" ht="14.1" customHeight="1">
      <c r="A23" s="272" t="s">
        <v>120</v>
      </c>
      <c r="B23" s="273">
        <v>1016264</v>
      </c>
      <c r="C23" s="273">
        <v>676213</v>
      </c>
      <c r="D23" s="273">
        <v>66963</v>
      </c>
      <c r="E23" s="273">
        <v>13975</v>
      </c>
      <c r="F23" s="273">
        <v>97500</v>
      </c>
    </row>
    <row r="24" spans="1:6" ht="14.1" customHeight="1">
      <c r="A24" s="16" t="s">
        <v>121</v>
      </c>
      <c r="B24" s="17">
        <v>1706142</v>
      </c>
      <c r="C24" s="17">
        <v>2288118</v>
      </c>
      <c r="D24" s="17">
        <v>400290</v>
      </c>
      <c r="E24" s="17">
        <v>27300</v>
      </c>
      <c r="F24" s="17">
        <v>337500</v>
      </c>
    </row>
    <row r="25" spans="1:6" ht="14.1" customHeight="1">
      <c r="A25" s="272" t="s">
        <v>122</v>
      </c>
      <c r="B25" s="273">
        <v>1276494</v>
      </c>
      <c r="C25" s="273">
        <v>7814305</v>
      </c>
      <c r="D25" s="273">
        <v>642786</v>
      </c>
      <c r="E25" s="273">
        <v>936485</v>
      </c>
      <c r="F25" s="273">
        <v>759500</v>
      </c>
    </row>
    <row r="26" spans="1:6" ht="14.1" customHeight="1">
      <c r="A26" s="16" t="s">
        <v>123</v>
      </c>
      <c r="B26" s="17">
        <v>1656799</v>
      </c>
      <c r="C26" s="17">
        <v>1343072</v>
      </c>
      <c r="D26" s="17">
        <v>229185</v>
      </c>
      <c r="E26" s="17">
        <v>17350</v>
      </c>
      <c r="F26" s="17">
        <v>232500</v>
      </c>
    </row>
    <row r="27" spans="1:6" ht="14.1" customHeight="1">
      <c r="A27" s="272" t="s">
        <v>124</v>
      </c>
      <c r="B27" s="273">
        <v>83143</v>
      </c>
      <c r="C27" s="273">
        <v>1710396</v>
      </c>
      <c r="D27" s="273">
        <v>246428</v>
      </c>
      <c r="E27" s="273">
        <v>99200</v>
      </c>
      <c r="F27" s="273">
        <v>267000</v>
      </c>
    </row>
    <row r="28" spans="1:6" ht="14.1" customHeight="1">
      <c r="A28" s="16" t="s">
        <v>125</v>
      </c>
      <c r="B28" s="17">
        <v>1273455</v>
      </c>
      <c r="C28" s="17">
        <v>623819</v>
      </c>
      <c r="D28" s="17">
        <v>65395</v>
      </c>
      <c r="E28" s="17">
        <v>33950</v>
      </c>
      <c r="F28" s="17">
        <v>86500</v>
      </c>
    </row>
    <row r="29" spans="1:6" ht="14.1" customHeight="1">
      <c r="A29" s="272" t="s">
        <v>126</v>
      </c>
      <c r="B29" s="273">
        <v>891806</v>
      </c>
      <c r="C29" s="273">
        <v>6367468</v>
      </c>
      <c r="D29" s="273">
        <v>287403</v>
      </c>
      <c r="E29" s="273">
        <v>1195375</v>
      </c>
      <c r="F29" s="273">
        <v>314500</v>
      </c>
    </row>
    <row r="30" spans="1:6" ht="14.1" customHeight="1">
      <c r="A30" s="16" t="s">
        <v>127</v>
      </c>
      <c r="B30" s="17">
        <v>687151</v>
      </c>
      <c r="C30" s="17">
        <v>478483</v>
      </c>
      <c r="D30" s="17">
        <v>58328</v>
      </c>
      <c r="E30" s="17">
        <v>53950</v>
      </c>
      <c r="F30" s="17">
        <v>45500</v>
      </c>
    </row>
    <row r="31" spans="1:6" ht="14.1" customHeight="1">
      <c r="A31" s="272" t="s">
        <v>128</v>
      </c>
      <c r="B31" s="273">
        <v>831002</v>
      </c>
      <c r="C31" s="273">
        <v>1704160</v>
      </c>
      <c r="D31" s="273">
        <v>178805</v>
      </c>
      <c r="E31" s="273">
        <v>113950</v>
      </c>
      <c r="F31" s="273">
        <v>232000</v>
      </c>
    </row>
    <row r="32" spans="1:6" ht="14.1" customHeight="1">
      <c r="A32" s="16" t="s">
        <v>129</v>
      </c>
      <c r="B32" s="17">
        <v>1302128</v>
      </c>
      <c r="C32" s="17">
        <v>805050</v>
      </c>
      <c r="D32" s="17">
        <v>93968</v>
      </c>
      <c r="E32" s="17">
        <v>105350</v>
      </c>
      <c r="F32" s="17">
        <v>93500</v>
      </c>
    </row>
    <row r="33" spans="1:6" ht="14.1" customHeight="1">
      <c r="A33" s="272" t="s">
        <v>130</v>
      </c>
      <c r="B33" s="273">
        <v>1406594</v>
      </c>
      <c r="C33" s="273">
        <v>809364</v>
      </c>
      <c r="D33" s="273">
        <v>82693</v>
      </c>
      <c r="E33" s="273">
        <v>136875</v>
      </c>
      <c r="F33" s="273">
        <v>37500</v>
      </c>
    </row>
    <row r="34" spans="1:6" ht="14.1" customHeight="1">
      <c r="A34" s="16" t="s">
        <v>131</v>
      </c>
      <c r="B34" s="17">
        <v>1441921</v>
      </c>
      <c r="C34" s="17">
        <v>1046156</v>
      </c>
      <c r="D34" s="17">
        <v>77605</v>
      </c>
      <c r="E34" s="17">
        <v>82400</v>
      </c>
      <c r="F34" s="17">
        <v>102000</v>
      </c>
    </row>
    <row r="35" spans="1:6" ht="14.1" customHeight="1">
      <c r="A35" s="272" t="s">
        <v>132</v>
      </c>
      <c r="B35" s="273">
        <v>1723788</v>
      </c>
      <c r="C35" s="273">
        <v>8412656</v>
      </c>
      <c r="D35" s="273">
        <v>1002705</v>
      </c>
      <c r="E35" s="273">
        <v>678500</v>
      </c>
      <c r="F35" s="273">
        <v>816000</v>
      </c>
    </row>
    <row r="36" spans="1:6" ht="14.1" customHeight="1">
      <c r="A36" s="16" t="s">
        <v>133</v>
      </c>
      <c r="B36" s="17">
        <v>869816</v>
      </c>
      <c r="C36" s="17">
        <v>582716</v>
      </c>
      <c r="D36" s="17">
        <v>12596</v>
      </c>
      <c r="E36" s="17">
        <v>37050</v>
      </c>
      <c r="F36" s="17">
        <v>71000</v>
      </c>
    </row>
    <row r="37" spans="1:6" ht="14.1" customHeight="1">
      <c r="A37" s="272" t="s">
        <v>134</v>
      </c>
      <c r="B37" s="273">
        <v>1741748</v>
      </c>
      <c r="C37" s="273">
        <v>2255575</v>
      </c>
      <c r="D37" s="273">
        <v>136538</v>
      </c>
      <c r="E37" s="273">
        <v>167700</v>
      </c>
      <c r="F37" s="273">
        <v>374000</v>
      </c>
    </row>
    <row r="38" spans="1:6" ht="14.1" customHeight="1">
      <c r="A38" s="16" t="s">
        <v>135</v>
      </c>
      <c r="B38" s="17">
        <v>1122148</v>
      </c>
      <c r="C38" s="17">
        <v>5866368</v>
      </c>
      <c r="D38" s="17">
        <v>464063</v>
      </c>
      <c r="E38" s="17">
        <v>954350</v>
      </c>
      <c r="F38" s="17">
        <v>352900</v>
      </c>
    </row>
    <row r="39" spans="1:6" ht="14.1" customHeight="1">
      <c r="A39" s="272" t="s">
        <v>136</v>
      </c>
      <c r="B39" s="273">
        <v>1145741</v>
      </c>
      <c r="C39" s="273">
        <v>503114</v>
      </c>
      <c r="D39" s="273">
        <v>17710</v>
      </c>
      <c r="E39" s="273">
        <v>53000</v>
      </c>
      <c r="F39" s="273">
        <v>34000</v>
      </c>
    </row>
    <row r="40" spans="1:6" ht="14.1" customHeight="1">
      <c r="A40" s="16" t="s">
        <v>137</v>
      </c>
      <c r="B40" s="17">
        <v>633382</v>
      </c>
      <c r="C40" s="17">
        <v>4293804</v>
      </c>
      <c r="D40" s="17">
        <v>628320</v>
      </c>
      <c r="E40" s="17">
        <v>372300</v>
      </c>
      <c r="F40" s="17">
        <v>356200</v>
      </c>
    </row>
    <row r="41" spans="1:6" ht="14.1" customHeight="1">
      <c r="A41" s="272" t="s">
        <v>138</v>
      </c>
      <c r="B41" s="273">
        <v>2707899</v>
      </c>
      <c r="C41" s="273">
        <v>2539610</v>
      </c>
      <c r="D41" s="273">
        <v>159445</v>
      </c>
      <c r="E41" s="273">
        <v>75025</v>
      </c>
      <c r="F41" s="273">
        <v>241500</v>
      </c>
    </row>
    <row r="42" spans="1:6" ht="14.1" customHeight="1">
      <c r="A42" s="16" t="s">
        <v>139</v>
      </c>
      <c r="B42" s="17">
        <v>1027261</v>
      </c>
      <c r="C42" s="17">
        <v>854228</v>
      </c>
      <c r="D42" s="17">
        <v>220110</v>
      </c>
      <c r="E42" s="17">
        <v>3450</v>
      </c>
      <c r="F42" s="17">
        <v>140000</v>
      </c>
    </row>
    <row r="43" spans="1:6" ht="14.1" customHeight="1">
      <c r="A43" s="272" t="s">
        <v>140</v>
      </c>
      <c r="B43" s="273">
        <v>590221</v>
      </c>
      <c r="C43" s="273">
        <v>372149</v>
      </c>
      <c r="D43" s="273">
        <v>24860</v>
      </c>
      <c r="E43" s="273">
        <v>49860</v>
      </c>
      <c r="F43" s="273">
        <v>25500</v>
      </c>
    </row>
    <row r="44" spans="1:6" ht="14.1" customHeight="1">
      <c r="A44" s="16" t="s">
        <v>141</v>
      </c>
      <c r="B44" s="17">
        <v>782870</v>
      </c>
      <c r="C44" s="17">
        <v>393304</v>
      </c>
      <c r="D44" s="17">
        <v>22413</v>
      </c>
      <c r="E44" s="17">
        <v>15350</v>
      </c>
      <c r="F44" s="17">
        <v>93500</v>
      </c>
    </row>
    <row r="45" spans="1:6" ht="14.1" customHeight="1">
      <c r="A45" s="272" t="s">
        <v>142</v>
      </c>
      <c r="B45" s="273">
        <v>496641</v>
      </c>
      <c r="C45" s="273">
        <v>631530</v>
      </c>
      <c r="D45" s="273">
        <v>116105</v>
      </c>
      <c r="E45" s="273">
        <v>118775</v>
      </c>
      <c r="F45" s="273">
        <v>25500</v>
      </c>
    </row>
    <row r="46" spans="1:6" ht="14.1" customHeight="1">
      <c r="A46" s="16" t="s">
        <v>143</v>
      </c>
      <c r="B46" s="17">
        <v>1338560</v>
      </c>
      <c r="C46" s="17">
        <v>15400750</v>
      </c>
      <c r="D46" s="17">
        <v>1701371</v>
      </c>
      <c r="E46" s="17">
        <v>3093470</v>
      </c>
      <c r="F46" s="17">
        <v>2070000</v>
      </c>
    </row>
    <row r="47" spans="1:6" ht="5.0999999999999996" customHeight="1">
      <c r="A47"/>
      <c r="B47"/>
      <c r="C47"/>
      <c r="D47"/>
      <c r="E47"/>
      <c r="F47"/>
    </row>
    <row r="48" spans="1:6" ht="14.1" customHeight="1">
      <c r="A48" s="275" t="s">
        <v>144</v>
      </c>
      <c r="B48" s="276">
        <f>SUM(B11:B46)</f>
        <v>42837940</v>
      </c>
      <c r="C48" s="276">
        <f>SUM(C11:C46)</f>
        <v>84307695</v>
      </c>
      <c r="D48" s="276">
        <f>SUM(D11:D46)</f>
        <v>9030337</v>
      </c>
      <c r="E48" s="276">
        <f>SUM(E11:E46)</f>
        <v>10776265</v>
      </c>
      <c r="F48" s="276">
        <f>SUM(F11:F46)</f>
        <v>9629500</v>
      </c>
    </row>
    <row r="49" spans="1:6" ht="5.0999999999999996" customHeight="1">
      <c r="A49" s="18" t="s">
        <v>1</v>
      </c>
      <c r="B49" s="19"/>
      <c r="C49" s="19"/>
      <c r="D49" s="19"/>
      <c r="E49" s="19"/>
      <c r="F49" s="19"/>
    </row>
    <row r="50" spans="1:6" ht="14.45" customHeight="1">
      <c r="A50" s="16" t="s">
        <v>145</v>
      </c>
      <c r="B50" s="17">
        <v>1192</v>
      </c>
      <c r="C50" s="17">
        <v>98254</v>
      </c>
      <c r="D50" s="17">
        <v>0</v>
      </c>
      <c r="E50" s="17">
        <v>2400</v>
      </c>
      <c r="F50" s="17">
        <v>0</v>
      </c>
    </row>
    <row r="51" spans="1:6" ht="14.1" customHeight="1">
      <c r="A51" s="364" t="s">
        <v>540</v>
      </c>
      <c r="B51" s="273">
        <v>0</v>
      </c>
      <c r="C51" s="273">
        <v>0</v>
      </c>
      <c r="D51" s="273">
        <v>0</v>
      </c>
      <c r="E51" s="273">
        <v>0</v>
      </c>
      <c r="F51" s="273">
        <v>0</v>
      </c>
    </row>
    <row r="52" spans="1:6" ht="50.1" customHeight="1">
      <c r="A52" s="20"/>
      <c r="B52" s="20"/>
      <c r="C52" s="20"/>
      <c r="D52" s="20"/>
      <c r="E52" s="20"/>
      <c r="F52" s="20"/>
    </row>
    <row r="53" spans="1:6" ht="15" customHeight="1">
      <c r="A53" s="32" t="s">
        <v>327</v>
      </c>
      <c r="B53" s="212"/>
      <c r="C53" s="32"/>
      <c r="D53" s="32"/>
      <c r="E53" s="32"/>
      <c r="F53" s="32"/>
    </row>
    <row r="54" spans="1:6" ht="12" customHeight="1">
      <c r="A54" s="769" t="str">
        <f>"(2)  Includes support for coordinators, clinicians and Level 2 and 3 pupils. Note: total special needs support is"&amp;" $"&amp;TEXT(C48+'- 52 -'!B48,"000,000")&amp; " (Student Services, 
       page 52 and Special Needs)."</f>
        <v>(2)  Includes support for coordinators, clinicians and Level 2 and 3 pupils. Note: total special needs support is $147,185,432 (Student Services, 
       page 52 and Special Needs).</v>
      </c>
      <c r="B54" s="769"/>
      <c r="C54" s="769"/>
      <c r="D54" s="769"/>
      <c r="E54" s="769"/>
      <c r="F54" s="769"/>
    </row>
    <row r="55" spans="1:6" ht="12" customHeight="1">
      <c r="A55" s="769"/>
      <c r="B55" s="769"/>
      <c r="C55" s="769"/>
      <c r="D55" s="769"/>
      <c r="E55" s="769"/>
      <c r="F55" s="769"/>
    </row>
    <row r="56" spans="1:6" ht="14.45" customHeight="1">
      <c r="A56" s="234"/>
      <c r="B56" s="32"/>
      <c r="C56" s="235"/>
      <c r="D56" s="32"/>
      <c r="E56" s="32"/>
      <c r="F56" s="32"/>
    </row>
    <row r="57" spans="1:6" ht="14.45" customHeight="1">
      <c r="A57" s="32"/>
    </row>
    <row r="58" spans="1:6" ht="14.45" customHeight="1"/>
  </sheetData>
  <mergeCells count="9">
    <mergeCell ref="A54:F55"/>
    <mergeCell ref="B4:F4"/>
    <mergeCell ref="B5:F5"/>
    <mergeCell ref="B6:F6"/>
    <mergeCell ref="B8:B9"/>
    <mergeCell ref="C8:C9"/>
    <mergeCell ref="D7: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6">
    <pageSetUpPr fitToPage="1"/>
  </sheetPr>
  <dimension ref="A1:F59"/>
  <sheetViews>
    <sheetView showGridLines="0" showZeros="0" workbookViewId="0"/>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ols>
  <sheetData>
    <row r="1" spans="1:6" ht="6.95" customHeight="1">
      <c r="A1" s="3"/>
      <c r="B1" s="3"/>
      <c r="C1" s="3"/>
      <c r="D1" s="3"/>
      <c r="E1" s="3"/>
      <c r="F1" s="3"/>
    </row>
    <row r="2" spans="1:6" ht="15.95" customHeight="1">
      <c r="A2" s="230"/>
      <c r="B2" s="54" t="str">
        <f>REVYEAR</f>
        <v>ANALYSIS OF OPERATING FUND REVENUE: 2015/2016 BUDGET</v>
      </c>
      <c r="C2" s="231"/>
      <c r="D2" s="231"/>
      <c r="E2" s="231"/>
      <c r="F2" s="186" t="s">
        <v>96</v>
      </c>
    </row>
    <row r="3" spans="1:6" ht="15.95" customHeight="1">
      <c r="A3" s="181"/>
      <c r="B3" s="3"/>
      <c r="C3" s="3"/>
      <c r="D3" s="3"/>
      <c r="E3" s="3"/>
      <c r="F3" s="3"/>
    </row>
    <row r="4" spans="1:6" ht="15.95" customHeight="1">
      <c r="B4" s="756" t="s">
        <v>34</v>
      </c>
      <c r="C4" s="757"/>
      <c r="D4" s="757"/>
      <c r="E4" s="757"/>
      <c r="F4" s="758"/>
    </row>
    <row r="5" spans="1:6" ht="15.95" customHeight="1">
      <c r="B5" s="759" t="s">
        <v>106</v>
      </c>
      <c r="C5" s="760"/>
      <c r="D5" s="760"/>
      <c r="E5" s="760"/>
      <c r="F5" s="761"/>
    </row>
    <row r="6" spans="1:6" ht="15.95" customHeight="1">
      <c r="B6" s="770" t="s">
        <v>47</v>
      </c>
      <c r="C6" s="767"/>
      <c r="D6" s="767"/>
      <c r="E6" s="767"/>
      <c r="F6" s="768"/>
    </row>
    <row r="7" spans="1:6" ht="15.95" customHeight="1">
      <c r="B7" s="723" t="s">
        <v>507</v>
      </c>
      <c r="C7" s="773" t="s">
        <v>550</v>
      </c>
      <c r="D7" s="689" t="s">
        <v>551</v>
      </c>
      <c r="E7" s="25"/>
      <c r="F7" s="689" t="s">
        <v>509</v>
      </c>
    </row>
    <row r="8" spans="1:6" ht="15.95" customHeight="1">
      <c r="A8" s="250"/>
      <c r="B8" s="771"/>
      <c r="C8" s="774"/>
      <c r="D8" s="764"/>
      <c r="E8" s="764" t="s">
        <v>508</v>
      </c>
      <c r="F8" s="764"/>
    </row>
    <row r="9" spans="1:6" ht="15.95" customHeight="1">
      <c r="A9" s="251" t="s">
        <v>37</v>
      </c>
      <c r="B9" s="772"/>
      <c r="C9" s="775"/>
      <c r="D9" s="765"/>
      <c r="E9" s="765"/>
      <c r="F9" s="765"/>
    </row>
    <row r="10" spans="1:6" ht="5.0999999999999996" customHeight="1">
      <c r="A10" s="30"/>
      <c r="B10" s="3"/>
      <c r="C10" s="3"/>
      <c r="D10" s="3"/>
      <c r="E10" s="3"/>
      <c r="F10" s="3"/>
    </row>
    <row r="11" spans="1:6" ht="14.1" customHeight="1">
      <c r="A11" s="272" t="s">
        <v>109</v>
      </c>
      <c r="B11" s="273">
        <v>2500</v>
      </c>
      <c r="C11" s="273">
        <v>20400</v>
      </c>
      <c r="D11" s="273">
        <v>120840</v>
      </c>
      <c r="E11" s="273">
        <v>205260</v>
      </c>
      <c r="F11" s="273">
        <f>SUM('- 53 -'!$B11:F11,B11:E11)</f>
        <v>1897544</v>
      </c>
    </row>
    <row r="12" spans="1:6" ht="14.1" customHeight="1">
      <c r="A12" s="16" t="s">
        <v>110</v>
      </c>
      <c r="B12" s="17">
        <v>29900</v>
      </c>
      <c r="C12" s="17">
        <v>29357</v>
      </c>
      <c r="D12" s="17">
        <v>152433</v>
      </c>
      <c r="E12" s="17">
        <v>302055</v>
      </c>
      <c r="F12" s="17">
        <f>SUM('- 53 -'!$B12:F12,B12:E12)</f>
        <v>3138641</v>
      </c>
    </row>
    <row r="13" spans="1:6" ht="14.1" customHeight="1">
      <c r="A13" s="272" t="s">
        <v>111</v>
      </c>
      <c r="B13" s="273">
        <v>188700</v>
      </c>
      <c r="C13" s="273">
        <v>153600</v>
      </c>
      <c r="D13" s="273">
        <v>665600</v>
      </c>
      <c r="E13" s="273">
        <v>164600</v>
      </c>
      <c r="F13" s="273">
        <f>SUM('- 53 -'!$B13:F13,B13:E13)</f>
        <v>6451500</v>
      </c>
    </row>
    <row r="14" spans="1:6" ht="14.1" customHeight="1">
      <c r="A14" s="16" t="s">
        <v>324</v>
      </c>
      <c r="B14" s="17">
        <v>1436885</v>
      </c>
      <c r="C14" s="17">
        <v>82599</v>
      </c>
      <c r="D14" s="17">
        <v>380190</v>
      </c>
      <c r="E14" s="17">
        <v>362109</v>
      </c>
      <c r="F14" s="17">
        <f>SUM('- 53 -'!$B14:F14,B14:E14)</f>
        <v>7768043</v>
      </c>
    </row>
    <row r="15" spans="1:6" ht="14.1" customHeight="1">
      <c r="A15" s="272" t="s">
        <v>112</v>
      </c>
      <c r="B15" s="273">
        <v>5800</v>
      </c>
      <c r="C15" s="273">
        <v>16058</v>
      </c>
      <c r="D15" s="273">
        <v>109007</v>
      </c>
      <c r="E15" s="273">
        <v>191978</v>
      </c>
      <c r="F15" s="273">
        <f>SUM('- 53 -'!$B15:F15,B15:E15)</f>
        <v>2296462</v>
      </c>
    </row>
    <row r="16" spans="1:6" ht="14.1" customHeight="1">
      <c r="A16" s="16" t="s">
        <v>113</v>
      </c>
      <c r="B16" s="17">
        <v>24500</v>
      </c>
      <c r="C16" s="17">
        <v>12580</v>
      </c>
      <c r="D16" s="17">
        <v>68126</v>
      </c>
      <c r="E16" s="17">
        <v>716835</v>
      </c>
      <c r="F16" s="17">
        <f>SUM('- 53 -'!$B16:F16,B16:E16)</f>
        <v>1475636</v>
      </c>
    </row>
    <row r="17" spans="1:6" ht="14.1" customHeight="1">
      <c r="A17" s="272" t="s">
        <v>114</v>
      </c>
      <c r="B17" s="273">
        <v>2000</v>
      </c>
      <c r="C17" s="273">
        <v>17850</v>
      </c>
      <c r="D17" s="273">
        <v>96277</v>
      </c>
      <c r="E17" s="273">
        <v>88876</v>
      </c>
      <c r="F17" s="273">
        <f>SUM('- 53 -'!$B17:F17,B17:E17)</f>
        <v>1833284</v>
      </c>
    </row>
    <row r="18" spans="1:6" ht="14.1" customHeight="1">
      <c r="A18" s="16" t="s">
        <v>115</v>
      </c>
      <c r="B18" s="17">
        <v>750</v>
      </c>
      <c r="C18" s="17">
        <v>45509</v>
      </c>
      <c r="D18" s="17">
        <v>184295</v>
      </c>
      <c r="E18" s="17">
        <v>2481443</v>
      </c>
      <c r="F18" s="17">
        <f>SUM('- 53 -'!$B18:F18,B18:E18)</f>
        <v>6599802</v>
      </c>
    </row>
    <row r="19" spans="1:6" ht="14.1" customHeight="1">
      <c r="A19" s="272" t="s">
        <v>116</v>
      </c>
      <c r="B19" s="273">
        <v>4600</v>
      </c>
      <c r="C19" s="273">
        <v>60113</v>
      </c>
      <c r="D19" s="273">
        <v>317247</v>
      </c>
      <c r="E19" s="273">
        <v>109707</v>
      </c>
      <c r="F19" s="273">
        <f>SUM('- 53 -'!$B19:F19,B19:E19)</f>
        <v>4669604</v>
      </c>
    </row>
    <row r="20" spans="1:6" ht="14.1" customHeight="1">
      <c r="A20" s="16" t="s">
        <v>117</v>
      </c>
      <c r="B20" s="17">
        <v>26700</v>
      </c>
      <c r="C20" s="17">
        <v>118932</v>
      </c>
      <c r="D20" s="17">
        <v>559976</v>
      </c>
      <c r="E20" s="17">
        <v>322607</v>
      </c>
      <c r="F20" s="17">
        <f>SUM('- 53 -'!$B20:F20,B20:E20)</f>
        <v>8087073</v>
      </c>
    </row>
    <row r="21" spans="1:6" ht="14.1" customHeight="1">
      <c r="A21" s="272" t="s">
        <v>118</v>
      </c>
      <c r="B21" s="273">
        <v>58300</v>
      </c>
      <c r="C21" s="273">
        <v>40641</v>
      </c>
      <c r="D21" s="273">
        <v>203224</v>
      </c>
      <c r="E21" s="273">
        <v>228134</v>
      </c>
      <c r="F21" s="273">
        <f>SUM('- 53 -'!$B21:F21,B21:E21)</f>
        <v>3243689</v>
      </c>
    </row>
    <row r="22" spans="1:6" ht="14.1" customHeight="1">
      <c r="A22" s="16" t="s">
        <v>119</v>
      </c>
      <c r="B22" s="17">
        <v>43600</v>
      </c>
      <c r="C22" s="17">
        <v>27316</v>
      </c>
      <c r="D22" s="17">
        <v>116424</v>
      </c>
      <c r="E22" s="17">
        <v>1139805</v>
      </c>
      <c r="F22" s="17">
        <f>SUM('- 53 -'!$B22:F22,B22:E22)</f>
        <v>2754640</v>
      </c>
    </row>
    <row r="23" spans="1:6" ht="14.1" customHeight="1">
      <c r="A23" s="272" t="s">
        <v>120</v>
      </c>
      <c r="B23" s="273">
        <v>5950</v>
      </c>
      <c r="C23" s="273">
        <v>12075</v>
      </c>
      <c r="D23" s="273">
        <v>76920</v>
      </c>
      <c r="E23" s="273">
        <v>248062</v>
      </c>
      <c r="F23" s="273">
        <f>SUM('- 53 -'!$B23:F23,B23:E23)</f>
        <v>2213922</v>
      </c>
    </row>
    <row r="24" spans="1:6" ht="14.1" customHeight="1">
      <c r="A24" s="16" t="s">
        <v>121</v>
      </c>
      <c r="B24" s="17">
        <v>117800</v>
      </c>
      <c r="C24" s="17">
        <v>53328</v>
      </c>
      <c r="D24" s="17">
        <v>366811</v>
      </c>
      <c r="E24" s="17">
        <v>289912</v>
      </c>
      <c r="F24" s="17">
        <f>SUM('- 53 -'!$B24:F24,B24:E24)</f>
        <v>5587201</v>
      </c>
    </row>
    <row r="25" spans="1:6" ht="14.1" customHeight="1">
      <c r="A25" s="272" t="s">
        <v>122</v>
      </c>
      <c r="B25" s="273">
        <v>1211700</v>
      </c>
      <c r="C25" s="273">
        <v>202851</v>
      </c>
      <c r="D25" s="273">
        <v>1037096</v>
      </c>
      <c r="E25" s="273">
        <v>179623</v>
      </c>
      <c r="F25" s="273">
        <f>SUM('- 53 -'!$B25:F25,B25:E25)</f>
        <v>14060840</v>
      </c>
    </row>
    <row r="26" spans="1:6" ht="14.1" customHeight="1">
      <c r="A26" s="16" t="s">
        <v>123</v>
      </c>
      <c r="B26" s="17">
        <v>72500</v>
      </c>
      <c r="C26" s="17">
        <v>42557</v>
      </c>
      <c r="D26" s="17">
        <v>282194</v>
      </c>
      <c r="E26" s="17">
        <v>254495</v>
      </c>
      <c r="F26" s="17">
        <f>SUM('- 53 -'!$B26:F26,B26:E26)</f>
        <v>4130652</v>
      </c>
    </row>
    <row r="27" spans="1:6" ht="14.1" customHeight="1">
      <c r="A27" s="272" t="s">
        <v>124</v>
      </c>
      <c r="B27" s="273">
        <v>69600</v>
      </c>
      <c r="C27" s="273">
        <v>57578</v>
      </c>
      <c r="D27" s="273">
        <v>218350</v>
      </c>
      <c r="E27" s="273">
        <v>1978212</v>
      </c>
      <c r="F27" s="273">
        <f>SUM('- 53 -'!$B27:F27,B27:E27)</f>
        <v>4729907</v>
      </c>
    </row>
    <row r="28" spans="1:6" ht="14.1" customHeight="1">
      <c r="A28" s="16" t="s">
        <v>125</v>
      </c>
      <c r="B28" s="17">
        <v>6700</v>
      </c>
      <c r="C28" s="17">
        <v>15876</v>
      </c>
      <c r="D28" s="17">
        <v>114684</v>
      </c>
      <c r="E28" s="17">
        <v>185258</v>
      </c>
      <c r="F28" s="17">
        <f>SUM('- 53 -'!$B28:F28,B28:E28)</f>
        <v>2405637</v>
      </c>
    </row>
    <row r="29" spans="1:6" ht="14.1" customHeight="1">
      <c r="A29" s="272" t="s">
        <v>126</v>
      </c>
      <c r="B29" s="273">
        <v>674200</v>
      </c>
      <c r="C29" s="273">
        <v>159804</v>
      </c>
      <c r="D29" s="273">
        <v>933903</v>
      </c>
      <c r="E29" s="273">
        <v>374937</v>
      </c>
      <c r="F29" s="273">
        <f>SUM('- 53 -'!$B29:F29,B29:E29)</f>
        <v>11199396</v>
      </c>
    </row>
    <row r="30" spans="1:6" ht="14.1" customHeight="1">
      <c r="A30" s="16" t="s">
        <v>127</v>
      </c>
      <c r="B30" s="17">
        <v>2500</v>
      </c>
      <c r="C30" s="17">
        <v>12691</v>
      </c>
      <c r="D30" s="17">
        <v>79230</v>
      </c>
      <c r="E30" s="17">
        <v>164412</v>
      </c>
      <c r="F30" s="17">
        <f>SUM('- 53 -'!$B30:F30,B30:E30)</f>
        <v>1582245</v>
      </c>
    </row>
    <row r="31" spans="1:6" ht="14.1" customHeight="1">
      <c r="A31" s="272" t="s">
        <v>128</v>
      </c>
      <c r="B31" s="273">
        <v>75200</v>
      </c>
      <c r="C31" s="273">
        <v>53529</v>
      </c>
      <c r="D31" s="273">
        <v>235889</v>
      </c>
      <c r="E31" s="273">
        <v>154015</v>
      </c>
      <c r="F31" s="273">
        <f>SUM('- 53 -'!$B31:F31,B31:E31)</f>
        <v>3578550</v>
      </c>
    </row>
    <row r="32" spans="1:6" ht="14.1" customHeight="1">
      <c r="A32" s="16" t="s">
        <v>129</v>
      </c>
      <c r="B32" s="17">
        <v>45200</v>
      </c>
      <c r="C32" s="17">
        <v>33660</v>
      </c>
      <c r="D32" s="17">
        <v>158460</v>
      </c>
      <c r="E32" s="17">
        <v>369712</v>
      </c>
      <c r="F32" s="17">
        <f>SUM('- 53 -'!$B32:F32,B32:E32)</f>
        <v>3007028</v>
      </c>
    </row>
    <row r="33" spans="1:6" ht="14.1" customHeight="1">
      <c r="A33" s="272" t="s">
        <v>130</v>
      </c>
      <c r="B33" s="273">
        <v>25900</v>
      </c>
      <c r="C33" s="273">
        <v>29844</v>
      </c>
      <c r="D33" s="273">
        <v>150571</v>
      </c>
      <c r="E33" s="273">
        <v>357371</v>
      </c>
      <c r="F33" s="273">
        <f>SUM('- 53 -'!$B33:F33,B33:E33)</f>
        <v>3036712</v>
      </c>
    </row>
    <row r="34" spans="1:6" ht="14.1" customHeight="1">
      <c r="A34" s="16" t="s">
        <v>131</v>
      </c>
      <c r="B34" s="17">
        <v>90600</v>
      </c>
      <c r="C34" s="17">
        <v>28407</v>
      </c>
      <c r="D34" s="17">
        <v>151574</v>
      </c>
      <c r="E34" s="17">
        <v>141880</v>
      </c>
      <c r="F34" s="17">
        <f>SUM('- 53 -'!$B34:F34,B34:E34)</f>
        <v>3162543</v>
      </c>
    </row>
    <row r="35" spans="1:6" ht="14.1" customHeight="1">
      <c r="A35" s="272" t="s">
        <v>132</v>
      </c>
      <c r="B35" s="273">
        <v>723500</v>
      </c>
      <c r="C35" s="273">
        <v>210287</v>
      </c>
      <c r="D35" s="273">
        <v>1293570</v>
      </c>
      <c r="E35" s="273">
        <v>233219</v>
      </c>
      <c r="F35" s="273">
        <f>SUM('- 53 -'!$B35:F35,B35:E35)</f>
        <v>15094225</v>
      </c>
    </row>
    <row r="36" spans="1:6" ht="14.1" customHeight="1">
      <c r="A36" s="16" t="s">
        <v>133</v>
      </c>
      <c r="B36" s="17">
        <v>4000</v>
      </c>
      <c r="C36" s="17">
        <v>26784</v>
      </c>
      <c r="D36" s="17">
        <v>115763</v>
      </c>
      <c r="E36" s="17">
        <v>175424</v>
      </c>
      <c r="F36" s="17">
        <f>SUM('- 53 -'!$B36:F36,B36:E36)</f>
        <v>1895149</v>
      </c>
    </row>
    <row r="37" spans="1:6" ht="14.1" customHeight="1">
      <c r="A37" s="272" t="s">
        <v>134</v>
      </c>
      <c r="B37" s="273">
        <v>311800</v>
      </c>
      <c r="C37" s="273">
        <v>59879</v>
      </c>
      <c r="D37" s="273">
        <v>300086</v>
      </c>
      <c r="E37" s="273">
        <v>56603</v>
      </c>
      <c r="F37" s="273">
        <f>SUM('- 53 -'!$B37:F37,B37:E37)</f>
        <v>5403929</v>
      </c>
    </row>
    <row r="38" spans="1:6" ht="14.1" customHeight="1">
      <c r="A38" s="16" t="s">
        <v>135</v>
      </c>
      <c r="B38" s="17">
        <v>396000</v>
      </c>
      <c r="C38" s="17">
        <v>141927</v>
      </c>
      <c r="D38" s="17">
        <v>793759</v>
      </c>
      <c r="E38" s="17">
        <v>244428</v>
      </c>
      <c r="F38" s="17">
        <f>SUM('- 53 -'!$B38:F38,B38:E38)</f>
        <v>10335943</v>
      </c>
    </row>
    <row r="39" spans="1:6" ht="14.1" customHeight="1">
      <c r="A39" s="272" t="s">
        <v>136</v>
      </c>
      <c r="B39" s="273">
        <v>1200</v>
      </c>
      <c r="C39" s="273">
        <v>23800</v>
      </c>
      <c r="D39" s="273">
        <v>117131</v>
      </c>
      <c r="E39" s="273">
        <v>201020</v>
      </c>
      <c r="F39" s="273">
        <f>SUM('- 53 -'!$B39:F39,B39:E39)</f>
        <v>2096716</v>
      </c>
    </row>
    <row r="40" spans="1:6" ht="14.1" customHeight="1">
      <c r="A40" s="16" t="s">
        <v>137</v>
      </c>
      <c r="B40" s="17">
        <v>352500</v>
      </c>
      <c r="C40" s="17">
        <v>103200</v>
      </c>
      <c r="D40" s="17">
        <v>709367</v>
      </c>
      <c r="E40" s="17">
        <v>206222</v>
      </c>
      <c r="F40" s="17">
        <f>SUM('- 53 -'!$B40:F40,B40:E40)</f>
        <v>7655295</v>
      </c>
    </row>
    <row r="41" spans="1:6" ht="14.1" customHeight="1">
      <c r="A41" s="272" t="s">
        <v>138</v>
      </c>
      <c r="B41" s="273">
        <v>161600</v>
      </c>
      <c r="C41" s="273">
        <v>56826</v>
      </c>
      <c r="D41" s="273">
        <v>326982</v>
      </c>
      <c r="E41" s="273">
        <v>231676</v>
      </c>
      <c r="F41" s="273">
        <f>SUM('- 53 -'!$B41:F41,B41:E41)</f>
        <v>6500563</v>
      </c>
    </row>
    <row r="42" spans="1:6" ht="14.1" customHeight="1">
      <c r="A42" s="16" t="s">
        <v>139</v>
      </c>
      <c r="B42" s="17">
        <v>27500</v>
      </c>
      <c r="C42" s="17">
        <v>19869</v>
      </c>
      <c r="D42" s="17">
        <v>104242</v>
      </c>
      <c r="E42" s="17">
        <v>145619</v>
      </c>
      <c r="F42" s="17">
        <f>SUM('- 53 -'!$B42:F42,B42:E42)</f>
        <v>2542279</v>
      </c>
    </row>
    <row r="43" spans="1:6" ht="14.1" customHeight="1">
      <c r="A43" s="272" t="s">
        <v>140</v>
      </c>
      <c r="B43" s="273">
        <v>450</v>
      </c>
      <c r="C43" s="273">
        <v>11730</v>
      </c>
      <c r="D43" s="273">
        <v>73051</v>
      </c>
      <c r="E43" s="273">
        <v>127250</v>
      </c>
      <c r="F43" s="273">
        <f>SUM('- 53 -'!$B43:F43,B43:E43)</f>
        <v>1275071</v>
      </c>
    </row>
    <row r="44" spans="1:6" ht="14.1" customHeight="1">
      <c r="A44" s="16" t="s">
        <v>141</v>
      </c>
      <c r="B44" s="17">
        <v>10000</v>
      </c>
      <c r="C44" s="17">
        <v>12021</v>
      </c>
      <c r="D44" s="17">
        <v>53025</v>
      </c>
      <c r="E44" s="17">
        <v>114084</v>
      </c>
      <c r="F44" s="17">
        <f>SUM('- 53 -'!$B44:F44,B44:E44)</f>
        <v>1496567</v>
      </c>
    </row>
    <row r="45" spans="1:6" ht="14.1" customHeight="1">
      <c r="A45" s="272" t="s">
        <v>142</v>
      </c>
      <c r="B45" s="273">
        <v>55850</v>
      </c>
      <c r="C45" s="273">
        <v>22920</v>
      </c>
      <c r="D45" s="273">
        <v>121144</v>
      </c>
      <c r="E45" s="273">
        <v>45506</v>
      </c>
      <c r="F45" s="273">
        <f>SUM('- 53 -'!$B45:F45,B45:E45)</f>
        <v>1633971</v>
      </c>
    </row>
    <row r="46" spans="1:6" ht="14.1" customHeight="1">
      <c r="A46" s="16" t="s">
        <v>143</v>
      </c>
      <c r="B46" s="17">
        <v>906300</v>
      </c>
      <c r="C46" s="17">
        <v>517572</v>
      </c>
      <c r="D46" s="17">
        <v>2361338</v>
      </c>
      <c r="E46" s="17">
        <v>191881</v>
      </c>
      <c r="F46" s="17">
        <f>SUM('- 53 -'!$B46:F46,B46:E46)</f>
        <v>27581242</v>
      </c>
    </row>
    <row r="47" spans="1:6" ht="5.0999999999999996" customHeight="1">
      <c r="A47"/>
      <c r="B47"/>
      <c r="C47"/>
      <c r="D47"/>
      <c r="E47"/>
      <c r="F47"/>
    </row>
    <row r="48" spans="1:6" ht="14.1" customHeight="1">
      <c r="A48" s="275" t="s">
        <v>144</v>
      </c>
      <c r="B48" s="276">
        <f>SUM(B11:B46)</f>
        <v>7172785</v>
      </c>
      <c r="C48" s="276">
        <f>SUM(C11:C46)</f>
        <v>2533970</v>
      </c>
      <c r="D48" s="276">
        <f>SUM(D11:D46)</f>
        <v>13148779</v>
      </c>
      <c r="E48" s="276">
        <f>SUM(E11:E46)</f>
        <v>12984230</v>
      </c>
      <c r="F48" s="276">
        <f>SUM(F11:F46)</f>
        <v>192421501</v>
      </c>
    </row>
    <row r="49" spans="1:6" ht="5.0999999999999996" customHeight="1">
      <c r="A49" s="18" t="s">
        <v>1</v>
      </c>
      <c r="B49" s="19"/>
      <c r="C49" s="19"/>
      <c r="D49" s="19"/>
      <c r="E49" s="19"/>
      <c r="F49" s="19"/>
    </row>
    <row r="50" spans="1:6" ht="14.45" customHeight="1">
      <c r="A50" s="16" t="s">
        <v>145</v>
      </c>
      <c r="B50" s="17">
        <v>700</v>
      </c>
      <c r="C50" s="17">
        <v>5550</v>
      </c>
      <c r="D50" s="17">
        <v>12494</v>
      </c>
      <c r="E50" s="17">
        <v>49029</v>
      </c>
      <c r="F50" s="17">
        <f>SUM('- 53 -'!$B50:F50,B50:E50)</f>
        <v>169619</v>
      </c>
    </row>
    <row r="51" spans="1:6" ht="14.1" customHeight="1">
      <c r="A51" s="364" t="s">
        <v>540</v>
      </c>
      <c r="B51" s="273">
        <v>0</v>
      </c>
      <c r="C51" s="273">
        <v>0</v>
      </c>
      <c r="D51" s="273">
        <v>0</v>
      </c>
      <c r="E51" s="273">
        <v>0</v>
      </c>
      <c r="F51" s="273">
        <f>SUM('- 53 -'!$B51:F51,B51:E51)</f>
        <v>0</v>
      </c>
    </row>
    <row r="52" spans="1:6" ht="50.1" customHeight="1">
      <c r="A52" s="20"/>
      <c r="B52" s="20"/>
      <c r="C52" s="20"/>
      <c r="D52" s="20"/>
      <c r="E52" s="20"/>
      <c r="F52" s="20"/>
    </row>
    <row r="53" spans="1:6" ht="15" customHeight="1">
      <c r="A53" s="32" t="s">
        <v>362</v>
      </c>
      <c r="E53" s="32"/>
      <c r="F53" s="32"/>
    </row>
    <row r="54" spans="1:6" ht="14.45" customHeight="1">
      <c r="A54" s="32"/>
      <c r="E54" s="32"/>
      <c r="F54" s="32"/>
    </row>
    <row r="55" spans="1:6" ht="14.45" customHeight="1">
      <c r="B55" s="32"/>
      <c r="C55" s="32"/>
      <c r="D55" s="32"/>
      <c r="E55" s="32"/>
      <c r="F55" s="32"/>
    </row>
    <row r="56" spans="1:6" ht="14.45" customHeight="1">
      <c r="E56" s="91"/>
      <c r="F56" s="91"/>
    </row>
    <row r="57" spans="1:6" ht="14.45" customHeight="1">
      <c r="B57" s="91"/>
      <c r="C57" s="91"/>
      <c r="D57" s="91"/>
      <c r="E57" s="91"/>
      <c r="F57" s="91"/>
    </row>
    <row r="58" spans="1:6" ht="14.45" customHeight="1"/>
    <row r="59" spans="1:6" ht="14.45" customHeight="1"/>
  </sheetData>
  <mergeCells count="8">
    <mergeCell ref="B4:F4"/>
    <mergeCell ref="B5:F5"/>
    <mergeCell ref="B6:F6"/>
    <mergeCell ref="B7:B9"/>
    <mergeCell ref="C7:C9"/>
    <mergeCell ref="D7:D9"/>
    <mergeCell ref="E8: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2.5" style="1" customWidth="1"/>
    <col min="2" max="2" width="20.1640625" style="1" customWidth="1"/>
    <col min="3" max="3" width="19.5" style="1" customWidth="1"/>
    <col min="4" max="4" width="20" style="1" customWidth="1"/>
    <col min="5" max="5" width="19.33203125" style="1" customWidth="1"/>
    <col min="6" max="6" width="21.6640625" style="1" customWidth="1"/>
    <col min="7" max="16384" width="23.83203125" style="1"/>
  </cols>
  <sheetData>
    <row r="1" spans="1:6" ht="6.95" customHeight="1">
      <c r="A1" s="3"/>
      <c r="B1" s="3"/>
      <c r="C1" s="3"/>
      <c r="D1" s="3"/>
      <c r="E1" s="3"/>
      <c r="F1" s="3"/>
    </row>
    <row r="2" spans="1:6" ht="15.95" customHeight="1">
      <c r="A2" s="230"/>
      <c r="B2" s="54" t="str">
        <f>REVYEAR</f>
        <v>ANALYSIS OF OPERATING FUND REVENUE: 2015/2016 BUDGET</v>
      </c>
      <c r="C2" s="54"/>
      <c r="D2" s="231"/>
      <c r="E2" s="231"/>
      <c r="F2" s="186" t="s">
        <v>97</v>
      </c>
    </row>
    <row r="3" spans="1:6" ht="15.95" customHeight="1">
      <c r="A3" s="181"/>
      <c r="B3" s="232"/>
      <c r="C3" s="232"/>
      <c r="D3" s="232"/>
      <c r="E3" s="232"/>
      <c r="F3" s="232"/>
    </row>
    <row r="4" spans="1:6" ht="15.95" customHeight="1"/>
    <row r="5" spans="1:6" ht="15.95" customHeight="1">
      <c r="B5" s="756" t="s">
        <v>34</v>
      </c>
      <c r="C5" s="757"/>
      <c r="D5" s="757"/>
      <c r="E5" s="757"/>
      <c r="F5" s="758"/>
    </row>
    <row r="6" spans="1:6" ht="15.95" customHeight="1">
      <c r="B6" s="759" t="s">
        <v>106</v>
      </c>
      <c r="C6" s="760"/>
      <c r="D6" s="760"/>
      <c r="E6" s="760"/>
      <c r="F6" s="761"/>
    </row>
    <row r="7" spans="1:6" ht="15.95" customHeight="1">
      <c r="B7" s="187"/>
      <c r="C7" s="689" t="s">
        <v>511</v>
      </c>
      <c r="D7" s="187"/>
      <c r="E7" s="689" t="s">
        <v>513</v>
      </c>
      <c r="F7" s="689" t="s">
        <v>514</v>
      </c>
    </row>
    <row r="8" spans="1:6" ht="15.95" customHeight="1">
      <c r="A8" s="25"/>
      <c r="B8" s="764" t="s">
        <v>510</v>
      </c>
      <c r="C8" s="764"/>
      <c r="D8" s="764" t="s">
        <v>512</v>
      </c>
      <c r="E8" s="764"/>
      <c r="F8" s="779"/>
    </row>
    <row r="9" spans="1:6" ht="15.95" customHeight="1">
      <c r="A9" s="94" t="s">
        <v>37</v>
      </c>
      <c r="B9" s="765"/>
      <c r="C9" s="765"/>
      <c r="D9" s="765"/>
      <c r="E9" s="765"/>
      <c r="F9" s="688"/>
    </row>
    <row r="10" spans="1:6" ht="5.0999999999999996" customHeight="1">
      <c r="A10" s="30"/>
      <c r="B10" s="3"/>
      <c r="C10" s="3"/>
      <c r="D10" s="3"/>
      <c r="E10" s="3"/>
      <c r="F10" s="3"/>
    </row>
    <row r="11" spans="1:6" ht="14.1" customHeight="1">
      <c r="A11" s="272" t="s">
        <v>109</v>
      </c>
      <c r="B11" s="273">
        <v>2273106</v>
      </c>
      <c r="C11" s="273">
        <v>0</v>
      </c>
      <c r="D11" s="273">
        <v>0</v>
      </c>
      <c r="E11" s="273">
        <v>93980</v>
      </c>
      <c r="F11" s="273">
        <f>SUM('- 52 -'!$G11,'- 54 -'!$F11,B11:E11)</f>
        <v>9571721</v>
      </c>
    </row>
    <row r="12" spans="1:6" ht="14.1" customHeight="1">
      <c r="A12" s="16" t="s">
        <v>110</v>
      </c>
      <c r="B12" s="17">
        <v>5388834</v>
      </c>
      <c r="C12" s="17">
        <v>1575</v>
      </c>
      <c r="D12" s="17">
        <v>0</v>
      </c>
      <c r="E12" s="17">
        <v>144080</v>
      </c>
      <c r="F12" s="17">
        <f>SUM('- 52 -'!$G12,'- 54 -'!$F12,B12:E12)</f>
        <v>15560044</v>
      </c>
    </row>
    <row r="13" spans="1:6" ht="14.1" customHeight="1">
      <c r="A13" s="272" t="s">
        <v>111</v>
      </c>
      <c r="B13" s="273">
        <v>14844700</v>
      </c>
      <c r="C13" s="273">
        <v>0</v>
      </c>
      <c r="D13" s="273">
        <v>0</v>
      </c>
      <c r="E13" s="273">
        <v>296400</v>
      </c>
      <c r="F13" s="273">
        <f>SUM('- 52 -'!$G13,'- 54 -'!$F13,B13:E13)</f>
        <v>45805400</v>
      </c>
    </row>
    <row r="14" spans="1:6" ht="14.1" customHeight="1">
      <c r="A14" s="16" t="s">
        <v>324</v>
      </c>
      <c r="B14" s="17">
        <v>10020749</v>
      </c>
      <c r="C14" s="17">
        <v>0</v>
      </c>
      <c r="D14" s="17">
        <v>0</v>
      </c>
      <c r="E14" s="17">
        <v>234420</v>
      </c>
      <c r="F14" s="17">
        <f>SUM('- 52 -'!$G14,'- 54 -'!$F14,B14:E14)</f>
        <v>34416141</v>
      </c>
    </row>
    <row r="15" spans="1:6" ht="14.1" customHeight="1">
      <c r="A15" s="272" t="s">
        <v>112</v>
      </c>
      <c r="B15" s="273">
        <v>0</v>
      </c>
      <c r="C15" s="273">
        <v>0</v>
      </c>
      <c r="D15" s="273">
        <v>1032341</v>
      </c>
      <c r="E15" s="273">
        <v>84140</v>
      </c>
      <c r="F15" s="273">
        <f>SUM('- 52 -'!$G15,'- 54 -'!$F15,B15:E15)</f>
        <v>8262919</v>
      </c>
    </row>
    <row r="16" spans="1:6" ht="14.1" customHeight="1">
      <c r="A16" s="16" t="s">
        <v>113</v>
      </c>
      <c r="B16" s="17">
        <v>3700953</v>
      </c>
      <c r="C16" s="17">
        <v>208582</v>
      </c>
      <c r="D16" s="17">
        <v>0</v>
      </c>
      <c r="E16" s="17">
        <v>61040</v>
      </c>
      <c r="F16" s="17">
        <f>SUM('- 52 -'!$G16,'- 54 -'!$F16,B16:E16)</f>
        <v>8471219</v>
      </c>
    </row>
    <row r="17" spans="1:6" ht="14.1" customHeight="1">
      <c r="A17" s="272" t="s">
        <v>114</v>
      </c>
      <c r="B17" s="273">
        <v>0</v>
      </c>
      <c r="C17" s="273">
        <v>0</v>
      </c>
      <c r="D17" s="273">
        <v>1047612</v>
      </c>
      <c r="E17" s="273">
        <v>103040</v>
      </c>
      <c r="F17" s="273">
        <f>SUM('- 52 -'!$G17,'- 54 -'!$F17,B17:E17)</f>
        <v>7435566</v>
      </c>
    </row>
    <row r="18" spans="1:6" ht="14.1" customHeight="1">
      <c r="A18" s="16" t="s">
        <v>115</v>
      </c>
      <c r="B18" s="17">
        <v>14298548</v>
      </c>
      <c r="C18" s="17">
        <v>4758592</v>
      </c>
      <c r="D18" s="17">
        <v>0</v>
      </c>
      <c r="E18" s="17">
        <v>378860</v>
      </c>
      <c r="F18" s="17">
        <f>SUM('- 52 -'!$G18,'- 54 -'!$F18,B18:E18)</f>
        <v>37907807</v>
      </c>
    </row>
    <row r="19" spans="1:6" ht="14.1" customHeight="1">
      <c r="A19" s="272" t="s">
        <v>116</v>
      </c>
      <c r="B19" s="273">
        <v>9750354</v>
      </c>
      <c r="C19" s="273">
        <v>0</v>
      </c>
      <c r="D19" s="273">
        <v>0</v>
      </c>
      <c r="E19" s="273">
        <v>124420</v>
      </c>
      <c r="F19" s="273">
        <f>SUM('- 52 -'!$G19,'- 54 -'!$F19,B19:E19)</f>
        <v>27369290</v>
      </c>
    </row>
    <row r="20" spans="1:6" ht="14.1" customHeight="1">
      <c r="A20" s="16" t="s">
        <v>117</v>
      </c>
      <c r="B20" s="17">
        <v>16934559</v>
      </c>
      <c r="C20" s="17">
        <v>0</v>
      </c>
      <c r="D20" s="17">
        <v>0</v>
      </c>
      <c r="E20" s="17">
        <v>270180</v>
      </c>
      <c r="F20" s="17">
        <f>SUM('- 52 -'!$G20,'- 54 -'!$F20,B20:E20)</f>
        <v>47634496</v>
      </c>
    </row>
    <row r="21" spans="1:6" ht="14.1" customHeight="1">
      <c r="A21" s="272" t="s">
        <v>118</v>
      </c>
      <c r="B21" s="273">
        <v>4041887</v>
      </c>
      <c r="C21" s="273">
        <v>0</v>
      </c>
      <c r="D21" s="273">
        <v>660379</v>
      </c>
      <c r="E21" s="273">
        <v>159180</v>
      </c>
      <c r="F21" s="273">
        <f>SUM('- 52 -'!$G21,'- 54 -'!$F21,B21:E21)</f>
        <v>17173769</v>
      </c>
    </row>
    <row r="22" spans="1:6" ht="14.1" customHeight="1">
      <c r="A22" s="16" t="s">
        <v>119</v>
      </c>
      <c r="B22" s="17">
        <v>4903239</v>
      </c>
      <c r="C22" s="17">
        <v>970692</v>
      </c>
      <c r="D22" s="17">
        <v>0</v>
      </c>
      <c r="E22" s="17">
        <v>81280</v>
      </c>
      <c r="F22" s="17">
        <f>SUM('- 52 -'!$G22,'- 54 -'!$F22,B22:E22)</f>
        <v>13745176</v>
      </c>
    </row>
    <row r="23" spans="1:6" ht="14.1" customHeight="1">
      <c r="A23" s="272" t="s">
        <v>120</v>
      </c>
      <c r="B23" s="273">
        <v>3125589</v>
      </c>
      <c r="C23" s="273">
        <v>419953</v>
      </c>
      <c r="D23" s="273">
        <v>0</v>
      </c>
      <c r="E23" s="273">
        <v>100800</v>
      </c>
      <c r="F23" s="273">
        <f>SUM('- 52 -'!$G23,'- 54 -'!$F23,B23:E23)</f>
        <v>9726897</v>
      </c>
    </row>
    <row r="24" spans="1:6" ht="14.1" customHeight="1">
      <c r="A24" s="16" t="s">
        <v>121</v>
      </c>
      <c r="B24" s="17">
        <v>4835856</v>
      </c>
      <c r="C24" s="17">
        <v>0</v>
      </c>
      <c r="D24" s="17">
        <v>552922</v>
      </c>
      <c r="E24" s="17">
        <v>258960</v>
      </c>
      <c r="F24" s="17">
        <f>SUM('- 52 -'!$G24,'- 54 -'!$F24,B24:E24)</f>
        <v>24026121</v>
      </c>
    </row>
    <row r="25" spans="1:6" ht="14.1" customHeight="1">
      <c r="A25" s="272" t="s">
        <v>122</v>
      </c>
      <c r="B25" s="273">
        <v>12682692</v>
      </c>
      <c r="C25" s="273">
        <v>0</v>
      </c>
      <c r="D25" s="273">
        <v>1926125</v>
      </c>
      <c r="E25" s="273">
        <v>570000</v>
      </c>
      <c r="F25" s="273">
        <f>SUM('- 52 -'!$G25,'- 54 -'!$F25,B25:E25)</f>
        <v>71595389</v>
      </c>
    </row>
    <row r="26" spans="1:6" ht="14.1" customHeight="1">
      <c r="A26" s="16" t="s">
        <v>123</v>
      </c>
      <c r="B26" s="17">
        <v>6713765</v>
      </c>
      <c r="C26" s="17">
        <v>719357</v>
      </c>
      <c r="D26" s="17">
        <v>0</v>
      </c>
      <c r="E26" s="17">
        <v>295280</v>
      </c>
      <c r="F26" s="17">
        <f>SUM('- 52 -'!$G26,'- 54 -'!$F26,B26:E26)</f>
        <v>22444000</v>
      </c>
    </row>
    <row r="27" spans="1:6" ht="14.1" customHeight="1">
      <c r="A27" s="272" t="s">
        <v>124</v>
      </c>
      <c r="B27" s="273">
        <v>10900906</v>
      </c>
      <c r="C27" s="273">
        <v>3841201</v>
      </c>
      <c r="D27" s="273">
        <v>0</v>
      </c>
      <c r="E27" s="273">
        <v>121180</v>
      </c>
      <c r="F27" s="273">
        <f>SUM('- 52 -'!$G27,'- 54 -'!$F27,B27:E27)</f>
        <v>28351617</v>
      </c>
    </row>
    <row r="28" spans="1:6" ht="14.1" customHeight="1">
      <c r="A28" s="16" t="s">
        <v>125</v>
      </c>
      <c r="B28" s="17">
        <v>1920211</v>
      </c>
      <c r="C28" s="17">
        <v>0</v>
      </c>
      <c r="D28" s="17">
        <v>507997</v>
      </c>
      <c r="E28" s="17">
        <v>138900</v>
      </c>
      <c r="F28" s="17">
        <f>SUM('- 52 -'!$G28,'- 54 -'!$F28,B28:E28)</f>
        <v>10750703</v>
      </c>
    </row>
    <row r="29" spans="1:6" ht="14.1" customHeight="1">
      <c r="A29" s="272" t="s">
        <v>126</v>
      </c>
      <c r="B29" s="273">
        <v>465332</v>
      </c>
      <c r="C29" s="273">
        <v>0</v>
      </c>
      <c r="D29" s="273">
        <v>4926224</v>
      </c>
      <c r="E29" s="273">
        <v>421100</v>
      </c>
      <c r="F29" s="273">
        <f>SUM('- 52 -'!$G29,'- 54 -'!$F29,B29:E29)</f>
        <v>54037109</v>
      </c>
    </row>
    <row r="30" spans="1:6" ht="14.1" customHeight="1">
      <c r="A30" s="16" t="s">
        <v>127</v>
      </c>
      <c r="B30" s="17">
        <v>1847396</v>
      </c>
      <c r="C30" s="17">
        <v>0</v>
      </c>
      <c r="D30" s="17">
        <v>129906</v>
      </c>
      <c r="E30" s="17">
        <v>92920</v>
      </c>
      <c r="F30" s="17">
        <f>SUM('- 52 -'!$G30,'- 54 -'!$F30,B30:E30)</f>
        <v>7554228</v>
      </c>
    </row>
    <row r="31" spans="1:6" ht="14.1" customHeight="1">
      <c r="A31" s="272" t="s">
        <v>128</v>
      </c>
      <c r="B31" s="273">
        <v>5288170</v>
      </c>
      <c r="C31" s="273">
        <v>0</v>
      </c>
      <c r="D31" s="273">
        <v>0</v>
      </c>
      <c r="E31" s="273">
        <v>173860</v>
      </c>
      <c r="F31" s="273">
        <f>SUM('- 52 -'!$G31,'- 54 -'!$F31,B31:E31)</f>
        <v>19260094</v>
      </c>
    </row>
    <row r="32" spans="1:6" ht="14.1" customHeight="1">
      <c r="A32" s="16" t="s">
        <v>129</v>
      </c>
      <c r="B32" s="17">
        <v>2416185</v>
      </c>
      <c r="C32" s="17">
        <v>0</v>
      </c>
      <c r="D32" s="17">
        <v>0</v>
      </c>
      <c r="E32" s="17">
        <v>157760</v>
      </c>
      <c r="F32" s="17">
        <f>SUM('- 52 -'!$G32,'- 54 -'!$F32,B32:E32)</f>
        <v>13036137</v>
      </c>
    </row>
    <row r="33" spans="1:6" ht="14.1" customHeight="1">
      <c r="A33" s="272" t="s">
        <v>130</v>
      </c>
      <c r="B33" s="273">
        <v>2578152</v>
      </c>
      <c r="C33" s="273">
        <v>0</v>
      </c>
      <c r="D33" s="273">
        <v>571544</v>
      </c>
      <c r="E33" s="273">
        <v>193640</v>
      </c>
      <c r="F33" s="273">
        <f>SUM('- 52 -'!$G33,'- 54 -'!$F33,B33:E33)</f>
        <v>14148990</v>
      </c>
    </row>
    <row r="34" spans="1:6" ht="14.1" customHeight="1">
      <c r="A34" s="16" t="s">
        <v>131</v>
      </c>
      <c r="B34" s="17">
        <v>2025806</v>
      </c>
      <c r="C34" s="17">
        <v>0</v>
      </c>
      <c r="D34" s="17">
        <v>139168</v>
      </c>
      <c r="E34" s="17">
        <v>126620</v>
      </c>
      <c r="F34" s="17">
        <f>SUM('- 52 -'!$G34,'- 54 -'!$F34,B34:E34)</f>
        <v>12521324</v>
      </c>
    </row>
    <row r="35" spans="1:6" ht="14.1" customHeight="1">
      <c r="A35" s="272" t="s">
        <v>132</v>
      </c>
      <c r="B35" s="273">
        <v>21671767</v>
      </c>
      <c r="C35" s="273">
        <v>3036165</v>
      </c>
      <c r="D35" s="273">
        <v>1819365</v>
      </c>
      <c r="E35" s="273">
        <v>703260</v>
      </c>
      <c r="F35" s="273">
        <f>SUM('- 52 -'!$G35,'- 54 -'!$F35,B35:E35)</f>
        <v>89532890</v>
      </c>
    </row>
    <row r="36" spans="1:6" ht="14.1" customHeight="1">
      <c r="A36" s="16" t="s">
        <v>133</v>
      </c>
      <c r="B36" s="17">
        <v>1162444</v>
      </c>
      <c r="C36" s="17">
        <v>0</v>
      </c>
      <c r="D36" s="17">
        <v>1303945</v>
      </c>
      <c r="E36" s="17">
        <v>132180</v>
      </c>
      <c r="F36" s="17">
        <f>SUM('- 52 -'!$G36,'- 54 -'!$F36,B36:E36)</f>
        <v>10180015</v>
      </c>
    </row>
    <row r="37" spans="1:6" ht="14.1" customHeight="1">
      <c r="A37" s="272" t="s">
        <v>134</v>
      </c>
      <c r="B37" s="273">
        <v>8748983</v>
      </c>
      <c r="C37" s="273">
        <v>0</v>
      </c>
      <c r="D37" s="273">
        <v>0</v>
      </c>
      <c r="E37" s="273">
        <v>148900</v>
      </c>
      <c r="F37" s="273">
        <f>SUM('- 52 -'!$G37,'- 54 -'!$F37,B37:E37)</f>
        <v>26778187</v>
      </c>
    </row>
    <row r="38" spans="1:6" ht="14.1" customHeight="1">
      <c r="A38" s="16" t="s">
        <v>135</v>
      </c>
      <c r="B38" s="17">
        <v>23174525</v>
      </c>
      <c r="C38" s="17">
        <v>4111702</v>
      </c>
      <c r="D38" s="17">
        <v>0</v>
      </c>
      <c r="E38" s="17">
        <v>324220</v>
      </c>
      <c r="F38" s="17">
        <f>SUM('- 52 -'!$G38,'- 54 -'!$F38,B38:E38)</f>
        <v>68880468</v>
      </c>
    </row>
    <row r="39" spans="1:6" ht="14.1" customHeight="1">
      <c r="A39" s="272" t="s">
        <v>136</v>
      </c>
      <c r="B39" s="273">
        <v>0</v>
      </c>
      <c r="C39" s="273">
        <v>0</v>
      </c>
      <c r="D39" s="273">
        <v>1385934</v>
      </c>
      <c r="E39" s="273">
        <v>111640</v>
      </c>
      <c r="F39" s="273">
        <f>SUM('- 52 -'!$G39,'- 54 -'!$F39,B39:E39)</f>
        <v>9162415</v>
      </c>
    </row>
    <row r="40" spans="1:6" ht="14.1" customHeight="1">
      <c r="A40" s="16" t="s">
        <v>137</v>
      </c>
      <c r="B40" s="17">
        <v>1266236</v>
      </c>
      <c r="C40" s="17">
        <v>0</v>
      </c>
      <c r="D40" s="17">
        <v>4821304</v>
      </c>
      <c r="E40" s="17">
        <v>489960</v>
      </c>
      <c r="F40" s="17">
        <f>SUM('- 52 -'!$G40,'- 54 -'!$F40,B40:E40)</f>
        <v>38888123</v>
      </c>
    </row>
    <row r="41" spans="1:6" ht="14.1" customHeight="1">
      <c r="A41" s="272" t="s">
        <v>138</v>
      </c>
      <c r="B41" s="273">
        <v>3876443</v>
      </c>
      <c r="C41" s="273">
        <v>0</v>
      </c>
      <c r="D41" s="273">
        <v>1147292</v>
      </c>
      <c r="E41" s="273">
        <v>225120</v>
      </c>
      <c r="F41" s="273">
        <f>SUM('- 52 -'!$G41,'- 54 -'!$F41,B41:E41)</f>
        <v>25670253</v>
      </c>
    </row>
    <row r="42" spans="1:6" ht="14.1" customHeight="1">
      <c r="A42" s="16" t="s">
        <v>139</v>
      </c>
      <c r="B42" s="17">
        <v>3515828</v>
      </c>
      <c r="C42" s="17">
        <v>557431</v>
      </c>
      <c r="D42" s="17">
        <v>33255</v>
      </c>
      <c r="E42" s="17">
        <v>145560</v>
      </c>
      <c r="F42" s="17">
        <f>SUM('- 52 -'!$G42,'- 54 -'!$F42,B42:E42)</f>
        <v>11764653</v>
      </c>
    </row>
    <row r="43" spans="1:6" ht="14.1" customHeight="1">
      <c r="A43" s="272" t="s">
        <v>140</v>
      </c>
      <c r="B43" s="273">
        <v>1084466</v>
      </c>
      <c r="C43" s="273">
        <v>0</v>
      </c>
      <c r="D43" s="273">
        <v>215828</v>
      </c>
      <c r="E43" s="273">
        <v>61200</v>
      </c>
      <c r="F43" s="273">
        <f>SUM('- 52 -'!$G43,'- 54 -'!$F43,B43:E43)</f>
        <v>6038874</v>
      </c>
    </row>
    <row r="44" spans="1:6" ht="14.1" customHeight="1">
      <c r="A44" s="16" t="s">
        <v>141</v>
      </c>
      <c r="B44" s="17">
        <v>2405588</v>
      </c>
      <c r="C44" s="17">
        <v>434059</v>
      </c>
      <c r="D44" s="17">
        <v>0</v>
      </c>
      <c r="E44" s="17">
        <v>70840</v>
      </c>
      <c r="F44" s="17">
        <f>SUM('- 52 -'!$G44,'- 54 -'!$F44,B44:E44)</f>
        <v>7303141</v>
      </c>
    </row>
    <row r="45" spans="1:6" ht="14.1" customHeight="1">
      <c r="A45" s="272" t="s">
        <v>142</v>
      </c>
      <c r="B45" s="273">
        <v>3374528</v>
      </c>
      <c r="C45" s="273">
        <v>0</v>
      </c>
      <c r="D45" s="273">
        <v>0</v>
      </c>
      <c r="E45" s="273">
        <v>46740</v>
      </c>
      <c r="F45" s="273">
        <f>SUM('- 52 -'!$G45,'- 54 -'!$F45,B45:E45)</f>
        <v>9820258</v>
      </c>
    </row>
    <row r="46" spans="1:6" ht="14.1" customHeight="1">
      <c r="A46" s="16" t="s">
        <v>143</v>
      </c>
      <c r="B46" s="17">
        <v>49424976</v>
      </c>
      <c r="C46" s="17">
        <v>4863665</v>
      </c>
      <c r="D46" s="17">
        <v>0</v>
      </c>
      <c r="E46" s="17">
        <v>1364340</v>
      </c>
      <c r="F46" s="17">
        <f>SUM('- 52 -'!$G46,'- 54 -'!$F46,B46:E46)</f>
        <v>181888600</v>
      </c>
    </row>
    <row r="47" spans="1:6" ht="5.0999999999999996" customHeight="1">
      <c r="A47"/>
      <c r="B47"/>
      <c r="C47"/>
      <c r="D47"/>
      <c r="E47"/>
      <c r="F47"/>
    </row>
    <row r="48" spans="1:6" ht="14.1" customHeight="1">
      <c r="A48" s="275" t="s">
        <v>144</v>
      </c>
      <c r="B48" s="276">
        <f>SUM(B11:B46)</f>
        <v>260662773</v>
      </c>
      <c r="C48" s="276">
        <f>SUM(C11:C46)</f>
        <v>23922974</v>
      </c>
      <c r="D48" s="276">
        <f>SUM(D11:D46)</f>
        <v>22221141</v>
      </c>
      <c r="E48" s="276">
        <f>SUM(E11:E46)</f>
        <v>8506000</v>
      </c>
      <c r="F48" s="276">
        <f>SUM(F11:F46)</f>
        <v>1046714034</v>
      </c>
    </row>
    <row r="49" spans="1:6" ht="5.0999999999999996" customHeight="1">
      <c r="A49" s="18" t="s">
        <v>1</v>
      </c>
      <c r="B49" s="19"/>
      <c r="C49" s="19"/>
      <c r="D49" s="19"/>
      <c r="E49" s="19"/>
      <c r="F49" s="19"/>
    </row>
    <row r="50" spans="1:6" ht="14.45" customHeight="1">
      <c r="A50" s="16" t="s">
        <v>145</v>
      </c>
      <c r="B50" s="17">
        <v>0</v>
      </c>
      <c r="C50" s="17">
        <v>0</v>
      </c>
      <c r="D50" s="17">
        <v>163574</v>
      </c>
      <c r="E50" s="17">
        <v>0</v>
      </c>
      <c r="F50" s="17">
        <f>SUM('- 52 -'!$G50,'- 54 -'!$F50,B50:E50)</f>
        <v>931141</v>
      </c>
    </row>
    <row r="51" spans="1:6" ht="14.1" customHeight="1">
      <c r="A51" s="364" t="s">
        <v>540</v>
      </c>
      <c r="B51" s="273">
        <v>0</v>
      </c>
      <c r="C51" s="273">
        <v>0</v>
      </c>
      <c r="D51" s="273">
        <v>0</v>
      </c>
      <c r="E51" s="273">
        <v>105096</v>
      </c>
      <c r="F51" s="273">
        <f>SUM('- 52 -'!$G51,'- 54 -'!$F51,B51:E51)</f>
        <v>105096</v>
      </c>
    </row>
    <row r="52" spans="1:6" ht="50.1" customHeight="1">
      <c r="A52" s="20"/>
      <c r="B52" s="20"/>
      <c r="C52" s="20"/>
      <c r="D52" s="20"/>
      <c r="E52" s="20"/>
      <c r="F52" s="20"/>
    </row>
    <row r="53" spans="1:6" ht="15" customHeight="1">
      <c r="A53" s="776" t="s">
        <v>515</v>
      </c>
      <c r="B53" s="776"/>
      <c r="C53" s="776"/>
      <c r="D53" s="776"/>
      <c r="E53" s="776"/>
      <c r="F53" s="776"/>
    </row>
    <row r="54" spans="1:6" ht="12" customHeight="1">
      <c r="A54" s="777"/>
      <c r="B54" s="777"/>
      <c r="C54" s="777"/>
      <c r="D54" s="777"/>
      <c r="E54" s="777"/>
      <c r="F54" s="777"/>
    </row>
    <row r="55" spans="1:6" ht="12" customHeight="1">
      <c r="A55" s="778" t="s">
        <v>552</v>
      </c>
      <c r="B55" s="778"/>
      <c r="C55" s="778"/>
      <c r="D55" s="778"/>
      <c r="E55" s="778"/>
      <c r="F55" s="778"/>
    </row>
    <row r="56" spans="1:6" ht="12" customHeight="1">
      <c r="A56" s="778"/>
      <c r="B56" s="778"/>
      <c r="C56" s="778"/>
      <c r="D56" s="778"/>
      <c r="E56" s="778"/>
      <c r="F56" s="778"/>
    </row>
    <row r="57" spans="1:6" ht="12" customHeight="1">
      <c r="A57" s="358" t="s">
        <v>553</v>
      </c>
    </row>
    <row r="58" spans="1:6" ht="12" customHeight="1">
      <c r="A58" s="2" t="s">
        <v>359</v>
      </c>
    </row>
    <row r="59" spans="1:6" ht="14.45" customHeight="1"/>
  </sheetData>
  <mergeCells count="9">
    <mergeCell ref="A53:F54"/>
    <mergeCell ref="A55:F56"/>
    <mergeCell ref="B5:F5"/>
    <mergeCell ref="B6:F6"/>
    <mergeCell ref="B8:B9"/>
    <mergeCell ref="C7:C9"/>
    <mergeCell ref="D8:D9"/>
    <mergeCell ref="E7:E9"/>
    <mergeCell ref="F7:F9"/>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611">
    <pageSetUpPr fitToPage="1"/>
  </sheetPr>
  <dimension ref="A1:AY62"/>
  <sheetViews>
    <sheetView showGridLines="0" showZeros="0" workbookViewId="0"/>
  </sheetViews>
  <sheetFormatPr defaultColWidth="14.83203125" defaultRowHeight="12"/>
  <cols>
    <col min="1" max="1" width="26.83203125" style="1" customWidth="1"/>
    <col min="2" max="4" width="22.6640625" style="1" customWidth="1"/>
    <col min="5" max="5" width="14.83203125" style="1" hidden="1" customWidth="1"/>
    <col min="6" max="6" width="46.1640625" style="1" customWidth="1"/>
    <col min="7" max="16384" width="14.83203125" style="1"/>
  </cols>
  <sheetData>
    <row r="1" spans="1:51" ht="6.95" customHeight="1">
      <c r="A1" s="3"/>
      <c r="B1" s="4"/>
    </row>
    <row r="2" spans="1:51" ht="18" customHeight="1">
      <c r="A2" s="220"/>
      <c r="B2" s="781" t="s">
        <v>580</v>
      </c>
      <c r="C2" s="781"/>
      <c r="D2" s="781"/>
      <c r="E2" s="368"/>
      <c r="F2" s="368" t="s">
        <v>227</v>
      </c>
      <c r="AX2" s="488" t="str">
        <f>"ADMINISTRATION EXPENSES (1) "&amp;YEAR&amp;"/"&amp;YEAR+1&amp;" BUDGET"</f>
        <v>ADMINISTRATION EXPENSES (1) 2015/2016 BUDGET</v>
      </c>
      <c r="AY2" s="462" t="str">
        <f>"DÉPENSES ADMINISTRATIVES (1) – BUDGET "&amp;YEAR&amp;" - "&amp;YEAR+1</f>
        <v>DÉPENSES ADMINISTRATIVES (1) – BUDGET 2015 - 2016</v>
      </c>
    </row>
    <row r="3" spans="1:51" ht="3.95" customHeight="1">
      <c r="A3" s="221"/>
      <c r="B3" s="222"/>
      <c r="C3" s="222"/>
      <c r="D3" s="229"/>
    </row>
    <row r="4" spans="1:51" ht="15" customHeight="1">
      <c r="A4" s="221"/>
      <c r="B4" s="165"/>
    </row>
    <row r="5" spans="1:51" ht="14.1" customHeight="1">
      <c r="A5" s="225"/>
      <c r="B5" s="782" t="s">
        <v>588</v>
      </c>
      <c r="C5" s="783"/>
      <c r="D5" s="784"/>
    </row>
    <row r="6" spans="1:51" ht="14.1" customHeight="1">
      <c r="A6" s="225"/>
      <c r="B6" s="227"/>
      <c r="C6" s="723" t="s">
        <v>587</v>
      </c>
      <c r="D6" s="227"/>
    </row>
    <row r="7" spans="1:51" ht="18.75" customHeight="1">
      <c r="A7" s="225"/>
      <c r="B7" s="227"/>
      <c r="C7" s="771"/>
      <c r="D7" s="227"/>
    </row>
    <row r="8" spans="1:51" ht="14.1" customHeight="1">
      <c r="A8" s="225"/>
      <c r="B8" s="771" t="s">
        <v>586</v>
      </c>
      <c r="C8" s="771"/>
      <c r="D8" s="771" t="s">
        <v>589</v>
      </c>
    </row>
    <row r="9" spans="1:51" ht="14.1" customHeight="1">
      <c r="A9" s="13"/>
      <c r="B9" s="771"/>
      <c r="C9" s="771"/>
      <c r="D9" s="771"/>
    </row>
    <row r="10" spans="1:51" ht="14.1" customHeight="1">
      <c r="A10" s="14" t="s">
        <v>37</v>
      </c>
      <c r="B10" s="772"/>
      <c r="C10" s="772"/>
      <c r="D10" s="772"/>
      <c r="F10" s="129"/>
    </row>
    <row r="11" spans="1:51" ht="5.0999999999999996" customHeight="1">
      <c r="A11" s="15"/>
    </row>
    <row r="12" spans="1:51" ht="13.5" customHeight="1">
      <c r="A12" s="272" t="s">
        <v>109</v>
      </c>
      <c r="B12" s="273">
        <v>617515</v>
      </c>
      <c r="C12" s="273">
        <f>-Data!M11-Data!N11-Data!O11</f>
        <v>-18000</v>
      </c>
      <c r="D12" s="273">
        <f>SUM(B12:C12)</f>
        <v>599515</v>
      </c>
      <c r="E12" s="330">
        <v>599515</v>
      </c>
      <c r="F12" s="1">
        <f>D12-E12</f>
        <v>0</v>
      </c>
    </row>
    <row r="13" spans="1:51" ht="13.5" customHeight="1">
      <c r="A13" s="16" t="s">
        <v>110</v>
      </c>
      <c r="B13" s="17">
        <v>1073839</v>
      </c>
      <c r="C13" s="17">
        <f>-Data!M12-Data!N12-Data!O12</f>
        <v>-32000</v>
      </c>
      <c r="D13" s="17">
        <f t="shared" ref="D13:D47" si="0">SUM(B13:C13)</f>
        <v>1041839</v>
      </c>
      <c r="E13" s="331">
        <v>1041839</v>
      </c>
      <c r="F13" s="1">
        <f t="shared" ref="F13:F49" si="1">D13-E13</f>
        <v>0</v>
      </c>
    </row>
    <row r="14" spans="1:51" ht="13.5" customHeight="1">
      <c r="A14" s="272" t="s">
        <v>111</v>
      </c>
      <c r="B14" s="273">
        <v>3231500</v>
      </c>
      <c r="C14" s="273">
        <f>-Data!M13-Data!N13-Data!O13</f>
        <v>-74800</v>
      </c>
      <c r="D14" s="273">
        <f t="shared" si="0"/>
        <v>3156700</v>
      </c>
      <c r="E14" s="330">
        <v>3156700</v>
      </c>
      <c r="F14" s="1">
        <f t="shared" si="1"/>
        <v>0</v>
      </c>
    </row>
    <row r="15" spans="1:51" ht="13.5" customHeight="1">
      <c r="A15" s="16" t="s">
        <v>324</v>
      </c>
      <c r="B15" s="17"/>
      <c r="C15" s="17">
        <f>-Data!M14-Data!N14-Data!O14</f>
        <v>0</v>
      </c>
      <c r="D15" s="17"/>
      <c r="E15" s="331"/>
      <c r="F15" s="1">
        <f t="shared" si="1"/>
        <v>0</v>
      </c>
    </row>
    <row r="16" spans="1:51" ht="13.5" customHeight="1">
      <c r="A16" s="272" t="s">
        <v>112</v>
      </c>
      <c r="B16" s="273">
        <v>818200</v>
      </c>
      <c r="C16" s="273">
        <f>-Data!M15-Data!N15-Data!O15</f>
        <v>-26000</v>
      </c>
      <c r="D16" s="273">
        <f t="shared" si="0"/>
        <v>792200</v>
      </c>
      <c r="E16" s="330">
        <v>792200</v>
      </c>
      <c r="F16" s="1">
        <f t="shared" si="1"/>
        <v>0</v>
      </c>
    </row>
    <row r="17" spans="1:6" ht="13.5" customHeight="1">
      <c r="A17" s="16" t="s">
        <v>113</v>
      </c>
      <c r="B17" s="17">
        <v>654313</v>
      </c>
      <c r="C17" s="17">
        <f>-Data!M16-Data!N16-Data!O16</f>
        <v>-20000</v>
      </c>
      <c r="D17" s="17">
        <f t="shared" si="0"/>
        <v>634313</v>
      </c>
      <c r="E17" s="331">
        <v>634313</v>
      </c>
      <c r="F17" s="1">
        <f t="shared" si="1"/>
        <v>0</v>
      </c>
    </row>
    <row r="18" spans="1:6" ht="13.5" customHeight="1">
      <c r="A18" s="272" t="s">
        <v>114</v>
      </c>
      <c r="B18" s="273">
        <v>768767</v>
      </c>
      <c r="C18" s="273">
        <f>-Data!M17-Data!N17-Data!O17</f>
        <v>-25200</v>
      </c>
      <c r="D18" s="273">
        <f t="shared" si="0"/>
        <v>743567</v>
      </c>
      <c r="E18" s="330">
        <v>743567</v>
      </c>
      <c r="F18" s="1">
        <f t="shared" si="1"/>
        <v>0</v>
      </c>
    </row>
    <row r="19" spans="1:6" ht="13.5" customHeight="1">
      <c r="A19" s="16" t="s">
        <v>115</v>
      </c>
      <c r="B19" s="17"/>
      <c r="C19" s="17">
        <f>-Data!M18-Data!N18-Data!O18</f>
        <v>0</v>
      </c>
      <c r="D19" s="17"/>
      <c r="E19" s="331"/>
      <c r="F19" s="1">
        <f t="shared" si="1"/>
        <v>0</v>
      </c>
    </row>
    <row r="20" spans="1:6" ht="13.5" customHeight="1">
      <c r="A20" s="272" t="s">
        <v>116</v>
      </c>
      <c r="B20" s="273">
        <v>1518370</v>
      </c>
      <c r="C20" s="273">
        <f>-Data!M19-Data!N19-Data!O19</f>
        <v>-33000</v>
      </c>
      <c r="D20" s="273">
        <f t="shared" si="0"/>
        <v>1485370</v>
      </c>
      <c r="E20" s="330">
        <v>1485370</v>
      </c>
      <c r="F20" s="1">
        <f t="shared" si="1"/>
        <v>0</v>
      </c>
    </row>
    <row r="21" spans="1:6" ht="13.5" customHeight="1">
      <c r="A21" s="16" t="s">
        <v>117</v>
      </c>
      <c r="B21" s="17">
        <v>2240300</v>
      </c>
      <c r="C21" s="17">
        <f>-Data!M20-Data!N20-Data!O20</f>
        <v>-62000</v>
      </c>
      <c r="D21" s="17">
        <f t="shared" si="0"/>
        <v>2178300</v>
      </c>
      <c r="E21" s="331">
        <v>2178300</v>
      </c>
      <c r="F21" s="1">
        <f t="shared" si="1"/>
        <v>0</v>
      </c>
    </row>
    <row r="22" spans="1:6" ht="13.5" customHeight="1">
      <c r="A22" s="272" t="s">
        <v>118</v>
      </c>
      <c r="B22" s="273">
        <v>1346000</v>
      </c>
      <c r="C22" s="273">
        <f>-Data!M21-Data!N21-Data!O21</f>
        <v>-34000</v>
      </c>
      <c r="D22" s="273">
        <f t="shared" si="0"/>
        <v>1312000</v>
      </c>
      <c r="E22" s="330">
        <v>1312000</v>
      </c>
      <c r="F22" s="1">
        <f t="shared" si="1"/>
        <v>0</v>
      </c>
    </row>
    <row r="23" spans="1:6" ht="13.5" customHeight="1">
      <c r="A23" s="16" t="s">
        <v>119</v>
      </c>
      <c r="B23" s="17">
        <v>881090</v>
      </c>
      <c r="C23" s="17">
        <f>-Data!M22-Data!N22-Data!O22</f>
        <v>-25000</v>
      </c>
      <c r="D23" s="17">
        <f t="shared" si="0"/>
        <v>856090</v>
      </c>
      <c r="E23" s="331">
        <v>856090</v>
      </c>
      <c r="F23" s="1">
        <f t="shared" si="1"/>
        <v>0</v>
      </c>
    </row>
    <row r="24" spans="1:6" ht="13.5" customHeight="1">
      <c r="A24" s="272" t="s">
        <v>120</v>
      </c>
      <c r="B24" s="273">
        <v>639500</v>
      </c>
      <c r="C24" s="273">
        <f>-Data!M23-Data!N23-Data!O23</f>
        <v>-21000</v>
      </c>
      <c r="D24" s="273">
        <f t="shared" si="0"/>
        <v>618500</v>
      </c>
      <c r="E24" s="330">
        <v>618500</v>
      </c>
      <c r="F24" s="1">
        <f t="shared" si="1"/>
        <v>0</v>
      </c>
    </row>
    <row r="25" spans="1:6" ht="13.5" customHeight="1">
      <c r="A25" s="16" t="s">
        <v>121</v>
      </c>
      <c r="B25" s="17">
        <v>1937590</v>
      </c>
      <c r="C25" s="17">
        <f>-Data!M24-Data!N24-Data!O24</f>
        <v>-50000</v>
      </c>
      <c r="D25" s="17">
        <f t="shared" si="0"/>
        <v>1887590</v>
      </c>
      <c r="E25" s="331">
        <v>1887590</v>
      </c>
      <c r="F25" s="1">
        <f t="shared" si="1"/>
        <v>0</v>
      </c>
    </row>
    <row r="26" spans="1:6" ht="13.5" customHeight="1">
      <c r="A26" s="272" t="s">
        <v>122</v>
      </c>
      <c r="B26" s="273">
        <v>5521085</v>
      </c>
      <c r="C26" s="273">
        <f>-Data!M25-Data!N25-Data!O25</f>
        <v>-514556</v>
      </c>
      <c r="D26" s="273">
        <f t="shared" si="0"/>
        <v>5006529</v>
      </c>
      <c r="E26" s="330">
        <v>5006529</v>
      </c>
      <c r="F26" s="1">
        <f t="shared" si="1"/>
        <v>0</v>
      </c>
    </row>
    <row r="27" spans="1:6" ht="13.5" customHeight="1">
      <c r="A27" s="16" t="s">
        <v>123</v>
      </c>
      <c r="B27" s="17">
        <v>1390942</v>
      </c>
      <c r="C27" s="17">
        <f>-Data!M26-Data!N26-Data!O26</f>
        <v>-44373</v>
      </c>
      <c r="D27" s="17">
        <f t="shared" si="0"/>
        <v>1346569</v>
      </c>
      <c r="E27" s="331">
        <v>1346569</v>
      </c>
      <c r="F27" s="1">
        <f t="shared" si="1"/>
        <v>0</v>
      </c>
    </row>
    <row r="28" spans="1:6" ht="13.5" customHeight="1">
      <c r="A28" s="272" t="s">
        <v>124</v>
      </c>
      <c r="B28" s="273">
        <v>1873393</v>
      </c>
      <c r="C28" s="273">
        <f>-Data!M27-Data!N27-Data!O27</f>
        <v>-70000</v>
      </c>
      <c r="D28" s="273">
        <f t="shared" si="0"/>
        <v>1803393</v>
      </c>
      <c r="E28" s="330">
        <v>1803393</v>
      </c>
      <c r="F28" s="1">
        <f t="shared" si="1"/>
        <v>0</v>
      </c>
    </row>
    <row r="29" spans="1:6" ht="13.5" customHeight="1">
      <c r="A29" s="16" t="s">
        <v>125</v>
      </c>
      <c r="B29" s="17">
        <v>1124028</v>
      </c>
      <c r="C29" s="17">
        <f>-Data!M28-Data!N28-Data!O28</f>
        <v>-192323</v>
      </c>
      <c r="D29" s="17">
        <f t="shared" si="0"/>
        <v>931705</v>
      </c>
      <c r="E29" s="331">
        <v>931705</v>
      </c>
      <c r="F29" s="1">
        <f t="shared" si="1"/>
        <v>0</v>
      </c>
    </row>
    <row r="30" spans="1:6" ht="13.5" customHeight="1">
      <c r="A30" s="272" t="s">
        <v>126</v>
      </c>
      <c r="B30" s="273">
        <v>5306946</v>
      </c>
      <c r="C30" s="273">
        <f>-Data!M29-Data!N29-Data!O29</f>
        <v>-964670</v>
      </c>
      <c r="D30" s="273">
        <f t="shared" si="0"/>
        <v>4342276</v>
      </c>
      <c r="E30" s="330">
        <v>4342276</v>
      </c>
      <c r="F30" s="1">
        <f t="shared" si="1"/>
        <v>0</v>
      </c>
    </row>
    <row r="31" spans="1:6" ht="13.5" customHeight="1">
      <c r="A31" s="16" t="s">
        <v>127</v>
      </c>
      <c r="B31" s="17">
        <v>504616</v>
      </c>
      <c r="C31" s="17">
        <f>-Data!M30-Data!N30-Data!O30</f>
        <v>-22000</v>
      </c>
      <c r="D31" s="17">
        <f t="shared" si="0"/>
        <v>482616</v>
      </c>
      <c r="E31" s="331">
        <v>482616</v>
      </c>
      <c r="F31" s="1">
        <f t="shared" si="1"/>
        <v>0</v>
      </c>
    </row>
    <row r="32" spans="1:6" ht="13.5" customHeight="1">
      <c r="A32" s="272" t="s">
        <v>128</v>
      </c>
      <c r="B32" s="273">
        <v>1211126</v>
      </c>
      <c r="C32" s="273">
        <f>-Data!M31-Data!N31-Data!O31</f>
        <v>-40000</v>
      </c>
      <c r="D32" s="273">
        <f t="shared" si="0"/>
        <v>1171126</v>
      </c>
      <c r="E32" s="330">
        <v>1171126</v>
      </c>
      <c r="F32" s="1">
        <f t="shared" si="1"/>
        <v>0</v>
      </c>
    </row>
    <row r="33" spans="1:6" ht="13.5" customHeight="1">
      <c r="A33" s="16" t="s">
        <v>129</v>
      </c>
      <c r="B33" s="17">
        <v>1085450</v>
      </c>
      <c r="C33" s="17">
        <f>-Data!M32-Data!N32-Data!O32</f>
        <v>-25500</v>
      </c>
      <c r="D33" s="17">
        <f t="shared" si="0"/>
        <v>1059950</v>
      </c>
      <c r="E33" s="331">
        <v>1059950</v>
      </c>
      <c r="F33" s="1">
        <f t="shared" si="1"/>
        <v>0</v>
      </c>
    </row>
    <row r="34" spans="1:6" ht="13.5" customHeight="1">
      <c r="A34" s="272" t="s">
        <v>130</v>
      </c>
      <c r="B34" s="273">
        <v>890300</v>
      </c>
      <c r="C34" s="273">
        <f>-Data!M33-Data!N33-Data!O33</f>
        <v>-35000</v>
      </c>
      <c r="D34" s="273">
        <f t="shared" si="0"/>
        <v>855300</v>
      </c>
      <c r="E34" s="330">
        <v>855300</v>
      </c>
      <c r="F34" s="1">
        <f t="shared" si="1"/>
        <v>0</v>
      </c>
    </row>
    <row r="35" spans="1:6" ht="13.5" customHeight="1">
      <c r="A35" s="16" t="s">
        <v>131</v>
      </c>
      <c r="B35" s="17">
        <v>1097232</v>
      </c>
      <c r="C35" s="17">
        <f>-Data!M34-Data!N34-Data!O34</f>
        <v>-38500</v>
      </c>
      <c r="D35" s="17">
        <f t="shared" si="0"/>
        <v>1058732</v>
      </c>
      <c r="E35" s="331">
        <v>1058732</v>
      </c>
      <c r="F35" s="1">
        <f t="shared" si="1"/>
        <v>0</v>
      </c>
    </row>
    <row r="36" spans="1:6" ht="13.5" customHeight="1">
      <c r="A36" s="272" t="s">
        <v>132</v>
      </c>
      <c r="B36" s="273">
        <v>4964775</v>
      </c>
      <c r="C36" s="273">
        <f>-Data!M35-Data!N35-Data!O35</f>
        <v>-60000</v>
      </c>
      <c r="D36" s="273">
        <f t="shared" si="0"/>
        <v>4904775</v>
      </c>
      <c r="E36" s="330">
        <v>4904775</v>
      </c>
      <c r="F36" s="1">
        <f t="shared" si="1"/>
        <v>0</v>
      </c>
    </row>
    <row r="37" spans="1:6" ht="13.5" customHeight="1">
      <c r="A37" s="16" t="s">
        <v>133</v>
      </c>
      <c r="B37" s="17">
        <v>931685</v>
      </c>
      <c r="C37" s="17">
        <f>-Data!M36-Data!N36-Data!O36</f>
        <v>-30000</v>
      </c>
      <c r="D37" s="17">
        <f t="shared" si="0"/>
        <v>901685</v>
      </c>
      <c r="E37" s="331">
        <v>901685</v>
      </c>
      <c r="F37" s="1">
        <f t="shared" si="1"/>
        <v>0</v>
      </c>
    </row>
    <row r="38" spans="1:6" ht="13.5" customHeight="1">
      <c r="A38" s="272" t="s">
        <v>134</v>
      </c>
      <c r="B38" s="273">
        <v>1588041</v>
      </c>
      <c r="C38" s="273">
        <f>-Data!M37-Data!N37-Data!O37</f>
        <v>-40000</v>
      </c>
      <c r="D38" s="273">
        <f t="shared" si="0"/>
        <v>1548041</v>
      </c>
      <c r="E38" s="330">
        <v>1548041</v>
      </c>
      <c r="F38" s="1">
        <f t="shared" si="1"/>
        <v>0</v>
      </c>
    </row>
    <row r="39" spans="1:6" ht="13.5" customHeight="1">
      <c r="A39" s="16" t="s">
        <v>135</v>
      </c>
      <c r="B39" s="17">
        <v>3766683</v>
      </c>
      <c r="C39" s="17">
        <f>-Data!M38-Data!N38-Data!O38</f>
        <v>-68000</v>
      </c>
      <c r="D39" s="17">
        <f t="shared" si="0"/>
        <v>3698683</v>
      </c>
      <c r="E39" s="331">
        <v>3698683</v>
      </c>
      <c r="F39" s="1">
        <f t="shared" si="1"/>
        <v>0</v>
      </c>
    </row>
    <row r="40" spans="1:6" ht="13.5" customHeight="1">
      <c r="A40" s="272" t="s">
        <v>136</v>
      </c>
      <c r="B40" s="273">
        <v>918200</v>
      </c>
      <c r="C40" s="273">
        <f>-Data!M39-Data!N39-Data!O39</f>
        <v>-32000</v>
      </c>
      <c r="D40" s="273">
        <f t="shared" si="0"/>
        <v>886200</v>
      </c>
      <c r="E40" s="330">
        <v>886200</v>
      </c>
      <c r="F40" s="1">
        <f t="shared" si="1"/>
        <v>0</v>
      </c>
    </row>
    <row r="41" spans="1:6" ht="13.5" customHeight="1">
      <c r="A41" s="16" t="s">
        <v>137</v>
      </c>
      <c r="B41" s="17">
        <v>3692551</v>
      </c>
      <c r="C41" s="17">
        <f>-Data!M40-Data!N40-Data!O40</f>
        <v>-392909</v>
      </c>
      <c r="D41" s="17">
        <f t="shared" si="0"/>
        <v>3299642</v>
      </c>
      <c r="E41" s="331">
        <v>3299642</v>
      </c>
      <c r="F41" s="1">
        <f t="shared" si="1"/>
        <v>0</v>
      </c>
    </row>
    <row r="42" spans="1:6" ht="13.5" customHeight="1">
      <c r="A42" s="272" t="s">
        <v>138</v>
      </c>
      <c r="B42" s="273">
        <v>2155605</v>
      </c>
      <c r="C42" s="273">
        <f>-Data!M41-Data!N41-Data!O41</f>
        <v>-46600</v>
      </c>
      <c r="D42" s="273">
        <f t="shared" si="0"/>
        <v>2109005</v>
      </c>
      <c r="E42" s="330">
        <v>2109005</v>
      </c>
      <c r="F42" s="1">
        <f t="shared" si="1"/>
        <v>0</v>
      </c>
    </row>
    <row r="43" spans="1:6" ht="13.5" customHeight="1">
      <c r="A43" s="16" t="s">
        <v>139</v>
      </c>
      <c r="B43" s="17">
        <v>845634</v>
      </c>
      <c r="C43" s="17">
        <f>-Data!M42-Data!N42-Data!O42</f>
        <v>-30700</v>
      </c>
      <c r="D43" s="17">
        <f t="shared" si="0"/>
        <v>814934</v>
      </c>
      <c r="E43" s="331">
        <v>814934</v>
      </c>
      <c r="F43" s="1">
        <f t="shared" si="1"/>
        <v>0</v>
      </c>
    </row>
    <row r="44" spans="1:6" ht="13.5" customHeight="1">
      <c r="A44" s="272" t="s">
        <v>140</v>
      </c>
      <c r="B44" s="273">
        <v>544590</v>
      </c>
      <c r="C44" s="273">
        <f>-Data!M43-Data!N43-Data!O43</f>
        <v>-18600</v>
      </c>
      <c r="D44" s="273">
        <f t="shared" si="0"/>
        <v>525990</v>
      </c>
      <c r="E44" s="330">
        <v>525990</v>
      </c>
      <c r="F44" s="1">
        <f t="shared" si="1"/>
        <v>0</v>
      </c>
    </row>
    <row r="45" spans="1:6" ht="13.5" customHeight="1">
      <c r="A45" s="16" t="s">
        <v>141</v>
      </c>
      <c r="B45" s="17">
        <v>404346</v>
      </c>
      <c r="C45" s="17">
        <f>-Data!M44-Data!N44-Data!O44</f>
        <v>-14000</v>
      </c>
      <c r="D45" s="17">
        <f t="shared" si="0"/>
        <v>390346</v>
      </c>
      <c r="E45" s="331">
        <v>390346</v>
      </c>
      <c r="F45" s="1">
        <f t="shared" si="1"/>
        <v>0</v>
      </c>
    </row>
    <row r="46" spans="1:6" ht="13.5" customHeight="1">
      <c r="A46" s="272" t="s">
        <v>142</v>
      </c>
      <c r="B46" s="273">
        <v>745603</v>
      </c>
      <c r="C46" s="273">
        <f>-Data!M45-Data!N45-Data!O45</f>
        <v>-16500</v>
      </c>
      <c r="D46" s="273">
        <f t="shared" si="0"/>
        <v>729103</v>
      </c>
      <c r="E46" s="330">
        <v>729103</v>
      </c>
      <c r="F46" s="1">
        <f t="shared" si="1"/>
        <v>0</v>
      </c>
    </row>
    <row r="47" spans="1:6" ht="13.5" customHeight="1">
      <c r="A47" s="16" t="s">
        <v>143</v>
      </c>
      <c r="B47" s="17">
        <v>10669200</v>
      </c>
      <c r="C47" s="17">
        <f>-Data!M46-Data!N46-Data!O46</f>
        <v>0</v>
      </c>
      <c r="D47" s="17">
        <f t="shared" si="0"/>
        <v>10669200</v>
      </c>
      <c r="E47" s="331">
        <v>10669200</v>
      </c>
      <c r="F47" s="1">
        <f t="shared" si="1"/>
        <v>0</v>
      </c>
    </row>
    <row r="48" spans="1:6" ht="5.0999999999999996" customHeight="1">
      <c r="A48"/>
      <c r="B48"/>
      <c r="C48"/>
      <c r="D48"/>
      <c r="E48" s="332"/>
    </row>
    <row r="49" spans="1:6" ht="13.5" customHeight="1">
      <c r="A49" s="275" t="s">
        <v>144</v>
      </c>
      <c r="B49" s="276">
        <f>SUM(B12:B47)</f>
        <v>66959015</v>
      </c>
      <c r="C49" s="276">
        <f>SUM(C12:C47)</f>
        <v>-3117231</v>
      </c>
      <c r="D49" s="276">
        <f>SUM(D12:D47)</f>
        <v>63841784</v>
      </c>
      <c r="E49" s="333">
        <f>SUM(E12:E47)</f>
        <v>63841784</v>
      </c>
      <c r="F49" s="1">
        <f t="shared" si="1"/>
        <v>0</v>
      </c>
    </row>
    <row r="50" spans="1:6" ht="5.0999999999999996" customHeight="1">
      <c r="A50" s="18" t="s">
        <v>1</v>
      </c>
      <c r="B50" s="19"/>
      <c r="C50" s="19"/>
      <c r="D50" s="19"/>
      <c r="E50" s="334"/>
    </row>
    <row r="51" spans="1:6" ht="13.5" customHeight="1">
      <c r="A51" s="16" t="s">
        <v>145</v>
      </c>
      <c r="B51" s="17"/>
      <c r="C51" s="17">
        <f>-Data!M50-Data!N50-Data!O50</f>
        <v>0</v>
      </c>
      <c r="D51" s="17"/>
      <c r="E51" s="331">
        <v>151020</v>
      </c>
    </row>
    <row r="52" spans="1:6" ht="13.5" customHeight="1">
      <c r="A52" s="364" t="s">
        <v>540</v>
      </c>
      <c r="B52" s="273"/>
      <c r="C52" s="273">
        <f>-Data!M51-Data!N51-Data!O51</f>
        <v>0</v>
      </c>
      <c r="D52" s="273"/>
      <c r="E52" s="330"/>
      <c r="F52" s="1">
        <f>D52-E52</f>
        <v>0</v>
      </c>
    </row>
    <row r="53" spans="1:6" ht="49.5" customHeight="1">
      <c r="A53" s="20"/>
      <c r="B53" s="20"/>
      <c r="C53" s="20"/>
      <c r="D53" s="20"/>
      <c r="E53" s="20"/>
      <c r="F53" s="20"/>
    </row>
    <row r="54" spans="1:6" ht="14.45" customHeight="1">
      <c r="A54" s="747" t="s">
        <v>593</v>
      </c>
      <c r="B54" s="747"/>
      <c r="C54" s="747"/>
      <c r="D54" s="747"/>
      <c r="E54" s="747"/>
      <c r="F54" s="747"/>
    </row>
    <row r="55" spans="1:6" ht="12" customHeight="1">
      <c r="A55" s="780"/>
      <c r="B55" s="780"/>
      <c r="C55" s="780"/>
      <c r="D55" s="780"/>
      <c r="E55" s="780"/>
      <c r="F55" s="780"/>
    </row>
    <row r="56" spans="1:6" ht="12" customHeight="1">
      <c r="A56" s="780"/>
      <c r="B56" s="780"/>
      <c r="C56" s="780"/>
      <c r="D56" s="780"/>
      <c r="E56" s="780"/>
      <c r="F56" s="780"/>
    </row>
    <row r="57" spans="1:6" ht="12" customHeight="1">
      <c r="A57" s="780"/>
      <c r="B57" s="780"/>
      <c r="C57" s="780"/>
      <c r="D57" s="780"/>
      <c r="E57" s="780"/>
      <c r="F57" s="780"/>
    </row>
    <row r="58" spans="1:6" ht="33" customHeight="1">
      <c r="A58" s="780"/>
      <c r="B58" s="780"/>
      <c r="C58" s="780"/>
      <c r="D58" s="780"/>
      <c r="E58" s="780"/>
      <c r="F58" s="780"/>
    </row>
    <row r="59" spans="1:6">
      <c r="A59" s="228" t="s">
        <v>328</v>
      </c>
      <c r="B59" s="32"/>
    </row>
    <row r="60" spans="1:6" ht="12" customHeight="1">
      <c r="A60" s="228"/>
    </row>
    <row r="61" spans="1:6" ht="12" customHeight="1">
      <c r="A61" s="228"/>
    </row>
    <row r="62" spans="1:6" ht="12" customHeight="1">
      <c r="A62" s="228"/>
    </row>
  </sheetData>
  <mergeCells count="6">
    <mergeCell ref="A54:F58"/>
    <mergeCell ref="B2:D2"/>
    <mergeCell ref="B5:D5"/>
    <mergeCell ref="D8:D10"/>
    <mergeCell ref="B8:B10"/>
    <mergeCell ref="C6:C10"/>
  </mergeCells>
  <phoneticPr fontId="0" type="noConversion"/>
  <printOptions horizontalCentered="1"/>
  <pageMargins left="0.51181102362204722" right="0.51181102362204722" top="0.59055118110236227" bottom="0" header="0.31496062992125984" footer="0"/>
  <pageSetup scale="83" orientation="portrait"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9"/>
  <sheetViews>
    <sheetView showGridLines="0" showZeros="0" workbookViewId="0"/>
  </sheetViews>
  <sheetFormatPr defaultColWidth="15.83203125" defaultRowHeight="12"/>
  <cols>
    <col min="1" max="1" width="32.83203125" style="1" customWidth="1"/>
    <col min="2" max="3" width="19.83203125" style="1" customWidth="1"/>
    <col min="4" max="4" width="21.83203125" style="1" hidden="1" customWidth="1"/>
    <col min="5" max="5" width="1.83203125" style="1" customWidth="1"/>
    <col min="6" max="7" width="18.83203125" style="1" customWidth="1"/>
    <col min="8" max="16384" width="15.83203125" style="1"/>
  </cols>
  <sheetData>
    <row r="1" spans="1:7" ht="6.95" customHeight="1">
      <c r="A1" s="3"/>
      <c r="B1" s="3"/>
      <c r="C1" s="3"/>
      <c r="D1" s="3"/>
      <c r="E1" s="4"/>
      <c r="F1" s="4"/>
    </row>
    <row r="2" spans="1:7" ht="15.95" customHeight="1">
      <c r="A2" s="34"/>
      <c r="B2" s="5" t="str">
        <f>+'- 6 -'!B2</f>
        <v>FRAME STUDENT STATISTICS</v>
      </c>
      <c r="C2" s="6"/>
      <c r="D2" s="6"/>
      <c r="E2" s="6"/>
      <c r="F2" s="86"/>
      <c r="G2" s="93" t="s">
        <v>5</v>
      </c>
    </row>
    <row r="3" spans="1:7" ht="15.95" customHeight="1">
      <c r="A3" s="38"/>
      <c r="B3" s="7" t="str">
        <f>+STATDATE</f>
        <v>ESTIMATE SEPTEMBER 30, 2015</v>
      </c>
      <c r="C3" s="8"/>
      <c r="D3" s="8"/>
      <c r="E3" s="8"/>
      <c r="F3" s="88"/>
      <c r="G3" s="88"/>
    </row>
    <row r="4" spans="1:7" ht="15.95" customHeight="1">
      <c r="E4" s="4"/>
      <c r="F4" s="4"/>
    </row>
    <row r="5" spans="1:7" ht="15.95" customHeight="1"/>
    <row r="6" spans="1:7" ht="15.95" customHeight="1">
      <c r="B6" s="557" t="s">
        <v>350</v>
      </c>
      <c r="C6" s="558"/>
      <c r="D6" s="355" t="s">
        <v>248</v>
      </c>
      <c r="F6" s="555" t="s">
        <v>25</v>
      </c>
    </row>
    <row r="7" spans="1:7" ht="15.95" customHeight="1">
      <c r="B7" s="559"/>
      <c r="C7" s="560"/>
      <c r="D7" s="362" t="s">
        <v>59</v>
      </c>
      <c r="F7" s="556"/>
    </row>
    <row r="8" spans="1:7" ht="15.95" customHeight="1">
      <c r="A8" s="25"/>
      <c r="B8" s="561" t="s">
        <v>389</v>
      </c>
      <c r="C8" s="562" t="s">
        <v>25</v>
      </c>
      <c r="D8" s="11" t="s">
        <v>53</v>
      </c>
      <c r="E8" s="12"/>
      <c r="F8" s="564" t="s">
        <v>390</v>
      </c>
    </row>
    <row r="9" spans="1:7" ht="15.95" customHeight="1">
      <c r="A9" s="94" t="s">
        <v>37</v>
      </c>
      <c r="B9" s="527"/>
      <c r="C9" s="563"/>
      <c r="D9" s="361" t="s">
        <v>251</v>
      </c>
      <c r="E9" s="96"/>
      <c r="F9" s="565"/>
    </row>
    <row r="10" spans="1:7" ht="5.0999999999999996" customHeight="1">
      <c r="A10" s="30"/>
      <c r="B10" s="47"/>
      <c r="C10" s="30"/>
      <c r="E10" s="97"/>
    </row>
    <row r="11" spans="1:7" ht="14.1" customHeight="1">
      <c r="A11" s="272" t="s">
        <v>109</v>
      </c>
      <c r="B11" s="293">
        <v>0</v>
      </c>
      <c r="C11" s="293">
        <f>SUM('- 6 -'!$B11:H11,B11)</f>
        <v>1647</v>
      </c>
      <c r="D11" s="293"/>
      <c r="E11" s="98"/>
      <c r="F11" s="293">
        <f>C11+D11</f>
        <v>1647</v>
      </c>
    </row>
    <row r="12" spans="1:7" ht="14.1" customHeight="1">
      <c r="A12" s="16" t="s">
        <v>110</v>
      </c>
      <c r="B12" s="48">
        <v>165</v>
      </c>
      <c r="C12" s="48">
        <f>SUM('- 6 -'!$B12:H12,B12)</f>
        <v>2169</v>
      </c>
      <c r="D12" s="48"/>
      <c r="E12" s="98"/>
      <c r="F12" s="48">
        <f t="shared" ref="F12:F46" si="0">C12+D12</f>
        <v>2169</v>
      </c>
    </row>
    <row r="13" spans="1:7" ht="14.1" customHeight="1">
      <c r="A13" s="272" t="s">
        <v>111</v>
      </c>
      <c r="B13" s="293">
        <v>421</v>
      </c>
      <c r="C13" s="293">
        <f>SUM('- 6 -'!$B13:H13,B13)</f>
        <v>8167.5</v>
      </c>
      <c r="D13" s="293"/>
      <c r="E13" s="98"/>
      <c r="F13" s="293">
        <f t="shared" si="0"/>
        <v>8167.5</v>
      </c>
    </row>
    <row r="14" spans="1:7" ht="14.1" customHeight="1">
      <c r="A14" s="16" t="s">
        <v>324</v>
      </c>
      <c r="B14" s="48">
        <v>0</v>
      </c>
      <c r="C14" s="48">
        <f>SUM('- 6 -'!$B14:H14,B14)</f>
        <v>5323</v>
      </c>
      <c r="D14" s="48"/>
      <c r="E14" s="98"/>
      <c r="F14" s="48">
        <f t="shared" si="0"/>
        <v>5323</v>
      </c>
    </row>
    <row r="15" spans="1:7" ht="14.1" customHeight="1">
      <c r="A15" s="272" t="s">
        <v>112</v>
      </c>
      <c r="B15" s="293">
        <v>20</v>
      </c>
      <c r="C15" s="293">
        <f>SUM('- 6 -'!$B15:H15,B15)</f>
        <v>1426.5</v>
      </c>
      <c r="D15" s="293"/>
      <c r="E15" s="98"/>
      <c r="F15" s="293">
        <f t="shared" si="0"/>
        <v>1426.5</v>
      </c>
    </row>
    <row r="16" spans="1:7" ht="14.1" customHeight="1">
      <c r="A16" s="16" t="s">
        <v>113</v>
      </c>
      <c r="B16" s="48">
        <v>26.1</v>
      </c>
      <c r="C16" s="48">
        <f>SUM('- 6 -'!$B16:H16,B16)</f>
        <v>939</v>
      </c>
      <c r="D16" s="48"/>
      <c r="E16" s="98"/>
      <c r="F16" s="48">
        <f t="shared" si="0"/>
        <v>939</v>
      </c>
    </row>
    <row r="17" spans="1:6" ht="14.1" customHeight="1">
      <c r="A17" s="272" t="s">
        <v>114</v>
      </c>
      <c r="B17" s="293">
        <v>30</v>
      </c>
      <c r="C17" s="293">
        <f>SUM('- 6 -'!$B17:H17,B17)</f>
        <v>1358.5</v>
      </c>
      <c r="D17" s="293"/>
      <c r="E17" s="98"/>
      <c r="F17" s="293">
        <f t="shared" si="0"/>
        <v>1358.5</v>
      </c>
    </row>
    <row r="18" spans="1:6" ht="14.1" customHeight="1">
      <c r="A18" s="16" t="s">
        <v>115</v>
      </c>
      <c r="B18" s="48">
        <v>50.5</v>
      </c>
      <c r="C18" s="48">
        <f>SUM('- 6 -'!$B18:H18,B18)</f>
        <v>6261.6</v>
      </c>
      <c r="D18" s="48"/>
      <c r="E18" s="98"/>
      <c r="F18" s="48">
        <f t="shared" si="0"/>
        <v>6261.6</v>
      </c>
    </row>
    <row r="19" spans="1:6" ht="14.1" customHeight="1">
      <c r="A19" s="272" t="s">
        <v>116</v>
      </c>
      <c r="B19" s="293">
        <v>134.4</v>
      </c>
      <c r="C19" s="293">
        <f>SUM('- 6 -'!$B19:H19,B19)</f>
        <v>4198</v>
      </c>
      <c r="D19" s="293"/>
      <c r="E19" s="98"/>
      <c r="F19" s="293">
        <f t="shared" si="0"/>
        <v>4198</v>
      </c>
    </row>
    <row r="20" spans="1:6" ht="14.1" customHeight="1">
      <c r="A20" s="16" t="s">
        <v>117</v>
      </c>
      <c r="B20" s="48">
        <v>450.29</v>
      </c>
      <c r="C20" s="48">
        <f>SUM('- 6 -'!$B20:H20,B20)</f>
        <v>7471</v>
      </c>
      <c r="D20" s="48"/>
      <c r="E20" s="98"/>
      <c r="F20" s="48">
        <f t="shared" si="0"/>
        <v>7471</v>
      </c>
    </row>
    <row r="21" spans="1:6" ht="14.1" customHeight="1">
      <c r="A21" s="272" t="s">
        <v>118</v>
      </c>
      <c r="B21" s="293">
        <v>0</v>
      </c>
      <c r="C21" s="293">
        <f>SUM('- 6 -'!$B21:H21,B21)</f>
        <v>2697</v>
      </c>
      <c r="D21" s="293"/>
      <c r="E21" s="98"/>
      <c r="F21" s="293">
        <f t="shared" si="0"/>
        <v>2697</v>
      </c>
    </row>
    <row r="22" spans="1:6" ht="14.1" customHeight="1">
      <c r="A22" s="16" t="s">
        <v>119</v>
      </c>
      <c r="B22" s="48">
        <v>0</v>
      </c>
      <c r="C22" s="48">
        <f>SUM('- 6 -'!$B22:H22,B22)</f>
        <v>1568.2</v>
      </c>
      <c r="D22" s="48"/>
      <c r="E22" s="98"/>
      <c r="F22" s="48">
        <f t="shared" si="0"/>
        <v>1568.2</v>
      </c>
    </row>
    <row r="23" spans="1:6" ht="14.1" customHeight="1">
      <c r="A23" s="272" t="s">
        <v>120</v>
      </c>
      <c r="B23" s="293">
        <v>14</v>
      </c>
      <c r="C23" s="293">
        <f>SUM('- 6 -'!$B23:H23,B23)</f>
        <v>1114</v>
      </c>
      <c r="D23" s="293"/>
      <c r="E23" s="98"/>
      <c r="F23" s="293">
        <f t="shared" si="0"/>
        <v>1114</v>
      </c>
    </row>
    <row r="24" spans="1:6" ht="14.1" customHeight="1">
      <c r="A24" s="16" t="s">
        <v>121</v>
      </c>
      <c r="B24" s="48">
        <v>334</v>
      </c>
      <c r="C24" s="48">
        <f>SUM('- 6 -'!$B24:H24,B24)</f>
        <v>3975.5</v>
      </c>
      <c r="D24" s="48"/>
      <c r="E24" s="98"/>
      <c r="F24" s="48">
        <f t="shared" si="0"/>
        <v>3975.5</v>
      </c>
    </row>
    <row r="25" spans="1:6" ht="14.1" customHeight="1">
      <c r="A25" s="272" t="s">
        <v>122</v>
      </c>
      <c r="B25" s="293">
        <v>154</v>
      </c>
      <c r="C25" s="293">
        <f>SUM('- 6 -'!$B25:H25,B25)</f>
        <v>13985.5</v>
      </c>
      <c r="D25" s="293"/>
      <c r="E25" s="98"/>
      <c r="F25" s="293">
        <f t="shared" si="0"/>
        <v>13985.5</v>
      </c>
    </row>
    <row r="26" spans="1:6" ht="14.1" customHeight="1">
      <c r="A26" s="16" t="s">
        <v>123</v>
      </c>
      <c r="B26" s="48">
        <v>119</v>
      </c>
      <c r="C26" s="48">
        <f>SUM('- 6 -'!$B26:H26,B26)</f>
        <v>3107.5</v>
      </c>
      <c r="D26" s="48"/>
      <c r="E26" s="98"/>
      <c r="F26" s="48">
        <f t="shared" si="0"/>
        <v>3107.5</v>
      </c>
    </row>
    <row r="27" spans="1:6" ht="14.1" customHeight="1">
      <c r="A27" s="272" t="s">
        <v>124</v>
      </c>
      <c r="B27" s="293">
        <v>225.35714285714286</v>
      </c>
      <c r="C27" s="293">
        <f>SUM('- 6 -'!$B27:H27,B27)</f>
        <v>2860.3571428571427</v>
      </c>
      <c r="D27" s="293"/>
      <c r="E27" s="98"/>
      <c r="F27" s="293">
        <f t="shared" si="0"/>
        <v>2860.3571428571427</v>
      </c>
    </row>
    <row r="28" spans="1:6" ht="14.1" customHeight="1">
      <c r="A28" s="16" t="s">
        <v>125</v>
      </c>
      <c r="B28" s="48">
        <v>0</v>
      </c>
      <c r="C28" s="48">
        <f>SUM('- 6 -'!$B28:H28,B28)</f>
        <v>1970.5</v>
      </c>
      <c r="D28" s="48"/>
      <c r="E28" s="98"/>
      <c r="F28" s="48">
        <f t="shared" si="0"/>
        <v>1970.5</v>
      </c>
    </row>
    <row r="29" spans="1:6" ht="14.1" customHeight="1">
      <c r="A29" s="272" t="s">
        <v>126</v>
      </c>
      <c r="B29" s="293">
        <v>0</v>
      </c>
      <c r="C29" s="293">
        <f>SUM('- 6 -'!$B29:H29,B29)</f>
        <v>12344</v>
      </c>
      <c r="D29" s="293"/>
      <c r="E29" s="98"/>
      <c r="F29" s="293">
        <f t="shared" si="0"/>
        <v>12344</v>
      </c>
    </row>
    <row r="30" spans="1:6" ht="14.1" customHeight="1">
      <c r="A30" s="16" t="s">
        <v>127</v>
      </c>
      <c r="B30" s="48">
        <v>27</v>
      </c>
      <c r="C30" s="48">
        <f>SUM('- 6 -'!$B30:H30,B30)</f>
        <v>1026</v>
      </c>
      <c r="D30" s="48"/>
      <c r="E30" s="98"/>
      <c r="F30" s="48">
        <f t="shared" si="0"/>
        <v>1026</v>
      </c>
    </row>
    <row r="31" spans="1:6" ht="14.1" customHeight="1">
      <c r="A31" s="272" t="s">
        <v>128</v>
      </c>
      <c r="B31" s="293">
        <v>76</v>
      </c>
      <c r="C31" s="293">
        <f>SUM('- 6 -'!$B31:H31,B31)</f>
        <v>3192</v>
      </c>
      <c r="D31" s="293"/>
      <c r="E31" s="98"/>
      <c r="F31" s="293">
        <f t="shared" si="0"/>
        <v>3192</v>
      </c>
    </row>
    <row r="32" spans="1:6" ht="14.1" customHeight="1">
      <c r="A32" s="16" t="s">
        <v>129</v>
      </c>
      <c r="B32" s="48">
        <v>40.25</v>
      </c>
      <c r="C32" s="48">
        <f>SUM('- 6 -'!$B32:H32,B32)</f>
        <v>2117.9499999999998</v>
      </c>
      <c r="D32" s="48"/>
      <c r="E32" s="98"/>
      <c r="F32" s="498">
        <f>C32+D32</f>
        <v>2117.9499999999998</v>
      </c>
    </row>
    <row r="33" spans="1:7" ht="14.1" customHeight="1">
      <c r="A33" s="272" t="s">
        <v>130</v>
      </c>
      <c r="B33" s="293">
        <v>52</v>
      </c>
      <c r="C33" s="293">
        <f>SUM('- 6 -'!$B33:H33,B33)</f>
        <v>1977.5</v>
      </c>
      <c r="D33" s="293"/>
      <c r="E33" s="98"/>
      <c r="F33" s="293">
        <f t="shared" si="0"/>
        <v>1977.5</v>
      </c>
    </row>
    <row r="34" spans="1:7" ht="14.1" customHeight="1">
      <c r="A34" s="16" t="s">
        <v>131</v>
      </c>
      <c r="B34" s="48">
        <v>22.3</v>
      </c>
      <c r="C34" s="48">
        <f>SUM('- 6 -'!$B34:H34,B34)</f>
        <v>1974.8</v>
      </c>
      <c r="D34" s="48"/>
      <c r="E34" s="98"/>
      <c r="F34" s="48">
        <f t="shared" si="0"/>
        <v>1974.8</v>
      </c>
    </row>
    <row r="35" spans="1:7" ht="14.1" customHeight="1">
      <c r="A35" s="272" t="s">
        <v>132</v>
      </c>
      <c r="B35" s="293">
        <v>656</v>
      </c>
      <c r="C35" s="293">
        <f>SUM('- 6 -'!$B35:H35,B35)</f>
        <v>15621</v>
      </c>
      <c r="D35" s="293"/>
      <c r="E35" s="98"/>
      <c r="F35" s="293">
        <f t="shared" si="0"/>
        <v>15621</v>
      </c>
    </row>
    <row r="36" spans="1:7" ht="14.1" customHeight="1">
      <c r="A36" s="16" t="s">
        <v>133</v>
      </c>
      <c r="B36" s="48">
        <v>11</v>
      </c>
      <c r="C36" s="48">
        <f>SUM('- 6 -'!$B36:H36,B36)</f>
        <v>1677.5</v>
      </c>
      <c r="D36" s="48"/>
      <c r="E36" s="98"/>
      <c r="F36" s="48">
        <f t="shared" si="0"/>
        <v>1677.5</v>
      </c>
    </row>
    <row r="37" spans="1:7" ht="14.1" customHeight="1">
      <c r="A37" s="272" t="s">
        <v>134</v>
      </c>
      <c r="B37" s="293">
        <v>0</v>
      </c>
      <c r="C37" s="293">
        <f>SUM('- 6 -'!$B37:H37,B37)</f>
        <v>3948.5</v>
      </c>
      <c r="D37" s="293"/>
      <c r="E37" s="98"/>
      <c r="F37" s="293">
        <f t="shared" si="0"/>
        <v>3948.5</v>
      </c>
    </row>
    <row r="38" spans="1:7" ht="14.1" customHeight="1">
      <c r="A38" s="16" t="s">
        <v>135</v>
      </c>
      <c r="B38" s="48">
        <v>210</v>
      </c>
      <c r="C38" s="48">
        <f>SUM('- 6 -'!$B38:H38,B38)</f>
        <v>10755</v>
      </c>
      <c r="D38" s="48"/>
      <c r="E38" s="98"/>
      <c r="F38" s="48">
        <f t="shared" si="0"/>
        <v>10755</v>
      </c>
    </row>
    <row r="39" spans="1:7" ht="14.1" customHeight="1">
      <c r="A39" s="272" t="s">
        <v>136</v>
      </c>
      <c r="B39" s="293">
        <v>19</v>
      </c>
      <c r="C39" s="293">
        <f>SUM('- 6 -'!$B39:H39,B39)</f>
        <v>1554</v>
      </c>
      <c r="D39" s="293"/>
      <c r="E39" s="98"/>
      <c r="F39" s="293">
        <f t="shared" si="0"/>
        <v>1554</v>
      </c>
    </row>
    <row r="40" spans="1:7" ht="14.1" customHeight="1">
      <c r="A40" s="16" t="s">
        <v>137</v>
      </c>
      <c r="B40" s="48">
        <v>302.10000000000002</v>
      </c>
      <c r="C40" s="48">
        <f>SUM('- 6 -'!$B40:H40,B40)</f>
        <v>7844.36</v>
      </c>
      <c r="D40" s="48"/>
      <c r="E40" s="98"/>
      <c r="F40" s="48">
        <f t="shared" si="0"/>
        <v>7844.36</v>
      </c>
    </row>
    <row r="41" spans="1:7" ht="14.1" customHeight="1">
      <c r="A41" s="272" t="s">
        <v>138</v>
      </c>
      <c r="B41" s="293">
        <v>0</v>
      </c>
      <c r="C41" s="293">
        <f>SUM('- 6 -'!$B41:H41,B41)</f>
        <v>4355.5</v>
      </c>
      <c r="D41" s="293"/>
      <c r="E41" s="98"/>
      <c r="F41" s="293">
        <f t="shared" si="0"/>
        <v>4355.5</v>
      </c>
    </row>
    <row r="42" spans="1:7" ht="14.1" customHeight="1">
      <c r="A42" s="16" t="s">
        <v>139</v>
      </c>
      <c r="B42" s="48">
        <v>150</v>
      </c>
      <c r="C42" s="48">
        <f>SUM('- 6 -'!$B42:H42,B42)</f>
        <v>1373</v>
      </c>
      <c r="D42" s="48"/>
      <c r="E42" s="98"/>
      <c r="F42" s="48">
        <f t="shared" si="0"/>
        <v>1373</v>
      </c>
    </row>
    <row r="43" spans="1:7" ht="14.1" customHeight="1">
      <c r="A43" s="272" t="s">
        <v>140</v>
      </c>
      <c r="B43" s="293">
        <v>25</v>
      </c>
      <c r="C43" s="293">
        <f>SUM('- 6 -'!$B43:H43,B43)</f>
        <v>937</v>
      </c>
      <c r="D43" s="293"/>
      <c r="E43" s="98"/>
      <c r="F43" s="293">
        <f t="shared" si="0"/>
        <v>937</v>
      </c>
    </row>
    <row r="44" spans="1:7" ht="14.1" customHeight="1">
      <c r="A44" s="16" t="s">
        <v>141</v>
      </c>
      <c r="B44" s="48">
        <v>0</v>
      </c>
      <c r="C44" s="48">
        <f>SUM('- 6 -'!$B44:H44,B44)</f>
        <v>710</v>
      </c>
      <c r="D44" s="48"/>
      <c r="E44" s="98"/>
      <c r="F44" s="48">
        <f t="shared" si="0"/>
        <v>710</v>
      </c>
    </row>
    <row r="45" spans="1:7" ht="14.1" customHeight="1">
      <c r="A45" s="272" t="s">
        <v>142</v>
      </c>
      <c r="B45" s="293">
        <v>30</v>
      </c>
      <c r="C45" s="293">
        <f>SUM('- 6 -'!$B45:H45,B45)</f>
        <v>1685</v>
      </c>
      <c r="D45" s="293"/>
      <c r="E45" s="98"/>
      <c r="F45" s="293">
        <f t="shared" si="0"/>
        <v>1685</v>
      </c>
    </row>
    <row r="46" spans="1:7" ht="14.1" customHeight="1">
      <c r="A46" s="16" t="s">
        <v>143</v>
      </c>
      <c r="B46" s="48">
        <v>704.4</v>
      </c>
      <c r="C46" s="48">
        <f>SUM('- 6 -'!$B46:H46,B46)</f>
        <v>30216</v>
      </c>
      <c r="D46" s="48"/>
      <c r="E46" s="98"/>
      <c r="F46" s="48">
        <f t="shared" si="0"/>
        <v>30216</v>
      </c>
    </row>
    <row r="47" spans="1:7" ht="5.0999999999999996" customHeight="1">
      <c r="A47"/>
      <c r="B47"/>
      <c r="C47"/>
      <c r="D47"/>
      <c r="E47"/>
      <c r="F47"/>
      <c r="G47"/>
    </row>
    <row r="48" spans="1:7" ht="14.1" customHeight="1">
      <c r="A48" s="275" t="s">
        <v>144</v>
      </c>
      <c r="B48" s="294">
        <f>SUM(B11:B46)</f>
        <v>4468.6971428571424</v>
      </c>
      <c r="C48" s="294">
        <f>SUM(C11:C46)</f>
        <v>173548.76714285713</v>
      </c>
      <c r="D48" s="294"/>
      <c r="E48" s="99"/>
      <c r="F48" s="294">
        <f>SUM(F11:F46)</f>
        <v>173548.76714285713</v>
      </c>
    </row>
    <row r="49" spans="1:7" ht="5.0999999999999996" customHeight="1">
      <c r="A49" s="18" t="s">
        <v>1</v>
      </c>
      <c r="B49" s="51"/>
      <c r="C49" s="51"/>
      <c r="D49" s="51"/>
      <c r="E49" s="97"/>
      <c r="F49" s="51"/>
    </row>
    <row r="50" spans="1:7" ht="14.1" customHeight="1">
      <c r="A50" s="16" t="s">
        <v>145</v>
      </c>
      <c r="B50" s="48">
        <v>0</v>
      </c>
      <c r="C50" s="48">
        <f>SUM('- 6 -'!$B50:H50,B50)</f>
        <v>162</v>
      </c>
      <c r="D50" s="48"/>
      <c r="E50" s="98"/>
      <c r="F50" s="48">
        <f>C50+D50</f>
        <v>162</v>
      </c>
    </row>
    <row r="51" spans="1:7" ht="14.1" customHeight="1">
      <c r="A51" s="364" t="s">
        <v>540</v>
      </c>
      <c r="B51" s="293">
        <v>565</v>
      </c>
      <c r="C51" s="293">
        <f>SUM('- 6 -'!$B51:H51,B51)</f>
        <v>700.9</v>
      </c>
      <c r="D51" s="293"/>
      <c r="E51" s="98"/>
      <c r="F51" s="293">
        <f>C51+D51</f>
        <v>700.9</v>
      </c>
    </row>
    <row r="52" spans="1:7" ht="50.1" customHeight="1">
      <c r="A52" s="374"/>
      <c r="B52" s="374"/>
      <c r="C52" s="374"/>
      <c r="D52" s="374"/>
      <c r="E52" s="374"/>
      <c r="F52" s="374"/>
      <c r="G52" s="374"/>
    </row>
    <row r="53" spans="1:7" ht="15" customHeight="1">
      <c r="A53" s="553" t="s">
        <v>559</v>
      </c>
      <c r="B53" s="553"/>
      <c r="C53" s="553"/>
      <c r="D53" s="553"/>
      <c r="E53" s="553"/>
      <c r="F53" s="553"/>
      <c r="G53" s="553"/>
    </row>
    <row r="54" spans="1:7" ht="12" customHeight="1">
      <c r="A54" s="554"/>
      <c r="B54" s="554"/>
      <c r="C54" s="554"/>
      <c r="D54" s="554"/>
      <c r="E54" s="554"/>
      <c r="F54" s="554"/>
      <c r="G54" s="554"/>
    </row>
    <row r="55" spans="1:7">
      <c r="A55" s="21" t="s">
        <v>361</v>
      </c>
    </row>
    <row r="56" spans="1:7" ht="14.45" customHeight="1"/>
    <row r="57" spans="1:7" ht="14.45" customHeight="1"/>
    <row r="58" spans="1:7" ht="14.45" customHeight="1"/>
    <row r="59" spans="1:7" ht="14.45" customHeight="1"/>
  </sheetData>
  <mergeCells count="6">
    <mergeCell ref="A53:G54"/>
    <mergeCell ref="F6:F7"/>
    <mergeCell ref="B6:C7"/>
    <mergeCell ref="B8:B9"/>
    <mergeCell ref="C8:C9"/>
    <mergeCell ref="F8:F9"/>
  </mergeCells>
  <phoneticPr fontId="0" type="noConversion"/>
  <printOptions horizontalCentered="1"/>
  <pageMargins left="0.5" right="0.5" top="0.6" bottom="0" header="0.3" footer="0"/>
  <pageSetup scale="91" orientation="portrait"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6111">
    <pageSetUpPr fitToPage="1"/>
  </sheetPr>
  <dimension ref="A1:K60"/>
  <sheetViews>
    <sheetView showGridLines="0" showZeros="0" workbookViewId="0"/>
  </sheetViews>
  <sheetFormatPr defaultColWidth="14.83203125" defaultRowHeight="12"/>
  <cols>
    <col min="1" max="1" width="26.83203125" style="1" customWidth="1"/>
    <col min="2" max="2" width="16.83203125" style="1" customWidth="1"/>
    <col min="3" max="3" width="16.33203125" style="1" customWidth="1"/>
    <col min="4" max="4" width="14.1640625" style="1" customWidth="1"/>
    <col min="5" max="5" width="15.5" style="1" customWidth="1"/>
    <col min="6" max="6" width="16.33203125" style="1" customWidth="1"/>
    <col min="7" max="7" width="15.6640625" style="1" customWidth="1"/>
    <col min="8" max="8" width="11.83203125" style="1" customWidth="1"/>
    <col min="9" max="10" width="14.83203125" style="1" hidden="1" customWidth="1"/>
    <col min="11" max="16384" width="14.83203125" style="1"/>
  </cols>
  <sheetData>
    <row r="1" spans="1:11" ht="6.95" customHeight="1">
      <c r="A1" s="3"/>
      <c r="B1" s="4"/>
      <c r="C1" s="4"/>
      <c r="D1" s="4"/>
    </row>
    <row r="2" spans="1:11" ht="20.100000000000001" customHeight="1">
      <c r="A2" s="220"/>
      <c r="B2" s="220" t="s">
        <v>581</v>
      </c>
      <c r="C2" s="367"/>
      <c r="D2" s="367"/>
      <c r="E2" s="367"/>
      <c r="F2" s="367"/>
      <c r="G2" s="367"/>
      <c r="H2" s="369" t="s">
        <v>228</v>
      </c>
    </row>
    <row r="3" spans="1:11" ht="20.100000000000001" customHeight="1">
      <c r="A3" s="5"/>
      <c r="B3" s="221"/>
      <c r="C3" s="222"/>
      <c r="D3" s="222"/>
      <c r="E3" s="222"/>
      <c r="F3" s="222"/>
      <c r="G3" s="222"/>
      <c r="H3" s="223"/>
    </row>
    <row r="4" spans="1:11" ht="15.95" customHeight="1">
      <c r="A4" s="224"/>
      <c r="B4" s="785" t="s">
        <v>229</v>
      </c>
      <c r="C4" s="786"/>
      <c r="D4" s="786"/>
      <c r="E4" s="786"/>
      <c r="F4" s="786"/>
      <c r="G4" s="786"/>
      <c r="H4" s="787"/>
    </row>
    <row r="5" spans="1:11" ht="13.5" customHeight="1">
      <c r="A5" s="225"/>
      <c r="B5" s="226"/>
      <c r="C5" s="226"/>
      <c r="D5" s="226"/>
      <c r="E5" s="226"/>
      <c r="F5" s="226"/>
      <c r="G5" s="226"/>
      <c r="H5" s="226"/>
    </row>
    <row r="6" spans="1:11" ht="14.1" customHeight="1">
      <c r="A6" s="225"/>
      <c r="B6" s="211"/>
      <c r="C6" s="211"/>
      <c r="D6" s="211"/>
      <c r="E6" s="211"/>
      <c r="F6" s="211"/>
      <c r="G6" s="771" t="s">
        <v>590</v>
      </c>
      <c r="H6" s="724" t="s">
        <v>591</v>
      </c>
    </row>
    <row r="7" spans="1:11" ht="14.1" customHeight="1">
      <c r="A7" s="225"/>
      <c r="B7" s="227"/>
      <c r="C7" s="115"/>
      <c r="D7" s="771" t="s">
        <v>519</v>
      </c>
      <c r="E7" s="227"/>
      <c r="F7" s="227"/>
      <c r="G7" s="771"/>
      <c r="H7" s="771"/>
    </row>
    <row r="8" spans="1:11" ht="14.1" customHeight="1">
      <c r="A8" s="225"/>
      <c r="B8" s="771" t="s">
        <v>517</v>
      </c>
      <c r="C8" s="771" t="s">
        <v>518</v>
      </c>
      <c r="D8" s="771"/>
      <c r="E8" s="227"/>
      <c r="F8" s="771" t="s">
        <v>601</v>
      </c>
      <c r="G8" s="771"/>
      <c r="H8" s="771"/>
    </row>
    <row r="9" spans="1:11" ht="14.1" customHeight="1">
      <c r="A9" s="225"/>
      <c r="B9" s="771"/>
      <c r="C9" s="771"/>
      <c r="D9" s="771"/>
      <c r="E9" s="771" t="s">
        <v>520</v>
      </c>
      <c r="F9" s="771"/>
      <c r="G9" s="771"/>
      <c r="H9" s="771"/>
    </row>
    <row r="10" spans="1:11" ht="14.1" customHeight="1">
      <c r="A10" s="13"/>
      <c r="B10" s="771"/>
      <c r="C10" s="771"/>
      <c r="D10" s="771"/>
      <c r="E10" s="771"/>
      <c r="F10" s="771"/>
      <c r="G10" s="771"/>
      <c r="H10" s="771"/>
    </row>
    <row r="11" spans="1:11" ht="14.1" customHeight="1">
      <c r="A11" s="14" t="s">
        <v>37</v>
      </c>
      <c r="B11" s="772"/>
      <c r="C11" s="772"/>
      <c r="D11" s="772"/>
      <c r="E11" s="772"/>
      <c r="F11" s="772"/>
      <c r="G11" s="772"/>
      <c r="H11" s="772"/>
    </row>
    <row r="12" spans="1:11" ht="5.0999999999999996" customHeight="1">
      <c r="A12" s="15"/>
      <c r="C12" s="205"/>
      <c r="D12" s="183"/>
      <c r="E12" s="3"/>
    </row>
    <row r="13" spans="1:11" ht="14.1" customHeight="1">
      <c r="A13" s="272" t="s">
        <v>109</v>
      </c>
      <c r="B13" s="273">
        <f>'- 3 -'!B11</f>
        <v>18468380</v>
      </c>
      <c r="C13" s="273">
        <v>145000</v>
      </c>
      <c r="D13" s="273">
        <v>0</v>
      </c>
      <c r="E13" s="273">
        <f>SUM(B13:D13)</f>
        <v>18613380</v>
      </c>
      <c r="F13" s="273">
        <f>'- 56 -'!D12</f>
        <v>599515</v>
      </c>
      <c r="G13" s="274">
        <f>F13/E13*100</f>
        <v>3.2208819677028031</v>
      </c>
      <c r="H13" s="274">
        <v>4.1300000000000008</v>
      </c>
      <c r="I13" s="339">
        <v>3.2208819677028031E-2</v>
      </c>
      <c r="J13" s="330">
        <v>18613380</v>
      </c>
      <c r="K13" s="1">
        <f t="shared" ref="K13:K48" si="0">J13-E13</f>
        <v>0</v>
      </c>
    </row>
    <row r="14" spans="1:11" ht="14.1" customHeight="1">
      <c r="A14" s="16" t="s">
        <v>110</v>
      </c>
      <c r="B14" s="17">
        <f>'- 3 -'!B12</f>
        <v>32439169</v>
      </c>
      <c r="C14" s="17">
        <v>600000</v>
      </c>
      <c r="D14" s="17">
        <v>-615175</v>
      </c>
      <c r="E14" s="17">
        <f t="shared" ref="E14:E48" si="1">SUM(B14:D14)</f>
        <v>32423994</v>
      </c>
      <c r="F14" s="17">
        <f>'- 56 -'!D13</f>
        <v>1041839</v>
      </c>
      <c r="G14" s="268">
        <f>F14/E14*100</f>
        <v>3.2131729360670374</v>
      </c>
      <c r="H14" s="268">
        <v>4.03</v>
      </c>
      <c r="I14" s="340">
        <v>3.2131729360670373E-2</v>
      </c>
      <c r="J14" s="331">
        <v>32423994</v>
      </c>
      <c r="K14" s="1">
        <f t="shared" si="0"/>
        <v>0</v>
      </c>
    </row>
    <row r="15" spans="1:11" ht="14.1" customHeight="1">
      <c r="A15" s="272" t="s">
        <v>111</v>
      </c>
      <c r="B15" s="273">
        <f>'- 3 -'!B13</f>
        <v>93025700</v>
      </c>
      <c r="C15" s="273">
        <v>814000</v>
      </c>
      <c r="D15" s="273">
        <v>0</v>
      </c>
      <c r="E15" s="273">
        <f t="shared" si="1"/>
        <v>93839700</v>
      </c>
      <c r="F15" s="273">
        <f>'- 56 -'!D14</f>
        <v>3156700</v>
      </c>
      <c r="G15" s="274">
        <f>F15/E15*100</f>
        <v>3.3639280602985733</v>
      </c>
      <c r="H15" s="274">
        <v>3.5000000000000004</v>
      </c>
      <c r="I15" s="339">
        <v>3.3639280602985731E-2</v>
      </c>
      <c r="J15" s="330">
        <v>93839700</v>
      </c>
      <c r="K15" s="1">
        <f t="shared" si="0"/>
        <v>0</v>
      </c>
    </row>
    <row r="16" spans="1:11" ht="14.1" customHeight="1">
      <c r="A16" s="16" t="s">
        <v>324</v>
      </c>
      <c r="B16" s="17"/>
      <c r="C16" s="17"/>
      <c r="D16" s="17"/>
      <c r="E16" s="17"/>
      <c r="F16" s="17"/>
      <c r="G16" s="335" t="s">
        <v>89</v>
      </c>
      <c r="H16" s="335" t="s">
        <v>89</v>
      </c>
      <c r="I16" s="341"/>
      <c r="J16" s="331"/>
      <c r="K16" s="1">
        <f t="shared" si="0"/>
        <v>0</v>
      </c>
    </row>
    <row r="17" spans="1:11" ht="14.1" customHeight="1">
      <c r="A17" s="272" t="s">
        <v>112</v>
      </c>
      <c r="B17" s="273">
        <f>'- 3 -'!B15</f>
        <v>20176527</v>
      </c>
      <c r="C17" s="273">
        <v>334163</v>
      </c>
      <c r="D17" s="273">
        <v>0</v>
      </c>
      <c r="E17" s="273">
        <f t="shared" si="1"/>
        <v>20510690</v>
      </c>
      <c r="F17" s="273">
        <f>'- 56 -'!D16</f>
        <v>792200</v>
      </c>
      <c r="G17" s="274">
        <f>F17/E17*100</f>
        <v>3.8623761560435073</v>
      </c>
      <c r="H17" s="274">
        <v>4.17</v>
      </c>
      <c r="I17" s="339">
        <v>3.8623761560435073E-2</v>
      </c>
      <c r="J17" s="330">
        <v>20510690</v>
      </c>
      <c r="K17" s="1">
        <f t="shared" si="0"/>
        <v>0</v>
      </c>
    </row>
    <row r="18" spans="1:11" ht="14.1" customHeight="1">
      <c r="A18" s="16" t="s">
        <v>113</v>
      </c>
      <c r="B18" s="17">
        <f>'- 3 -'!B16</f>
        <v>14067673</v>
      </c>
      <c r="C18" s="17">
        <v>30000</v>
      </c>
      <c r="D18" s="17">
        <v>-92300</v>
      </c>
      <c r="E18" s="17">
        <f t="shared" si="1"/>
        <v>14005373</v>
      </c>
      <c r="F18" s="17">
        <f>'- 56 -'!D17</f>
        <v>634313</v>
      </c>
      <c r="G18" s="268">
        <f>F18/E18*100</f>
        <v>4.529068950894775</v>
      </c>
      <c r="H18" s="268">
        <v>5</v>
      </c>
      <c r="I18" s="340">
        <v>4.5290689508947747E-2</v>
      </c>
      <c r="J18" s="331">
        <v>14005373</v>
      </c>
      <c r="K18" s="1">
        <f t="shared" si="0"/>
        <v>0</v>
      </c>
    </row>
    <row r="19" spans="1:11" ht="14.1" customHeight="1">
      <c r="A19" s="272" t="s">
        <v>114</v>
      </c>
      <c r="B19" s="273">
        <f>'- 3 -'!B17</f>
        <v>17669215</v>
      </c>
      <c r="C19" s="273">
        <v>225000</v>
      </c>
      <c r="D19" s="273">
        <v>0</v>
      </c>
      <c r="E19" s="273">
        <f t="shared" si="1"/>
        <v>17894215</v>
      </c>
      <c r="F19" s="273">
        <f>'- 56 -'!D18</f>
        <v>743567</v>
      </c>
      <c r="G19" s="274">
        <f>F19/E19*100</f>
        <v>4.1553485302372861</v>
      </c>
      <c r="H19" s="274">
        <v>4.18</v>
      </c>
      <c r="I19" s="339">
        <v>4.1553485302372864E-2</v>
      </c>
      <c r="J19" s="330">
        <v>17894215</v>
      </c>
      <c r="K19" s="1">
        <f t="shared" si="0"/>
        <v>0</v>
      </c>
    </row>
    <row r="20" spans="1:11" ht="14.1" customHeight="1">
      <c r="A20" s="16" t="s">
        <v>115</v>
      </c>
      <c r="B20" s="17"/>
      <c r="C20" s="17"/>
      <c r="D20" s="17"/>
      <c r="E20" s="17"/>
      <c r="F20" s="17"/>
      <c r="G20" s="335" t="s">
        <v>89</v>
      </c>
      <c r="H20" s="335" t="s">
        <v>89</v>
      </c>
      <c r="I20" s="341"/>
      <c r="J20" s="331"/>
      <c r="K20" s="1">
        <f t="shared" si="0"/>
        <v>0</v>
      </c>
    </row>
    <row r="21" spans="1:11" ht="14.1" customHeight="1">
      <c r="A21" s="272" t="s">
        <v>116</v>
      </c>
      <c r="B21" s="273">
        <f>'- 3 -'!B19</f>
        <v>45295420</v>
      </c>
      <c r="C21" s="273">
        <v>1897900</v>
      </c>
      <c r="D21" s="273">
        <v>0</v>
      </c>
      <c r="E21" s="273">
        <f t="shared" si="1"/>
        <v>47193320</v>
      </c>
      <c r="F21" s="273">
        <f>'- 56 -'!D20</f>
        <v>1485370</v>
      </c>
      <c r="G21" s="274">
        <f t="shared" ref="G21:G48" si="2">F21/E21*100</f>
        <v>3.1474157783347305</v>
      </c>
      <c r="H21" s="274">
        <v>3.65</v>
      </c>
      <c r="I21" s="339">
        <v>3.1474157783347306E-2</v>
      </c>
      <c r="J21" s="330">
        <v>47193320</v>
      </c>
      <c r="K21" s="1">
        <f t="shared" si="0"/>
        <v>0</v>
      </c>
    </row>
    <row r="22" spans="1:11" ht="14.1" customHeight="1">
      <c r="A22" s="16" t="s">
        <v>117</v>
      </c>
      <c r="B22" s="17">
        <f>'- 3 -'!B20</f>
        <v>80028300</v>
      </c>
      <c r="C22" s="17">
        <v>2099100</v>
      </c>
      <c r="D22" s="17">
        <v>0</v>
      </c>
      <c r="E22" s="17">
        <f t="shared" si="1"/>
        <v>82127400</v>
      </c>
      <c r="F22" s="17">
        <f>'- 56 -'!D21</f>
        <v>2178300</v>
      </c>
      <c r="G22" s="268">
        <f t="shared" si="2"/>
        <v>2.6523425799428693</v>
      </c>
      <c r="H22" s="268">
        <v>3.5000000000000004</v>
      </c>
      <c r="I22" s="340">
        <v>2.6523425799428693E-2</v>
      </c>
      <c r="J22" s="331">
        <v>82127400</v>
      </c>
      <c r="K22" s="1">
        <f t="shared" si="0"/>
        <v>0</v>
      </c>
    </row>
    <row r="23" spans="1:11" ht="14.1" customHeight="1">
      <c r="A23" s="272" t="s">
        <v>118</v>
      </c>
      <c r="B23" s="273">
        <f>'- 3 -'!B21</f>
        <v>35862000</v>
      </c>
      <c r="C23" s="273">
        <v>350000</v>
      </c>
      <c r="D23" s="273">
        <v>0</v>
      </c>
      <c r="E23" s="273">
        <f t="shared" si="1"/>
        <v>36212000</v>
      </c>
      <c r="F23" s="273">
        <f>'- 56 -'!D22</f>
        <v>1312000</v>
      </c>
      <c r="G23" s="274">
        <f t="shared" si="2"/>
        <v>3.6231083618689937</v>
      </c>
      <c r="H23" s="274">
        <v>3.93</v>
      </c>
      <c r="I23" s="339">
        <v>3.6231083618689937E-2</v>
      </c>
      <c r="J23" s="330">
        <v>36212000</v>
      </c>
      <c r="K23" s="1">
        <f t="shared" si="0"/>
        <v>0</v>
      </c>
    </row>
    <row r="24" spans="1:11" ht="14.1" customHeight="1">
      <c r="A24" s="16" t="s">
        <v>119</v>
      </c>
      <c r="B24" s="17">
        <f>'- 3 -'!B22</f>
        <v>20647549</v>
      </c>
      <c r="C24" s="17">
        <v>40000</v>
      </c>
      <c r="D24" s="17">
        <v>-608075</v>
      </c>
      <c r="E24" s="17">
        <f t="shared" si="1"/>
        <v>20079474</v>
      </c>
      <c r="F24" s="17">
        <f>'- 56 -'!D23</f>
        <v>856090</v>
      </c>
      <c r="G24" s="268">
        <f t="shared" si="2"/>
        <v>4.2635080978714877</v>
      </c>
      <c r="H24" s="268">
        <v>5</v>
      </c>
      <c r="I24" s="340">
        <v>4.2635080978714879E-2</v>
      </c>
      <c r="J24" s="331">
        <v>20079474</v>
      </c>
      <c r="K24" s="1">
        <f t="shared" si="0"/>
        <v>0</v>
      </c>
    </row>
    <row r="25" spans="1:11" ht="14.1" customHeight="1">
      <c r="A25" s="272" t="s">
        <v>120</v>
      </c>
      <c r="B25" s="273">
        <f>'- 3 -'!B23</f>
        <v>16535899</v>
      </c>
      <c r="C25" s="273">
        <v>200000</v>
      </c>
      <c r="D25" s="273">
        <v>-230000</v>
      </c>
      <c r="E25" s="273">
        <f t="shared" si="1"/>
        <v>16505899</v>
      </c>
      <c r="F25" s="273">
        <f>'- 56 -'!D24</f>
        <v>618500</v>
      </c>
      <c r="G25" s="274">
        <f t="shared" si="2"/>
        <v>3.7471451873054598</v>
      </c>
      <c r="H25" s="274">
        <v>4.2299999999999995</v>
      </c>
      <c r="I25" s="339">
        <v>3.7471451873054597E-2</v>
      </c>
      <c r="J25" s="330">
        <v>16505899</v>
      </c>
      <c r="K25" s="1">
        <f t="shared" si="0"/>
        <v>0</v>
      </c>
    </row>
    <row r="26" spans="1:11" ht="14.1" customHeight="1">
      <c r="A26" s="16" t="s">
        <v>121</v>
      </c>
      <c r="B26" s="17">
        <f>'- 3 -'!B24</f>
        <v>56110815</v>
      </c>
      <c r="C26" s="17">
        <v>480886</v>
      </c>
      <c r="D26" s="17">
        <v>-332245</v>
      </c>
      <c r="E26" s="17">
        <f t="shared" si="1"/>
        <v>56259456</v>
      </c>
      <c r="F26" s="17">
        <f>'- 56 -'!D25</f>
        <v>1887590</v>
      </c>
      <c r="G26" s="268">
        <f t="shared" si="2"/>
        <v>3.3551515322153134</v>
      </c>
      <c r="H26" s="268">
        <v>3.6900000000000004</v>
      </c>
      <c r="I26" s="340">
        <v>3.3551515322153135E-2</v>
      </c>
      <c r="J26" s="331">
        <v>56259456</v>
      </c>
      <c r="K26" s="1">
        <f t="shared" si="0"/>
        <v>0</v>
      </c>
    </row>
    <row r="27" spans="1:11" ht="14.1" customHeight="1">
      <c r="A27" s="272" t="s">
        <v>122</v>
      </c>
      <c r="B27" s="273">
        <f>'- 3 -'!B25</f>
        <v>168324301</v>
      </c>
      <c r="C27" s="273">
        <v>1735508</v>
      </c>
      <c r="D27" s="273">
        <v>0</v>
      </c>
      <c r="E27" s="273">
        <f t="shared" si="1"/>
        <v>170059809</v>
      </c>
      <c r="F27" s="273">
        <f>'- 56 -'!D26</f>
        <v>5006529</v>
      </c>
      <c r="G27" s="274">
        <f t="shared" si="2"/>
        <v>2.9439813142445668</v>
      </c>
      <c r="H27" s="274">
        <v>3.5000000000000004</v>
      </c>
      <c r="I27" s="339">
        <v>2.9439813142445669E-2</v>
      </c>
      <c r="J27" s="330">
        <v>170059809</v>
      </c>
      <c r="K27" s="1">
        <f t="shared" si="0"/>
        <v>0</v>
      </c>
    </row>
    <row r="28" spans="1:11" ht="14.1" customHeight="1">
      <c r="A28" s="16" t="s">
        <v>123</v>
      </c>
      <c r="B28" s="17">
        <f>'- 3 -'!B26</f>
        <v>39894571</v>
      </c>
      <c r="C28" s="17">
        <v>986472</v>
      </c>
      <c r="D28" s="17">
        <v>0</v>
      </c>
      <c r="E28" s="17">
        <f t="shared" si="1"/>
        <v>40881043</v>
      </c>
      <c r="F28" s="17">
        <f>'- 56 -'!D27</f>
        <v>1346569</v>
      </c>
      <c r="G28" s="268">
        <f t="shared" si="2"/>
        <v>3.2938714406087928</v>
      </c>
      <c r="H28" s="268">
        <v>3.85</v>
      </c>
      <c r="I28" s="340">
        <v>3.2938714406087928E-2</v>
      </c>
      <c r="J28" s="331">
        <v>40881043</v>
      </c>
      <c r="K28" s="1">
        <f t="shared" si="0"/>
        <v>0</v>
      </c>
    </row>
    <row r="29" spans="1:11" ht="14.1" customHeight="1">
      <c r="A29" s="272" t="s">
        <v>124</v>
      </c>
      <c r="B29" s="273">
        <f>'- 3 -'!B27</f>
        <v>42930908</v>
      </c>
      <c r="C29" s="273">
        <v>850000</v>
      </c>
      <c r="D29" s="273">
        <v>0</v>
      </c>
      <c r="E29" s="273">
        <f t="shared" si="1"/>
        <v>43780908</v>
      </c>
      <c r="F29" s="273">
        <f>'- 56 -'!D28</f>
        <v>1803393</v>
      </c>
      <c r="G29" s="274">
        <f t="shared" si="2"/>
        <v>4.1191311061890268</v>
      </c>
      <c r="H29" s="274">
        <v>5</v>
      </c>
      <c r="I29" s="339">
        <v>4.1191311061890265E-2</v>
      </c>
      <c r="J29" s="330">
        <v>43780908</v>
      </c>
      <c r="K29" s="1">
        <f t="shared" si="0"/>
        <v>0</v>
      </c>
    </row>
    <row r="30" spans="1:11" ht="14.1" customHeight="1">
      <c r="A30" s="16" t="s">
        <v>125</v>
      </c>
      <c r="B30" s="17">
        <f>'- 3 -'!B28</f>
        <v>28148654</v>
      </c>
      <c r="C30" s="17">
        <v>30000</v>
      </c>
      <c r="D30" s="17">
        <v>-178634</v>
      </c>
      <c r="E30" s="17">
        <f t="shared" si="1"/>
        <v>28000020</v>
      </c>
      <c r="F30" s="17">
        <f>'- 56 -'!D29</f>
        <v>931705</v>
      </c>
      <c r="G30" s="268">
        <f t="shared" si="2"/>
        <v>3.3275154803460856</v>
      </c>
      <c r="H30" s="268">
        <v>4.07</v>
      </c>
      <c r="I30" s="340">
        <v>3.3275154803460855E-2</v>
      </c>
      <c r="J30" s="331">
        <v>28000020</v>
      </c>
      <c r="K30" s="1">
        <f t="shared" si="0"/>
        <v>0</v>
      </c>
    </row>
    <row r="31" spans="1:11" ht="14.1" customHeight="1">
      <c r="A31" s="272" t="s">
        <v>126</v>
      </c>
      <c r="B31" s="273">
        <f>'- 3 -'!B29</f>
        <v>156761515</v>
      </c>
      <c r="C31" s="273">
        <v>1519000</v>
      </c>
      <c r="D31" s="273">
        <v>0</v>
      </c>
      <c r="E31" s="273">
        <f t="shared" si="1"/>
        <v>158280515</v>
      </c>
      <c r="F31" s="273">
        <f>'- 56 -'!D30</f>
        <v>4342276</v>
      </c>
      <c r="G31" s="274">
        <f t="shared" si="2"/>
        <v>2.7434052763854098</v>
      </c>
      <c r="H31" s="274">
        <v>3.5000000000000004</v>
      </c>
      <c r="I31" s="339">
        <v>2.7434052763854098E-2</v>
      </c>
      <c r="J31" s="330">
        <v>158280515</v>
      </c>
      <c r="K31" s="1">
        <f t="shared" si="0"/>
        <v>0</v>
      </c>
    </row>
    <row r="32" spans="1:11" ht="14.1" customHeight="1">
      <c r="A32" s="16" t="s">
        <v>127</v>
      </c>
      <c r="B32" s="17">
        <f>'- 3 -'!B30</f>
        <v>14039741</v>
      </c>
      <c r="C32" s="17">
        <v>216234</v>
      </c>
      <c r="D32" s="17">
        <v>0</v>
      </c>
      <c r="E32" s="17">
        <f t="shared" si="1"/>
        <v>14255975</v>
      </c>
      <c r="F32" s="17">
        <f>'- 56 -'!D31</f>
        <v>482616</v>
      </c>
      <c r="G32" s="268">
        <f t="shared" si="2"/>
        <v>3.3853594720810043</v>
      </c>
      <c r="H32" s="268">
        <v>4.25</v>
      </c>
      <c r="I32" s="340">
        <v>3.3853594720810044E-2</v>
      </c>
      <c r="J32" s="331">
        <v>14255975</v>
      </c>
      <c r="K32" s="1">
        <f t="shared" si="0"/>
        <v>0</v>
      </c>
    </row>
    <row r="33" spans="1:11" ht="14.1" customHeight="1">
      <c r="A33" s="272" t="s">
        <v>128</v>
      </c>
      <c r="B33" s="273">
        <f>'- 3 -'!B31</f>
        <v>36259543</v>
      </c>
      <c r="C33" s="273">
        <v>1231000</v>
      </c>
      <c r="D33" s="273">
        <v>0</v>
      </c>
      <c r="E33" s="273">
        <f t="shared" si="1"/>
        <v>37490543</v>
      </c>
      <c r="F33" s="273">
        <f>'- 56 -'!D32</f>
        <v>1171126</v>
      </c>
      <c r="G33" s="274">
        <f t="shared" si="2"/>
        <v>3.1237904449663478</v>
      </c>
      <c r="H33" s="274">
        <v>3.84</v>
      </c>
      <c r="I33" s="339">
        <v>3.123790444966348E-2</v>
      </c>
      <c r="J33" s="330">
        <v>37490543</v>
      </c>
      <c r="K33" s="1">
        <f t="shared" si="0"/>
        <v>0</v>
      </c>
    </row>
    <row r="34" spans="1:11" ht="14.1" customHeight="1">
      <c r="A34" s="16" t="s">
        <v>129</v>
      </c>
      <c r="B34" s="17">
        <f>'- 3 -'!B32</f>
        <v>28960712</v>
      </c>
      <c r="C34" s="17">
        <v>425100</v>
      </c>
      <c r="D34" s="17">
        <v>-266550</v>
      </c>
      <c r="E34" s="17">
        <f t="shared" si="1"/>
        <v>29119262</v>
      </c>
      <c r="F34" s="17">
        <f>'- 56 -'!D33</f>
        <v>1059950</v>
      </c>
      <c r="G34" s="268">
        <f t="shared" si="2"/>
        <v>3.6400304375845787</v>
      </c>
      <c r="H34" s="268">
        <v>4.04</v>
      </c>
      <c r="I34" s="340">
        <v>3.6400304375845786E-2</v>
      </c>
      <c r="J34" s="331">
        <v>29119262</v>
      </c>
      <c r="K34" s="1">
        <f t="shared" si="0"/>
        <v>0</v>
      </c>
    </row>
    <row r="35" spans="1:11" ht="14.1" customHeight="1">
      <c r="A35" s="272" t="s">
        <v>130</v>
      </c>
      <c r="B35" s="273">
        <f>'- 3 -'!B33</f>
        <v>27380800</v>
      </c>
      <c r="C35" s="273">
        <v>804533</v>
      </c>
      <c r="D35" s="273">
        <v>0</v>
      </c>
      <c r="E35" s="273">
        <f t="shared" si="1"/>
        <v>28185333</v>
      </c>
      <c r="F35" s="273">
        <f>'- 56 -'!D34</f>
        <v>855300</v>
      </c>
      <c r="G35" s="274">
        <f t="shared" si="2"/>
        <v>3.0345570158777262</v>
      </c>
      <c r="H35" s="274">
        <v>4.07</v>
      </c>
      <c r="I35" s="339">
        <v>3.0345570158777261E-2</v>
      </c>
      <c r="J35" s="330">
        <v>28185333</v>
      </c>
      <c r="K35" s="1">
        <f t="shared" si="0"/>
        <v>0</v>
      </c>
    </row>
    <row r="36" spans="1:11" ht="14.1" customHeight="1">
      <c r="A36" s="16" t="s">
        <v>131</v>
      </c>
      <c r="B36" s="17">
        <f>'- 3 -'!B34</f>
        <v>28090848</v>
      </c>
      <c r="C36" s="17">
        <v>335455</v>
      </c>
      <c r="D36" s="17">
        <v>0</v>
      </c>
      <c r="E36" s="17">
        <f t="shared" si="1"/>
        <v>28426303</v>
      </c>
      <c r="F36" s="17">
        <f>'- 56 -'!D35</f>
        <v>1058732</v>
      </c>
      <c r="G36" s="268">
        <f t="shared" si="2"/>
        <v>3.724480105626117</v>
      </c>
      <c r="H36" s="268">
        <v>4.07</v>
      </c>
      <c r="I36" s="340">
        <v>3.724480105626117E-2</v>
      </c>
      <c r="J36" s="331">
        <v>28426303</v>
      </c>
      <c r="K36" s="1">
        <f t="shared" si="0"/>
        <v>0</v>
      </c>
    </row>
    <row r="37" spans="1:11" ht="14.1" customHeight="1">
      <c r="A37" s="272" t="s">
        <v>132</v>
      </c>
      <c r="B37" s="273">
        <f>'- 3 -'!B35</f>
        <v>176236274</v>
      </c>
      <c r="C37" s="273">
        <v>2608000</v>
      </c>
      <c r="D37" s="273">
        <v>0</v>
      </c>
      <c r="E37" s="273">
        <f t="shared" si="1"/>
        <v>178844274</v>
      </c>
      <c r="F37" s="273">
        <f>'- 56 -'!D36</f>
        <v>4904775</v>
      </c>
      <c r="G37" s="274">
        <f t="shared" si="2"/>
        <v>2.7424836648670117</v>
      </c>
      <c r="H37" s="274">
        <v>3.5000000000000004</v>
      </c>
      <c r="I37" s="339">
        <v>2.7424836648670115E-2</v>
      </c>
      <c r="J37" s="330">
        <v>178844274</v>
      </c>
      <c r="K37" s="1">
        <f t="shared" si="0"/>
        <v>0</v>
      </c>
    </row>
    <row r="38" spans="1:11" ht="14.1" customHeight="1">
      <c r="A38" s="16" t="s">
        <v>133</v>
      </c>
      <c r="B38" s="17">
        <f>'- 3 -'!B36</f>
        <v>23235580</v>
      </c>
      <c r="C38" s="17">
        <v>145000</v>
      </c>
      <c r="D38" s="17">
        <v>0</v>
      </c>
      <c r="E38" s="17">
        <f t="shared" si="1"/>
        <v>23380580</v>
      </c>
      <c r="F38" s="17">
        <f>'- 56 -'!D37</f>
        <v>901685</v>
      </c>
      <c r="G38" s="268">
        <f t="shared" si="2"/>
        <v>3.8565553121436684</v>
      </c>
      <c r="H38" s="268">
        <v>4.12</v>
      </c>
      <c r="I38" s="340">
        <v>3.8565553121436683E-2</v>
      </c>
      <c r="J38" s="331">
        <v>23380580</v>
      </c>
      <c r="K38" s="1">
        <f t="shared" si="0"/>
        <v>0</v>
      </c>
    </row>
    <row r="39" spans="1:11" ht="14.1" customHeight="1">
      <c r="A39" s="272" t="s">
        <v>134</v>
      </c>
      <c r="B39" s="273">
        <f>'- 3 -'!B37</f>
        <v>47303000</v>
      </c>
      <c r="C39" s="273">
        <v>823000</v>
      </c>
      <c r="D39" s="273">
        <v>0</v>
      </c>
      <c r="E39" s="273">
        <f t="shared" si="1"/>
        <v>48126000</v>
      </c>
      <c r="F39" s="273">
        <f>'- 56 -'!D38</f>
        <v>1548041</v>
      </c>
      <c r="G39" s="274">
        <f t="shared" si="2"/>
        <v>3.2166417321198524</v>
      </c>
      <c r="H39" s="274">
        <v>3.6999999999999997</v>
      </c>
      <c r="I39" s="339">
        <v>3.2166417321198522E-2</v>
      </c>
      <c r="J39" s="330">
        <v>48126000</v>
      </c>
      <c r="K39" s="1">
        <f t="shared" si="0"/>
        <v>0</v>
      </c>
    </row>
    <row r="40" spans="1:11" ht="14.1" customHeight="1">
      <c r="A40" s="16" t="s">
        <v>135</v>
      </c>
      <c r="B40" s="17">
        <f>'- 3 -'!B38</f>
        <v>130365843</v>
      </c>
      <c r="C40" s="17">
        <v>1841000</v>
      </c>
      <c r="D40" s="17">
        <v>-809020</v>
      </c>
      <c r="E40" s="17">
        <f t="shared" si="1"/>
        <v>131397823</v>
      </c>
      <c r="F40" s="17">
        <f>'- 56 -'!D39</f>
        <v>3698683</v>
      </c>
      <c r="G40" s="268">
        <f t="shared" si="2"/>
        <v>2.8148738811296745</v>
      </c>
      <c r="H40" s="268">
        <v>3.5000000000000004</v>
      </c>
      <c r="I40" s="340">
        <v>2.8148738811296745E-2</v>
      </c>
      <c r="J40" s="331">
        <v>131397823</v>
      </c>
      <c r="K40" s="1">
        <f t="shared" si="0"/>
        <v>0</v>
      </c>
    </row>
    <row r="41" spans="1:11" ht="14.1" customHeight="1">
      <c r="A41" s="272" t="s">
        <v>136</v>
      </c>
      <c r="B41" s="273">
        <f>'- 3 -'!B39</f>
        <v>22105830</v>
      </c>
      <c r="C41" s="273">
        <v>453500</v>
      </c>
      <c r="D41" s="273">
        <v>0</v>
      </c>
      <c r="E41" s="273">
        <f t="shared" si="1"/>
        <v>22559330</v>
      </c>
      <c r="F41" s="273">
        <f>'- 56 -'!D40</f>
        <v>886200</v>
      </c>
      <c r="G41" s="274">
        <f t="shared" si="2"/>
        <v>3.9283081545418237</v>
      </c>
      <c r="H41" s="274">
        <v>4.1500000000000004</v>
      </c>
      <c r="I41" s="339">
        <v>3.9283081545418236E-2</v>
      </c>
      <c r="J41" s="330">
        <v>22559330</v>
      </c>
      <c r="K41" s="1">
        <f t="shared" si="0"/>
        <v>0</v>
      </c>
    </row>
    <row r="42" spans="1:11" ht="14.1" customHeight="1">
      <c r="A42" s="16" t="s">
        <v>137</v>
      </c>
      <c r="B42" s="17">
        <f>'- 3 -'!B40</f>
        <v>102544626</v>
      </c>
      <c r="C42" s="17">
        <v>890410</v>
      </c>
      <c r="D42" s="17">
        <v>0</v>
      </c>
      <c r="E42" s="17">
        <f t="shared" si="1"/>
        <v>103435036</v>
      </c>
      <c r="F42" s="17">
        <f>'- 56 -'!D41</f>
        <v>3299642</v>
      </c>
      <c r="G42" s="268">
        <f t="shared" si="2"/>
        <v>3.1900622145092115</v>
      </c>
      <c r="H42" s="268">
        <v>3.5000000000000004</v>
      </c>
      <c r="I42" s="340">
        <v>3.1900622145092115E-2</v>
      </c>
      <c r="J42" s="331">
        <v>103435036</v>
      </c>
      <c r="K42" s="1">
        <f t="shared" si="0"/>
        <v>0</v>
      </c>
    </row>
    <row r="43" spans="1:11" ht="14.1" customHeight="1">
      <c r="A43" s="272" t="s">
        <v>138</v>
      </c>
      <c r="B43" s="273">
        <f>'- 3 -'!B41</f>
        <v>62924224</v>
      </c>
      <c r="C43" s="273">
        <v>1075652</v>
      </c>
      <c r="D43" s="273">
        <v>-987239</v>
      </c>
      <c r="E43" s="273">
        <f t="shared" si="1"/>
        <v>63012637</v>
      </c>
      <c r="F43" s="273">
        <f>'- 56 -'!D42</f>
        <v>2109005</v>
      </c>
      <c r="G43" s="274">
        <f t="shared" si="2"/>
        <v>3.3469556273291658</v>
      </c>
      <c r="H43" s="274">
        <v>3.62</v>
      </c>
      <c r="I43" s="339">
        <v>3.3469556273291658E-2</v>
      </c>
      <c r="J43" s="330">
        <v>63012637</v>
      </c>
      <c r="K43" s="1">
        <f t="shared" si="0"/>
        <v>0</v>
      </c>
    </row>
    <row r="44" spans="1:11" ht="14.1" customHeight="1">
      <c r="A44" s="16" t="s">
        <v>139</v>
      </c>
      <c r="B44" s="17">
        <f>'- 3 -'!B42</f>
        <v>20616342</v>
      </c>
      <c r="C44" s="17">
        <v>149331</v>
      </c>
      <c r="D44" s="17">
        <v>0</v>
      </c>
      <c r="E44" s="17">
        <f t="shared" si="1"/>
        <v>20765673</v>
      </c>
      <c r="F44" s="17">
        <f>'- 56 -'!D43</f>
        <v>814934</v>
      </c>
      <c r="G44" s="268">
        <f t="shared" si="2"/>
        <v>3.9244285509070664</v>
      </c>
      <c r="H44" s="268">
        <v>4.18</v>
      </c>
      <c r="I44" s="340">
        <v>3.9244285509070664E-2</v>
      </c>
      <c r="J44" s="331">
        <v>20765673</v>
      </c>
      <c r="K44" s="1">
        <f t="shared" si="0"/>
        <v>0</v>
      </c>
    </row>
    <row r="45" spans="1:11" ht="14.1" customHeight="1">
      <c r="A45" s="272" t="s">
        <v>140</v>
      </c>
      <c r="B45" s="273">
        <f>'- 3 -'!B43</f>
        <v>12860338</v>
      </c>
      <c r="C45" s="273">
        <v>206000</v>
      </c>
      <c r="D45" s="273">
        <v>-205393</v>
      </c>
      <c r="E45" s="273">
        <f t="shared" si="1"/>
        <v>12860945</v>
      </c>
      <c r="F45" s="273">
        <f>'- 56 -'!D44</f>
        <v>525990</v>
      </c>
      <c r="G45" s="274">
        <f t="shared" si="2"/>
        <v>4.0898238815265904</v>
      </c>
      <c r="H45" s="274">
        <v>4.25</v>
      </c>
      <c r="I45" s="339">
        <v>4.0898238815265907E-2</v>
      </c>
      <c r="J45" s="330">
        <v>12860945</v>
      </c>
      <c r="K45" s="1">
        <f t="shared" si="0"/>
        <v>0</v>
      </c>
    </row>
    <row r="46" spans="1:11" ht="14.1" customHeight="1">
      <c r="A46" s="16" t="s">
        <v>141</v>
      </c>
      <c r="B46" s="17">
        <f>'- 3 -'!B44</f>
        <v>11170939</v>
      </c>
      <c r="C46" s="17">
        <v>30000</v>
      </c>
      <c r="D46" s="17">
        <v>0</v>
      </c>
      <c r="E46" s="17">
        <f t="shared" si="1"/>
        <v>11200939</v>
      </c>
      <c r="F46" s="17">
        <f>'- 56 -'!D45</f>
        <v>390346</v>
      </c>
      <c r="G46" s="268">
        <f t="shared" si="2"/>
        <v>3.4849399679794701</v>
      </c>
      <c r="H46" s="268">
        <v>4.25</v>
      </c>
      <c r="I46" s="340">
        <v>3.4849399679794703E-2</v>
      </c>
      <c r="J46" s="331">
        <v>11200939</v>
      </c>
      <c r="K46" s="1">
        <f t="shared" si="0"/>
        <v>0</v>
      </c>
    </row>
    <row r="47" spans="1:11" ht="14.1" customHeight="1">
      <c r="A47" s="272" t="s">
        <v>142</v>
      </c>
      <c r="B47" s="273">
        <f>'- 3 -'!B45</f>
        <v>18537776</v>
      </c>
      <c r="C47" s="273">
        <v>403200</v>
      </c>
      <c r="D47" s="273">
        <v>-388900</v>
      </c>
      <c r="E47" s="273">
        <f>SUM(B47:D47)</f>
        <v>18552076</v>
      </c>
      <c r="F47" s="273">
        <f>'- 56 -'!D46</f>
        <v>729103</v>
      </c>
      <c r="G47" s="274">
        <f t="shared" si="2"/>
        <v>3.9300345686380327</v>
      </c>
      <c r="H47" s="274">
        <v>4.12</v>
      </c>
      <c r="I47" s="339">
        <v>3.9300345686380328E-2</v>
      </c>
      <c r="J47" s="330">
        <v>18552076</v>
      </c>
      <c r="K47" s="1">
        <f t="shared" si="0"/>
        <v>0</v>
      </c>
    </row>
    <row r="48" spans="1:11" ht="14.1" customHeight="1">
      <c r="A48" s="16" t="s">
        <v>143</v>
      </c>
      <c r="B48" s="17">
        <f>'- 3 -'!B46</f>
        <v>385468000</v>
      </c>
      <c r="C48" s="17">
        <v>2037400</v>
      </c>
      <c r="D48" s="17">
        <v>-756700</v>
      </c>
      <c r="E48" s="17">
        <f t="shared" si="1"/>
        <v>386748700</v>
      </c>
      <c r="F48" s="17">
        <f>'- 56 -'!D47</f>
        <v>10669200</v>
      </c>
      <c r="G48" s="268">
        <f t="shared" si="2"/>
        <v>2.7586905915908702</v>
      </c>
      <c r="H48" s="268">
        <v>3.5000000000000004</v>
      </c>
      <c r="I48" s="340">
        <v>2.7586905915908701E-2</v>
      </c>
      <c r="J48" s="331">
        <v>386748700</v>
      </c>
      <c r="K48" s="1">
        <f t="shared" si="0"/>
        <v>0</v>
      </c>
    </row>
    <row r="49" spans="1:11" ht="5.0999999999999996" customHeight="1">
      <c r="A49"/>
      <c r="B49"/>
      <c r="C49"/>
      <c r="D49"/>
      <c r="E49"/>
      <c r="F49"/>
      <c r="G49" s="513"/>
      <c r="H49"/>
      <c r="I49" s="342"/>
      <c r="J49" s="332"/>
    </row>
    <row r="50" spans="1:11" ht="14.45" customHeight="1">
      <c r="A50" s="275" t="s">
        <v>144</v>
      </c>
      <c r="B50" s="276">
        <f>SUM(B13:B48)</f>
        <v>2034487012</v>
      </c>
      <c r="C50" s="276">
        <f>SUM(C13:C48)</f>
        <v>26011844</v>
      </c>
      <c r="D50" s="276">
        <f>SUM(D13:D48)</f>
        <v>-5470231</v>
      </c>
      <c r="E50" s="276">
        <f>SUM(E13:E48)</f>
        <v>2055028625</v>
      </c>
      <c r="F50" s="276">
        <f>SUM(F13:F48)</f>
        <v>63841784</v>
      </c>
      <c r="G50" s="277">
        <f>F50/E50*100</f>
        <v>3.1066128823388044</v>
      </c>
      <c r="H50" s="514" t="s">
        <v>89</v>
      </c>
      <c r="I50" s="343"/>
      <c r="J50" s="344">
        <f>SUM(J13:J48)</f>
        <v>2055028625</v>
      </c>
      <c r="K50" s="1">
        <f>J50-E50</f>
        <v>0</v>
      </c>
    </row>
    <row r="51" spans="1:11" ht="5.0999999999999996" customHeight="1">
      <c r="A51" s="18" t="s">
        <v>1</v>
      </c>
      <c r="B51" s="19"/>
      <c r="C51" s="19"/>
      <c r="D51" s="19"/>
      <c r="E51" s="19"/>
      <c r="F51" s="19"/>
      <c r="G51" s="267"/>
      <c r="H51" s="267"/>
      <c r="I51" s="342"/>
      <c r="J51" s="334"/>
    </row>
    <row r="52" spans="1:11" ht="14.45" customHeight="1">
      <c r="A52" s="16" t="s">
        <v>145</v>
      </c>
      <c r="B52" s="17"/>
      <c r="C52" s="17"/>
      <c r="D52" s="17"/>
      <c r="E52" s="17"/>
      <c r="F52" s="17"/>
      <c r="G52" s="335" t="s">
        <v>89</v>
      </c>
      <c r="H52" s="335" t="s">
        <v>89</v>
      </c>
      <c r="I52" s="340">
        <v>4.4208511543589714E-2</v>
      </c>
      <c r="J52" s="331">
        <v>3416084.25</v>
      </c>
    </row>
    <row r="53" spans="1:11" ht="14.45" customHeight="1">
      <c r="A53" s="364" t="s">
        <v>540</v>
      </c>
      <c r="B53" s="273"/>
      <c r="C53" s="273"/>
      <c r="D53" s="273"/>
      <c r="E53" s="273"/>
      <c r="F53" s="273"/>
      <c r="G53" s="336" t="s">
        <v>89</v>
      </c>
      <c r="H53" s="336" t="s">
        <v>89</v>
      </c>
      <c r="I53" s="247"/>
      <c r="J53" s="241"/>
    </row>
    <row r="54" spans="1:11" ht="49.5" customHeight="1">
      <c r="A54" s="20"/>
      <c r="B54" s="20"/>
      <c r="C54" s="20"/>
      <c r="D54" s="20"/>
      <c r="E54" s="20"/>
      <c r="F54" s="20"/>
      <c r="G54" s="20"/>
      <c r="H54" s="20"/>
    </row>
    <row r="55" spans="1:11" ht="14.45" customHeight="1">
      <c r="A55" s="747" t="s">
        <v>516</v>
      </c>
      <c r="B55" s="747"/>
      <c r="C55" s="747"/>
      <c r="D55" s="747"/>
      <c r="E55" s="747"/>
      <c r="F55" s="747"/>
      <c r="G55" s="747"/>
      <c r="H55" s="747"/>
    </row>
    <row r="56" spans="1:11" ht="12" customHeight="1">
      <c r="A56" s="780"/>
      <c r="B56" s="780"/>
      <c r="C56" s="780"/>
      <c r="D56" s="780"/>
      <c r="E56" s="780"/>
      <c r="F56" s="780"/>
      <c r="G56" s="780"/>
      <c r="H56" s="780"/>
    </row>
    <row r="57" spans="1:11" ht="14.45" customHeight="1">
      <c r="A57" s="32"/>
      <c r="B57" s="32"/>
      <c r="C57" s="32"/>
      <c r="D57" s="32"/>
    </row>
    <row r="58" spans="1:11" ht="14.45" customHeight="1">
      <c r="A58" s="32"/>
      <c r="B58" s="32"/>
      <c r="C58" s="32"/>
      <c r="D58" s="32"/>
    </row>
    <row r="59" spans="1:11" ht="14.45" customHeight="1">
      <c r="A59" s="32"/>
      <c r="B59" s="32"/>
      <c r="C59" s="32"/>
      <c r="D59" s="32"/>
    </row>
    <row r="60" spans="1:11">
      <c r="A60" s="32"/>
    </row>
  </sheetData>
  <mergeCells count="9">
    <mergeCell ref="B4:H4"/>
    <mergeCell ref="A55:H56"/>
    <mergeCell ref="B8:B11"/>
    <mergeCell ref="C8:C11"/>
    <mergeCell ref="E9:E11"/>
    <mergeCell ref="F8:F11"/>
    <mergeCell ref="H6:H11"/>
    <mergeCell ref="G6:G11"/>
    <mergeCell ref="D7:D11"/>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transitionEvaluation="1" transitionEntry="1" codeName="Sheet39">
    <pageSetUpPr autoPageBreaks="0" fitToPage="1"/>
  </sheetPr>
  <dimension ref="A1:BB56"/>
  <sheetViews>
    <sheetView showGridLines="0" showZeros="0" defaultGridColor="0" colorId="22" workbookViewId="0"/>
  </sheetViews>
  <sheetFormatPr defaultColWidth="15.83203125" defaultRowHeight="12"/>
  <cols>
    <col min="1" max="1" width="26.1640625" style="383" bestFit="1" customWidth="1"/>
    <col min="2" max="2" width="15.83203125" style="400" customWidth="1"/>
    <col min="3" max="3" width="13.33203125" style="383" customWidth="1"/>
    <col min="4" max="4" width="13.1640625" style="383" customWidth="1"/>
    <col min="5" max="5" width="16" style="383" customWidth="1"/>
    <col min="6" max="6" width="15.33203125" style="383" customWidth="1"/>
    <col min="7" max="7" width="14.83203125" style="383" customWidth="1"/>
    <col min="8" max="8" width="10.5" style="383" customWidth="1"/>
    <col min="9" max="9" width="13" style="383" customWidth="1"/>
    <col min="10" max="16384" width="15.83203125" style="383"/>
  </cols>
  <sheetData>
    <row r="1" spans="1:54" ht="20.25">
      <c r="A1" s="381"/>
      <c r="B1" s="382"/>
    </row>
    <row r="2" spans="1:54" s="385" customFormat="1" ht="15.95" customHeight="1">
      <c r="A2" s="795" t="s">
        <v>582</v>
      </c>
      <c r="B2" s="796"/>
      <c r="C2" s="796"/>
      <c r="D2" s="796"/>
      <c r="E2" s="796"/>
      <c r="F2" s="796"/>
      <c r="G2" s="796"/>
      <c r="H2" s="796"/>
      <c r="I2" s="384"/>
      <c r="BA2" s="489" t="s">
        <v>522</v>
      </c>
      <c r="BB2" s="489" t="s">
        <v>523</v>
      </c>
    </row>
    <row r="3" spans="1:54" s="385" customFormat="1" ht="15.95" customHeight="1">
      <c r="A3" s="797" t="str">
        <f>IF(Lang=1,BA3,BB3)</f>
        <v>2015/2016 BUDGET</v>
      </c>
      <c r="B3" s="798"/>
      <c r="C3" s="798"/>
      <c r="D3" s="798"/>
      <c r="E3" s="798"/>
      <c r="F3" s="798"/>
      <c r="G3" s="798"/>
      <c r="H3" s="798"/>
      <c r="I3" s="386"/>
      <c r="BA3" s="489" t="str">
        <f>RIGHT(TEXT('- 57 -'!B2,"0"),16)</f>
        <v>2015/2016 BUDGET</v>
      </c>
      <c r="BB3" s="490" t="str">
        <f>"BUDGET "&amp;TEXT(YEAR,"0")&amp;" - "&amp;TEXT(YEAR+1,"0")</f>
        <v>BUDGET 2015 - 2016</v>
      </c>
    </row>
    <row r="4" spans="1:54">
      <c r="B4" s="387"/>
    </row>
    <row r="5" spans="1:54">
      <c r="B5" s="387"/>
    </row>
    <row r="6" spans="1:54">
      <c r="B6" s="383"/>
    </row>
    <row r="7" spans="1:54">
      <c r="B7" s="794"/>
      <c r="C7" s="794"/>
      <c r="D7" s="794"/>
      <c r="E7" s="794"/>
      <c r="F7" s="794"/>
      <c r="G7" s="794"/>
      <c r="H7" s="794"/>
    </row>
    <row r="8" spans="1:54" ht="36" customHeight="1">
      <c r="A8" s="388"/>
      <c r="B8" s="799" t="s">
        <v>306</v>
      </c>
      <c r="C8" s="790" t="s">
        <v>105</v>
      </c>
      <c r="D8" s="791"/>
      <c r="E8" s="800" t="s">
        <v>307</v>
      </c>
      <c r="F8" s="792" t="s">
        <v>308</v>
      </c>
      <c r="G8" s="792" t="s">
        <v>348</v>
      </c>
      <c r="H8" s="792" t="s">
        <v>309</v>
      </c>
      <c r="I8" s="792" t="s">
        <v>13</v>
      </c>
    </row>
    <row r="9" spans="1:54" ht="18.75" customHeight="1">
      <c r="A9" s="389" t="s">
        <v>269</v>
      </c>
      <c r="B9" s="793"/>
      <c r="C9" s="432" t="s">
        <v>349</v>
      </c>
      <c r="D9" s="432" t="s">
        <v>19</v>
      </c>
      <c r="E9" s="793"/>
      <c r="F9" s="793"/>
      <c r="G9" s="793"/>
      <c r="H9" s="793"/>
      <c r="I9" s="793"/>
    </row>
    <row r="10" spans="1:54" ht="3.95" customHeight="1">
      <c r="A10" s="390"/>
      <c r="B10" s="387"/>
    </row>
    <row r="11" spans="1:54">
      <c r="A11" s="391" t="s">
        <v>109</v>
      </c>
      <c r="B11" s="392">
        <v>10.35</v>
      </c>
      <c r="C11" s="392">
        <v>112.45</v>
      </c>
      <c r="D11" s="392">
        <v>52.8</v>
      </c>
      <c r="E11" s="392">
        <v>40.599999999999994</v>
      </c>
      <c r="F11" s="392">
        <v>8.99</v>
      </c>
      <c r="G11" s="392">
        <v>2</v>
      </c>
      <c r="H11" s="392">
        <v>2.25</v>
      </c>
      <c r="I11" s="392">
        <f t="shared" ref="I11:I46" si="0">SUM(B11:H11)</f>
        <v>229.44</v>
      </c>
    </row>
    <row r="12" spans="1:54">
      <c r="A12" s="393" t="s">
        <v>110</v>
      </c>
      <c r="B12" s="394">
        <v>19.649999999999999</v>
      </c>
      <c r="C12" s="394">
        <v>177.52</v>
      </c>
      <c r="D12" s="394">
        <v>107.46000000000001</v>
      </c>
      <c r="E12" s="394">
        <v>71.63</v>
      </c>
      <c r="F12" s="394">
        <v>23.06</v>
      </c>
      <c r="G12" s="394">
        <v>6.5</v>
      </c>
      <c r="H12" s="394">
        <v>4.6100000000000003</v>
      </c>
      <c r="I12" s="394">
        <f t="shared" si="0"/>
        <v>410.43</v>
      </c>
    </row>
    <row r="13" spans="1:54">
      <c r="A13" s="391" t="s">
        <v>111</v>
      </c>
      <c r="B13" s="392">
        <v>47.75</v>
      </c>
      <c r="C13" s="392">
        <v>602.58999999999992</v>
      </c>
      <c r="D13" s="392">
        <v>260.19</v>
      </c>
      <c r="E13" s="392">
        <v>123.47999999999999</v>
      </c>
      <c r="F13" s="392">
        <v>48.86</v>
      </c>
      <c r="G13" s="392">
        <v>24</v>
      </c>
      <c r="H13" s="392">
        <v>8</v>
      </c>
      <c r="I13" s="392">
        <f t="shared" si="0"/>
        <v>1114.8699999999999</v>
      </c>
    </row>
    <row r="14" spans="1:54">
      <c r="A14" s="393" t="s">
        <v>324</v>
      </c>
      <c r="B14" s="394">
        <v>54.7</v>
      </c>
      <c r="C14" s="394">
        <v>405.71999999999997</v>
      </c>
      <c r="D14" s="394">
        <v>233.32</v>
      </c>
      <c r="E14" s="394">
        <v>62.79999999999999</v>
      </c>
      <c r="F14" s="394">
        <v>53.44</v>
      </c>
      <c r="G14" s="394">
        <v>13.2</v>
      </c>
      <c r="H14" s="394">
        <v>7</v>
      </c>
      <c r="I14" s="394">
        <f t="shared" si="0"/>
        <v>830.18000000000006</v>
      </c>
    </row>
    <row r="15" spans="1:54">
      <c r="A15" s="391" t="s">
        <v>112</v>
      </c>
      <c r="B15" s="392">
        <v>13.75</v>
      </c>
      <c r="C15" s="392">
        <v>99.98</v>
      </c>
      <c r="D15" s="392">
        <v>61</v>
      </c>
      <c r="E15" s="392">
        <v>36.299999999999997</v>
      </c>
      <c r="F15" s="392">
        <v>13.1</v>
      </c>
      <c r="G15" s="392">
        <v>2</v>
      </c>
      <c r="H15" s="392">
        <v>2</v>
      </c>
      <c r="I15" s="392">
        <f t="shared" si="0"/>
        <v>228.13000000000002</v>
      </c>
    </row>
    <row r="16" spans="1:54">
      <c r="A16" s="393" t="s">
        <v>113</v>
      </c>
      <c r="B16" s="394">
        <v>10.17</v>
      </c>
      <c r="C16" s="394">
        <v>72.55</v>
      </c>
      <c r="D16" s="394">
        <v>34</v>
      </c>
      <c r="E16" s="394">
        <v>24.83</v>
      </c>
      <c r="F16" s="394">
        <v>9.5</v>
      </c>
      <c r="G16" s="394">
        <v>1.8</v>
      </c>
      <c r="H16" s="394">
        <v>2</v>
      </c>
      <c r="I16" s="394">
        <f t="shared" si="0"/>
        <v>154.85000000000002</v>
      </c>
    </row>
    <row r="17" spans="1:9">
      <c r="A17" s="391" t="s">
        <v>270</v>
      </c>
      <c r="B17" s="392">
        <v>11</v>
      </c>
      <c r="C17" s="392">
        <v>94.22</v>
      </c>
      <c r="D17" s="392">
        <v>54.989999999999995</v>
      </c>
      <c r="E17" s="392">
        <v>50.05</v>
      </c>
      <c r="F17" s="392">
        <v>12.98</v>
      </c>
      <c r="G17" s="392">
        <v>2.5</v>
      </c>
      <c r="H17" s="392">
        <v>3</v>
      </c>
      <c r="I17" s="392">
        <f t="shared" si="0"/>
        <v>228.73999999999998</v>
      </c>
    </row>
    <row r="18" spans="1:9">
      <c r="A18" s="393" t="s">
        <v>271</v>
      </c>
      <c r="B18" s="394">
        <v>69.37</v>
      </c>
      <c r="C18" s="394">
        <v>480.68000000000006</v>
      </c>
      <c r="D18" s="394">
        <v>390.66</v>
      </c>
      <c r="E18" s="394">
        <v>285.44</v>
      </c>
      <c r="F18" s="394">
        <v>70.599999999999994</v>
      </c>
      <c r="G18" s="394">
        <v>14.43</v>
      </c>
      <c r="H18" s="394">
        <v>10</v>
      </c>
      <c r="I18" s="394">
        <f t="shared" si="0"/>
        <v>1321.18</v>
      </c>
    </row>
    <row r="19" spans="1:9">
      <c r="A19" s="391" t="s">
        <v>272</v>
      </c>
      <c r="B19" s="392">
        <v>22.25</v>
      </c>
      <c r="C19" s="392">
        <v>268.71000000000004</v>
      </c>
      <c r="D19" s="392">
        <v>162.87099999999998</v>
      </c>
      <c r="E19" s="392">
        <v>111.33</v>
      </c>
      <c r="F19" s="392">
        <v>19</v>
      </c>
      <c r="G19" s="392">
        <v>10.6</v>
      </c>
      <c r="H19" s="392">
        <v>9</v>
      </c>
      <c r="I19" s="392">
        <f t="shared" si="0"/>
        <v>603.76100000000008</v>
      </c>
    </row>
    <row r="20" spans="1:9">
      <c r="A20" s="393" t="s">
        <v>273</v>
      </c>
      <c r="B20" s="394">
        <v>43.165000000000006</v>
      </c>
      <c r="C20" s="394">
        <v>489.19899999999996</v>
      </c>
      <c r="D20" s="394">
        <v>172.54000000000002</v>
      </c>
      <c r="E20" s="394">
        <v>214.2</v>
      </c>
      <c r="F20" s="394">
        <v>69.744</v>
      </c>
      <c r="G20" s="394">
        <v>15.3</v>
      </c>
      <c r="H20" s="394">
        <v>11.93</v>
      </c>
      <c r="I20" s="394">
        <f t="shared" si="0"/>
        <v>1016.078</v>
      </c>
    </row>
    <row r="21" spans="1:9">
      <c r="A21" s="391" t="s">
        <v>274</v>
      </c>
      <c r="B21" s="392">
        <v>22.25</v>
      </c>
      <c r="C21" s="392">
        <v>210.4</v>
      </c>
      <c r="D21" s="392">
        <v>96</v>
      </c>
      <c r="E21" s="392">
        <v>75.56</v>
      </c>
      <c r="F21" s="392">
        <v>22.85</v>
      </c>
      <c r="G21" s="392">
        <v>6.5</v>
      </c>
      <c r="H21" s="392">
        <v>7</v>
      </c>
      <c r="I21" s="392">
        <f t="shared" si="0"/>
        <v>440.56</v>
      </c>
    </row>
    <row r="22" spans="1:9">
      <c r="A22" s="393" t="s">
        <v>275</v>
      </c>
      <c r="B22" s="394">
        <v>11.35</v>
      </c>
      <c r="C22" s="394">
        <v>121.9</v>
      </c>
      <c r="D22" s="394">
        <v>59</v>
      </c>
      <c r="E22" s="394">
        <v>31.950000000000003</v>
      </c>
      <c r="F22" s="394">
        <v>15.599999999999998</v>
      </c>
      <c r="G22" s="394">
        <v>3</v>
      </c>
      <c r="H22" s="394">
        <v>2</v>
      </c>
      <c r="I22" s="394">
        <f t="shared" si="0"/>
        <v>244.79999999999998</v>
      </c>
    </row>
    <row r="23" spans="1:9">
      <c r="A23" s="391" t="s">
        <v>276</v>
      </c>
      <c r="B23" s="392">
        <v>10.75</v>
      </c>
      <c r="C23" s="392">
        <v>91.75</v>
      </c>
      <c r="D23" s="392">
        <v>68.5</v>
      </c>
      <c r="E23" s="392">
        <v>36.700000000000003</v>
      </c>
      <c r="F23" s="392">
        <v>9.9500000000000011</v>
      </c>
      <c r="G23" s="392">
        <v>3.5</v>
      </c>
      <c r="H23" s="392">
        <v>2</v>
      </c>
      <c r="I23" s="392">
        <f t="shared" si="0"/>
        <v>223.14999999999998</v>
      </c>
    </row>
    <row r="24" spans="1:9">
      <c r="A24" s="393" t="s">
        <v>277</v>
      </c>
      <c r="B24" s="394">
        <v>29</v>
      </c>
      <c r="C24" s="394">
        <v>311.85000000000002</v>
      </c>
      <c r="D24" s="394">
        <v>185.88</v>
      </c>
      <c r="E24" s="394">
        <v>122.92</v>
      </c>
      <c r="F24" s="394">
        <v>31.5</v>
      </c>
      <c r="G24" s="394">
        <v>14.5</v>
      </c>
      <c r="H24" s="394">
        <v>9</v>
      </c>
      <c r="I24" s="394">
        <f t="shared" si="0"/>
        <v>704.65</v>
      </c>
    </row>
    <row r="25" spans="1:9">
      <c r="A25" s="391" t="s">
        <v>278</v>
      </c>
      <c r="B25" s="392">
        <v>81</v>
      </c>
      <c r="C25" s="392">
        <v>946.42</v>
      </c>
      <c r="D25" s="392">
        <v>524.38</v>
      </c>
      <c r="E25" s="392">
        <v>166.46</v>
      </c>
      <c r="F25" s="392">
        <v>117.77</v>
      </c>
      <c r="G25" s="392">
        <v>33.68</v>
      </c>
      <c r="H25" s="392">
        <v>17</v>
      </c>
      <c r="I25" s="392">
        <f t="shared" si="0"/>
        <v>1886.7100000000003</v>
      </c>
    </row>
    <row r="26" spans="1:9">
      <c r="A26" s="393" t="s">
        <v>279</v>
      </c>
      <c r="B26" s="394">
        <v>27.799999999999997</v>
      </c>
      <c r="C26" s="394">
        <v>215.8</v>
      </c>
      <c r="D26" s="394">
        <v>152.18199999999999</v>
      </c>
      <c r="E26" s="394">
        <v>113.19</v>
      </c>
      <c r="F26" s="394">
        <v>25.61</v>
      </c>
      <c r="G26" s="394">
        <v>6.9</v>
      </c>
      <c r="H26" s="394">
        <v>5.75</v>
      </c>
      <c r="I26" s="394">
        <f t="shared" si="0"/>
        <v>547.23199999999997</v>
      </c>
    </row>
    <row r="27" spans="1:9">
      <c r="A27" s="391" t="s">
        <v>280</v>
      </c>
      <c r="B27" s="392">
        <v>19.619999999999997</v>
      </c>
      <c r="C27" s="392">
        <v>235.29000000000002</v>
      </c>
      <c r="D27" s="392">
        <v>95</v>
      </c>
      <c r="E27" s="392">
        <v>37.5</v>
      </c>
      <c r="F27" s="392">
        <v>25</v>
      </c>
      <c r="G27" s="392">
        <v>8.879999999999999</v>
      </c>
      <c r="H27" s="392">
        <v>6</v>
      </c>
      <c r="I27" s="392">
        <f t="shared" si="0"/>
        <v>427.29</v>
      </c>
    </row>
    <row r="28" spans="1:9">
      <c r="A28" s="393" t="s">
        <v>281</v>
      </c>
      <c r="B28" s="394">
        <v>16.350000000000001</v>
      </c>
      <c r="C28" s="394">
        <v>161.25</v>
      </c>
      <c r="D28" s="394">
        <v>94.67</v>
      </c>
      <c r="E28" s="394">
        <v>54.65</v>
      </c>
      <c r="F28" s="394">
        <v>18.55</v>
      </c>
      <c r="G28" s="394">
        <v>4.2</v>
      </c>
      <c r="H28" s="394">
        <v>4.25</v>
      </c>
      <c r="I28" s="394">
        <f t="shared" si="0"/>
        <v>353.91999999999996</v>
      </c>
    </row>
    <row r="29" spans="1:9">
      <c r="A29" s="391" t="s">
        <v>282</v>
      </c>
      <c r="B29" s="392">
        <v>73.05</v>
      </c>
      <c r="C29" s="392">
        <v>844.53000000000009</v>
      </c>
      <c r="D29" s="392">
        <v>485.7</v>
      </c>
      <c r="E29" s="392">
        <v>173.33</v>
      </c>
      <c r="F29" s="392">
        <v>111.77999999999999</v>
      </c>
      <c r="G29" s="392">
        <v>28.35</v>
      </c>
      <c r="H29" s="392">
        <v>21</v>
      </c>
      <c r="I29" s="392">
        <f t="shared" si="0"/>
        <v>1737.7399999999998</v>
      </c>
    </row>
    <row r="30" spans="1:9">
      <c r="A30" s="393" t="s">
        <v>283</v>
      </c>
      <c r="B30" s="394">
        <v>11.349999999999998</v>
      </c>
      <c r="C30" s="394">
        <v>74.78</v>
      </c>
      <c r="D30" s="394">
        <v>37.099999999999994</v>
      </c>
      <c r="E30" s="394">
        <v>37.549999999999997</v>
      </c>
      <c r="F30" s="394">
        <v>10</v>
      </c>
      <c r="G30" s="394">
        <v>3.5</v>
      </c>
      <c r="H30" s="394">
        <v>2</v>
      </c>
      <c r="I30" s="394">
        <f t="shared" si="0"/>
        <v>176.27999999999997</v>
      </c>
    </row>
    <row r="31" spans="1:9">
      <c r="A31" s="391" t="s">
        <v>284</v>
      </c>
      <c r="B31" s="392">
        <v>20.71</v>
      </c>
      <c r="C31" s="392">
        <v>231.59</v>
      </c>
      <c r="D31" s="392">
        <v>132.77000000000001</v>
      </c>
      <c r="E31" s="392">
        <v>74.819999999999993</v>
      </c>
      <c r="F31" s="392">
        <v>20.13</v>
      </c>
      <c r="G31" s="392">
        <v>5</v>
      </c>
      <c r="H31" s="392">
        <v>6.14</v>
      </c>
      <c r="I31" s="392">
        <f t="shared" si="0"/>
        <v>491.16</v>
      </c>
    </row>
    <row r="32" spans="1:9">
      <c r="A32" s="393" t="s">
        <v>285</v>
      </c>
      <c r="B32" s="394">
        <v>14.999999999999998</v>
      </c>
      <c r="C32" s="394">
        <v>163.22999999999999</v>
      </c>
      <c r="D32" s="394">
        <v>100.63000000000001</v>
      </c>
      <c r="E32" s="394">
        <v>63.95</v>
      </c>
      <c r="F32" s="394">
        <v>19.109999999999996</v>
      </c>
      <c r="G32" s="394">
        <v>3.7</v>
      </c>
      <c r="H32" s="394">
        <v>5</v>
      </c>
      <c r="I32" s="394">
        <f t="shared" si="0"/>
        <v>370.62</v>
      </c>
    </row>
    <row r="33" spans="1:9">
      <c r="A33" s="391" t="s">
        <v>286</v>
      </c>
      <c r="B33" s="392">
        <v>19.43</v>
      </c>
      <c r="C33" s="392">
        <v>143.19</v>
      </c>
      <c r="D33" s="392">
        <v>99.390000000000015</v>
      </c>
      <c r="E33" s="392">
        <v>82.539999999999992</v>
      </c>
      <c r="F33" s="392">
        <v>19.54</v>
      </c>
      <c r="G33" s="392">
        <v>4.8499999999999996</v>
      </c>
      <c r="H33" s="392">
        <v>6</v>
      </c>
      <c r="I33" s="392">
        <f t="shared" si="0"/>
        <v>374.94</v>
      </c>
    </row>
    <row r="34" spans="1:9">
      <c r="A34" s="393" t="s">
        <v>287</v>
      </c>
      <c r="B34" s="394">
        <v>15.25</v>
      </c>
      <c r="C34" s="394">
        <v>148.52999999999997</v>
      </c>
      <c r="D34" s="394">
        <v>75.7</v>
      </c>
      <c r="E34" s="394">
        <v>80.64</v>
      </c>
      <c r="F34" s="394">
        <v>19.360000000000003</v>
      </c>
      <c r="G34" s="394">
        <v>4.45</v>
      </c>
      <c r="H34" s="394">
        <v>4.1500000000000004</v>
      </c>
      <c r="I34" s="394">
        <f t="shared" si="0"/>
        <v>348.07999999999993</v>
      </c>
    </row>
    <row r="35" spans="1:9">
      <c r="A35" s="391" t="s">
        <v>288</v>
      </c>
      <c r="B35" s="392">
        <v>90.96</v>
      </c>
      <c r="C35" s="392">
        <v>1058.72</v>
      </c>
      <c r="D35" s="392">
        <v>474.084</v>
      </c>
      <c r="E35" s="392">
        <v>275.15999999999997</v>
      </c>
      <c r="F35" s="392">
        <v>122.07</v>
      </c>
      <c r="G35" s="392">
        <v>28.37</v>
      </c>
      <c r="H35" s="392">
        <v>17</v>
      </c>
      <c r="I35" s="392">
        <f t="shared" si="0"/>
        <v>2066.364</v>
      </c>
    </row>
    <row r="36" spans="1:9">
      <c r="A36" s="393" t="s">
        <v>289</v>
      </c>
      <c r="B36" s="394">
        <v>14.135000000000002</v>
      </c>
      <c r="C36" s="394">
        <v>126.63000000000001</v>
      </c>
      <c r="D36" s="394">
        <v>80</v>
      </c>
      <c r="E36" s="394">
        <v>59.599999999999994</v>
      </c>
      <c r="F36" s="394">
        <v>15.705</v>
      </c>
      <c r="G36" s="394">
        <v>2.5</v>
      </c>
      <c r="H36" s="394">
        <v>3.4</v>
      </c>
      <c r="I36" s="394">
        <f t="shared" si="0"/>
        <v>301.96999999999997</v>
      </c>
    </row>
    <row r="37" spans="1:9">
      <c r="A37" s="391" t="s">
        <v>290</v>
      </c>
      <c r="B37" s="392">
        <v>28.5</v>
      </c>
      <c r="C37" s="392">
        <v>271.02</v>
      </c>
      <c r="D37" s="392">
        <v>136.70999999999998</v>
      </c>
      <c r="E37" s="392">
        <v>123.5</v>
      </c>
      <c r="F37" s="392">
        <v>28.5</v>
      </c>
      <c r="G37" s="392">
        <v>7</v>
      </c>
      <c r="H37" s="392">
        <v>5</v>
      </c>
      <c r="I37" s="392">
        <f t="shared" si="0"/>
        <v>600.23</v>
      </c>
    </row>
    <row r="38" spans="1:9">
      <c r="A38" s="393" t="s">
        <v>291</v>
      </c>
      <c r="B38" s="394">
        <v>67.399999999999991</v>
      </c>
      <c r="C38" s="394">
        <v>719.47</v>
      </c>
      <c r="D38" s="394">
        <v>318.90000000000003</v>
      </c>
      <c r="E38" s="394">
        <v>146.24</v>
      </c>
      <c r="F38" s="394">
        <v>73.75</v>
      </c>
      <c r="G38" s="394">
        <v>20</v>
      </c>
      <c r="H38" s="394">
        <v>9</v>
      </c>
      <c r="I38" s="394">
        <f t="shared" si="0"/>
        <v>1354.76</v>
      </c>
    </row>
    <row r="39" spans="1:9">
      <c r="A39" s="391" t="s">
        <v>292</v>
      </c>
      <c r="B39" s="392">
        <v>12.48</v>
      </c>
      <c r="C39" s="392">
        <v>122.06</v>
      </c>
      <c r="D39" s="392">
        <v>59.677999999999997</v>
      </c>
      <c r="E39" s="392">
        <v>58.78</v>
      </c>
      <c r="F39" s="392">
        <v>13.93</v>
      </c>
      <c r="G39" s="392">
        <v>3.05</v>
      </c>
      <c r="H39" s="392">
        <v>3.5</v>
      </c>
      <c r="I39" s="392">
        <f t="shared" si="0"/>
        <v>273.47800000000001</v>
      </c>
    </row>
    <row r="40" spans="1:9">
      <c r="A40" s="393" t="s">
        <v>293</v>
      </c>
      <c r="B40" s="394">
        <v>56.75</v>
      </c>
      <c r="C40" s="394">
        <v>556.68000000000006</v>
      </c>
      <c r="D40" s="394">
        <v>310.24</v>
      </c>
      <c r="E40" s="394">
        <v>99.14</v>
      </c>
      <c r="F40" s="394">
        <v>72.17</v>
      </c>
      <c r="G40" s="394">
        <v>27.11</v>
      </c>
      <c r="H40" s="394">
        <v>13</v>
      </c>
      <c r="I40" s="394">
        <f t="shared" si="0"/>
        <v>1135.0899999999999</v>
      </c>
    </row>
    <row r="41" spans="1:9">
      <c r="A41" s="391" t="s">
        <v>294</v>
      </c>
      <c r="B41" s="392">
        <v>30.2</v>
      </c>
      <c r="C41" s="392">
        <v>334.67</v>
      </c>
      <c r="D41" s="392">
        <v>154.05000000000001</v>
      </c>
      <c r="E41" s="392">
        <v>150.8042857142857</v>
      </c>
      <c r="F41" s="392">
        <v>40.65</v>
      </c>
      <c r="G41" s="392">
        <v>11.68</v>
      </c>
      <c r="H41" s="392">
        <v>6.5</v>
      </c>
      <c r="I41" s="392">
        <f t="shared" si="0"/>
        <v>728.5542857142857</v>
      </c>
    </row>
    <row r="42" spans="1:9">
      <c r="A42" s="393" t="s">
        <v>295</v>
      </c>
      <c r="B42" s="394">
        <v>11.31</v>
      </c>
      <c r="C42" s="394">
        <v>104.47</v>
      </c>
      <c r="D42" s="394">
        <v>71.599999999999994</v>
      </c>
      <c r="E42" s="394">
        <v>62.959999999999994</v>
      </c>
      <c r="F42" s="394">
        <v>18.680000000000003</v>
      </c>
      <c r="G42" s="394">
        <v>4.2</v>
      </c>
      <c r="H42" s="394">
        <v>3.67</v>
      </c>
      <c r="I42" s="394">
        <f t="shared" si="0"/>
        <v>276.89</v>
      </c>
    </row>
    <row r="43" spans="1:9">
      <c r="A43" s="391" t="s">
        <v>296</v>
      </c>
      <c r="B43" s="392">
        <v>6.71</v>
      </c>
      <c r="C43" s="392">
        <v>72.389999999999986</v>
      </c>
      <c r="D43" s="392">
        <v>42.15</v>
      </c>
      <c r="E43" s="392">
        <v>33.4375</v>
      </c>
      <c r="F43" s="392">
        <v>7.33</v>
      </c>
      <c r="G43" s="392">
        <v>3</v>
      </c>
      <c r="H43" s="392">
        <v>1.5</v>
      </c>
      <c r="I43" s="392">
        <f t="shared" si="0"/>
        <v>166.51749999999998</v>
      </c>
    </row>
    <row r="44" spans="1:9">
      <c r="A44" s="393" t="s">
        <v>297</v>
      </c>
      <c r="B44" s="394">
        <v>5.3</v>
      </c>
      <c r="C44" s="394">
        <v>59.190000000000005</v>
      </c>
      <c r="D44" s="394">
        <v>44.740000000000009</v>
      </c>
      <c r="E44" s="394">
        <v>35.880000000000003</v>
      </c>
      <c r="F44" s="394">
        <v>7.339999999999999</v>
      </c>
      <c r="G44" s="394">
        <v>1.6</v>
      </c>
      <c r="H44" s="394">
        <v>2</v>
      </c>
      <c r="I44" s="394">
        <f t="shared" si="0"/>
        <v>156.05000000000001</v>
      </c>
    </row>
    <row r="45" spans="1:9">
      <c r="A45" s="391" t="s">
        <v>298</v>
      </c>
      <c r="B45" s="392">
        <v>9.75</v>
      </c>
      <c r="C45" s="392">
        <v>110.99000000000001</v>
      </c>
      <c r="D45" s="392">
        <v>69.2</v>
      </c>
      <c r="E45" s="392">
        <v>36.020000000000003</v>
      </c>
      <c r="F45" s="392">
        <v>9.6300000000000008</v>
      </c>
      <c r="G45" s="392">
        <v>2.7</v>
      </c>
      <c r="H45" s="392">
        <v>3</v>
      </c>
      <c r="I45" s="392">
        <f t="shared" si="0"/>
        <v>241.29</v>
      </c>
    </row>
    <row r="46" spans="1:9">
      <c r="A46" s="393" t="s">
        <v>299</v>
      </c>
      <c r="B46" s="394">
        <v>140.67000000000002</v>
      </c>
      <c r="C46" s="394">
        <v>2123.1600000000003</v>
      </c>
      <c r="D46" s="394">
        <v>1131.92</v>
      </c>
      <c r="E46" s="394">
        <v>676.52</v>
      </c>
      <c r="F46" s="394">
        <v>279.09000000000003</v>
      </c>
      <c r="G46" s="394">
        <v>85.83</v>
      </c>
      <c r="H46" s="394">
        <v>17</v>
      </c>
      <c r="I46" s="394">
        <f t="shared" si="0"/>
        <v>4454.1900000000005</v>
      </c>
    </row>
    <row r="47" spans="1:9" ht="6" customHeight="1">
      <c r="A47" s="393"/>
      <c r="B47" s="394"/>
      <c r="C47" s="394"/>
      <c r="D47" s="394"/>
      <c r="E47" s="394"/>
      <c r="F47" s="394"/>
      <c r="G47" s="394"/>
      <c r="H47" s="394"/>
      <c r="I47" s="394"/>
    </row>
    <row r="48" spans="1:9">
      <c r="A48" s="395" t="s">
        <v>225</v>
      </c>
      <c r="B48" s="396">
        <f t="shared" ref="B48:I48" si="1">SUM(B11:B46)</f>
        <v>1149.23</v>
      </c>
      <c r="C48" s="396">
        <f t="shared" si="1"/>
        <v>12363.578999999998</v>
      </c>
      <c r="D48" s="396">
        <f t="shared" si="1"/>
        <v>6630.0049999999992</v>
      </c>
      <c r="E48" s="396">
        <f t="shared" si="1"/>
        <v>3930.4617857142857</v>
      </c>
      <c r="F48" s="396">
        <f t="shared" si="1"/>
        <v>1484.8690000000001</v>
      </c>
      <c r="G48" s="396">
        <f t="shared" si="1"/>
        <v>420.37999999999994</v>
      </c>
      <c r="H48" s="396">
        <f t="shared" si="1"/>
        <v>241.64999999999998</v>
      </c>
      <c r="I48" s="396">
        <f t="shared" si="1"/>
        <v>26220.174785714291</v>
      </c>
    </row>
    <row r="49" spans="1:9" ht="6" customHeight="1">
      <c r="B49" s="397"/>
      <c r="C49" s="397"/>
      <c r="D49" s="397"/>
      <c r="E49" s="397"/>
      <c r="F49" s="397"/>
      <c r="G49" s="397"/>
      <c r="H49" s="397"/>
      <c r="I49" s="397"/>
    </row>
    <row r="50" spans="1:9">
      <c r="A50" s="393" t="s">
        <v>300</v>
      </c>
      <c r="B50" s="394">
        <v>1.75</v>
      </c>
      <c r="C50" s="394">
        <v>18.36</v>
      </c>
      <c r="D50" s="394">
        <v>5.62</v>
      </c>
      <c r="E50" s="394">
        <v>3.12</v>
      </c>
      <c r="F50" s="394">
        <v>2.99</v>
      </c>
      <c r="G50" s="394">
        <v>0.15</v>
      </c>
      <c r="H50" s="394">
        <v>0</v>
      </c>
      <c r="I50" s="394">
        <f>SUM(B50:H50)</f>
        <v>31.990000000000002</v>
      </c>
    </row>
    <row r="51" spans="1:9">
      <c r="A51" s="364" t="s">
        <v>540</v>
      </c>
      <c r="B51" s="392">
        <v>14.75</v>
      </c>
      <c r="C51" s="392">
        <v>42.4</v>
      </c>
      <c r="D51" s="392">
        <v>0</v>
      </c>
      <c r="E51" s="392">
        <v>31.810000000000002</v>
      </c>
      <c r="F51" s="392">
        <v>9.25</v>
      </c>
      <c r="G51" s="392">
        <v>0</v>
      </c>
      <c r="H51" s="392">
        <v>2</v>
      </c>
      <c r="I51" s="392">
        <f>SUM(B51:H51)</f>
        <v>100.21000000000001</v>
      </c>
    </row>
    <row r="52" spans="1:9" ht="49.5" customHeight="1">
      <c r="A52" s="398"/>
      <c r="B52" s="398"/>
      <c r="C52" s="399">
        <v>0</v>
      </c>
      <c r="D52" s="398"/>
      <c r="E52" s="398"/>
      <c r="F52" s="398"/>
      <c r="G52" s="398"/>
      <c r="H52" s="398"/>
      <c r="I52" s="398"/>
    </row>
    <row r="53" spans="1:9">
      <c r="A53" s="788" t="s">
        <v>521</v>
      </c>
      <c r="B53" s="788"/>
      <c r="C53" s="788"/>
      <c r="D53" s="788"/>
      <c r="E53" s="788"/>
      <c r="F53" s="788"/>
      <c r="G53" s="788"/>
      <c r="H53" s="788"/>
      <c r="I53" s="788"/>
    </row>
    <row r="54" spans="1:9">
      <c r="A54" s="789"/>
      <c r="B54" s="789"/>
      <c r="C54" s="789"/>
      <c r="D54" s="789"/>
      <c r="E54" s="789"/>
      <c r="F54" s="789"/>
      <c r="G54" s="789"/>
      <c r="H54" s="789"/>
      <c r="I54" s="789"/>
    </row>
    <row r="55" spans="1:9">
      <c r="A55" s="235" t="s">
        <v>360</v>
      </c>
      <c r="B55" s="383"/>
      <c r="C55" s="400"/>
    </row>
    <row r="56" spans="1:9">
      <c r="A56" s="235" t="s">
        <v>329</v>
      </c>
      <c r="B56" s="383"/>
      <c r="C56" s="400"/>
    </row>
  </sheetData>
  <mergeCells count="11">
    <mergeCell ref="A53:I54"/>
    <mergeCell ref="C8:D8"/>
    <mergeCell ref="I8:I9"/>
    <mergeCell ref="B7:H7"/>
    <mergeCell ref="A2:H2"/>
    <mergeCell ref="A3:H3"/>
    <mergeCell ref="B8:B9"/>
    <mergeCell ref="E8:E9"/>
    <mergeCell ref="F8:F9"/>
    <mergeCell ref="G8:G9"/>
    <mergeCell ref="H8:H9"/>
  </mergeCells>
  <phoneticPr fontId="21" type="noConversion"/>
  <printOptions horizontalCentered="1"/>
  <pageMargins left="0.51180000000000003" right="0.51180000000000003" top="0.59055118110236204" bottom="0" header="0.31496062992126" footer="0"/>
  <pageSetup orientation="portrait"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codeName="Sheet26"/>
  <dimension ref="A1:BB57"/>
  <sheetViews>
    <sheetView showGridLines="0" workbookViewId="0"/>
  </sheetViews>
  <sheetFormatPr defaultColWidth="19.83203125" defaultRowHeight="12"/>
  <cols>
    <col min="1" max="1" width="30.83203125" style="404" customWidth="1"/>
    <col min="2" max="2" width="17" style="404" customWidth="1"/>
    <col min="3" max="3" width="12" style="404" customWidth="1"/>
    <col min="4" max="4" width="16.83203125" style="404" customWidth="1"/>
    <col min="5" max="5" width="11.5" style="404" customWidth="1"/>
    <col min="6" max="6" width="13.33203125" style="404" customWidth="1"/>
    <col min="7" max="7" width="12.5" style="404" customWidth="1"/>
    <col min="8" max="8" width="19.83203125" style="404"/>
    <col min="9" max="9" width="19.83203125" style="426"/>
    <col min="10" max="16384" width="19.83203125" style="404"/>
  </cols>
  <sheetData>
    <row r="1" spans="1:54" ht="6.95" customHeight="1">
      <c r="A1" s="402"/>
      <c r="B1" s="403"/>
      <c r="C1" s="403"/>
    </row>
    <row r="2" spans="1:54" ht="15.95" customHeight="1">
      <c r="A2" s="405" t="str">
        <f>IF(Lang=1,BA2,BB2)</f>
        <v>DIRECT SUPPORT TO PUPILS</v>
      </c>
      <c r="B2" s="406"/>
      <c r="C2" s="406"/>
      <c r="D2" s="406"/>
      <c r="E2" s="406"/>
      <c r="F2" s="406"/>
      <c r="G2" s="406"/>
      <c r="BA2" s="494" t="s">
        <v>312</v>
      </c>
      <c r="BB2" s="494" t="s">
        <v>527</v>
      </c>
    </row>
    <row r="3" spans="1:54" ht="15.95" customHeight="1">
      <c r="A3" s="423" t="str">
        <f>+'- 60 -'!A3</f>
        <v>2014/15 AND 2015/16 BUDGET</v>
      </c>
      <c r="B3" s="407"/>
      <c r="C3" s="407"/>
      <c r="D3" s="407"/>
      <c r="E3" s="407"/>
      <c r="F3" s="407"/>
      <c r="G3" s="407"/>
    </row>
    <row r="4" spans="1:54" ht="15.95" customHeight="1">
      <c r="B4" s="403"/>
      <c r="C4" s="403"/>
    </row>
    <row r="5" spans="1:54" ht="12" customHeight="1">
      <c r="B5" s="403"/>
      <c r="C5" s="403"/>
    </row>
    <row r="6" spans="1:54" ht="15.75" customHeight="1">
      <c r="B6" s="803" t="s">
        <v>525</v>
      </c>
      <c r="C6" s="804"/>
      <c r="D6" s="804"/>
      <c r="E6" s="805"/>
      <c r="F6" s="812" t="s">
        <v>526</v>
      </c>
      <c r="G6" s="813"/>
    </row>
    <row r="7" spans="1:54">
      <c r="B7" s="806"/>
      <c r="C7" s="807"/>
      <c r="D7" s="807"/>
      <c r="E7" s="808"/>
      <c r="F7" s="806"/>
      <c r="G7" s="814"/>
    </row>
    <row r="8" spans="1:54">
      <c r="A8" s="491"/>
      <c r="B8" s="809"/>
      <c r="C8" s="810"/>
      <c r="D8" s="810"/>
      <c r="E8" s="811"/>
      <c r="F8" s="815"/>
      <c r="G8" s="816"/>
    </row>
    <row r="9" spans="1:54" ht="25.5" customHeight="1">
      <c r="A9" s="408" t="s">
        <v>37</v>
      </c>
      <c r="B9" s="492" t="str">
        <f>+'- 60 -'!B9</f>
        <v>2014/15</v>
      </c>
      <c r="C9" s="493" t="s">
        <v>314</v>
      </c>
      <c r="D9" s="492" t="str">
        <f>+'- 60 -'!C9</f>
        <v>2015/16</v>
      </c>
      <c r="E9" s="493" t="s">
        <v>314</v>
      </c>
      <c r="F9" s="409" t="str">
        <f>+B9</f>
        <v>2014/15</v>
      </c>
      <c r="G9" s="409" t="str">
        <f>+D9</f>
        <v>2015/16</v>
      </c>
    </row>
    <row r="10" spans="1:54" ht="5.0999999999999996" customHeight="1">
      <c r="A10" s="410"/>
      <c r="B10" s="411"/>
      <c r="C10" s="411"/>
      <c r="D10" s="402"/>
      <c r="E10" s="402"/>
      <c r="F10" s="402"/>
    </row>
    <row r="11" spans="1:54" ht="14.1" customHeight="1">
      <c r="A11" s="412" t="s">
        <v>109</v>
      </c>
      <c r="B11" s="413">
        <v>13321367</v>
      </c>
      <c r="C11" s="414">
        <v>76.774894327205686</v>
      </c>
      <c r="D11" s="413">
        <v>14221880</v>
      </c>
      <c r="E11" s="414">
        <f>+D11/'- 3 -'!F11*100</f>
        <v>77.348399230316573</v>
      </c>
      <c r="F11" s="413">
        <v>8613.8810216618167</v>
      </c>
      <c r="G11" s="413">
        <f>+D11/'- 7 -'!F11</f>
        <v>8635.0212507589549</v>
      </c>
      <c r="I11" s="427" t="str">
        <f>IF(+D11-'- 15 -'!B11-'- 15 -'!E11-'- 16 -'!G11=0,"","Ckeck")</f>
        <v/>
      </c>
    </row>
    <row r="12" spans="1:54" ht="14.1" customHeight="1">
      <c r="A12" s="415" t="s">
        <v>110</v>
      </c>
      <c r="B12" s="416">
        <v>23475454</v>
      </c>
      <c r="C12" s="417">
        <v>76.023061987795415</v>
      </c>
      <c r="D12" s="416">
        <v>23809220</v>
      </c>
      <c r="E12" s="417">
        <f>+D12/'- 3 -'!F12*100</f>
        <v>75.832516060712834</v>
      </c>
      <c r="F12" s="416">
        <v>10735.66045328992</v>
      </c>
      <c r="G12" s="416">
        <f>+D12/'- 7 -'!F12</f>
        <v>10977.049331489165</v>
      </c>
      <c r="I12" s="427" t="str">
        <f>IF(+D12-'- 15 -'!B12-'- 15 -'!E12-'- 16 -'!G12=0,"","Ckeck")</f>
        <v/>
      </c>
    </row>
    <row r="13" spans="1:54" ht="14.1" customHeight="1">
      <c r="A13" s="412" t="s">
        <v>111</v>
      </c>
      <c r="B13" s="413">
        <v>74830300</v>
      </c>
      <c r="C13" s="414">
        <v>84.109230285046308</v>
      </c>
      <c r="D13" s="413">
        <v>77562200</v>
      </c>
      <c r="E13" s="414">
        <f>+D13/'- 3 -'!F13*100</f>
        <v>83.838881718756426</v>
      </c>
      <c r="F13" s="413">
        <v>9214.9527186033429</v>
      </c>
      <c r="G13" s="413">
        <f>+D13/'- 7 -'!F13</f>
        <v>9496.4432200795836</v>
      </c>
      <c r="I13" s="427" t="str">
        <f>IF(+D13-'- 15 -'!B13-'- 15 -'!E13-'- 16 -'!G13=0,"","Ckeck")</f>
        <v/>
      </c>
    </row>
    <row r="14" spans="1:54" ht="14.1" customHeight="1">
      <c r="A14" s="415" t="s">
        <v>324</v>
      </c>
      <c r="B14" s="416">
        <v>57432904</v>
      </c>
      <c r="C14" s="417">
        <v>73.1803556854356</v>
      </c>
      <c r="D14" s="416">
        <v>59779131</v>
      </c>
      <c r="E14" s="417">
        <f>+D14/'- 3 -'!F14*100</f>
        <v>73.614533527917587</v>
      </c>
      <c r="F14" s="416">
        <v>10805.814487300095</v>
      </c>
      <c r="G14" s="416">
        <f>+D14/'- 7 -'!F14</f>
        <v>11230.345857599099</v>
      </c>
      <c r="I14" s="427" t="str">
        <f>IF(+D14-'- 15 -'!B14-'- 15 -'!E14-'- 16 -'!G14=0,"","Ckeck")</f>
        <v/>
      </c>
    </row>
    <row r="15" spans="1:54" ht="14.1" customHeight="1">
      <c r="A15" s="412" t="s">
        <v>112</v>
      </c>
      <c r="B15" s="413">
        <v>14779302</v>
      </c>
      <c r="C15" s="414">
        <v>74.80311628911241</v>
      </c>
      <c r="D15" s="413">
        <v>14884077</v>
      </c>
      <c r="E15" s="414">
        <f>+D15/'- 3 -'!F15*100</f>
        <v>74.25321502435493</v>
      </c>
      <c r="F15" s="413">
        <v>10175.07882960413</v>
      </c>
      <c r="G15" s="413">
        <f>+D15/'- 7 -'!F15</f>
        <v>10433.983175604626</v>
      </c>
      <c r="I15" s="427" t="str">
        <f>IF(+D15-'- 15 -'!B15-'- 15 -'!E15-'- 16 -'!G15=0,"","Ckeck")</f>
        <v/>
      </c>
    </row>
    <row r="16" spans="1:54" ht="14.1" customHeight="1">
      <c r="A16" s="415" t="s">
        <v>113</v>
      </c>
      <c r="B16" s="416">
        <v>10044982</v>
      </c>
      <c r="C16" s="417">
        <v>75.120012755094407</v>
      </c>
      <c r="D16" s="416">
        <v>10449565</v>
      </c>
      <c r="E16" s="417">
        <f>+D16/'- 3 -'!F16*100</f>
        <v>74.838644388697873</v>
      </c>
      <c r="F16" s="416">
        <v>10441.76923076923</v>
      </c>
      <c r="G16" s="416">
        <f>+D16/'- 7 -'!F16</f>
        <v>11128.397231096911</v>
      </c>
      <c r="I16" s="427" t="str">
        <f>IF(+D16-'- 15 -'!B16-'- 15 -'!E16-'- 16 -'!G16=0,"","Ckeck")</f>
        <v/>
      </c>
    </row>
    <row r="17" spans="1:9" ht="14.1" customHeight="1">
      <c r="A17" s="412" t="s">
        <v>114</v>
      </c>
      <c r="B17" s="413">
        <v>12605128</v>
      </c>
      <c r="C17" s="414">
        <v>74.555075442700641</v>
      </c>
      <c r="D17" s="413">
        <v>12798750</v>
      </c>
      <c r="E17" s="414">
        <f>+D17/'- 3 -'!F17*100</f>
        <v>73.866549930728922</v>
      </c>
      <c r="F17" s="413">
        <v>9424.3947663551407</v>
      </c>
      <c r="G17" s="413">
        <f>+D17/'- 7 -'!F17</f>
        <v>9421.2366580787639</v>
      </c>
      <c r="I17" s="427" t="str">
        <f>IF(+D17-'- 15 -'!B17-'- 15 -'!E17-'- 16 -'!G17=0,"","Ckeck")</f>
        <v/>
      </c>
    </row>
    <row r="18" spans="1:9" ht="14.1" customHeight="1">
      <c r="A18" s="415" t="s">
        <v>115</v>
      </c>
      <c r="B18" s="416">
        <v>78569830</v>
      </c>
      <c r="C18" s="417">
        <v>65.754167791374741</v>
      </c>
      <c r="D18" s="416">
        <v>80698332</v>
      </c>
      <c r="E18" s="417">
        <f>+D18/'- 3 -'!F18*100</f>
        <v>65.366729634677725</v>
      </c>
      <c r="F18" s="416">
        <v>12732.725622700829</v>
      </c>
      <c r="G18" s="416">
        <f>+D18/'- 7 -'!F18</f>
        <v>12887.813338443848</v>
      </c>
      <c r="I18" s="427" t="str">
        <f>IF(+D18-'- 15 -'!B18-'- 15 -'!E18-'- 16 -'!G18=0,"","Ckeck")</f>
        <v/>
      </c>
    </row>
    <row r="19" spans="1:9" ht="14.1" customHeight="1">
      <c r="A19" s="412" t="s">
        <v>116</v>
      </c>
      <c r="B19" s="413">
        <v>34391800</v>
      </c>
      <c r="C19" s="414">
        <v>79.2934376874734</v>
      </c>
      <c r="D19" s="413">
        <v>35572100</v>
      </c>
      <c r="E19" s="414">
        <f>+D19/'- 3 -'!F19*100</f>
        <v>79.290294567118821</v>
      </c>
      <c r="F19" s="413">
        <v>8430.3958818482661</v>
      </c>
      <c r="G19" s="413">
        <f>+D19/'- 7 -'!F19</f>
        <v>8473.5826584087663</v>
      </c>
      <c r="I19" s="427" t="str">
        <f>IF(+D19-'- 15 -'!B19-'- 15 -'!E19-'- 16 -'!G19=0,"","Ckeck")</f>
        <v/>
      </c>
    </row>
    <row r="20" spans="1:9" ht="14.1" customHeight="1">
      <c r="A20" s="415" t="s">
        <v>117</v>
      </c>
      <c r="B20" s="416">
        <v>58933900</v>
      </c>
      <c r="C20" s="417">
        <v>77.982332407963654</v>
      </c>
      <c r="D20" s="416">
        <v>61782000</v>
      </c>
      <c r="E20" s="417">
        <f>+D20/'- 3 -'!F20*100</f>
        <v>78.566968606021916</v>
      </c>
      <c r="F20" s="416">
        <v>7796.5207037967984</v>
      </c>
      <c r="G20" s="416">
        <f>+D20/'- 7 -'!F20</f>
        <v>8269.5756926783561</v>
      </c>
      <c r="I20" s="427" t="str">
        <f>IF(+D20-'- 15 -'!B20-'- 15 -'!E20-'- 16 -'!G20=0,"","Ckeck")</f>
        <v/>
      </c>
    </row>
    <row r="21" spans="1:9" ht="14.1" customHeight="1">
      <c r="A21" s="412" t="s">
        <v>118</v>
      </c>
      <c r="B21" s="413">
        <v>26723104</v>
      </c>
      <c r="C21" s="414">
        <v>78.049402804498683</v>
      </c>
      <c r="D21" s="413">
        <v>27460883</v>
      </c>
      <c r="E21" s="414">
        <f>+D21/'- 3 -'!F21*100</f>
        <v>77.943052481604568</v>
      </c>
      <c r="F21" s="413">
        <v>10050.057916509966</v>
      </c>
      <c r="G21" s="413">
        <f>+D21/'- 7 -'!F21</f>
        <v>10182.010752688173</v>
      </c>
      <c r="I21" s="427" t="str">
        <f>IF(+D21-'- 15 -'!B21-'- 15 -'!E21-'- 16 -'!G21=0,"","Ckeck")</f>
        <v/>
      </c>
    </row>
    <row r="22" spans="1:9" ht="14.1" customHeight="1">
      <c r="A22" s="415" t="s">
        <v>119</v>
      </c>
      <c r="B22" s="416">
        <v>14278239</v>
      </c>
      <c r="C22" s="417">
        <v>76.333017449591807</v>
      </c>
      <c r="D22" s="416">
        <v>15508131</v>
      </c>
      <c r="E22" s="417">
        <f>+D22/'- 3 -'!F22*100</f>
        <v>77.766804756572355</v>
      </c>
      <c r="F22" s="416">
        <v>9146.8539397821914</v>
      </c>
      <c r="G22" s="416">
        <f>+D22/'- 7 -'!F22</f>
        <v>9889.1282999617397</v>
      </c>
      <c r="I22" s="427" t="str">
        <f>IF(+D22-'- 15 -'!B22-'- 15 -'!E22-'- 16 -'!G22=0,"","Ckeck")</f>
        <v/>
      </c>
    </row>
    <row r="23" spans="1:9" ht="14.1" customHeight="1">
      <c r="A23" s="412" t="s">
        <v>120</v>
      </c>
      <c r="B23" s="413">
        <v>11893108</v>
      </c>
      <c r="C23" s="414">
        <v>75.340164754831534</v>
      </c>
      <c r="D23" s="413">
        <v>11986299</v>
      </c>
      <c r="E23" s="414">
        <f>+D23/'- 3 -'!F23*100</f>
        <v>74.97542217346863</v>
      </c>
      <c r="F23" s="413">
        <v>10364.364270152506</v>
      </c>
      <c r="G23" s="413">
        <f>+D23/'- 7 -'!F23</f>
        <v>10759.693895870736</v>
      </c>
      <c r="I23" s="427" t="str">
        <f>IF(+D23-'- 15 -'!B23-'- 15 -'!E23-'- 16 -'!G23=0,"","Ckeck")</f>
        <v/>
      </c>
    </row>
    <row r="24" spans="1:9" ht="14.1" customHeight="1">
      <c r="A24" s="415" t="s">
        <v>121</v>
      </c>
      <c r="B24" s="416">
        <v>42068257</v>
      </c>
      <c r="C24" s="417">
        <v>78.493920443423377</v>
      </c>
      <c r="D24" s="416">
        <v>43339930</v>
      </c>
      <c r="E24" s="417">
        <f>+D24/'- 3 -'!F24*100</f>
        <v>78.614820586414183</v>
      </c>
      <c r="F24" s="416">
        <v>10389.789330698937</v>
      </c>
      <c r="G24" s="416">
        <f>+D24/'- 7 -'!F24</f>
        <v>10901.755753993208</v>
      </c>
      <c r="I24" s="427" t="str">
        <f>IF(+D24-'- 15 -'!B24-'- 15 -'!E24-'- 16 -'!G24=0,"","Ckeck")</f>
        <v/>
      </c>
    </row>
    <row r="25" spans="1:9" ht="14.1" customHeight="1">
      <c r="A25" s="412" t="s">
        <v>122</v>
      </c>
      <c r="B25" s="413">
        <v>129299278</v>
      </c>
      <c r="C25" s="414">
        <v>81.84885168584951</v>
      </c>
      <c r="D25" s="413">
        <v>135974647</v>
      </c>
      <c r="E25" s="414">
        <f>+D25/'- 3 -'!F25*100</f>
        <v>81.971460860254481</v>
      </c>
      <c r="F25" s="413">
        <v>9407.0045834849043</v>
      </c>
      <c r="G25" s="413">
        <f>+D25/'- 7 -'!F25</f>
        <v>9722.5445640127273</v>
      </c>
      <c r="I25" s="427" t="str">
        <f>IF(+D25-'- 15 -'!B25-'- 15 -'!E25-'- 16 -'!G25=0,"","Ckeck")</f>
        <v/>
      </c>
    </row>
    <row r="26" spans="1:9" ht="14.1" customHeight="1">
      <c r="A26" s="415" t="s">
        <v>123</v>
      </c>
      <c r="B26" s="416">
        <v>28803278</v>
      </c>
      <c r="C26" s="417">
        <v>74.231663438128621</v>
      </c>
      <c r="D26" s="416">
        <v>29553304</v>
      </c>
      <c r="E26" s="417">
        <f>+D26/'- 3 -'!F26*100</f>
        <v>74.303741156014837</v>
      </c>
      <c r="F26" s="416">
        <v>9327.4863989637306</v>
      </c>
      <c r="G26" s="416">
        <f>+D26/'- 7 -'!F26</f>
        <v>9510.3150442477872</v>
      </c>
      <c r="I26" s="427" t="str">
        <f>IF(+D26-'- 15 -'!B26-'- 15 -'!E26-'- 16 -'!G26=0,"","Ckeck")</f>
        <v/>
      </c>
    </row>
    <row r="27" spans="1:9" ht="14.1" customHeight="1">
      <c r="A27" s="412" t="s">
        <v>124</v>
      </c>
      <c r="B27" s="413">
        <v>31280736</v>
      </c>
      <c r="C27" s="414">
        <v>80.112767848675261</v>
      </c>
      <c r="D27" s="413">
        <v>34918154</v>
      </c>
      <c r="E27" s="414">
        <f>+D27/'- 3 -'!F27*100</f>
        <v>81.464502159553348</v>
      </c>
      <c r="F27" s="413">
        <v>10823.784083044982</v>
      </c>
      <c r="G27" s="413">
        <f>+D27/'- 7 -'!F27</f>
        <v>12207.620327131977</v>
      </c>
      <c r="I27" s="427" t="str">
        <f>IF(+D27-'- 15 -'!B27-'- 15 -'!E27-'- 16 -'!G27=0,"","Ckeck")</f>
        <v/>
      </c>
    </row>
    <row r="28" spans="1:9" ht="14.1" customHeight="1">
      <c r="A28" s="415" t="s">
        <v>125</v>
      </c>
      <c r="B28" s="416">
        <v>20401435</v>
      </c>
      <c r="C28" s="417">
        <v>75.251702929534531</v>
      </c>
      <c r="D28" s="416">
        <v>20837209</v>
      </c>
      <c r="E28" s="417">
        <f>+D28/'- 3 -'!F28*100</f>
        <v>75.065474939903552</v>
      </c>
      <c r="F28" s="416">
        <v>10290.761664564943</v>
      </c>
      <c r="G28" s="416">
        <f>+D28/'- 7 -'!F28</f>
        <v>10574.579548337986</v>
      </c>
      <c r="I28" s="427" t="str">
        <f>IF(+D28-'- 15 -'!B28-'- 15 -'!E28-'- 16 -'!G28=0,"","Ckeck")</f>
        <v/>
      </c>
    </row>
    <row r="29" spans="1:9" ht="14.1" customHeight="1">
      <c r="A29" s="412" t="s">
        <v>126</v>
      </c>
      <c r="B29" s="413">
        <v>118713323</v>
      </c>
      <c r="C29" s="414">
        <v>81.056082923507219</v>
      </c>
      <c r="D29" s="413">
        <v>122316985</v>
      </c>
      <c r="E29" s="414">
        <f>+D29/'- 3 -'!F29*100</f>
        <v>79.333491571834585</v>
      </c>
      <c r="F29" s="413">
        <v>9843.151030222627</v>
      </c>
      <c r="G29" s="413">
        <f>+D29/'- 7 -'!F29</f>
        <v>9909.0234121840567</v>
      </c>
      <c r="I29" s="427" t="str">
        <f>IF(+D29-'- 15 -'!B29-'- 15 -'!E29-'- 16 -'!G29=0,"","Ckeck")</f>
        <v/>
      </c>
    </row>
    <row r="30" spans="1:9" ht="14.1" customHeight="1">
      <c r="A30" s="415" t="s">
        <v>127</v>
      </c>
      <c r="B30" s="416">
        <v>9976819</v>
      </c>
      <c r="C30" s="417">
        <v>74.529041791030281</v>
      </c>
      <c r="D30" s="416">
        <v>10572402</v>
      </c>
      <c r="E30" s="417">
        <f>+D30/'- 3 -'!F30*100</f>
        <v>75.626534719643089</v>
      </c>
      <c r="F30" s="416">
        <v>9728.7362262311071</v>
      </c>
      <c r="G30" s="416">
        <f>+D30/'- 7 -'!F30</f>
        <v>10304.485380116959</v>
      </c>
      <c r="I30" s="427" t="str">
        <f>IF(+D30-'- 15 -'!B30-'- 15 -'!E30-'- 16 -'!G30=0,"","Ckeck")</f>
        <v/>
      </c>
    </row>
    <row r="31" spans="1:9" ht="14.1" customHeight="1">
      <c r="A31" s="412" t="s">
        <v>128</v>
      </c>
      <c r="B31" s="413">
        <v>28028336</v>
      </c>
      <c r="C31" s="414">
        <v>80.265492660927265</v>
      </c>
      <c r="D31" s="413">
        <v>29180983</v>
      </c>
      <c r="E31" s="414">
        <f>+D31/'- 3 -'!F31*100</f>
        <v>80.708517813938229</v>
      </c>
      <c r="F31" s="413">
        <v>8783.5587590097148</v>
      </c>
      <c r="G31" s="413">
        <f>+D31/'- 7 -'!F31</f>
        <v>9141.9119674185458</v>
      </c>
      <c r="I31" s="427" t="str">
        <f>IF(+D31-'- 15 -'!B31-'- 15 -'!E31-'- 16 -'!G31=0,"","Ckeck")</f>
        <v/>
      </c>
    </row>
    <row r="32" spans="1:9" ht="14.1" customHeight="1">
      <c r="A32" s="415" t="s">
        <v>129</v>
      </c>
      <c r="B32" s="416">
        <v>19985513</v>
      </c>
      <c r="C32" s="417">
        <v>75.918758642968314</v>
      </c>
      <c r="D32" s="416">
        <v>21267019</v>
      </c>
      <c r="E32" s="417">
        <f>+D32/'- 3 -'!F32*100</f>
        <v>74.732622993949889</v>
      </c>
      <c r="F32" s="416">
        <v>9501.0758260042785</v>
      </c>
      <c r="G32" s="416">
        <f>+D32/'- 7 -'!F32</f>
        <v>10041.322505252721</v>
      </c>
      <c r="I32" s="427" t="str">
        <f>IF(+D32-'- 15 -'!B32-'- 15 -'!E32-'- 16 -'!G32=0,"","Ckeck")</f>
        <v/>
      </c>
    </row>
    <row r="33" spans="1:9" ht="14.1" customHeight="1">
      <c r="A33" s="412" t="s">
        <v>130</v>
      </c>
      <c r="B33" s="413">
        <v>19949024</v>
      </c>
      <c r="C33" s="414">
        <v>73.692244064104088</v>
      </c>
      <c r="D33" s="413">
        <v>20242000</v>
      </c>
      <c r="E33" s="414">
        <f>+D33/'- 3 -'!F33*100</f>
        <v>74.299473641709298</v>
      </c>
      <c r="F33" s="413">
        <v>10007.034863305744</v>
      </c>
      <c r="G33" s="413">
        <f>+D33/'- 7 -'!F33</f>
        <v>10236.156763590392</v>
      </c>
      <c r="I33" s="427" t="str">
        <f>IF(+D33-'- 15 -'!B33-'- 15 -'!E33-'- 16 -'!G33=0,"","Ckeck")</f>
        <v/>
      </c>
    </row>
    <row r="34" spans="1:9" ht="14.1" customHeight="1">
      <c r="A34" s="415" t="s">
        <v>131</v>
      </c>
      <c r="B34" s="416">
        <v>19377761</v>
      </c>
      <c r="C34" s="417">
        <v>73.753565357852693</v>
      </c>
      <c r="D34" s="416">
        <v>20490135</v>
      </c>
      <c r="E34" s="417">
        <f>+D34/'- 3 -'!F34*100</f>
        <v>74.213800691513043</v>
      </c>
      <c r="F34" s="416">
        <v>9759.6378745907823</v>
      </c>
      <c r="G34" s="416">
        <f>+D34/'- 7 -'!F34</f>
        <v>10375.802612922827</v>
      </c>
      <c r="I34" s="427" t="str">
        <f>IF(+D34-'- 15 -'!B34-'- 15 -'!E34-'- 16 -'!G34=0,"","Ckeck")</f>
        <v/>
      </c>
    </row>
    <row r="35" spans="1:9" ht="14.1" customHeight="1">
      <c r="A35" s="412" t="s">
        <v>132</v>
      </c>
      <c r="B35" s="413">
        <v>137605117</v>
      </c>
      <c r="C35" s="414">
        <v>81.018679810610806</v>
      </c>
      <c r="D35" s="413">
        <v>142366176</v>
      </c>
      <c r="E35" s="414">
        <f>+D35/'- 3 -'!F35*100</f>
        <v>81.08859692032992</v>
      </c>
      <c r="F35" s="413">
        <v>8879.4680905981804</v>
      </c>
      <c r="G35" s="413">
        <f>+D35/'- 7 -'!F35</f>
        <v>9113.7683887075091</v>
      </c>
      <c r="I35" s="427" t="str">
        <f>IF(+D35-'- 15 -'!B35-'- 15 -'!E35-'- 16 -'!G35=0,"","Ckeck")</f>
        <v/>
      </c>
    </row>
    <row r="36" spans="1:9" ht="14.1" customHeight="1">
      <c r="A36" s="415" t="s">
        <v>133</v>
      </c>
      <c r="B36" s="416">
        <v>16523205</v>
      </c>
      <c r="C36" s="417">
        <v>74.812010160144524</v>
      </c>
      <c r="D36" s="416">
        <v>17228340</v>
      </c>
      <c r="E36" s="417">
        <f>+D36/'- 3 -'!F36*100</f>
        <v>75.091285237300212</v>
      </c>
      <c r="F36" s="416">
        <v>10023.175614194723</v>
      </c>
      <c r="G36" s="416">
        <f>+D36/'- 7 -'!F36</f>
        <v>10270.247391952311</v>
      </c>
      <c r="I36" s="427" t="str">
        <f>IF(+D36-'- 15 -'!B36-'- 15 -'!E36-'- 16 -'!G36=0,"","Ckeck")</f>
        <v/>
      </c>
    </row>
    <row r="37" spans="1:9" ht="14.1" customHeight="1">
      <c r="A37" s="412" t="s">
        <v>134</v>
      </c>
      <c r="B37" s="413">
        <v>34784930</v>
      </c>
      <c r="C37" s="414">
        <v>78.141671618719272</v>
      </c>
      <c r="D37" s="413">
        <v>36206529</v>
      </c>
      <c r="E37" s="414">
        <f>+D37/'- 3 -'!F37*100</f>
        <v>77.91021416904988</v>
      </c>
      <c r="F37" s="413">
        <v>8888.4451258464287</v>
      </c>
      <c r="G37" s="413">
        <f>+D37/'- 7 -'!F37</f>
        <v>9169.6920349499815</v>
      </c>
      <c r="I37" s="427" t="str">
        <f>IF(+D37-'- 15 -'!B37-'- 15 -'!E37-'- 16 -'!G37=0,"","Ckeck")</f>
        <v/>
      </c>
    </row>
    <row r="38" spans="1:9" ht="14.1" customHeight="1">
      <c r="A38" s="415" t="s">
        <v>135</v>
      </c>
      <c r="B38" s="416">
        <v>97875065</v>
      </c>
      <c r="C38" s="417">
        <v>81.738090120955178</v>
      </c>
      <c r="D38" s="416">
        <v>103609740</v>
      </c>
      <c r="E38" s="417">
        <f>+D38/'- 3 -'!F38*100</f>
        <v>81.960382082366593</v>
      </c>
      <c r="F38" s="416">
        <v>9125.4547573539694</v>
      </c>
      <c r="G38" s="416">
        <f>+D38/'- 7 -'!F38</f>
        <v>9633.6345885634582</v>
      </c>
      <c r="I38" s="427" t="str">
        <f>IF(+D38-'- 15 -'!B38-'- 15 -'!E38-'- 16 -'!G38=0,"","Ckeck")</f>
        <v/>
      </c>
    </row>
    <row r="39" spans="1:9" ht="14.1" customHeight="1">
      <c r="A39" s="412" t="s">
        <v>136</v>
      </c>
      <c r="B39" s="413">
        <v>15157632</v>
      </c>
      <c r="C39" s="414">
        <v>73.268202742167006</v>
      </c>
      <c r="D39" s="413">
        <v>15894140</v>
      </c>
      <c r="E39" s="414">
        <f>+D39/'- 3 -'!F39*100</f>
        <v>72.963856262377448</v>
      </c>
      <c r="F39" s="413">
        <v>9775.963882618511</v>
      </c>
      <c r="G39" s="413">
        <f>+D39/'- 7 -'!F39</f>
        <v>10227.889317889318</v>
      </c>
      <c r="I39" s="427" t="str">
        <f>IF(+D39-'- 15 -'!B39-'- 15 -'!E39-'- 16 -'!G39=0,"","Ckeck")</f>
        <v/>
      </c>
    </row>
    <row r="40" spans="1:9" ht="14.1" customHeight="1">
      <c r="A40" s="415" t="s">
        <v>137</v>
      </c>
      <c r="B40" s="416">
        <v>80864387</v>
      </c>
      <c r="C40" s="417">
        <v>82.387395449026997</v>
      </c>
      <c r="D40" s="416">
        <v>82554997</v>
      </c>
      <c r="E40" s="417">
        <f>+D40/'- 3 -'!F40*100</f>
        <v>81.788370070815233</v>
      </c>
      <c r="F40" s="416">
        <v>10183.290160170964</v>
      </c>
      <c r="G40" s="416">
        <f>+D40/'- 7 -'!F40</f>
        <v>10524.121406972654</v>
      </c>
      <c r="I40" s="427" t="str">
        <f>IF(+D40-'- 15 -'!B40-'- 15 -'!E40-'- 16 -'!G40=0,"","Ckeck")</f>
        <v/>
      </c>
    </row>
    <row r="41" spans="1:9" ht="14.1" customHeight="1">
      <c r="A41" s="412" t="s">
        <v>138</v>
      </c>
      <c r="B41" s="413">
        <v>44432423</v>
      </c>
      <c r="C41" s="414">
        <v>76.428620807992758</v>
      </c>
      <c r="D41" s="413">
        <v>46727255</v>
      </c>
      <c r="E41" s="414">
        <f>+D41/'- 3 -'!F41*100</f>
        <v>76.620638509925854</v>
      </c>
      <c r="F41" s="413">
        <v>10130.511399908801</v>
      </c>
      <c r="G41" s="413">
        <f>+D41/'- 7 -'!F41</f>
        <v>10728.333142004361</v>
      </c>
      <c r="I41" s="427" t="str">
        <f>IF(+D41-'- 15 -'!B41-'- 15 -'!E41-'- 16 -'!G41=0,"","Ckeck")</f>
        <v/>
      </c>
    </row>
    <row r="42" spans="1:9" ht="14.1" customHeight="1">
      <c r="A42" s="415" t="s">
        <v>139</v>
      </c>
      <c r="B42" s="416">
        <v>15025956</v>
      </c>
      <c r="C42" s="417">
        <v>74.556189412374835</v>
      </c>
      <c r="D42" s="416">
        <v>15002010</v>
      </c>
      <c r="E42" s="417">
        <f>+D42/'- 3 -'!F42*100</f>
        <v>73.582036067828057</v>
      </c>
      <c r="F42" s="416">
        <v>10721.338565822332</v>
      </c>
      <c r="G42" s="416">
        <f>+D42/'- 7 -'!F42</f>
        <v>10926.445739257102</v>
      </c>
      <c r="I42" s="427" t="str">
        <f>IF(+D42-'- 15 -'!B42-'- 15 -'!E42-'- 16 -'!G42=0,"","Ckeck")</f>
        <v/>
      </c>
    </row>
    <row r="43" spans="1:9" ht="14.1" customHeight="1">
      <c r="A43" s="412" t="s">
        <v>140</v>
      </c>
      <c r="B43" s="413">
        <v>9373677</v>
      </c>
      <c r="C43" s="414">
        <v>76.75845270786769</v>
      </c>
      <c r="D43" s="413">
        <v>9548584</v>
      </c>
      <c r="E43" s="414">
        <f>+D43/'- 3 -'!F43*100</f>
        <v>75.67901474295239</v>
      </c>
      <c r="F43" s="413">
        <v>9764.2468750000007</v>
      </c>
      <c r="G43" s="413">
        <f>+D43/'- 7 -'!F43</f>
        <v>10190.591248665954</v>
      </c>
      <c r="I43" s="427" t="str">
        <f>IF(+D43-'- 15 -'!B43-'- 15 -'!E43-'- 16 -'!G43=0,"","Ckeck")</f>
        <v/>
      </c>
    </row>
    <row r="44" spans="1:9" ht="14.1" customHeight="1">
      <c r="A44" s="415" t="s">
        <v>141</v>
      </c>
      <c r="B44" s="416">
        <v>7899528</v>
      </c>
      <c r="C44" s="417">
        <v>73.452775923010194</v>
      </c>
      <c r="D44" s="416">
        <v>8024140</v>
      </c>
      <c r="E44" s="417">
        <f>+D44/'- 3 -'!F44*100</f>
        <v>73.17881054405818</v>
      </c>
      <c r="F44" s="416">
        <v>11252.888888888889</v>
      </c>
      <c r="G44" s="416">
        <f>+D44/'- 7 -'!F44</f>
        <v>11301.605633802817</v>
      </c>
      <c r="I44" s="427" t="str">
        <f>IF(+D44-'- 15 -'!B44-'- 15 -'!E44-'- 16 -'!G44=0,"","Ckeck")</f>
        <v/>
      </c>
    </row>
    <row r="45" spans="1:9" ht="14.1" customHeight="1">
      <c r="A45" s="412" t="s">
        <v>142</v>
      </c>
      <c r="B45" s="413">
        <v>13636042</v>
      </c>
      <c r="C45" s="414">
        <v>79.649350015175145</v>
      </c>
      <c r="D45" s="413">
        <v>14230394</v>
      </c>
      <c r="E45" s="414">
        <f>+D45/'- 3 -'!F45*100</f>
        <v>79.622760825723915</v>
      </c>
      <c r="F45" s="413">
        <v>8111.8631766805474</v>
      </c>
      <c r="G45" s="413">
        <f>+D45/'- 7 -'!F45</f>
        <v>8445.337685459941</v>
      </c>
      <c r="I45" s="427" t="str">
        <f>IF(+D45-'- 15 -'!B45-'- 15 -'!E45-'- 16 -'!G45=0,"","Ckeck")</f>
        <v/>
      </c>
    </row>
    <row r="46" spans="1:9" ht="14.1" customHeight="1">
      <c r="A46" s="415" t="s">
        <v>143</v>
      </c>
      <c r="B46" s="416">
        <v>290999900</v>
      </c>
      <c r="C46" s="417">
        <v>80.872461305570994</v>
      </c>
      <c r="D46" s="416">
        <v>301627800</v>
      </c>
      <c r="E46" s="417">
        <f>+D46/'- 3 -'!F46*100</f>
        <v>80.896440911481534</v>
      </c>
      <c r="F46" s="416">
        <v>9623.6490508631523</v>
      </c>
      <c r="G46" s="416">
        <f>+D46/'- 7 -'!F46</f>
        <v>9982.3868149324862</v>
      </c>
      <c r="I46" s="427" t="str">
        <f>IF(+D46-'- 15 -'!B46-'- 15 -'!E46-'- 16 -'!G46=0,"","Ckeck")</f>
        <v/>
      </c>
    </row>
    <row r="47" spans="1:9" ht="5.0999999999999996" customHeight="1">
      <c r="B47" s="418"/>
      <c r="C47" s="418"/>
      <c r="D47" s="418"/>
      <c r="E47" s="418"/>
      <c r="F47" s="418"/>
      <c r="G47" s="418"/>
      <c r="I47" s="427"/>
    </row>
    <row r="48" spans="1:9" ht="14.1" customHeight="1">
      <c r="A48" s="419" t="s">
        <v>144</v>
      </c>
      <c r="B48" s="420">
        <v>1663341040</v>
      </c>
      <c r="C48" s="421">
        <v>78.568021590562338</v>
      </c>
      <c r="D48" s="420">
        <f>SUM(D11:D46)</f>
        <v>1728225441</v>
      </c>
      <c r="E48" s="421">
        <f>+D48/'- 3 -'!F48*100</f>
        <v>78.491872308753003</v>
      </c>
      <c r="F48" s="420">
        <v>9622.708870630895</v>
      </c>
      <c r="G48" s="420">
        <f>+D48/'- 7 -'!F48</f>
        <v>9958.1545259690993</v>
      </c>
      <c r="I48" s="427" t="str">
        <f>IF(+D48-'- 15 -'!B48-'- 15 -'!E48-'- 16 -'!G48=0,"","Ckeck")</f>
        <v/>
      </c>
    </row>
    <row r="49" spans="1:7" ht="5.0999999999999996" customHeight="1">
      <c r="B49" s="418"/>
      <c r="C49" s="418"/>
      <c r="D49" s="418"/>
      <c r="E49" s="418"/>
      <c r="F49" s="418"/>
      <c r="G49" s="418"/>
    </row>
    <row r="50" spans="1:7" ht="49.5" customHeight="1">
      <c r="A50" s="424"/>
      <c r="B50" s="425"/>
      <c r="C50" s="425"/>
      <c r="D50" s="425"/>
      <c r="E50" s="425"/>
      <c r="F50" s="425"/>
      <c r="G50" s="425"/>
    </row>
    <row r="51" spans="1:7" ht="13.5" customHeight="1">
      <c r="A51" s="801" t="s">
        <v>524</v>
      </c>
      <c r="B51" s="801"/>
      <c r="C51" s="801"/>
      <c r="D51" s="801"/>
      <c r="E51" s="801"/>
      <c r="F51" s="801"/>
      <c r="G51" s="801"/>
    </row>
    <row r="52" spans="1:7" ht="13.5" customHeight="1">
      <c r="A52" s="802"/>
      <c r="B52" s="802"/>
      <c r="C52" s="802"/>
      <c r="D52" s="802"/>
      <c r="E52" s="802"/>
      <c r="F52" s="802"/>
      <c r="G52" s="802"/>
    </row>
    <row r="53" spans="1:7" ht="15" customHeight="1">
      <c r="B53" s="422"/>
      <c r="C53" s="422"/>
    </row>
    <row r="54" spans="1:7" ht="12" customHeight="1">
      <c r="B54" s="422"/>
      <c r="C54" s="422"/>
    </row>
    <row r="55" spans="1:7" ht="12" customHeight="1">
      <c r="A55" s="422"/>
      <c r="B55" s="422"/>
      <c r="C55" s="422"/>
    </row>
    <row r="56" spans="1:7" ht="12" customHeight="1">
      <c r="A56" s="422"/>
      <c r="B56" s="422"/>
      <c r="C56" s="422"/>
    </row>
    <row r="57" spans="1:7" ht="14.45" customHeight="1">
      <c r="A57" s="422"/>
    </row>
  </sheetData>
  <mergeCells count="3">
    <mergeCell ref="A51:G52"/>
    <mergeCell ref="B6:E8"/>
    <mergeCell ref="F6:G8"/>
  </mergeCells>
  <phoneticPr fontId="16" type="noConversion"/>
  <printOptions horizontalCentered="1"/>
  <pageMargins left="0.51180000000000003" right="0.51180000000000003" top="0.59050000000000002" bottom="0" header="0.31490000000000001" footer="0"/>
  <pageSetup scale="88" orientation="portrait"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61">
    <pageSetUpPr fitToPage="1"/>
  </sheetPr>
  <dimension ref="A1:BB55"/>
  <sheetViews>
    <sheetView showGridLines="0" showZeros="0" workbookViewId="0"/>
  </sheetViews>
  <sheetFormatPr defaultColWidth="19.83203125" defaultRowHeight="12"/>
  <cols>
    <col min="1" max="1" width="30.83203125" style="1" customWidth="1"/>
    <col min="2" max="9" width="12.83203125" style="1" customWidth="1"/>
    <col min="10" max="16384" width="19.83203125" style="1"/>
  </cols>
  <sheetData>
    <row r="1" spans="1:54" ht="6.95" customHeight="1">
      <c r="A1" s="3"/>
      <c r="B1" s="4"/>
      <c r="C1" s="4"/>
      <c r="D1" s="4"/>
      <c r="E1" s="4"/>
      <c r="F1" s="4"/>
    </row>
    <row r="2" spans="1:54" ht="15.95" customHeight="1">
      <c r="A2" s="5" t="str">
        <f>IF(Lang=1,BA2,BB2)</f>
        <v>STATISTICAL SUMMARY</v>
      </c>
      <c r="B2" s="6"/>
      <c r="C2" s="6"/>
      <c r="D2" s="6"/>
      <c r="E2" s="6"/>
      <c r="F2" s="6"/>
      <c r="G2" s="6"/>
      <c r="H2" s="6"/>
      <c r="I2" s="6"/>
      <c r="BA2" s="462" t="s">
        <v>92</v>
      </c>
      <c r="BB2" s="462" t="s">
        <v>528</v>
      </c>
    </row>
    <row r="3" spans="1:54" ht="15.95" customHeight="1">
      <c r="A3" s="39" t="str">
        <f>IF(Lang=1,BA3,BB3)</f>
        <v>2014/15 AND 2015/16 BUDGET</v>
      </c>
      <c r="B3" s="41"/>
      <c r="C3" s="41"/>
      <c r="D3" s="8"/>
      <c r="E3" s="8"/>
      <c r="F3" s="8"/>
      <c r="G3" s="8"/>
      <c r="H3" s="8"/>
      <c r="I3" s="8"/>
      <c r="BA3" s="462" t="str">
        <f>B9&amp;" AND "&amp;C9&amp;" BUDGET"</f>
        <v>2014/15 AND 2015/16 BUDGET</v>
      </c>
      <c r="BB3" s="462" t="str">
        <f>" BUDGET DE "&amp;B9&amp;" ET DE "&amp;C9</f>
        <v xml:space="preserve"> BUDGET DE 2014/15 ET DE 2015/16</v>
      </c>
    </row>
    <row r="4" spans="1:54" ht="15.95" customHeight="1">
      <c r="B4" s="23"/>
      <c r="C4" s="23"/>
      <c r="D4" s="4"/>
      <c r="E4" s="4"/>
      <c r="F4" s="4"/>
    </row>
    <row r="5" spans="1:54" ht="15.95" customHeight="1">
      <c r="B5" s="218"/>
      <c r="C5" s="218"/>
      <c r="D5" s="4"/>
      <c r="E5" s="4"/>
      <c r="F5" s="4"/>
    </row>
    <row r="6" spans="1:54" ht="15.95" customHeight="1">
      <c r="B6" s="824" t="s">
        <v>532</v>
      </c>
      <c r="C6" s="825"/>
      <c r="D6" s="495"/>
      <c r="E6" s="329"/>
      <c r="F6" s="799" t="s">
        <v>530</v>
      </c>
      <c r="G6" s="800"/>
      <c r="H6" s="328"/>
      <c r="I6" s="329"/>
    </row>
    <row r="7" spans="1:54" ht="15.95" customHeight="1">
      <c r="B7" s="826"/>
      <c r="C7" s="827"/>
      <c r="D7" s="822" t="s">
        <v>531</v>
      </c>
      <c r="E7" s="818"/>
      <c r="F7" s="821"/>
      <c r="G7" s="818"/>
      <c r="H7" s="817" t="s">
        <v>529</v>
      </c>
      <c r="I7" s="818"/>
    </row>
    <row r="8" spans="1:54" ht="15.95" customHeight="1">
      <c r="A8" s="250"/>
      <c r="B8" s="828"/>
      <c r="C8" s="829"/>
      <c r="D8" s="823"/>
      <c r="E8" s="820"/>
      <c r="F8" s="819"/>
      <c r="G8" s="820"/>
      <c r="H8" s="819"/>
      <c r="I8" s="820"/>
    </row>
    <row r="9" spans="1:54" ht="18" customHeight="1">
      <c r="A9" s="28" t="s">
        <v>37</v>
      </c>
      <c r="B9" s="496" t="s">
        <v>366</v>
      </c>
      <c r="C9" s="497" t="s">
        <v>535</v>
      </c>
      <c r="D9" s="219" t="str">
        <f>+B9</f>
        <v>2014/15</v>
      </c>
      <c r="E9" s="454" t="s">
        <v>536</v>
      </c>
      <c r="F9" s="453" t="s">
        <v>537</v>
      </c>
      <c r="G9" s="453" t="s">
        <v>538</v>
      </c>
      <c r="H9" s="453" t="s">
        <v>537</v>
      </c>
      <c r="I9" s="453" t="s">
        <v>539</v>
      </c>
    </row>
    <row r="10" spans="1:54" ht="5.0999999999999996" customHeight="1">
      <c r="A10" s="30"/>
      <c r="D10" s="205"/>
      <c r="E10" s="205"/>
      <c r="F10" s="183"/>
      <c r="G10" s="3"/>
      <c r="H10" s="3"/>
    </row>
    <row r="11" spans="1:54" ht="14.1" customHeight="1">
      <c r="A11" s="272" t="s">
        <v>109</v>
      </c>
      <c r="B11" s="273">
        <v>11220</v>
      </c>
      <c r="C11" s="273">
        <f>'- 4 -'!E11</f>
        <v>11164</v>
      </c>
      <c r="D11" s="293">
        <v>13.5278166550035</v>
      </c>
      <c r="E11" s="293">
        <f>'- 9 -'!C11</f>
        <v>13.759398496240602</v>
      </c>
      <c r="F11" s="273">
        <v>387567</v>
      </c>
      <c r="G11" s="273">
        <f>'- 50 -'!F11</f>
        <v>369198</v>
      </c>
      <c r="H11" s="293">
        <v>13.191450998307207</v>
      </c>
      <c r="I11" s="293">
        <f>'- 47 -'!G11</f>
        <v>13.49714609222295</v>
      </c>
    </row>
    <row r="12" spans="1:54" ht="14.1" customHeight="1">
      <c r="A12" s="16" t="s">
        <v>110</v>
      </c>
      <c r="B12" s="17">
        <v>14122</v>
      </c>
      <c r="C12" s="17">
        <f>'- 4 -'!E12</f>
        <v>14475</v>
      </c>
      <c r="D12" s="48">
        <v>11.602270918448561</v>
      </c>
      <c r="E12" s="48">
        <f>'- 9 -'!C12</f>
        <v>11.193683232698559</v>
      </c>
      <c r="F12" s="17">
        <v>312187</v>
      </c>
      <c r="G12" s="17">
        <f>'- 50 -'!F12</f>
        <v>325373</v>
      </c>
      <c r="H12" s="48">
        <v>16.800000153498914</v>
      </c>
      <c r="I12" s="48">
        <f>'- 47 -'!G12</f>
        <v>16.571894923662775</v>
      </c>
    </row>
    <row r="13" spans="1:54" ht="14.1" customHeight="1">
      <c r="A13" s="272" t="s">
        <v>111</v>
      </c>
      <c r="B13" s="273">
        <v>10956</v>
      </c>
      <c r="C13" s="273">
        <f>'- 4 -'!E13</f>
        <v>11327</v>
      </c>
      <c r="D13" s="293">
        <v>12.855448961499494</v>
      </c>
      <c r="E13" s="293">
        <f>'- 9 -'!C13</f>
        <v>12.79490553623461</v>
      </c>
      <c r="F13" s="273">
        <v>330782</v>
      </c>
      <c r="G13" s="273">
        <f>'- 50 -'!F13</f>
        <v>332327</v>
      </c>
      <c r="H13" s="293">
        <v>15.503878318572109</v>
      </c>
      <c r="I13" s="293">
        <f>'- 47 -'!G13</f>
        <v>15.505250156498025</v>
      </c>
    </row>
    <row r="14" spans="1:54" ht="14.1" customHeight="1">
      <c r="A14" s="16" t="s">
        <v>324</v>
      </c>
      <c r="B14" s="17">
        <v>14766</v>
      </c>
      <c r="C14" s="17">
        <f>'- 4 -'!E14</f>
        <v>15256</v>
      </c>
      <c r="D14" s="48">
        <v>12.166926105667978</v>
      </c>
      <c r="E14" s="48">
        <f>'- 9 -'!C14</f>
        <v>11.830992176386914</v>
      </c>
      <c r="F14" s="17">
        <v>380178</v>
      </c>
      <c r="G14" s="17">
        <f>'- 50 -'!F14</f>
        <v>389123</v>
      </c>
      <c r="H14" s="48">
        <v>0</v>
      </c>
      <c r="I14" s="48">
        <f>'- 47 -'!G14</f>
        <v>0</v>
      </c>
    </row>
    <row r="15" spans="1:54" ht="14.1" customHeight="1">
      <c r="A15" s="272" t="s">
        <v>112</v>
      </c>
      <c r="B15" s="273">
        <v>13602</v>
      </c>
      <c r="C15" s="273">
        <f>'- 4 -'!E15</f>
        <v>14052</v>
      </c>
      <c r="D15" s="293">
        <v>12.861949880456921</v>
      </c>
      <c r="E15" s="293">
        <f>'- 9 -'!C15</f>
        <v>12.882687618531563</v>
      </c>
      <c r="F15" s="273">
        <v>556723</v>
      </c>
      <c r="G15" s="273">
        <f>'- 50 -'!F15</f>
        <v>572165</v>
      </c>
      <c r="H15" s="293">
        <v>11.445407414871621</v>
      </c>
      <c r="I15" s="293">
        <f>'- 47 -'!G15</f>
        <v>11.703041840878955</v>
      </c>
    </row>
    <row r="16" spans="1:54" ht="14.1" customHeight="1">
      <c r="A16" s="16" t="s">
        <v>113</v>
      </c>
      <c r="B16" s="17">
        <v>13900</v>
      </c>
      <c r="C16" s="17">
        <f>'- 4 -'!E16</f>
        <v>14870</v>
      </c>
      <c r="D16" s="48">
        <v>12.35709698137444</v>
      </c>
      <c r="E16" s="48">
        <f>'- 9 -'!C16</f>
        <v>11.730168644597127</v>
      </c>
      <c r="F16" s="17">
        <v>171478</v>
      </c>
      <c r="G16" s="17">
        <f>'- 50 -'!F16</f>
        <v>178472</v>
      </c>
      <c r="H16" s="48">
        <v>19.759731717131807</v>
      </c>
      <c r="I16" s="48">
        <f>'- 47 -'!G16</f>
        <v>20.735635678710477</v>
      </c>
    </row>
    <row r="17" spans="1:9" ht="14.1" customHeight="1">
      <c r="A17" s="272" t="s">
        <v>114</v>
      </c>
      <c r="B17" s="273">
        <v>12641</v>
      </c>
      <c r="C17" s="273">
        <f>'- 4 -'!E17</f>
        <v>12754</v>
      </c>
      <c r="D17" s="293">
        <v>13.139797622556243</v>
      </c>
      <c r="E17" s="293">
        <f>'- 9 -'!C17</f>
        <v>13.28996282527881</v>
      </c>
      <c r="F17" s="273">
        <v>633237</v>
      </c>
      <c r="G17" s="273">
        <f>'- 50 -'!F17</f>
        <v>670922</v>
      </c>
      <c r="H17" s="293">
        <v>9.7989453264793145</v>
      </c>
      <c r="I17" s="293">
        <f>'- 47 -'!G17</f>
        <v>9.6706185300122893</v>
      </c>
    </row>
    <row r="18" spans="1:9" ht="14.1" customHeight="1">
      <c r="A18" s="16" t="s">
        <v>115</v>
      </c>
      <c r="B18" s="17">
        <v>19364</v>
      </c>
      <c r="C18" s="17">
        <f>'- 4 -'!E18</f>
        <v>19716</v>
      </c>
      <c r="D18" s="48">
        <v>11.976592977893366</v>
      </c>
      <c r="E18" s="48">
        <f>'- 9 -'!C18</f>
        <v>11.994253424001535</v>
      </c>
      <c r="F18" s="17">
        <v>84926</v>
      </c>
      <c r="G18" s="17">
        <f>'- 50 -'!F18</f>
        <v>86964</v>
      </c>
      <c r="H18" s="48">
        <v>15.399089808959722</v>
      </c>
      <c r="I18" s="48">
        <f>'- 47 -'!G18</f>
        <v>15.398998929353137</v>
      </c>
    </row>
    <row r="19" spans="1:9" ht="14.1" customHeight="1">
      <c r="A19" s="272" t="s">
        <v>116</v>
      </c>
      <c r="B19" s="273">
        <v>10632</v>
      </c>
      <c r="C19" s="273">
        <f>'- 4 -'!E19</f>
        <v>10687</v>
      </c>
      <c r="D19" s="293">
        <v>14.331131876624744</v>
      </c>
      <c r="E19" s="293">
        <f>'- 9 -'!C19</f>
        <v>14.731892195395844</v>
      </c>
      <c r="F19" s="273">
        <v>219557</v>
      </c>
      <c r="G19" s="273">
        <f>'- 50 -'!F19</f>
        <v>229523</v>
      </c>
      <c r="H19" s="293">
        <v>18.048591468952221</v>
      </c>
      <c r="I19" s="293">
        <f>'- 47 -'!G19</f>
        <v>18.048139981536597</v>
      </c>
    </row>
    <row r="20" spans="1:9" ht="14.1" customHeight="1">
      <c r="A20" s="16" t="s">
        <v>117</v>
      </c>
      <c r="B20" s="17">
        <v>9998</v>
      </c>
      <c r="C20" s="17">
        <f>'- 4 -'!E20</f>
        <v>10526</v>
      </c>
      <c r="D20" s="48">
        <v>15.006591067911822</v>
      </c>
      <c r="E20" s="48">
        <f>'- 9 -'!C20</f>
        <v>14.384901533413943</v>
      </c>
      <c r="F20" s="17">
        <v>228578</v>
      </c>
      <c r="G20" s="17">
        <f>'- 50 -'!F20</f>
        <v>237528</v>
      </c>
      <c r="H20" s="48">
        <v>15.592550945418797</v>
      </c>
      <c r="I20" s="48">
        <f>'- 47 -'!G20</f>
        <v>16.01964862641659</v>
      </c>
    </row>
    <row r="21" spans="1:9" ht="14.1" customHeight="1">
      <c r="A21" s="272" t="s">
        <v>118</v>
      </c>
      <c r="B21" s="273">
        <v>12877</v>
      </c>
      <c r="C21" s="273">
        <f>'- 4 -'!E21</f>
        <v>13063</v>
      </c>
      <c r="D21" s="293">
        <v>11.63167104111986</v>
      </c>
      <c r="E21" s="293">
        <f>'- 9 -'!C21</f>
        <v>11.847133757961783</v>
      </c>
      <c r="F21" s="273">
        <v>377069</v>
      </c>
      <c r="G21" s="273">
        <f>'- 50 -'!F21</f>
        <v>397881</v>
      </c>
      <c r="H21" s="293">
        <v>14.002574922053272</v>
      </c>
      <c r="I21" s="293">
        <f>'- 47 -'!G21</f>
        <v>14.380395883652278</v>
      </c>
    </row>
    <row r="22" spans="1:9" ht="14.1" customHeight="1">
      <c r="A22" s="16" t="s">
        <v>119</v>
      </c>
      <c r="B22" s="17">
        <v>11983</v>
      </c>
      <c r="C22" s="17">
        <f>'- 4 -'!E22</f>
        <v>12716</v>
      </c>
      <c r="D22" s="48">
        <v>12.609046849757673</v>
      </c>
      <c r="E22" s="48">
        <f>'- 9 -'!C22</f>
        <v>12.026073619631902</v>
      </c>
      <c r="F22" s="17">
        <v>138197</v>
      </c>
      <c r="G22" s="17">
        <f>'- 50 -'!F22</f>
        <v>138583</v>
      </c>
      <c r="H22" s="48">
        <v>20.045892611289585</v>
      </c>
      <c r="I22" s="48">
        <f>'- 47 -'!G22</f>
        <v>20.702062140486383</v>
      </c>
    </row>
    <row r="23" spans="1:9" ht="14.1" customHeight="1">
      <c r="A23" s="272" t="s">
        <v>120</v>
      </c>
      <c r="B23" s="273">
        <v>13757</v>
      </c>
      <c r="C23" s="273">
        <f>'- 4 -'!E23</f>
        <v>14351</v>
      </c>
      <c r="D23" s="293">
        <v>11.532663316582914</v>
      </c>
      <c r="E23" s="293">
        <f>'- 9 -'!C23</f>
        <v>11.195979899497488</v>
      </c>
      <c r="F23" s="273">
        <v>221961</v>
      </c>
      <c r="G23" s="273">
        <f>'- 50 -'!F23</f>
        <v>229221</v>
      </c>
      <c r="H23" s="293">
        <v>18.741523598823758</v>
      </c>
      <c r="I23" s="293">
        <f>'- 47 -'!G23</f>
        <v>18.712788216767052</v>
      </c>
    </row>
    <row r="24" spans="1:9" ht="14.1" customHeight="1">
      <c r="A24" s="16" t="s">
        <v>121</v>
      </c>
      <c r="B24" s="17">
        <v>13236</v>
      </c>
      <c r="C24" s="17">
        <f>'- 4 -'!E24</f>
        <v>13867</v>
      </c>
      <c r="D24" s="48">
        <v>12.155508856199338</v>
      </c>
      <c r="E24" s="48">
        <f>'- 9 -'!C24</f>
        <v>11.872480215021652</v>
      </c>
      <c r="F24" s="17">
        <v>418643</v>
      </c>
      <c r="G24" s="17">
        <f>'- 50 -'!F24</f>
        <v>435908</v>
      </c>
      <c r="H24" s="48">
        <v>14.133029629070325</v>
      </c>
      <c r="I24" s="48">
        <f>'- 47 -'!G24</f>
        <v>14.804598145193991</v>
      </c>
    </row>
    <row r="25" spans="1:9" ht="14.1" customHeight="1">
      <c r="A25" s="272" t="s">
        <v>122</v>
      </c>
      <c r="B25" s="273">
        <v>11493</v>
      </c>
      <c r="C25" s="273">
        <f>'- 4 -'!E25</f>
        <v>11861</v>
      </c>
      <c r="D25" s="293">
        <v>14.00949934768428</v>
      </c>
      <c r="E25" s="293">
        <f>'- 9 -'!C25</f>
        <v>13.827588934369501</v>
      </c>
      <c r="F25" s="273">
        <v>434934</v>
      </c>
      <c r="G25" s="273">
        <f>'- 50 -'!F25</f>
        <v>445645</v>
      </c>
      <c r="H25" s="293">
        <v>12.484783995009286</v>
      </c>
      <c r="I25" s="293">
        <f>'- 47 -'!G25</f>
        <v>13.029825839779617</v>
      </c>
    </row>
    <row r="26" spans="1:9" ht="14.1" customHeight="1">
      <c r="A26" s="16" t="s">
        <v>123</v>
      </c>
      <c r="B26" s="17">
        <v>12565</v>
      </c>
      <c r="C26" s="17">
        <f>'- 4 -'!E26</f>
        <v>12799</v>
      </c>
      <c r="D26" s="48">
        <v>13.213521608900299</v>
      </c>
      <c r="E26" s="48">
        <f>'- 9 -'!C26</f>
        <v>13.167372881355931</v>
      </c>
      <c r="F26" s="17">
        <v>288425</v>
      </c>
      <c r="G26" s="17">
        <f>'- 50 -'!F26</f>
        <v>292858</v>
      </c>
      <c r="H26" s="48">
        <v>16.547459983579991</v>
      </c>
      <c r="I26" s="48">
        <f>'- 47 -'!G26</f>
        <v>17.079867584267916</v>
      </c>
    </row>
    <row r="27" spans="1:9" ht="14.1" customHeight="1">
      <c r="A27" s="272" t="s">
        <v>124</v>
      </c>
      <c r="B27" s="273">
        <v>13511</v>
      </c>
      <c r="C27" s="273">
        <f>'- 4 -'!E27</f>
        <v>14985</v>
      </c>
      <c r="D27" s="293">
        <v>11.917525773195875</v>
      </c>
      <c r="E27" s="293">
        <f>'- 9 -'!C27</f>
        <v>11.399932815978408</v>
      </c>
      <c r="F27" s="273">
        <v>186626</v>
      </c>
      <c r="G27" s="273">
        <f>'- 50 -'!F27</f>
        <v>186944</v>
      </c>
      <c r="H27" s="293">
        <v>17.726462227685616</v>
      </c>
      <c r="I27" s="293">
        <f>'- 47 -'!G27</f>
        <v>17.62758894501566</v>
      </c>
    </row>
    <row r="28" spans="1:9" ht="14.1" customHeight="1">
      <c r="A28" s="16" t="s">
        <v>125</v>
      </c>
      <c r="B28" s="17">
        <v>13675</v>
      </c>
      <c r="C28" s="17">
        <f>'- 4 -'!E28</f>
        <v>14087</v>
      </c>
      <c r="D28" s="48">
        <v>11.706524948331857</v>
      </c>
      <c r="E28" s="48">
        <f>'- 9 -'!C28</f>
        <v>11.363898500576701</v>
      </c>
      <c r="F28" s="17">
        <v>407336</v>
      </c>
      <c r="G28" s="17">
        <f>'- 50 -'!F28</f>
        <v>412739</v>
      </c>
      <c r="H28" s="48">
        <v>12.784190530898323</v>
      </c>
      <c r="I28" s="48">
        <f>'- 47 -'!G28</f>
        <v>13.250661113249206</v>
      </c>
    </row>
    <row r="29" spans="1:9" ht="14.1" customHeight="1">
      <c r="A29" s="272" t="s">
        <v>126</v>
      </c>
      <c r="B29" s="273">
        <v>12144</v>
      </c>
      <c r="C29" s="273">
        <f>'- 4 -'!E29</f>
        <v>12490</v>
      </c>
      <c r="D29" s="293">
        <v>13.711813727162138</v>
      </c>
      <c r="E29" s="293">
        <f>'- 9 -'!C29</f>
        <v>13.730353825790017</v>
      </c>
      <c r="F29" s="273">
        <v>551535</v>
      </c>
      <c r="G29" s="273">
        <f>'- 50 -'!F29</f>
        <v>555673</v>
      </c>
      <c r="H29" s="293">
        <v>12.149599950433091</v>
      </c>
      <c r="I29" s="293">
        <f>'- 47 -'!G29</f>
        <v>12.452841586775635</v>
      </c>
    </row>
    <row r="30" spans="1:9" ht="14.1" customHeight="1">
      <c r="A30" s="16" t="s">
        <v>127</v>
      </c>
      <c r="B30" s="17">
        <v>13054</v>
      </c>
      <c r="C30" s="17">
        <f>'- 4 -'!E30</f>
        <v>13625</v>
      </c>
      <c r="D30" s="48">
        <v>12.340553549939832</v>
      </c>
      <c r="E30" s="48">
        <f>'- 9 -'!C30</f>
        <v>12.312492499699989</v>
      </c>
      <c r="F30" s="17">
        <v>343756</v>
      </c>
      <c r="G30" s="17">
        <f>'- 50 -'!F30</f>
        <v>351997</v>
      </c>
      <c r="H30" s="48">
        <v>14.145540122933898</v>
      </c>
      <c r="I30" s="48">
        <f>'- 47 -'!G30</f>
        <v>15.021312488035266</v>
      </c>
    </row>
    <row r="31" spans="1:9" ht="14.1" customHeight="1">
      <c r="A31" s="272" t="s">
        <v>128</v>
      </c>
      <c r="B31" s="273">
        <v>10943</v>
      </c>
      <c r="C31" s="273">
        <f>'- 4 -'!E31</f>
        <v>11327</v>
      </c>
      <c r="D31" s="293">
        <v>13.119269826912797</v>
      </c>
      <c r="E31" s="293">
        <f>'- 9 -'!C31</f>
        <v>12.855416834474426</v>
      </c>
      <c r="F31" s="273">
        <v>333528</v>
      </c>
      <c r="G31" s="273">
        <f>'- 50 -'!F31</f>
        <v>334327</v>
      </c>
      <c r="H31" s="293">
        <v>14.53646802063893</v>
      </c>
      <c r="I31" s="293">
        <f>'- 47 -'!G31</f>
        <v>14.973609195437771</v>
      </c>
    </row>
    <row r="32" spans="1:9" ht="14.1" customHeight="1">
      <c r="A32" s="16" t="s">
        <v>129</v>
      </c>
      <c r="B32" s="17">
        <v>12515</v>
      </c>
      <c r="C32" s="17">
        <f>'- 4 -'!E32</f>
        <v>13436</v>
      </c>
      <c r="D32" s="48">
        <v>12.268883056284633</v>
      </c>
      <c r="E32" s="48">
        <f>'- 9 -'!C32</f>
        <v>12.10741439432916</v>
      </c>
      <c r="F32" s="17">
        <v>430460</v>
      </c>
      <c r="G32" s="17">
        <f>'- 50 -'!F32</f>
        <v>429781</v>
      </c>
      <c r="H32" s="48">
        <v>12.937327383458204</v>
      </c>
      <c r="I32" s="48">
        <f>'- 47 -'!G32</f>
        <v>13.996251930497856</v>
      </c>
    </row>
    <row r="33" spans="1:9" ht="14.1" customHeight="1">
      <c r="A33" s="272" t="s">
        <v>130</v>
      </c>
      <c r="B33" s="273">
        <v>13579</v>
      </c>
      <c r="C33" s="273">
        <f>'- 4 -'!E33</f>
        <v>13777</v>
      </c>
      <c r="D33" s="293">
        <v>12.910098825236055</v>
      </c>
      <c r="E33" s="293">
        <f>'- 9 -'!C33</f>
        <v>12.466902030008825</v>
      </c>
      <c r="F33" s="273">
        <v>405331</v>
      </c>
      <c r="G33" s="273">
        <f>'- 50 -'!F33</f>
        <v>412082</v>
      </c>
      <c r="H33" s="293">
        <v>14.126698638773998</v>
      </c>
      <c r="I33" s="293">
        <f>'- 47 -'!G33</f>
        <v>14.478366511808822</v>
      </c>
    </row>
    <row r="34" spans="1:9" ht="14.1" customHeight="1">
      <c r="A34" s="16" t="s">
        <v>131</v>
      </c>
      <c r="B34" s="17">
        <v>13233</v>
      </c>
      <c r="C34" s="17">
        <f>'- 4 -'!E34</f>
        <v>13981</v>
      </c>
      <c r="D34" s="48">
        <v>12.501967698265277</v>
      </c>
      <c r="E34" s="48">
        <f>'- 9 -'!C34</f>
        <v>12.344043005375672</v>
      </c>
      <c r="F34" s="17">
        <v>428477</v>
      </c>
      <c r="G34" s="17">
        <f>'- 50 -'!F34</f>
        <v>450123</v>
      </c>
      <c r="H34" s="48">
        <v>15.359471480886524</v>
      </c>
      <c r="I34" s="48">
        <f>'- 47 -'!G34</f>
        <v>15.799773867203545</v>
      </c>
    </row>
    <row r="35" spans="1:9" ht="14.1" customHeight="1">
      <c r="A35" s="272" t="s">
        <v>132</v>
      </c>
      <c r="B35" s="273">
        <v>10960</v>
      </c>
      <c r="C35" s="273">
        <f>'- 4 -'!E35</f>
        <v>11239</v>
      </c>
      <c r="D35" s="293">
        <v>13.875632358866456</v>
      </c>
      <c r="E35" s="293">
        <f>'- 9 -'!C35</f>
        <v>13.83393258824988</v>
      </c>
      <c r="F35" s="273">
        <v>367134</v>
      </c>
      <c r="G35" s="273">
        <f>'- 50 -'!F35</f>
        <v>377228</v>
      </c>
      <c r="H35" s="293">
        <v>13.297131264911027</v>
      </c>
      <c r="I35" s="293">
        <f>'- 47 -'!G35</f>
        <v>13.566637667228783</v>
      </c>
    </row>
    <row r="36" spans="1:9" ht="14.1" customHeight="1">
      <c r="A36" s="16" t="s">
        <v>133</v>
      </c>
      <c r="B36" s="17">
        <v>13398</v>
      </c>
      <c r="C36" s="17">
        <f>'- 4 -'!E36</f>
        <v>13677</v>
      </c>
      <c r="D36" s="48">
        <v>12.220616034693652</v>
      </c>
      <c r="E36" s="48">
        <f>'- 9 -'!C36</f>
        <v>12.188033567043265</v>
      </c>
      <c r="F36" s="17">
        <v>465026</v>
      </c>
      <c r="G36" s="17">
        <f>'- 50 -'!F36</f>
        <v>474772</v>
      </c>
      <c r="H36" s="48">
        <v>13.258150836731502</v>
      </c>
      <c r="I36" s="48">
        <f>'- 47 -'!G36</f>
        <v>13.386935075211806</v>
      </c>
    </row>
    <row r="37" spans="1:9" ht="14.1" customHeight="1">
      <c r="A37" s="272" t="s">
        <v>134</v>
      </c>
      <c r="B37" s="273">
        <v>11375</v>
      </c>
      <c r="C37" s="273">
        <f>'- 4 -'!E37</f>
        <v>11770</v>
      </c>
      <c r="D37" s="293">
        <v>13.697455461831929</v>
      </c>
      <c r="E37" s="293">
        <f>'- 9 -'!C37</f>
        <v>13.486696041261059</v>
      </c>
      <c r="F37" s="273">
        <v>269815</v>
      </c>
      <c r="G37" s="273">
        <f>'- 50 -'!F37</f>
        <v>278467</v>
      </c>
      <c r="H37" s="293">
        <v>14.499335449878744</v>
      </c>
      <c r="I37" s="293">
        <f>'- 47 -'!G37</f>
        <v>15.098522110613921</v>
      </c>
    </row>
    <row r="38" spans="1:9" ht="14.1" customHeight="1">
      <c r="A38" s="16" t="s">
        <v>135</v>
      </c>
      <c r="B38" s="17">
        <v>11164</v>
      </c>
      <c r="C38" s="17">
        <f>'- 4 -'!E38</f>
        <v>11754</v>
      </c>
      <c r="D38" s="48">
        <v>14.105261773563566</v>
      </c>
      <c r="E38" s="48">
        <f>'- 9 -'!C38</f>
        <v>13.908466641664619</v>
      </c>
      <c r="F38" s="17">
        <v>293747</v>
      </c>
      <c r="G38" s="17">
        <f>'- 50 -'!F38</f>
        <v>296939</v>
      </c>
      <c r="H38" s="48">
        <v>14.933318426763881</v>
      </c>
      <c r="I38" s="48">
        <f>'- 47 -'!G38</f>
        <v>15.624721952113394</v>
      </c>
    </row>
    <row r="39" spans="1:9" ht="14.1" customHeight="1">
      <c r="A39" s="272" t="s">
        <v>136</v>
      </c>
      <c r="B39" s="273">
        <v>13343</v>
      </c>
      <c r="C39" s="273">
        <f>'- 4 -'!E39</f>
        <v>14018</v>
      </c>
      <c r="D39" s="293">
        <v>12.398048936510476</v>
      </c>
      <c r="E39" s="293">
        <f>'- 9 -'!C39</f>
        <v>11.813896913486392</v>
      </c>
      <c r="F39" s="273">
        <v>601208</v>
      </c>
      <c r="G39" s="273">
        <f>'- 50 -'!F39</f>
        <v>639816</v>
      </c>
      <c r="H39" s="293">
        <v>11.307003974110645</v>
      </c>
      <c r="I39" s="293">
        <f>'- 47 -'!G39</f>
        <v>11.364694225956022</v>
      </c>
    </row>
    <row r="40" spans="1:9" ht="14.1" customHeight="1">
      <c r="A40" s="16" t="s">
        <v>137</v>
      </c>
      <c r="B40" s="17">
        <v>12360</v>
      </c>
      <c r="C40" s="17">
        <f>'- 4 -'!E40</f>
        <v>12868</v>
      </c>
      <c r="D40" s="48">
        <v>13.484733731829914</v>
      </c>
      <c r="E40" s="48">
        <f>'- 9 -'!C40</f>
        <v>13.089640902416232</v>
      </c>
      <c r="F40" s="17">
        <v>535789</v>
      </c>
      <c r="G40" s="17">
        <f>'- 50 -'!F40</f>
        <v>541167</v>
      </c>
      <c r="H40" s="48">
        <v>12.150705147562073</v>
      </c>
      <c r="I40" s="48">
        <f>'- 47 -'!G40</f>
        <v>12.620605803816643</v>
      </c>
    </row>
    <row r="41" spans="1:9" ht="14.1" customHeight="1">
      <c r="A41" s="272" t="s">
        <v>138</v>
      </c>
      <c r="B41" s="273">
        <v>13255</v>
      </c>
      <c r="C41" s="273">
        <f>'- 4 -'!E41</f>
        <v>14002</v>
      </c>
      <c r="D41" s="293">
        <v>12.670075396481497</v>
      </c>
      <c r="E41" s="293">
        <f>'- 9 -'!C41</f>
        <v>12.264868213561613</v>
      </c>
      <c r="F41" s="273">
        <v>451149</v>
      </c>
      <c r="G41" s="273">
        <f>'- 50 -'!F41</f>
        <v>469811</v>
      </c>
      <c r="H41" s="293">
        <v>13.778411867481402</v>
      </c>
      <c r="I41" s="293">
        <f>'- 47 -'!G41</f>
        <v>14.341634769958029</v>
      </c>
    </row>
    <row r="42" spans="1:9" ht="14.1" customHeight="1">
      <c r="A42" s="16" t="s">
        <v>139</v>
      </c>
      <c r="B42" s="17">
        <v>14380</v>
      </c>
      <c r="C42" s="17">
        <f>'- 4 -'!E42</f>
        <v>14849</v>
      </c>
      <c r="D42" s="48">
        <v>12.403752544472963</v>
      </c>
      <c r="E42" s="48">
        <f>'- 9 -'!C42</f>
        <v>12.180624556422995</v>
      </c>
      <c r="F42" s="17">
        <v>292574</v>
      </c>
      <c r="G42" s="17">
        <f>'- 50 -'!F42</f>
        <v>299120</v>
      </c>
      <c r="H42" s="48">
        <v>16.303344583292652</v>
      </c>
      <c r="I42" s="48">
        <f>'- 47 -'!G42</f>
        <v>16.672999371777209</v>
      </c>
    </row>
    <row r="43" spans="1:9" ht="14.1" customHeight="1">
      <c r="A43" s="272" t="s">
        <v>140</v>
      </c>
      <c r="B43" s="273">
        <v>12721</v>
      </c>
      <c r="C43" s="273">
        <f>'- 4 -'!E43</f>
        <v>13466</v>
      </c>
      <c r="D43" s="293">
        <v>12.379110251450678</v>
      </c>
      <c r="E43" s="293">
        <f>'- 9 -'!C43</f>
        <v>12.153047989623868</v>
      </c>
      <c r="F43" s="273">
        <v>422932</v>
      </c>
      <c r="G43" s="273">
        <f>'- 50 -'!F43</f>
        <v>431452</v>
      </c>
      <c r="H43" s="293">
        <v>14.551783702463959</v>
      </c>
      <c r="I43" s="293">
        <f>'- 47 -'!G43</f>
        <v>15.184728225006923</v>
      </c>
    </row>
    <row r="44" spans="1:9" ht="14.1" customHeight="1">
      <c r="A44" s="16" t="s">
        <v>141</v>
      </c>
      <c r="B44" s="17">
        <v>15320</v>
      </c>
      <c r="C44" s="17">
        <f>'- 4 -'!E44</f>
        <v>15444</v>
      </c>
      <c r="D44" s="48">
        <v>11.262634365474089</v>
      </c>
      <c r="E44" s="48">
        <f>'- 9 -'!C44</f>
        <v>11.30753304666348</v>
      </c>
      <c r="F44" s="17">
        <v>209531</v>
      </c>
      <c r="G44" s="17">
        <f>'- 50 -'!F44</f>
        <v>212427</v>
      </c>
      <c r="H44" s="48">
        <v>18.699481204322574</v>
      </c>
      <c r="I44" s="48">
        <f>'- 47 -'!G44</f>
        <v>18.917748698919478</v>
      </c>
    </row>
    <row r="45" spans="1:9" ht="14.1" customHeight="1">
      <c r="A45" s="272" t="s">
        <v>142</v>
      </c>
      <c r="B45" s="273">
        <v>10184</v>
      </c>
      <c r="C45" s="273">
        <f>'- 4 -'!E45</f>
        <v>10607</v>
      </c>
      <c r="D45" s="293">
        <v>14.430423212292901</v>
      </c>
      <c r="E45" s="293">
        <f>'- 9 -'!C45</f>
        <v>14.311194156616272</v>
      </c>
      <c r="F45" s="273">
        <v>277676</v>
      </c>
      <c r="G45" s="273">
        <f>'- 50 -'!F45</f>
        <v>286085</v>
      </c>
      <c r="H45" s="293">
        <v>17.058503766076356</v>
      </c>
      <c r="I45" s="293">
        <f>'- 47 -'!G45</f>
        <v>17.434999319764238</v>
      </c>
    </row>
    <row r="46" spans="1:9" ht="14.1" customHeight="1">
      <c r="A46" s="16" t="s">
        <v>143</v>
      </c>
      <c r="B46" s="17">
        <v>11900</v>
      </c>
      <c r="C46" s="17">
        <f>'- 4 -'!E46</f>
        <v>12340</v>
      </c>
      <c r="D46" s="48">
        <v>13.674123717400837</v>
      </c>
      <c r="E46" s="48">
        <f>'- 9 -'!C46</f>
        <v>13.424381228258017</v>
      </c>
      <c r="F46" s="17">
        <v>360004</v>
      </c>
      <c r="G46" s="17">
        <f>'- 50 -'!F46</f>
        <v>362827</v>
      </c>
      <c r="H46" s="48">
        <v>15.04641358769644</v>
      </c>
      <c r="I46" s="48">
        <f>'- 47 -'!G46</f>
        <v>15.583288681265151</v>
      </c>
    </row>
    <row r="47" spans="1:9" ht="5.0999999999999996" customHeight="1">
      <c r="B47" s="141"/>
      <c r="C47" s="141"/>
      <c r="D47" s="203"/>
      <c r="E47" s="203"/>
      <c r="F47" s="141"/>
      <c r="G47" s="141"/>
      <c r="H47" s="203"/>
      <c r="I47" s="203"/>
    </row>
    <row r="48" spans="1:9" ht="14.1" customHeight="1">
      <c r="A48" s="275" t="s">
        <v>144</v>
      </c>
      <c r="B48" s="306">
        <v>12248</v>
      </c>
      <c r="C48" s="306">
        <f>'- 4 -'!E48</f>
        <v>12687</v>
      </c>
      <c r="D48" s="337">
        <v>13.288038414633778</v>
      </c>
      <c r="E48" s="337">
        <f>'- 9 -'!C48</f>
        <v>13.098614295097995</v>
      </c>
      <c r="F48" s="306">
        <v>371563.31300966541</v>
      </c>
      <c r="G48" s="306">
        <f>'- 50 -'!F48</f>
        <v>378947.90222884336</v>
      </c>
      <c r="H48" s="337">
        <v>13.923862577589491</v>
      </c>
      <c r="I48" s="337">
        <f>'- 47 -'!G48</f>
        <v>14.332392218220495</v>
      </c>
    </row>
    <row r="49" spans="1:9" ht="5.0999999999999996" customHeight="1">
      <c r="B49" s="141"/>
      <c r="C49" s="141"/>
      <c r="D49" s="203"/>
      <c r="E49" s="203"/>
      <c r="F49" s="141"/>
      <c r="G49" s="141"/>
      <c r="H49" s="203"/>
      <c r="I49" s="203"/>
    </row>
    <row r="50" spans="1:9" ht="14.45" customHeight="1">
      <c r="A50" s="16" t="s">
        <v>145</v>
      </c>
      <c r="B50" s="17">
        <v>18593</v>
      </c>
      <c r="C50" s="17">
        <f>'- 4 -'!E50</f>
        <v>19632</v>
      </c>
      <c r="D50" s="201">
        <v>7.8405017921146953</v>
      </c>
      <c r="E50" s="201">
        <f>'- 9 -'!C50</f>
        <v>8.2108464267612771</v>
      </c>
      <c r="F50" s="140"/>
      <c r="G50" s="140"/>
      <c r="H50" s="201"/>
      <c r="I50" s="201"/>
    </row>
    <row r="51" spans="1:9" ht="50.1" customHeight="1">
      <c r="A51" s="20"/>
      <c r="B51" s="20"/>
      <c r="C51" s="20"/>
      <c r="D51" s="20"/>
      <c r="E51" s="20"/>
      <c r="F51" s="20"/>
      <c r="G51" s="20"/>
      <c r="H51" s="20"/>
      <c r="I51" s="20"/>
    </row>
    <row r="52" spans="1:9" ht="15" customHeight="1">
      <c r="A52" s="32" t="s">
        <v>330</v>
      </c>
      <c r="B52" s="32"/>
      <c r="C52" s="32"/>
      <c r="D52" s="32"/>
      <c r="E52" s="32"/>
      <c r="F52" s="32"/>
    </row>
    <row r="53" spans="1:9" ht="12" customHeight="1">
      <c r="A53" s="32" t="s">
        <v>331</v>
      </c>
      <c r="B53" s="32"/>
      <c r="C53" s="32"/>
      <c r="D53" s="32"/>
      <c r="E53" s="32"/>
      <c r="F53" s="32"/>
    </row>
    <row r="54" spans="1:9" ht="12" customHeight="1">
      <c r="A54" s="132" t="s">
        <v>583</v>
      </c>
      <c r="B54" s="32"/>
      <c r="C54" s="32"/>
      <c r="D54" s="32"/>
      <c r="E54" s="32"/>
      <c r="F54" s="32"/>
    </row>
    <row r="55" spans="1:9">
      <c r="A55" s="132" t="s">
        <v>584</v>
      </c>
    </row>
  </sheetData>
  <mergeCells count="4">
    <mergeCell ref="H7:I8"/>
    <mergeCell ref="F6:G8"/>
    <mergeCell ref="D7:E8"/>
    <mergeCell ref="B6:C8"/>
  </mergeCells>
  <phoneticPr fontId="0" type="noConversion"/>
  <printOptions horizontalCentered="1"/>
  <pageMargins left="0.51181102362204722" right="0.51181102362204722" top="0.59055118110236227" bottom="0" header="0.31496062992125984" footer="0"/>
  <pageSetup scale="88" orientation="portrait" r:id="rId1"/>
  <headerFooter alignWithMargins="0">
    <oddHeader>&amp;C&amp;"Arial,Bold"&amp;10&amp;A</oddHeader>
  </headerFooter>
</worksheet>
</file>

<file path=xl/worksheets/sheet54.xml><?xml version="1.0" encoding="utf-8"?>
<worksheet xmlns="http://schemas.openxmlformats.org/spreadsheetml/2006/main" xmlns:r="http://schemas.openxmlformats.org/officeDocument/2006/relationships">
  <sheetPr transitionEvaluation="1" codeName="Sheet49"/>
  <dimension ref="A1:V55"/>
  <sheetViews>
    <sheetView showGridLines="0" defaultGridColor="0" colorId="22" workbookViewId="0">
      <pane xSplit="2" ySplit="10" topLeftCell="C11" activePane="bottomRight" state="frozen"/>
      <selection pane="topRight" activeCell="C1" sqref="C1"/>
      <selection pane="bottomLeft" activeCell="A11" sqref="A11"/>
      <selection pane="bottomRight"/>
    </sheetView>
  </sheetViews>
  <sheetFormatPr defaultColWidth="15.83203125" defaultRowHeight="12"/>
  <cols>
    <col min="1" max="1" width="5.83203125" style="1" customWidth="1"/>
    <col min="2" max="2" width="30.83203125" style="1" customWidth="1"/>
    <col min="3" max="15" width="15.83203125" style="1" customWidth="1"/>
    <col min="16" max="17" width="15.83203125" style="1"/>
    <col min="18" max="18" width="22.33203125" style="1" bestFit="1" customWidth="1"/>
    <col min="19" max="16384" width="15.83203125" style="1"/>
  </cols>
  <sheetData>
    <row r="1" spans="1:22" ht="6" customHeight="1">
      <c r="A1" s="3"/>
      <c r="B1" s="181"/>
      <c r="C1" s="181"/>
      <c r="D1" s="181"/>
      <c r="E1" s="181"/>
      <c r="F1" s="181"/>
      <c r="G1" s="181"/>
      <c r="H1" s="181"/>
      <c r="I1" s="181"/>
      <c r="J1" s="181"/>
      <c r="K1" s="181"/>
      <c r="L1" s="181"/>
      <c r="M1" s="181"/>
      <c r="N1" s="181"/>
      <c r="O1" s="181"/>
    </row>
    <row r="2" spans="1:22">
      <c r="A2" s="181"/>
      <c r="B2" s="459" t="s">
        <v>374</v>
      </c>
      <c r="C2" s="165"/>
      <c r="D2" s="165"/>
      <c r="E2" s="165"/>
      <c r="F2" s="165"/>
      <c r="G2" s="165"/>
      <c r="H2" s="165"/>
      <c r="I2" s="165"/>
      <c r="J2" s="165"/>
      <c r="K2" s="165"/>
      <c r="L2" s="165"/>
      <c r="M2" s="165"/>
      <c r="N2" s="165"/>
      <c r="O2" s="165"/>
      <c r="Q2" s="248"/>
      <c r="R2" s="436" t="s">
        <v>351</v>
      </c>
      <c r="S2" s="437" t="s">
        <v>352</v>
      </c>
      <c r="V2" s="1" t="s">
        <v>375</v>
      </c>
    </row>
    <row r="3" spans="1:22">
      <c r="A3" s="204" t="s">
        <v>44</v>
      </c>
      <c r="B3" s="460"/>
      <c r="C3" s="181"/>
      <c r="D3" s="181"/>
      <c r="E3" s="181"/>
      <c r="F3" s="1" t="s">
        <v>77</v>
      </c>
      <c r="G3" s="181"/>
      <c r="H3" s="181"/>
      <c r="I3" s="181"/>
      <c r="J3" s="181"/>
      <c r="K3" s="181"/>
      <c r="L3" s="181"/>
      <c r="M3" s="181"/>
      <c r="N3" s="181"/>
      <c r="O3" s="181"/>
      <c r="Q3" s="438" t="s">
        <v>353</v>
      </c>
      <c r="R3" s="450" t="s">
        <v>364</v>
      </c>
      <c r="S3" s="248"/>
      <c r="V3" s="1" t="s">
        <v>376</v>
      </c>
    </row>
    <row r="4" spans="1:22">
      <c r="B4" s="461"/>
      <c r="C4" s="165"/>
      <c r="D4" s="165"/>
      <c r="E4" s="165"/>
      <c r="F4" s="165"/>
      <c r="G4" s="165"/>
      <c r="H4" s="165"/>
      <c r="I4" s="165"/>
      <c r="J4" s="165"/>
      <c r="K4" s="165"/>
      <c r="L4" s="165"/>
      <c r="M4" s="165"/>
      <c r="N4" s="165"/>
      <c r="O4" s="165"/>
      <c r="Q4" s="438" t="s">
        <v>354</v>
      </c>
      <c r="R4" s="450" t="s">
        <v>364</v>
      </c>
      <c r="S4" s="248"/>
      <c r="V4" s="1">
        <v>1</v>
      </c>
    </row>
    <row r="5" spans="1:22">
      <c r="B5" s="205" t="s">
        <v>99</v>
      </c>
      <c r="C5" s="206" t="s">
        <v>28</v>
      </c>
      <c r="D5" s="207"/>
      <c r="E5" s="207"/>
      <c r="F5" s="207"/>
      <c r="G5" s="207"/>
      <c r="H5" s="207"/>
      <c r="I5" s="207"/>
      <c r="J5" s="207"/>
      <c r="K5" s="207"/>
      <c r="L5" s="207"/>
      <c r="M5" s="207"/>
      <c r="N5" s="207"/>
      <c r="O5" s="165"/>
      <c r="Q5" s="1" t="s">
        <v>363</v>
      </c>
    </row>
    <row r="6" spans="1:22">
      <c r="B6" s="451">
        <v>2015</v>
      </c>
      <c r="O6" s="830" t="s">
        <v>585</v>
      </c>
      <c r="P6" s="444" t="s">
        <v>554</v>
      </c>
      <c r="Q6" s="444" t="s">
        <v>368</v>
      </c>
    </row>
    <row r="7" spans="1:22">
      <c r="C7" s="91"/>
      <c r="N7" s="129" t="s">
        <v>226</v>
      </c>
      <c r="O7" s="830"/>
      <c r="P7" s="440" t="s">
        <v>355</v>
      </c>
      <c r="Q7" s="440" t="s">
        <v>355</v>
      </c>
    </row>
    <row r="8" spans="1:22">
      <c r="C8" s="209" t="s">
        <v>35</v>
      </c>
      <c r="D8" s="4"/>
      <c r="E8" s="4"/>
      <c r="F8" s="4"/>
      <c r="G8" s="4"/>
      <c r="H8" s="4"/>
      <c r="I8" s="4"/>
      <c r="J8" s="4">
        <v>700</v>
      </c>
      <c r="K8" s="4"/>
      <c r="L8" s="129" t="s">
        <v>25</v>
      </c>
      <c r="M8" s="129" t="s">
        <v>189</v>
      </c>
      <c r="N8" s="129" t="s">
        <v>190</v>
      </c>
      <c r="O8" s="830"/>
      <c r="P8" s="439" t="s">
        <v>356</v>
      </c>
      <c r="Q8" s="439" t="s">
        <v>356</v>
      </c>
    </row>
    <row r="9" spans="1:22">
      <c r="A9" s="210" t="s">
        <v>149</v>
      </c>
      <c r="B9" s="1" t="s">
        <v>150</v>
      </c>
      <c r="C9" s="1">
        <v>100</v>
      </c>
      <c r="D9" s="1">
        <v>200</v>
      </c>
      <c r="E9" s="1">
        <v>300</v>
      </c>
      <c r="F9" s="1">
        <v>400</v>
      </c>
      <c r="G9" s="1">
        <v>500</v>
      </c>
      <c r="H9" s="1">
        <v>600</v>
      </c>
      <c r="I9" s="1">
        <v>700</v>
      </c>
      <c r="J9" s="129" t="s">
        <v>41</v>
      </c>
      <c r="K9" s="4">
        <v>800</v>
      </c>
      <c r="L9" s="129" t="s">
        <v>42</v>
      </c>
      <c r="M9" s="129" t="s">
        <v>82</v>
      </c>
      <c r="N9" s="129" t="s">
        <v>98</v>
      </c>
      <c r="O9" s="830"/>
      <c r="P9" s="441" t="s">
        <v>357</v>
      </c>
      <c r="Q9" s="441" t="s">
        <v>357</v>
      </c>
      <c r="R9" s="430" t="s">
        <v>315</v>
      </c>
      <c r="S9" s="430" t="s">
        <v>317</v>
      </c>
      <c r="T9" s="430" t="s">
        <v>318</v>
      </c>
      <c r="U9" s="431" t="s">
        <v>319</v>
      </c>
    </row>
    <row r="10" spans="1:22" ht="3.95" customHeight="1">
      <c r="R10" s="430"/>
      <c r="S10" s="430"/>
      <c r="T10" s="430"/>
      <c r="U10" s="431"/>
    </row>
    <row r="11" spans="1:22" ht="10.9" customHeight="1">
      <c r="A11" s="208" t="s">
        <v>151</v>
      </c>
      <c r="B11" s="1" t="s">
        <v>109</v>
      </c>
      <c r="C11" s="1">
        <v>55000</v>
      </c>
      <c r="D11" s="1">
        <v>0</v>
      </c>
      <c r="E11" s="1">
        <v>0</v>
      </c>
      <c r="F11" s="1">
        <v>0</v>
      </c>
      <c r="G11" s="1">
        <v>0</v>
      </c>
      <c r="H11" s="1">
        <v>6000</v>
      </c>
      <c r="I11" s="1">
        <v>0</v>
      </c>
      <c r="J11" s="1">
        <v>0</v>
      </c>
      <c r="K11" s="1">
        <v>0</v>
      </c>
      <c r="L11" s="73">
        <f t="shared" ref="L11:L37" si="0">SUM(C11:I11)-J11+K11</f>
        <v>61000</v>
      </c>
      <c r="M11" s="73">
        <v>18000</v>
      </c>
      <c r="N11" s="73">
        <v>0</v>
      </c>
      <c r="O11" s="73">
        <v>0</v>
      </c>
      <c r="P11" s="442">
        <v>369198</v>
      </c>
      <c r="Q11" s="442">
        <v>387567</v>
      </c>
      <c r="R11" s="430" t="s">
        <v>316</v>
      </c>
      <c r="S11" s="430">
        <f>+'- 3 -'!B48+'- 3 -'!B50+'- 3 -'!B51</f>
        <v>2279505900.25</v>
      </c>
      <c r="T11" s="430">
        <v>2279505900.25</v>
      </c>
      <c r="U11" s="431">
        <f>+S11-T11</f>
        <v>0</v>
      </c>
    </row>
    <row r="12" spans="1:22" ht="10.9" customHeight="1">
      <c r="A12" s="208" t="s">
        <v>152</v>
      </c>
      <c r="B12" s="1" t="s">
        <v>110</v>
      </c>
      <c r="C12" s="1">
        <v>372000</v>
      </c>
      <c r="D12" s="1">
        <v>0</v>
      </c>
      <c r="E12" s="1">
        <v>0</v>
      </c>
      <c r="F12" s="1">
        <v>0</v>
      </c>
      <c r="G12" s="1">
        <v>0</v>
      </c>
      <c r="H12" s="1">
        <v>0</v>
      </c>
      <c r="I12" s="1">
        <v>0</v>
      </c>
      <c r="J12" s="1">
        <v>0</v>
      </c>
      <c r="K12" s="1">
        <v>0</v>
      </c>
      <c r="L12" s="73">
        <f t="shared" si="0"/>
        <v>372000</v>
      </c>
      <c r="M12" s="73">
        <v>32000</v>
      </c>
      <c r="N12" s="73">
        <v>0</v>
      </c>
      <c r="O12" s="73">
        <v>0</v>
      </c>
      <c r="P12" s="442">
        <v>325373</v>
      </c>
      <c r="Q12" s="442">
        <v>312187</v>
      </c>
      <c r="R12" s="430" t="s">
        <v>321</v>
      </c>
      <c r="S12" s="430">
        <f>+'- 43 -'!I48</f>
        <v>2272789928</v>
      </c>
      <c r="T12" s="430">
        <v>2272789928</v>
      </c>
      <c r="U12" s="431">
        <f>+S12-T12</f>
        <v>0</v>
      </c>
    </row>
    <row r="13" spans="1:22" ht="10.9" customHeight="1">
      <c r="A13" s="208" t="s">
        <v>153</v>
      </c>
      <c r="B13" s="1" t="s">
        <v>111</v>
      </c>
      <c r="C13" s="1">
        <v>137500</v>
      </c>
      <c r="D13" s="1">
        <v>0</v>
      </c>
      <c r="E13" s="1">
        <v>0</v>
      </c>
      <c r="F13" s="1">
        <v>0</v>
      </c>
      <c r="G13" s="1">
        <v>0</v>
      </c>
      <c r="H13" s="1">
        <v>0</v>
      </c>
      <c r="I13" s="1">
        <v>0</v>
      </c>
      <c r="J13" s="1">
        <v>0</v>
      </c>
      <c r="K13" s="1">
        <v>0</v>
      </c>
      <c r="L13" s="73">
        <f t="shared" si="0"/>
        <v>137500</v>
      </c>
      <c r="M13" s="73">
        <v>74800</v>
      </c>
      <c r="N13" s="73">
        <v>0</v>
      </c>
      <c r="O13" s="73">
        <v>0</v>
      </c>
      <c r="P13" s="442">
        <v>332327</v>
      </c>
      <c r="Q13" s="442">
        <v>330782</v>
      </c>
      <c r="R13" s="430" t="s">
        <v>322</v>
      </c>
      <c r="S13" s="430">
        <v>4468.6971428571424</v>
      </c>
      <c r="T13" s="430">
        <f>+'- 7 -'!B48</f>
        <v>4468.6971428571424</v>
      </c>
      <c r="U13" s="431">
        <f>+S13-T13</f>
        <v>0</v>
      </c>
    </row>
    <row r="14" spans="1:22" ht="10.9" customHeight="1">
      <c r="A14" s="208" t="s">
        <v>154</v>
      </c>
      <c r="B14" s="1" t="s">
        <v>324</v>
      </c>
      <c r="C14" s="1">
        <v>250000</v>
      </c>
      <c r="D14" s="1">
        <v>0</v>
      </c>
      <c r="E14" s="1">
        <v>0</v>
      </c>
      <c r="F14" s="1">
        <v>0</v>
      </c>
      <c r="G14" s="1">
        <v>0</v>
      </c>
      <c r="H14" s="1">
        <v>0</v>
      </c>
      <c r="I14" s="1">
        <v>0</v>
      </c>
      <c r="J14" s="1">
        <v>0</v>
      </c>
      <c r="K14" s="1">
        <v>0</v>
      </c>
      <c r="L14" s="73">
        <f t="shared" si="0"/>
        <v>250000</v>
      </c>
      <c r="M14" s="73">
        <v>0</v>
      </c>
      <c r="N14" s="73">
        <v>0</v>
      </c>
      <c r="O14" s="73">
        <v>0</v>
      </c>
      <c r="P14" s="442">
        <v>389123</v>
      </c>
      <c r="Q14" s="442">
        <v>380178</v>
      </c>
      <c r="R14" s="430" t="s">
        <v>323</v>
      </c>
      <c r="S14" s="430">
        <f>+'- 7 -'!F48</f>
        <v>173548.76714285713</v>
      </c>
      <c r="T14" s="430">
        <v>173548.76714285713</v>
      </c>
      <c r="U14" s="431">
        <f>+S14-T14</f>
        <v>0</v>
      </c>
    </row>
    <row r="15" spans="1:22" ht="10.9" customHeight="1">
      <c r="A15" s="208" t="s">
        <v>155</v>
      </c>
      <c r="B15" s="1" t="s">
        <v>112</v>
      </c>
      <c r="C15" s="1">
        <v>53000</v>
      </c>
      <c r="D15" s="1">
        <v>0</v>
      </c>
      <c r="E15" s="1">
        <v>0</v>
      </c>
      <c r="F15" s="1">
        <v>0</v>
      </c>
      <c r="G15" s="1">
        <v>1000</v>
      </c>
      <c r="H15" s="1">
        <v>5500</v>
      </c>
      <c r="I15" s="1">
        <v>0</v>
      </c>
      <c r="J15" s="1">
        <v>0</v>
      </c>
      <c r="K15" s="1">
        <v>0</v>
      </c>
      <c r="L15" s="73">
        <f t="shared" si="0"/>
        <v>59500</v>
      </c>
      <c r="M15" s="73">
        <v>26000</v>
      </c>
      <c r="N15" s="73">
        <v>0</v>
      </c>
      <c r="O15" s="73">
        <v>0</v>
      </c>
      <c r="P15" s="442">
        <v>572165</v>
      </c>
      <c r="Q15" s="442">
        <v>556723</v>
      </c>
      <c r="U15" s="429"/>
    </row>
    <row r="16" spans="1:22" ht="10.9" customHeight="1">
      <c r="A16" s="208" t="s">
        <v>156</v>
      </c>
      <c r="B16" s="1" t="s">
        <v>113</v>
      </c>
      <c r="C16" s="1">
        <v>0</v>
      </c>
      <c r="D16" s="1">
        <v>0</v>
      </c>
      <c r="E16" s="1">
        <v>0</v>
      </c>
      <c r="F16" s="1">
        <v>0</v>
      </c>
      <c r="G16" s="1">
        <v>0</v>
      </c>
      <c r="H16" s="1">
        <v>0</v>
      </c>
      <c r="I16" s="1">
        <v>0</v>
      </c>
      <c r="J16" s="1">
        <v>0</v>
      </c>
      <c r="K16" s="1">
        <v>0</v>
      </c>
      <c r="L16" s="73">
        <f t="shared" si="0"/>
        <v>0</v>
      </c>
      <c r="M16" s="73">
        <v>20000</v>
      </c>
      <c r="N16" s="73">
        <v>0</v>
      </c>
      <c r="O16" s="73">
        <v>0</v>
      </c>
      <c r="P16" s="442">
        <v>178472</v>
      </c>
      <c r="Q16" s="442">
        <v>171478</v>
      </c>
    </row>
    <row r="17" spans="1:17" ht="10.9" customHeight="1">
      <c r="A17" s="208" t="s">
        <v>157</v>
      </c>
      <c r="B17" s="1" t="s">
        <v>114</v>
      </c>
      <c r="C17" s="1">
        <v>75550</v>
      </c>
      <c r="D17" s="1">
        <v>0</v>
      </c>
      <c r="E17" s="1">
        <v>0</v>
      </c>
      <c r="F17" s="1">
        <v>0</v>
      </c>
      <c r="G17" s="1">
        <v>1000</v>
      </c>
      <c r="H17" s="1">
        <v>0</v>
      </c>
      <c r="I17" s="1">
        <v>0</v>
      </c>
      <c r="J17" s="1">
        <v>0</v>
      </c>
      <c r="K17" s="1">
        <v>0</v>
      </c>
      <c r="L17" s="73">
        <f t="shared" si="0"/>
        <v>76550</v>
      </c>
      <c r="M17" s="73">
        <v>25200</v>
      </c>
      <c r="N17" s="73">
        <v>0</v>
      </c>
      <c r="O17" s="73">
        <v>0</v>
      </c>
      <c r="P17" s="442">
        <v>670922</v>
      </c>
      <c r="Q17" s="442">
        <v>633237</v>
      </c>
    </row>
    <row r="18" spans="1:17" ht="10.9" customHeight="1">
      <c r="A18" s="208" t="s">
        <v>158</v>
      </c>
      <c r="B18" s="1" t="s">
        <v>115</v>
      </c>
      <c r="C18" s="1">
        <v>2879003</v>
      </c>
      <c r="D18" s="1">
        <v>0</v>
      </c>
      <c r="E18" s="1">
        <v>1106000</v>
      </c>
      <c r="F18" s="1">
        <v>0</v>
      </c>
      <c r="G18" s="1">
        <v>98814</v>
      </c>
      <c r="H18" s="1">
        <v>46000</v>
      </c>
      <c r="I18" s="1">
        <v>250000</v>
      </c>
      <c r="J18" s="1">
        <v>0</v>
      </c>
      <c r="K18" s="1">
        <v>0</v>
      </c>
      <c r="L18" s="73">
        <f t="shared" si="0"/>
        <v>4379817</v>
      </c>
      <c r="M18" s="73">
        <v>0</v>
      </c>
      <c r="N18" s="73">
        <v>0</v>
      </c>
      <c r="O18" s="73">
        <v>0</v>
      </c>
      <c r="P18" s="442">
        <v>86964</v>
      </c>
      <c r="Q18" s="442">
        <v>84926</v>
      </c>
    </row>
    <row r="19" spans="1:17" ht="10.9" customHeight="1">
      <c r="A19" s="208" t="s">
        <v>159</v>
      </c>
      <c r="B19" s="1" t="s">
        <v>116</v>
      </c>
      <c r="C19" s="1">
        <v>315000</v>
      </c>
      <c r="D19" s="1">
        <v>0</v>
      </c>
      <c r="E19" s="1">
        <v>0</v>
      </c>
      <c r="F19" s="1">
        <v>17000</v>
      </c>
      <c r="G19" s="1">
        <v>20000</v>
      </c>
      <c r="H19" s="1">
        <v>0</v>
      </c>
      <c r="I19" s="1">
        <v>0</v>
      </c>
      <c r="J19" s="1">
        <v>0</v>
      </c>
      <c r="K19" s="1">
        <v>0</v>
      </c>
      <c r="L19" s="73">
        <f t="shared" si="0"/>
        <v>352000</v>
      </c>
      <c r="M19" s="73">
        <v>33000</v>
      </c>
      <c r="N19" s="73">
        <v>0</v>
      </c>
      <c r="O19" s="73">
        <v>0</v>
      </c>
      <c r="P19" s="442">
        <v>229523</v>
      </c>
      <c r="Q19" s="442">
        <v>219557</v>
      </c>
    </row>
    <row r="20" spans="1:17" ht="10.9" customHeight="1">
      <c r="A20" s="208" t="s">
        <v>160</v>
      </c>
      <c r="B20" s="1" t="s">
        <v>117</v>
      </c>
      <c r="C20" s="1">
        <v>1241500</v>
      </c>
      <c r="D20" s="1">
        <v>0</v>
      </c>
      <c r="E20" s="1">
        <v>0</v>
      </c>
      <c r="F20" s="1">
        <v>0</v>
      </c>
      <c r="G20" s="1">
        <v>0</v>
      </c>
      <c r="H20" s="1">
        <v>0</v>
      </c>
      <c r="I20" s="1">
        <v>0</v>
      </c>
      <c r="J20" s="1">
        <v>0</v>
      </c>
      <c r="K20" s="1">
        <v>0</v>
      </c>
      <c r="L20" s="73">
        <f t="shared" si="0"/>
        <v>1241500</v>
      </c>
      <c r="M20" s="73">
        <v>62000</v>
      </c>
      <c r="N20" s="73">
        <v>0</v>
      </c>
      <c r="O20" s="73">
        <v>0</v>
      </c>
      <c r="P20" s="442">
        <v>237528</v>
      </c>
      <c r="Q20" s="442">
        <v>228578</v>
      </c>
    </row>
    <row r="21" spans="1:17" ht="10.9" customHeight="1">
      <c r="A21" s="208" t="s">
        <v>161</v>
      </c>
      <c r="B21" s="1" t="s">
        <v>118</v>
      </c>
      <c r="C21" s="1">
        <v>275760</v>
      </c>
      <c r="D21" s="1">
        <v>58000</v>
      </c>
      <c r="E21" s="1">
        <v>0</v>
      </c>
      <c r="F21" s="1">
        <v>0</v>
      </c>
      <c r="G21" s="1">
        <v>7900</v>
      </c>
      <c r="H21" s="1">
        <v>16357</v>
      </c>
      <c r="I21" s="1">
        <v>0</v>
      </c>
      <c r="J21" s="1">
        <v>0</v>
      </c>
      <c r="K21" s="1">
        <v>0</v>
      </c>
      <c r="L21" s="73">
        <f t="shared" si="0"/>
        <v>358017</v>
      </c>
      <c r="M21" s="73">
        <v>34000</v>
      </c>
      <c r="N21" s="73">
        <v>0</v>
      </c>
      <c r="O21" s="73">
        <v>0</v>
      </c>
      <c r="P21" s="442">
        <v>397881</v>
      </c>
      <c r="Q21" s="442">
        <v>377069</v>
      </c>
    </row>
    <row r="22" spans="1:17" ht="10.9" customHeight="1">
      <c r="A22" s="208" t="s">
        <v>162</v>
      </c>
      <c r="B22" s="1" t="s">
        <v>119</v>
      </c>
      <c r="C22" s="1">
        <v>0</v>
      </c>
      <c r="D22" s="1">
        <v>0</v>
      </c>
      <c r="E22" s="1">
        <v>0</v>
      </c>
      <c r="F22" s="1">
        <v>0</v>
      </c>
      <c r="G22" s="1">
        <v>0</v>
      </c>
      <c r="H22" s="1">
        <v>17500</v>
      </c>
      <c r="I22" s="1">
        <v>0</v>
      </c>
      <c r="J22" s="1">
        <v>0</v>
      </c>
      <c r="K22" s="1">
        <v>0</v>
      </c>
      <c r="L22" s="73">
        <f t="shared" si="0"/>
        <v>17500</v>
      </c>
      <c r="M22" s="73">
        <v>25000</v>
      </c>
      <c r="N22" s="73">
        <v>0</v>
      </c>
      <c r="O22" s="73">
        <v>0</v>
      </c>
      <c r="P22" s="442">
        <v>138583</v>
      </c>
      <c r="Q22" s="442">
        <v>138197</v>
      </c>
    </row>
    <row r="23" spans="1:17" ht="10.9" customHeight="1">
      <c r="A23" s="208" t="s">
        <v>163</v>
      </c>
      <c r="B23" s="1" t="s">
        <v>120</v>
      </c>
      <c r="C23" s="1">
        <v>34000</v>
      </c>
      <c r="D23" s="1">
        <v>0</v>
      </c>
      <c r="E23" s="1">
        <v>0</v>
      </c>
      <c r="F23" s="1">
        <v>0</v>
      </c>
      <c r="G23" s="1">
        <v>0</v>
      </c>
      <c r="H23" s="1">
        <v>1700</v>
      </c>
      <c r="I23" s="1">
        <v>0</v>
      </c>
      <c r="J23" s="1">
        <v>0</v>
      </c>
      <c r="K23" s="1">
        <v>0</v>
      </c>
      <c r="L23" s="73">
        <f t="shared" si="0"/>
        <v>35700</v>
      </c>
      <c r="M23" s="73">
        <v>21000</v>
      </c>
      <c r="N23" s="73">
        <v>0</v>
      </c>
      <c r="O23" s="73">
        <v>0</v>
      </c>
      <c r="P23" s="442">
        <v>229221</v>
      </c>
      <c r="Q23" s="442">
        <v>221961</v>
      </c>
    </row>
    <row r="24" spans="1:17" ht="10.9" customHeight="1">
      <c r="A24" s="208" t="s">
        <v>164</v>
      </c>
      <c r="B24" s="1" t="s">
        <v>121</v>
      </c>
      <c r="C24" s="1">
        <v>203520</v>
      </c>
      <c r="D24" s="1">
        <v>0</v>
      </c>
      <c r="E24" s="1">
        <v>0</v>
      </c>
      <c r="F24" s="1">
        <v>0</v>
      </c>
      <c r="G24" s="1">
        <v>0</v>
      </c>
      <c r="H24" s="1">
        <v>0</v>
      </c>
      <c r="I24" s="1">
        <v>0</v>
      </c>
      <c r="J24" s="1">
        <v>0</v>
      </c>
      <c r="K24" s="1">
        <v>0</v>
      </c>
      <c r="L24" s="73">
        <f t="shared" si="0"/>
        <v>203520</v>
      </c>
      <c r="M24" s="73">
        <v>50000</v>
      </c>
      <c r="N24" s="73">
        <v>0</v>
      </c>
      <c r="O24" s="73">
        <v>0</v>
      </c>
      <c r="P24" s="442">
        <v>435908</v>
      </c>
      <c r="Q24" s="442">
        <v>418643</v>
      </c>
    </row>
    <row r="25" spans="1:17" ht="10.9" customHeight="1">
      <c r="A25" s="208" t="s">
        <v>165</v>
      </c>
      <c r="B25" s="1" t="s">
        <v>122</v>
      </c>
      <c r="C25" s="1">
        <v>862469</v>
      </c>
      <c r="D25" s="1">
        <v>280000</v>
      </c>
      <c r="E25" s="1">
        <v>0</v>
      </c>
      <c r="F25" s="1">
        <v>0</v>
      </c>
      <c r="G25" s="1">
        <v>9500</v>
      </c>
      <c r="H25" s="1">
        <v>30000</v>
      </c>
      <c r="I25" s="1">
        <v>0</v>
      </c>
      <c r="J25" s="1">
        <v>0</v>
      </c>
      <c r="K25" s="1">
        <v>0</v>
      </c>
      <c r="L25" s="73">
        <f t="shared" si="0"/>
        <v>1181969</v>
      </c>
      <c r="M25" s="73">
        <v>18000</v>
      </c>
      <c r="N25" s="73">
        <v>496556</v>
      </c>
      <c r="O25" s="73">
        <v>0</v>
      </c>
      <c r="P25" s="442">
        <v>445645</v>
      </c>
      <c r="Q25" s="442">
        <v>434934</v>
      </c>
    </row>
    <row r="26" spans="1:17" ht="10.9" customHeight="1">
      <c r="A26" s="208" t="s">
        <v>166</v>
      </c>
      <c r="B26" s="1" t="s">
        <v>123</v>
      </c>
      <c r="C26" s="1">
        <v>0</v>
      </c>
      <c r="D26" s="1">
        <v>0</v>
      </c>
      <c r="E26" s="1">
        <v>0</v>
      </c>
      <c r="F26" s="1">
        <v>0</v>
      </c>
      <c r="G26" s="1">
        <v>0</v>
      </c>
      <c r="H26" s="1">
        <v>7500</v>
      </c>
      <c r="I26" s="1">
        <v>0</v>
      </c>
      <c r="J26" s="1">
        <v>0</v>
      </c>
      <c r="K26" s="1">
        <v>0</v>
      </c>
      <c r="L26" s="73">
        <f t="shared" si="0"/>
        <v>7500</v>
      </c>
      <c r="M26" s="73">
        <v>44373</v>
      </c>
      <c r="N26" s="73">
        <v>0</v>
      </c>
      <c r="O26" s="73">
        <v>0</v>
      </c>
      <c r="P26" s="442">
        <v>292858</v>
      </c>
      <c r="Q26" s="442">
        <v>288425</v>
      </c>
    </row>
    <row r="27" spans="1:17" ht="10.9" customHeight="1">
      <c r="A27" s="208" t="s">
        <v>167</v>
      </c>
      <c r="B27" s="1" t="s">
        <v>124</v>
      </c>
      <c r="C27" s="1">
        <v>10300</v>
      </c>
      <c r="D27" s="1">
        <v>0</v>
      </c>
      <c r="E27" s="1">
        <v>0</v>
      </c>
      <c r="F27" s="1">
        <v>0</v>
      </c>
      <c r="G27" s="1">
        <v>0</v>
      </c>
      <c r="H27" s="1">
        <v>0</v>
      </c>
      <c r="I27" s="1">
        <v>0</v>
      </c>
      <c r="J27" s="1">
        <v>0</v>
      </c>
      <c r="K27" s="1">
        <v>0</v>
      </c>
      <c r="L27" s="73">
        <f t="shared" si="0"/>
        <v>10300</v>
      </c>
      <c r="M27" s="73">
        <v>70000</v>
      </c>
      <c r="N27" s="73">
        <v>0</v>
      </c>
      <c r="O27" s="73">
        <v>0</v>
      </c>
      <c r="P27" s="442">
        <v>186944</v>
      </c>
      <c r="Q27" s="442">
        <v>186626</v>
      </c>
    </row>
    <row r="28" spans="1:17" ht="10.9" customHeight="1">
      <c r="A28" s="208" t="s">
        <v>168</v>
      </c>
      <c r="B28" s="1" t="s">
        <v>125</v>
      </c>
      <c r="C28" s="1">
        <v>80000</v>
      </c>
      <c r="D28" s="1">
        <v>0</v>
      </c>
      <c r="E28" s="1">
        <v>60000</v>
      </c>
      <c r="F28" s="1">
        <v>0</v>
      </c>
      <c r="G28" s="1">
        <v>0</v>
      </c>
      <c r="H28" s="1">
        <v>0</v>
      </c>
      <c r="I28" s="1">
        <v>0</v>
      </c>
      <c r="J28" s="1">
        <v>0</v>
      </c>
      <c r="K28" s="1">
        <v>0</v>
      </c>
      <c r="L28" s="73">
        <f t="shared" si="0"/>
        <v>140000</v>
      </c>
      <c r="M28" s="73">
        <v>26000</v>
      </c>
      <c r="N28" s="73">
        <v>0</v>
      </c>
      <c r="O28" s="73">
        <v>166323</v>
      </c>
      <c r="P28" s="442">
        <v>412739</v>
      </c>
      <c r="Q28" s="442">
        <v>407336</v>
      </c>
    </row>
    <row r="29" spans="1:17" ht="10.9" customHeight="1">
      <c r="A29" s="208" t="s">
        <v>169</v>
      </c>
      <c r="B29" s="1" t="s">
        <v>126</v>
      </c>
      <c r="C29" s="1">
        <v>1940000</v>
      </c>
      <c r="D29" s="1">
        <v>0</v>
      </c>
      <c r="E29" s="1">
        <v>0</v>
      </c>
      <c r="F29" s="1">
        <v>0</v>
      </c>
      <c r="G29" s="1">
        <v>1500</v>
      </c>
      <c r="H29" s="1">
        <v>0</v>
      </c>
      <c r="I29" s="1">
        <v>0</v>
      </c>
      <c r="J29" s="1">
        <v>0</v>
      </c>
      <c r="K29" s="1">
        <v>0</v>
      </c>
      <c r="L29" s="73">
        <f t="shared" si="0"/>
        <v>1941500</v>
      </c>
      <c r="M29" s="73">
        <v>90000</v>
      </c>
      <c r="N29" s="73">
        <v>874670</v>
      </c>
      <c r="O29" s="73">
        <v>0</v>
      </c>
      <c r="P29" s="442">
        <v>555673</v>
      </c>
      <c r="Q29" s="442">
        <v>551535</v>
      </c>
    </row>
    <row r="30" spans="1:17" ht="10.9" customHeight="1">
      <c r="A30" s="208" t="s">
        <v>170</v>
      </c>
      <c r="B30" s="1" t="s">
        <v>127</v>
      </c>
      <c r="C30" s="1">
        <v>47298</v>
      </c>
      <c r="D30" s="1">
        <v>0</v>
      </c>
      <c r="E30" s="1">
        <v>0</v>
      </c>
      <c r="F30" s="1">
        <v>0</v>
      </c>
      <c r="G30" s="1">
        <v>0</v>
      </c>
      <c r="H30" s="1">
        <v>0</v>
      </c>
      <c r="I30" s="1">
        <v>0</v>
      </c>
      <c r="J30" s="1">
        <v>0</v>
      </c>
      <c r="K30" s="1">
        <v>0</v>
      </c>
      <c r="L30" s="73">
        <f t="shared" si="0"/>
        <v>47298</v>
      </c>
      <c r="M30" s="73">
        <v>22000</v>
      </c>
      <c r="N30" s="73">
        <v>0</v>
      </c>
      <c r="O30" s="73">
        <v>0</v>
      </c>
      <c r="P30" s="442">
        <v>351997</v>
      </c>
      <c r="Q30" s="442">
        <v>343756</v>
      </c>
    </row>
    <row r="31" spans="1:17" ht="10.9" customHeight="1">
      <c r="A31" s="208" t="s">
        <v>171</v>
      </c>
      <c r="B31" s="1" t="s">
        <v>128</v>
      </c>
      <c r="C31" s="1">
        <v>50000</v>
      </c>
      <c r="D31" s="1">
        <v>0</v>
      </c>
      <c r="E31" s="1">
        <v>0</v>
      </c>
      <c r="F31" s="1">
        <v>0</v>
      </c>
      <c r="G31" s="1">
        <v>0</v>
      </c>
      <c r="H31" s="1">
        <v>0</v>
      </c>
      <c r="I31" s="1">
        <v>0</v>
      </c>
      <c r="J31" s="1">
        <v>0</v>
      </c>
      <c r="K31" s="1">
        <v>0</v>
      </c>
      <c r="L31" s="73">
        <f t="shared" si="0"/>
        <v>50000</v>
      </c>
      <c r="M31" s="73">
        <v>40000</v>
      </c>
      <c r="N31" s="73">
        <v>0</v>
      </c>
      <c r="O31" s="73">
        <v>0</v>
      </c>
      <c r="P31" s="442">
        <v>334327</v>
      </c>
      <c r="Q31" s="442">
        <v>333528</v>
      </c>
    </row>
    <row r="32" spans="1:17" ht="10.9" customHeight="1">
      <c r="A32" s="208" t="s">
        <v>172</v>
      </c>
      <c r="B32" s="1" t="s">
        <v>129</v>
      </c>
      <c r="C32" s="1">
        <v>198000</v>
      </c>
      <c r="D32" s="1">
        <v>0</v>
      </c>
      <c r="E32" s="1">
        <v>1100</v>
      </c>
      <c r="F32" s="1">
        <v>0</v>
      </c>
      <c r="G32" s="1">
        <v>0</v>
      </c>
      <c r="H32" s="1">
        <v>5000</v>
      </c>
      <c r="I32" s="1">
        <v>0</v>
      </c>
      <c r="J32" s="1">
        <v>0</v>
      </c>
      <c r="K32" s="1">
        <v>0</v>
      </c>
      <c r="L32" s="73">
        <f t="shared" si="0"/>
        <v>204100</v>
      </c>
      <c r="M32" s="73">
        <v>25500</v>
      </c>
      <c r="N32" s="73">
        <v>0</v>
      </c>
      <c r="O32" s="73">
        <v>0</v>
      </c>
      <c r="P32" s="442">
        <v>429781</v>
      </c>
      <c r="Q32" s="442">
        <v>430460</v>
      </c>
    </row>
    <row r="33" spans="1:17" ht="10.9" customHeight="1">
      <c r="A33" s="208" t="s">
        <v>173</v>
      </c>
      <c r="B33" s="1" t="s">
        <v>130</v>
      </c>
      <c r="C33" s="1">
        <v>100000</v>
      </c>
      <c r="D33" s="1">
        <v>0</v>
      </c>
      <c r="E33" s="1">
        <v>0</v>
      </c>
      <c r="F33" s="1">
        <v>0</v>
      </c>
      <c r="G33" s="1">
        <v>1000</v>
      </c>
      <c r="H33" s="1">
        <v>6000</v>
      </c>
      <c r="I33" s="1">
        <v>0</v>
      </c>
      <c r="J33" s="1">
        <v>0</v>
      </c>
      <c r="K33" s="1">
        <v>0</v>
      </c>
      <c r="L33" s="73">
        <f t="shared" si="0"/>
        <v>107000</v>
      </c>
      <c r="M33" s="73">
        <v>35000</v>
      </c>
      <c r="N33" s="73">
        <v>0</v>
      </c>
      <c r="O33" s="73">
        <v>0</v>
      </c>
      <c r="P33" s="442">
        <v>412082</v>
      </c>
      <c r="Q33" s="442">
        <v>405331</v>
      </c>
    </row>
    <row r="34" spans="1:17" ht="10.9" customHeight="1">
      <c r="A34" s="208" t="s">
        <v>174</v>
      </c>
      <c r="B34" s="1" t="s">
        <v>131</v>
      </c>
      <c r="C34" s="1">
        <v>411966</v>
      </c>
      <c r="D34" s="1">
        <v>9405</v>
      </c>
      <c r="E34" s="1">
        <v>0</v>
      </c>
      <c r="F34" s="1">
        <v>0</v>
      </c>
      <c r="G34" s="1">
        <v>0</v>
      </c>
      <c r="H34" s="1">
        <v>0</v>
      </c>
      <c r="I34" s="1">
        <v>0</v>
      </c>
      <c r="J34" s="1">
        <v>0</v>
      </c>
      <c r="K34" s="1">
        <v>0</v>
      </c>
      <c r="L34" s="73">
        <f t="shared" si="0"/>
        <v>421371</v>
      </c>
      <c r="M34" s="73">
        <v>38500</v>
      </c>
      <c r="N34" s="73">
        <v>0</v>
      </c>
      <c r="O34" s="73">
        <v>0</v>
      </c>
      <c r="P34" s="442">
        <v>450123</v>
      </c>
      <c r="Q34" s="442">
        <v>428477</v>
      </c>
    </row>
    <row r="35" spans="1:17" ht="10.9" customHeight="1">
      <c r="A35" s="208" t="s">
        <v>175</v>
      </c>
      <c r="B35" s="1" t="s">
        <v>132</v>
      </c>
      <c r="C35" s="1">
        <v>1000</v>
      </c>
      <c r="D35" s="1">
        <v>0</v>
      </c>
      <c r="E35" s="1">
        <v>0</v>
      </c>
      <c r="F35" s="1">
        <v>0</v>
      </c>
      <c r="G35" s="1">
        <v>3300</v>
      </c>
      <c r="H35" s="1">
        <v>43000</v>
      </c>
      <c r="I35" s="1">
        <v>0</v>
      </c>
      <c r="J35" s="1">
        <v>0</v>
      </c>
      <c r="K35" s="1">
        <v>0</v>
      </c>
      <c r="L35" s="73">
        <f t="shared" si="0"/>
        <v>47300</v>
      </c>
      <c r="M35" s="73">
        <v>60000</v>
      </c>
      <c r="N35" s="73">
        <v>0</v>
      </c>
      <c r="O35" s="73">
        <v>0</v>
      </c>
      <c r="P35" s="442">
        <v>377228</v>
      </c>
      <c r="Q35" s="442">
        <v>367134</v>
      </c>
    </row>
    <row r="36" spans="1:17" ht="10.9" customHeight="1">
      <c r="A36" s="208" t="s">
        <v>176</v>
      </c>
      <c r="B36" s="1" t="s">
        <v>133</v>
      </c>
      <c r="C36" s="1">
        <v>233000</v>
      </c>
      <c r="D36" s="1">
        <v>0</v>
      </c>
      <c r="E36" s="1">
        <v>0</v>
      </c>
      <c r="F36" s="1">
        <v>0</v>
      </c>
      <c r="G36" s="1">
        <v>0</v>
      </c>
      <c r="H36" s="1">
        <v>0</v>
      </c>
      <c r="I36" s="1">
        <v>0</v>
      </c>
      <c r="J36" s="1">
        <v>0</v>
      </c>
      <c r="K36" s="1">
        <v>0</v>
      </c>
      <c r="L36" s="73">
        <f t="shared" si="0"/>
        <v>233000</v>
      </c>
      <c r="M36" s="73">
        <v>30000</v>
      </c>
      <c r="N36" s="73">
        <v>0</v>
      </c>
      <c r="O36" s="73">
        <v>0</v>
      </c>
      <c r="P36" s="442">
        <v>474772</v>
      </c>
      <c r="Q36" s="442">
        <v>465026</v>
      </c>
    </row>
    <row r="37" spans="1:17" ht="10.9" customHeight="1">
      <c r="A37" s="208" t="s">
        <v>177</v>
      </c>
      <c r="B37" s="1" t="s">
        <v>134</v>
      </c>
      <c r="C37" s="1">
        <v>520400</v>
      </c>
      <c r="D37" s="1">
        <v>0</v>
      </c>
      <c r="E37" s="1">
        <v>0</v>
      </c>
      <c r="F37" s="1">
        <v>0</v>
      </c>
      <c r="G37" s="1">
        <v>0</v>
      </c>
      <c r="H37" s="1">
        <v>10600</v>
      </c>
      <c r="I37" s="1">
        <v>0</v>
      </c>
      <c r="J37" s="1">
        <v>0</v>
      </c>
      <c r="K37" s="1">
        <v>0</v>
      </c>
      <c r="L37" s="73">
        <f t="shared" si="0"/>
        <v>531000</v>
      </c>
      <c r="M37" s="73">
        <v>40000</v>
      </c>
      <c r="N37" s="73">
        <v>0</v>
      </c>
      <c r="O37" s="73">
        <v>0</v>
      </c>
      <c r="P37" s="442">
        <v>278467</v>
      </c>
      <c r="Q37" s="442">
        <v>269815</v>
      </c>
    </row>
    <row r="38" spans="1:17" ht="10.9" customHeight="1">
      <c r="A38" s="208" t="s">
        <v>178</v>
      </c>
      <c r="B38" s="1" t="s">
        <v>135</v>
      </c>
      <c r="C38" s="1">
        <v>866000</v>
      </c>
      <c r="D38" s="1">
        <v>215500</v>
      </c>
      <c r="E38" s="1">
        <v>0</v>
      </c>
      <c r="F38" s="1">
        <v>0</v>
      </c>
      <c r="G38" s="1">
        <v>0</v>
      </c>
      <c r="H38" s="1">
        <v>121000</v>
      </c>
      <c r="I38" s="1">
        <v>0</v>
      </c>
      <c r="J38" s="1">
        <v>0</v>
      </c>
      <c r="K38" s="1">
        <v>0</v>
      </c>
      <c r="L38" s="73">
        <f>SUM(C38:I38)-J38+K38</f>
        <v>1202500</v>
      </c>
      <c r="M38" s="73">
        <v>68000</v>
      </c>
      <c r="N38" s="73">
        <v>0</v>
      </c>
      <c r="O38" s="73">
        <v>0</v>
      </c>
      <c r="P38" s="442">
        <v>296939</v>
      </c>
      <c r="Q38" s="442">
        <v>293747</v>
      </c>
    </row>
    <row r="39" spans="1:17" ht="10.9" customHeight="1">
      <c r="A39" s="208" t="s">
        <v>179</v>
      </c>
      <c r="B39" s="1" t="s">
        <v>136</v>
      </c>
      <c r="C39" s="1">
        <v>175000</v>
      </c>
      <c r="D39" s="1">
        <v>0</v>
      </c>
      <c r="E39" s="1">
        <v>0</v>
      </c>
      <c r="F39" s="1">
        <v>0</v>
      </c>
      <c r="G39" s="1">
        <v>0</v>
      </c>
      <c r="H39" s="1">
        <v>0</v>
      </c>
      <c r="I39" s="1">
        <v>0</v>
      </c>
      <c r="J39" s="1">
        <v>0</v>
      </c>
      <c r="K39" s="1">
        <v>0</v>
      </c>
      <c r="L39" s="73">
        <f t="shared" ref="L39:L46" si="1">SUM(C39:I39)-J39+K39</f>
        <v>175000</v>
      </c>
      <c r="M39" s="73">
        <v>32000</v>
      </c>
      <c r="N39" s="73">
        <v>0</v>
      </c>
      <c r="O39" s="73">
        <v>0</v>
      </c>
      <c r="P39" s="442">
        <v>639816</v>
      </c>
      <c r="Q39" s="442">
        <v>601208</v>
      </c>
    </row>
    <row r="40" spans="1:17" ht="10.9" customHeight="1">
      <c r="A40" s="208" t="s">
        <v>180</v>
      </c>
      <c r="B40" s="1" t="s">
        <v>137</v>
      </c>
      <c r="C40" s="1">
        <v>480000</v>
      </c>
      <c r="D40" s="1">
        <v>0</v>
      </c>
      <c r="E40" s="1">
        <v>0</v>
      </c>
      <c r="F40" s="1">
        <v>6000</v>
      </c>
      <c r="G40" s="1">
        <v>0</v>
      </c>
      <c r="H40" s="1">
        <v>0</v>
      </c>
      <c r="I40" s="1">
        <v>0</v>
      </c>
      <c r="J40" s="1">
        <v>0</v>
      </c>
      <c r="K40" s="1">
        <v>0</v>
      </c>
      <c r="L40" s="73">
        <f t="shared" si="1"/>
        <v>486000</v>
      </c>
      <c r="M40" s="73">
        <v>68984</v>
      </c>
      <c r="N40" s="73">
        <v>323925</v>
      </c>
      <c r="O40" s="73">
        <v>0</v>
      </c>
      <c r="P40" s="442">
        <v>541167</v>
      </c>
      <c r="Q40" s="442">
        <v>535789</v>
      </c>
    </row>
    <row r="41" spans="1:17" ht="10.9" customHeight="1">
      <c r="A41" s="208" t="s">
        <v>181</v>
      </c>
      <c r="B41" s="1" t="s">
        <v>138</v>
      </c>
      <c r="C41" s="1">
        <v>562000</v>
      </c>
      <c r="D41" s="1">
        <v>100000</v>
      </c>
      <c r="E41" s="1">
        <v>30000</v>
      </c>
      <c r="F41" s="1">
        <v>0</v>
      </c>
      <c r="G41" s="1">
        <v>-13500</v>
      </c>
      <c r="H41" s="1">
        <v>0</v>
      </c>
      <c r="I41" s="1">
        <v>0</v>
      </c>
      <c r="J41" s="1">
        <v>0</v>
      </c>
      <c r="K41" s="1">
        <v>0</v>
      </c>
      <c r="L41" s="73">
        <f t="shared" si="1"/>
        <v>678500</v>
      </c>
      <c r="M41" s="73">
        <v>46600</v>
      </c>
      <c r="N41" s="73">
        <v>0</v>
      </c>
      <c r="O41" s="73">
        <v>0</v>
      </c>
      <c r="P41" s="442">
        <v>469811</v>
      </c>
      <c r="Q41" s="442">
        <v>451149</v>
      </c>
    </row>
    <row r="42" spans="1:17" ht="10.9" customHeight="1">
      <c r="A42" s="208" t="s">
        <v>182</v>
      </c>
      <c r="B42" s="1" t="s">
        <v>139</v>
      </c>
      <c r="C42" s="1">
        <v>2600</v>
      </c>
      <c r="D42" s="1">
        <v>0</v>
      </c>
      <c r="E42" s="1">
        <v>0</v>
      </c>
      <c r="F42" s="1">
        <v>0</v>
      </c>
      <c r="G42" s="1">
        <v>0</v>
      </c>
      <c r="H42" s="1">
        <v>0</v>
      </c>
      <c r="I42" s="1">
        <v>0</v>
      </c>
      <c r="J42" s="1">
        <v>0</v>
      </c>
      <c r="K42" s="1">
        <v>0</v>
      </c>
      <c r="L42" s="73">
        <f t="shared" si="1"/>
        <v>2600</v>
      </c>
      <c r="M42" s="73">
        <v>30700</v>
      </c>
      <c r="N42" s="73">
        <v>0</v>
      </c>
      <c r="O42" s="73">
        <v>0</v>
      </c>
      <c r="P42" s="442">
        <v>299120</v>
      </c>
      <c r="Q42" s="442">
        <v>292574</v>
      </c>
    </row>
    <row r="43" spans="1:17" ht="10.9" customHeight="1">
      <c r="A43" s="208" t="s">
        <v>183</v>
      </c>
      <c r="B43" s="1" t="s">
        <v>140</v>
      </c>
      <c r="C43" s="1">
        <v>26000</v>
      </c>
      <c r="D43" s="1">
        <v>0</v>
      </c>
      <c r="E43" s="1">
        <v>0</v>
      </c>
      <c r="F43" s="1">
        <v>0</v>
      </c>
      <c r="G43" s="1">
        <v>0</v>
      </c>
      <c r="H43" s="1">
        <v>0</v>
      </c>
      <c r="I43" s="1">
        <v>0</v>
      </c>
      <c r="J43" s="1">
        <v>0</v>
      </c>
      <c r="K43" s="1">
        <v>0</v>
      </c>
      <c r="L43" s="73">
        <f t="shared" si="1"/>
        <v>26000</v>
      </c>
      <c r="M43" s="73">
        <v>18600</v>
      </c>
      <c r="N43" s="73">
        <v>0</v>
      </c>
      <c r="O43" s="73">
        <v>0</v>
      </c>
      <c r="P43" s="442">
        <v>431452</v>
      </c>
      <c r="Q43" s="442">
        <v>422932</v>
      </c>
    </row>
    <row r="44" spans="1:17" ht="10.9" customHeight="1">
      <c r="A44" s="208" t="s">
        <v>184</v>
      </c>
      <c r="B44" s="1" t="s">
        <v>141</v>
      </c>
      <c r="C44" s="1">
        <v>193804</v>
      </c>
      <c r="D44" s="1">
        <v>0</v>
      </c>
      <c r="E44" s="1">
        <v>0</v>
      </c>
      <c r="F44" s="1">
        <v>0</v>
      </c>
      <c r="G44" s="1">
        <v>0</v>
      </c>
      <c r="H44" s="1">
        <v>0</v>
      </c>
      <c r="I44" s="1">
        <v>0</v>
      </c>
      <c r="J44" s="1">
        <v>0</v>
      </c>
      <c r="K44" s="1">
        <v>0</v>
      </c>
      <c r="L44" s="73">
        <f t="shared" si="1"/>
        <v>193804</v>
      </c>
      <c r="M44" s="73">
        <v>14000</v>
      </c>
      <c r="N44" s="73">
        <v>0</v>
      </c>
      <c r="O44" s="73">
        <v>0</v>
      </c>
      <c r="P44" s="442">
        <v>212427</v>
      </c>
      <c r="Q44" s="442">
        <v>209531</v>
      </c>
    </row>
    <row r="45" spans="1:17" ht="10.9" customHeight="1">
      <c r="A45" s="208" t="s">
        <v>185</v>
      </c>
      <c r="B45" s="1" t="s">
        <v>142</v>
      </c>
      <c r="C45" s="1">
        <v>224700</v>
      </c>
      <c r="D45" s="1">
        <v>0</v>
      </c>
      <c r="E45" s="1">
        <v>7000</v>
      </c>
      <c r="F45" s="1">
        <v>0</v>
      </c>
      <c r="G45" s="1">
        <v>-7000</v>
      </c>
      <c r="H45" s="1">
        <v>0</v>
      </c>
      <c r="I45" s="1">
        <v>0</v>
      </c>
      <c r="J45" s="1">
        <v>0</v>
      </c>
      <c r="K45" s="1">
        <v>0</v>
      </c>
      <c r="L45" s="73">
        <f t="shared" si="1"/>
        <v>224700</v>
      </c>
      <c r="M45" s="73">
        <v>16500</v>
      </c>
      <c r="N45" s="73">
        <v>0</v>
      </c>
      <c r="O45" s="73">
        <v>0</v>
      </c>
      <c r="P45" s="442">
        <v>286085</v>
      </c>
      <c r="Q45" s="442">
        <v>277676</v>
      </c>
    </row>
    <row r="46" spans="1:17" ht="10.9" customHeight="1">
      <c r="A46" s="208" t="s">
        <v>186</v>
      </c>
      <c r="B46" s="1" t="s">
        <v>143</v>
      </c>
      <c r="C46" s="1">
        <v>1950000</v>
      </c>
      <c r="D46" s="1">
        <v>459500</v>
      </c>
      <c r="E46" s="1">
        <v>0</v>
      </c>
      <c r="F46" s="1">
        <v>0</v>
      </c>
      <c r="G46" s="1">
        <v>12000</v>
      </c>
      <c r="H46" s="1">
        <v>84000</v>
      </c>
      <c r="I46" s="1">
        <v>2000</v>
      </c>
      <c r="J46" s="1">
        <v>0</v>
      </c>
      <c r="K46" s="1">
        <v>0</v>
      </c>
      <c r="L46" s="73">
        <f t="shared" si="1"/>
        <v>2507500</v>
      </c>
      <c r="M46" s="73">
        <v>0</v>
      </c>
      <c r="N46" s="73">
        <v>0</v>
      </c>
      <c r="O46" s="73">
        <v>0</v>
      </c>
      <c r="P46" s="442">
        <v>362827</v>
      </c>
      <c r="Q46" s="442">
        <v>360004</v>
      </c>
    </row>
    <row r="47" spans="1:17" ht="3.95" customHeight="1">
      <c r="A47" s="208"/>
    </row>
    <row r="48" spans="1:17">
      <c r="A48" s="208"/>
      <c r="B48" s="1" t="s">
        <v>144</v>
      </c>
      <c r="C48" s="1">
        <f t="shared" ref="C48:N48" si="2">SUM(C11:C46)</f>
        <v>14826370</v>
      </c>
      <c r="D48" s="1">
        <f t="shared" si="2"/>
        <v>1122405</v>
      </c>
      <c r="E48" s="1">
        <f t="shared" si="2"/>
        <v>1204100</v>
      </c>
      <c r="F48" s="1">
        <f t="shared" si="2"/>
        <v>23000</v>
      </c>
      <c r="G48" s="1">
        <f t="shared" si="2"/>
        <v>135514</v>
      </c>
      <c r="H48" s="1">
        <f t="shared" si="2"/>
        <v>400157</v>
      </c>
      <c r="I48" s="1">
        <f t="shared" si="2"/>
        <v>252000</v>
      </c>
      <c r="J48" s="1">
        <f t="shared" si="2"/>
        <v>0</v>
      </c>
      <c r="K48" s="1">
        <f t="shared" si="2"/>
        <v>0</v>
      </c>
      <c r="L48" s="1">
        <f t="shared" si="2"/>
        <v>17963546</v>
      </c>
      <c r="M48" s="1">
        <f t="shared" si="2"/>
        <v>1255757</v>
      </c>
      <c r="N48" s="1">
        <f t="shared" si="2"/>
        <v>1695151</v>
      </c>
      <c r="O48" s="1">
        <f>SUM(O11:O46)</f>
        <v>166323</v>
      </c>
      <c r="P48" s="442">
        <v>378947.90222884336</v>
      </c>
      <c r="Q48" s="442">
        <v>371563.31300966541</v>
      </c>
    </row>
    <row r="49" spans="1:17" ht="3.95" customHeight="1">
      <c r="A49" s="208"/>
      <c r="B49" s="1" t="s">
        <v>1</v>
      </c>
    </row>
    <row r="50" spans="1:17" ht="11.1" customHeight="1">
      <c r="A50" s="208" t="s">
        <v>188</v>
      </c>
      <c r="B50" s="1" t="s">
        <v>145</v>
      </c>
      <c r="C50" s="1">
        <v>0</v>
      </c>
      <c r="D50" s="1">
        <v>0</v>
      </c>
      <c r="E50" s="1">
        <v>0</v>
      </c>
      <c r="F50" s="1">
        <v>10000</v>
      </c>
      <c r="G50" s="1">
        <v>0</v>
      </c>
      <c r="H50" s="1">
        <v>0</v>
      </c>
      <c r="I50" s="1">
        <v>3000</v>
      </c>
      <c r="J50" s="1">
        <v>0</v>
      </c>
      <c r="K50" s="1">
        <v>0</v>
      </c>
      <c r="L50" s="73">
        <f>SUM(C50:I50)-J50+K50</f>
        <v>13000</v>
      </c>
      <c r="M50" s="73">
        <v>0</v>
      </c>
      <c r="N50" s="73">
        <v>0</v>
      </c>
      <c r="O50" s="73">
        <v>0</v>
      </c>
      <c r="P50" s="443" t="s">
        <v>358</v>
      </c>
      <c r="Q50" s="443" t="s">
        <v>358</v>
      </c>
    </row>
    <row r="51" spans="1:17" ht="10.9" customHeight="1">
      <c r="A51" s="208" t="s">
        <v>187</v>
      </c>
      <c r="B51" s="1" t="s">
        <v>371</v>
      </c>
      <c r="C51" s="1">
        <v>0</v>
      </c>
      <c r="D51" s="1">
        <v>0</v>
      </c>
      <c r="E51" s="1">
        <v>454290</v>
      </c>
      <c r="F51" s="1">
        <v>291822</v>
      </c>
      <c r="G51" s="1">
        <v>0</v>
      </c>
      <c r="H51" s="1">
        <v>0</v>
      </c>
      <c r="I51" s="1">
        <v>0</v>
      </c>
      <c r="J51" s="1">
        <v>0</v>
      </c>
      <c r="K51" s="1">
        <v>0</v>
      </c>
      <c r="L51" s="73">
        <f>SUM(C51:I51)-J51+K51</f>
        <v>746112</v>
      </c>
      <c r="M51" s="73">
        <v>0</v>
      </c>
      <c r="N51" s="73">
        <v>0</v>
      </c>
      <c r="O51" s="73">
        <v>0</v>
      </c>
    </row>
    <row r="52" spans="1:17" ht="3.95" customHeight="1"/>
    <row r="53" spans="1:17" ht="10.9" customHeight="1">
      <c r="P53" s="1" t="s">
        <v>555</v>
      </c>
    </row>
    <row r="54" spans="1:17" ht="10.9" customHeight="1">
      <c r="B54" s="1" t="s">
        <v>320</v>
      </c>
      <c r="C54" s="1">
        <v>14826370</v>
      </c>
      <c r="D54" s="1">
        <v>1122405</v>
      </c>
      <c r="E54" s="1">
        <v>1204100</v>
      </c>
      <c r="F54" s="1">
        <v>23000</v>
      </c>
      <c r="G54" s="1">
        <v>135514</v>
      </c>
      <c r="H54" s="1">
        <v>400157</v>
      </c>
      <c r="I54" s="1">
        <v>252000</v>
      </c>
      <c r="J54" s="1">
        <v>0</v>
      </c>
      <c r="K54" s="1">
        <v>0</v>
      </c>
      <c r="L54" s="73">
        <f>SUM(C54:I54)-J54+K54</f>
        <v>17963546</v>
      </c>
      <c r="P54" s="132" t="s">
        <v>557</v>
      </c>
    </row>
    <row r="55" spans="1:17">
      <c r="B55" s="429" t="s">
        <v>319</v>
      </c>
      <c r="C55" s="429">
        <f>+C48-C54</f>
        <v>0</v>
      </c>
      <c r="D55" s="429">
        <f t="shared" ref="D55:L55" si="3">+D48-D54</f>
        <v>0</v>
      </c>
      <c r="E55" s="429">
        <f t="shared" si="3"/>
        <v>0</v>
      </c>
      <c r="F55" s="429">
        <f t="shared" si="3"/>
        <v>0</v>
      </c>
      <c r="G55" s="429">
        <f t="shared" si="3"/>
        <v>0</v>
      </c>
      <c r="H55" s="429">
        <f t="shared" si="3"/>
        <v>0</v>
      </c>
      <c r="I55" s="429">
        <f t="shared" si="3"/>
        <v>0</v>
      </c>
      <c r="J55" s="429">
        <f t="shared" si="3"/>
        <v>0</v>
      </c>
      <c r="K55" s="429">
        <f t="shared" si="3"/>
        <v>0</v>
      </c>
      <c r="L55" s="429">
        <f t="shared" si="3"/>
        <v>0</v>
      </c>
      <c r="M55" s="429"/>
      <c r="N55" s="429"/>
      <c r="O55" s="429"/>
      <c r="P55" s="1" t="s">
        <v>556</v>
      </c>
    </row>
  </sheetData>
  <mergeCells count="1">
    <mergeCell ref="O6:O9"/>
  </mergeCells>
  <phoneticPr fontId="0" type="noConversion"/>
  <pageMargins left="0.25" right="0.6" top="0.6" bottom="0.2" header="0.5" footer="0.5"/>
  <pageSetup paperSize="5" scale="87" orientation="landscape" horizont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BB63"/>
  <sheetViews>
    <sheetView showGridLines="0" showZeros="0" workbookViewId="0"/>
  </sheetViews>
  <sheetFormatPr defaultColWidth="16.83203125" defaultRowHeight="12"/>
  <cols>
    <col min="1" max="1" width="32.83203125" style="1" customWidth="1"/>
    <col min="2" max="7" width="16.83203125" style="1" customWidth="1"/>
    <col min="8" max="16384" width="16.83203125" style="1"/>
  </cols>
  <sheetData>
    <row r="1" spans="1:54" ht="6.95" customHeight="1">
      <c r="A1" s="3"/>
      <c r="B1" s="4"/>
      <c r="C1" s="4"/>
      <c r="D1" s="4"/>
      <c r="E1" s="4"/>
      <c r="F1" s="4"/>
    </row>
    <row r="2" spans="1:54" ht="15.95" customHeight="1">
      <c r="A2" s="34"/>
      <c r="B2" s="35" t="str">
        <f>IF(Lang=1,BA2,BB2)</f>
        <v>ENROLMENTS - HEADCOUNT, FRAME AND ELIGIBLE</v>
      </c>
      <c r="C2" s="6"/>
      <c r="D2" s="6"/>
      <c r="E2" s="6"/>
      <c r="F2" s="86"/>
      <c r="G2" s="86"/>
      <c r="BA2" s="469" t="s">
        <v>79</v>
      </c>
      <c r="BB2" s="469" t="s">
        <v>395</v>
      </c>
    </row>
    <row r="3" spans="1:54" ht="15.95" customHeight="1">
      <c r="A3" s="38"/>
      <c r="B3" s="39" t="str">
        <f>IF(Lang=1,BA3,BB3)</f>
        <v>ACTUAL AND ESTIMATES AS OF SEPTEMBER 30</v>
      </c>
      <c r="C3" s="8"/>
      <c r="D3" s="8"/>
      <c r="E3" s="8"/>
      <c r="F3" s="88"/>
      <c r="G3" s="88"/>
      <c r="BA3" s="467" t="s">
        <v>230</v>
      </c>
      <c r="BB3" s="467" t="s">
        <v>396</v>
      </c>
    </row>
    <row r="4" spans="1:54" ht="15.95" customHeight="1">
      <c r="B4" s="4"/>
      <c r="C4" s="4"/>
      <c r="D4" s="4"/>
      <c r="E4" s="4"/>
      <c r="F4" s="4"/>
    </row>
    <row r="5" spans="1:54" ht="15.95" customHeight="1">
      <c r="B5" s="287" t="s">
        <v>235</v>
      </c>
      <c r="C5" s="288"/>
      <c r="D5" s="289"/>
      <c r="E5" s="290" t="s">
        <v>236</v>
      </c>
      <c r="F5" s="291" t="s">
        <v>237</v>
      </c>
      <c r="G5" s="292" t="s">
        <v>237</v>
      </c>
    </row>
    <row r="6" spans="1:54" ht="15.95" customHeight="1">
      <c r="B6" s="566" t="s">
        <v>541</v>
      </c>
      <c r="C6" s="567"/>
      <c r="D6" s="568"/>
      <c r="E6" s="572" t="s">
        <v>543</v>
      </c>
      <c r="F6" s="572" t="s">
        <v>544</v>
      </c>
      <c r="G6" s="572" t="s">
        <v>542</v>
      </c>
    </row>
    <row r="7" spans="1:54" ht="15.95" customHeight="1">
      <c r="B7" s="569"/>
      <c r="C7" s="570"/>
      <c r="D7" s="571"/>
      <c r="E7" s="573"/>
      <c r="F7" s="573" t="s">
        <v>385</v>
      </c>
      <c r="G7" s="573" t="s">
        <v>385</v>
      </c>
    </row>
    <row r="8" spans="1:54" ht="15.95" customHeight="1">
      <c r="A8" s="83"/>
      <c r="B8" s="575" t="s">
        <v>392</v>
      </c>
      <c r="C8" s="577" t="s">
        <v>393</v>
      </c>
      <c r="D8" s="577" t="s">
        <v>394</v>
      </c>
      <c r="E8" s="577" t="s">
        <v>390</v>
      </c>
      <c r="F8" s="577" t="s">
        <v>394</v>
      </c>
      <c r="G8" s="525" t="s">
        <v>394</v>
      </c>
    </row>
    <row r="9" spans="1:54" ht="15.95" customHeight="1">
      <c r="A9" s="28" t="s">
        <v>37</v>
      </c>
      <c r="B9" s="576"/>
      <c r="C9" s="578"/>
      <c r="D9" s="578"/>
      <c r="E9" s="578"/>
      <c r="F9" s="578"/>
      <c r="G9" s="527"/>
    </row>
    <row r="10" spans="1:54" ht="5.0999999999999996" customHeight="1">
      <c r="A10" s="30"/>
    </row>
    <row r="11" spans="1:54" ht="14.1" customHeight="1">
      <c r="A11" s="272" t="s">
        <v>109</v>
      </c>
      <c r="B11" s="273">
        <v>1659</v>
      </c>
      <c r="C11" s="273">
        <v>0</v>
      </c>
      <c r="D11" s="273">
        <v>1659</v>
      </c>
      <c r="E11" s="293">
        <f>'- 7 -'!F11</f>
        <v>1647</v>
      </c>
      <c r="F11" s="293">
        <v>1590</v>
      </c>
      <c r="G11" s="293">
        <v>1478</v>
      </c>
    </row>
    <row r="12" spans="1:54" ht="14.1" customHeight="1">
      <c r="A12" s="16" t="s">
        <v>110</v>
      </c>
      <c r="B12" s="17">
        <v>2199</v>
      </c>
      <c r="C12" s="17">
        <v>0</v>
      </c>
      <c r="D12" s="17">
        <v>2199</v>
      </c>
      <c r="E12" s="48">
        <f>'- 7 -'!F12</f>
        <v>2169</v>
      </c>
      <c r="F12" s="48">
        <v>2005.7</v>
      </c>
      <c r="G12" s="48">
        <v>2065.2999999999997</v>
      </c>
    </row>
    <row r="13" spans="1:54" ht="14.1" customHeight="1">
      <c r="A13" s="272" t="s">
        <v>111</v>
      </c>
      <c r="B13" s="273">
        <v>8404</v>
      </c>
      <c r="C13" s="273">
        <v>0</v>
      </c>
      <c r="D13" s="273">
        <v>8404</v>
      </c>
      <c r="E13" s="293">
        <f>'- 7 -'!F13</f>
        <v>8167.5</v>
      </c>
      <c r="F13" s="293">
        <v>8000.7</v>
      </c>
      <c r="G13" s="293">
        <v>7928.6</v>
      </c>
    </row>
    <row r="14" spans="1:54" ht="14.1" customHeight="1">
      <c r="A14" s="16" t="s">
        <v>324</v>
      </c>
      <c r="B14" s="17">
        <v>5257</v>
      </c>
      <c r="C14" s="17">
        <v>17</v>
      </c>
      <c r="D14" s="17">
        <v>5240</v>
      </c>
      <c r="E14" s="48">
        <f>'- 7 -'!F14</f>
        <v>5323</v>
      </c>
      <c r="F14" s="48">
        <v>5002.5</v>
      </c>
      <c r="G14" s="48">
        <v>4943.8</v>
      </c>
    </row>
    <row r="15" spans="1:54" ht="14.1" customHeight="1">
      <c r="A15" s="272" t="s">
        <v>112</v>
      </c>
      <c r="B15" s="273">
        <v>1498</v>
      </c>
      <c r="C15" s="273">
        <v>0</v>
      </c>
      <c r="D15" s="273">
        <v>1498</v>
      </c>
      <c r="E15" s="293">
        <f>'- 7 -'!F15</f>
        <v>1426.5</v>
      </c>
      <c r="F15" s="293">
        <v>1434.3</v>
      </c>
      <c r="G15" s="293">
        <v>1483</v>
      </c>
    </row>
    <row r="16" spans="1:54" ht="14.1" customHeight="1">
      <c r="A16" s="16" t="s">
        <v>113</v>
      </c>
      <c r="B16" s="17">
        <v>981</v>
      </c>
      <c r="C16" s="17">
        <v>0</v>
      </c>
      <c r="D16" s="17">
        <v>981</v>
      </c>
      <c r="E16" s="48">
        <f>'- 7 -'!F16</f>
        <v>939</v>
      </c>
      <c r="F16" s="48">
        <v>896.4</v>
      </c>
      <c r="G16" s="48">
        <v>933.4</v>
      </c>
    </row>
    <row r="17" spans="1:7" ht="14.1" customHeight="1">
      <c r="A17" s="272" t="s">
        <v>114</v>
      </c>
      <c r="B17" s="273">
        <v>1384</v>
      </c>
      <c r="C17" s="273">
        <v>0</v>
      </c>
      <c r="D17" s="273">
        <v>1384</v>
      </c>
      <c r="E17" s="293">
        <f>'- 7 -'!F17</f>
        <v>1358.5</v>
      </c>
      <c r="F17" s="293">
        <v>1266.8</v>
      </c>
      <c r="G17" s="293">
        <v>1265.3</v>
      </c>
    </row>
    <row r="18" spans="1:7" ht="14.1" customHeight="1">
      <c r="A18" s="16" t="s">
        <v>115</v>
      </c>
      <c r="B18" s="17">
        <v>6800</v>
      </c>
      <c r="C18" s="17">
        <v>436</v>
      </c>
      <c r="D18" s="17">
        <v>6364</v>
      </c>
      <c r="E18" s="48">
        <f>'- 7 -'!F18</f>
        <v>6261.6</v>
      </c>
      <c r="F18" s="48">
        <v>2372.3000000000002</v>
      </c>
      <c r="G18" s="48">
        <v>2352.4</v>
      </c>
    </row>
    <row r="19" spans="1:7" ht="14.1" customHeight="1">
      <c r="A19" s="272" t="s">
        <v>116</v>
      </c>
      <c r="B19" s="273">
        <v>4356</v>
      </c>
      <c r="C19" s="273">
        <v>0</v>
      </c>
      <c r="D19" s="273">
        <v>4356</v>
      </c>
      <c r="E19" s="293">
        <f>'- 7 -'!F19</f>
        <v>4198</v>
      </c>
      <c r="F19" s="293">
        <v>4174.3</v>
      </c>
      <c r="G19" s="293">
        <v>4155.6000000000004</v>
      </c>
    </row>
    <row r="20" spans="1:7" ht="14.1" customHeight="1">
      <c r="A20" s="16" t="s">
        <v>117</v>
      </c>
      <c r="B20" s="17">
        <v>7705</v>
      </c>
      <c r="C20" s="17">
        <v>0</v>
      </c>
      <c r="D20" s="17">
        <v>7705</v>
      </c>
      <c r="E20" s="48">
        <f>'- 7 -'!F20</f>
        <v>7471</v>
      </c>
      <c r="F20" s="48">
        <v>7368.1</v>
      </c>
      <c r="G20" s="48">
        <v>7371</v>
      </c>
    </row>
    <row r="21" spans="1:7" ht="14.1" customHeight="1">
      <c r="A21" s="272" t="s">
        <v>118</v>
      </c>
      <c r="B21" s="273">
        <v>2793</v>
      </c>
      <c r="C21" s="273">
        <v>0</v>
      </c>
      <c r="D21" s="273">
        <v>2793</v>
      </c>
      <c r="E21" s="293">
        <f>'- 7 -'!F21</f>
        <v>2697</v>
      </c>
      <c r="F21" s="293">
        <v>2674</v>
      </c>
      <c r="G21" s="293">
        <v>2699.6</v>
      </c>
    </row>
    <row r="22" spans="1:7" ht="14.1" customHeight="1">
      <c r="A22" s="16" t="s">
        <v>119</v>
      </c>
      <c r="B22" s="17">
        <v>1603</v>
      </c>
      <c r="C22" s="17">
        <v>0</v>
      </c>
      <c r="D22" s="17">
        <v>1603</v>
      </c>
      <c r="E22" s="48">
        <f>'- 7 -'!F22</f>
        <v>1568.2</v>
      </c>
      <c r="F22" s="48">
        <v>1531.9</v>
      </c>
      <c r="G22" s="48">
        <v>1568.2</v>
      </c>
    </row>
    <row r="23" spans="1:7" ht="14.1" customHeight="1">
      <c r="A23" s="272" t="s">
        <v>120</v>
      </c>
      <c r="B23" s="273">
        <v>1154</v>
      </c>
      <c r="C23" s="273">
        <v>0</v>
      </c>
      <c r="D23" s="273">
        <v>1154</v>
      </c>
      <c r="E23" s="293">
        <f>'- 7 -'!F23</f>
        <v>1114</v>
      </c>
      <c r="F23" s="293">
        <v>1012.1</v>
      </c>
      <c r="G23" s="293">
        <v>1056.6000000000001</v>
      </c>
    </row>
    <row r="24" spans="1:7" ht="14.1" customHeight="1">
      <c r="A24" s="16" t="s">
        <v>121</v>
      </c>
      <c r="B24" s="17">
        <v>4183</v>
      </c>
      <c r="C24" s="17">
        <v>0</v>
      </c>
      <c r="D24" s="17">
        <v>4183</v>
      </c>
      <c r="E24" s="48">
        <f>'- 7 -'!F24</f>
        <v>3975.5</v>
      </c>
      <c r="F24" s="48">
        <v>3971.2</v>
      </c>
      <c r="G24" s="48">
        <v>4050.9</v>
      </c>
    </row>
    <row r="25" spans="1:7" ht="14.1" customHeight="1">
      <c r="A25" s="272" t="s">
        <v>122</v>
      </c>
      <c r="B25" s="273">
        <v>14530</v>
      </c>
      <c r="C25" s="273">
        <v>0</v>
      </c>
      <c r="D25" s="273">
        <v>14530</v>
      </c>
      <c r="E25" s="293">
        <f>'- 7 -'!F25</f>
        <v>13985.5</v>
      </c>
      <c r="F25" s="293">
        <v>13646</v>
      </c>
      <c r="G25" s="293">
        <v>13552.5</v>
      </c>
    </row>
    <row r="26" spans="1:7" ht="14.1" customHeight="1">
      <c r="A26" s="16" t="s">
        <v>123</v>
      </c>
      <c r="B26" s="17">
        <v>3204</v>
      </c>
      <c r="C26" s="17">
        <v>0</v>
      </c>
      <c r="D26" s="17">
        <v>3204</v>
      </c>
      <c r="E26" s="48">
        <f>'- 7 -'!F26</f>
        <v>3107.5</v>
      </c>
      <c r="F26" s="48">
        <v>2923.6</v>
      </c>
      <c r="G26" s="48">
        <v>2964</v>
      </c>
    </row>
    <row r="27" spans="1:7" ht="14.1" customHeight="1">
      <c r="A27" s="272" t="s">
        <v>124</v>
      </c>
      <c r="B27" s="273">
        <v>2993</v>
      </c>
      <c r="C27" s="273">
        <v>0</v>
      </c>
      <c r="D27" s="273">
        <v>2993</v>
      </c>
      <c r="E27" s="293">
        <f>'- 7 -'!F27</f>
        <v>2860.3571428571427</v>
      </c>
      <c r="F27" s="293">
        <v>2787.5</v>
      </c>
      <c r="G27" s="293">
        <v>2723.2</v>
      </c>
    </row>
    <row r="28" spans="1:7" ht="14.1" customHeight="1">
      <c r="A28" s="16" t="s">
        <v>125</v>
      </c>
      <c r="B28" s="17">
        <v>2104</v>
      </c>
      <c r="C28" s="17">
        <v>39</v>
      </c>
      <c r="D28" s="17">
        <v>2065</v>
      </c>
      <c r="E28" s="48">
        <f>'- 7 -'!F28</f>
        <v>1970.5</v>
      </c>
      <c r="F28" s="48">
        <v>1509</v>
      </c>
      <c r="G28" s="48">
        <v>1517.6</v>
      </c>
    </row>
    <row r="29" spans="1:7" ht="14.1" customHeight="1">
      <c r="A29" s="272" t="s">
        <v>126</v>
      </c>
      <c r="B29" s="273">
        <v>12935</v>
      </c>
      <c r="C29" s="273">
        <v>0</v>
      </c>
      <c r="D29" s="273">
        <v>12935</v>
      </c>
      <c r="E29" s="293">
        <f>'- 7 -'!F29</f>
        <v>12344</v>
      </c>
      <c r="F29" s="293">
        <v>12288.2</v>
      </c>
      <c r="G29" s="293">
        <v>12077.7</v>
      </c>
    </row>
    <row r="30" spans="1:7" ht="14.1" customHeight="1">
      <c r="A30" s="16" t="s">
        <v>127</v>
      </c>
      <c r="B30" s="17">
        <v>1081</v>
      </c>
      <c r="C30" s="17">
        <v>0</v>
      </c>
      <c r="D30" s="17">
        <v>1081</v>
      </c>
      <c r="E30" s="48">
        <f>'- 7 -'!F30</f>
        <v>1026</v>
      </c>
      <c r="F30" s="48">
        <v>1042.5</v>
      </c>
      <c r="G30" s="48">
        <v>1057.5</v>
      </c>
    </row>
    <row r="31" spans="1:7" ht="14.1" customHeight="1">
      <c r="A31" s="272" t="s">
        <v>128</v>
      </c>
      <c r="B31" s="273">
        <v>3377</v>
      </c>
      <c r="C31" s="273">
        <v>0</v>
      </c>
      <c r="D31" s="273">
        <v>3377</v>
      </c>
      <c r="E31" s="293">
        <f>'- 7 -'!F31</f>
        <v>3192</v>
      </c>
      <c r="F31" s="293">
        <v>3103.8</v>
      </c>
      <c r="G31" s="293">
        <v>3053.2</v>
      </c>
    </row>
    <row r="32" spans="1:7" ht="14.1" customHeight="1">
      <c r="A32" s="16" t="s">
        <v>129</v>
      </c>
      <c r="B32" s="17">
        <v>2193</v>
      </c>
      <c r="C32" s="17">
        <v>0</v>
      </c>
      <c r="D32" s="17">
        <v>2193</v>
      </c>
      <c r="E32" s="48">
        <f>'- 7 -'!F32</f>
        <v>2117.9499999999998</v>
      </c>
      <c r="F32" s="48">
        <v>2085</v>
      </c>
      <c r="G32" s="48">
        <v>2010</v>
      </c>
    </row>
    <row r="33" spans="1:7" ht="14.1" customHeight="1">
      <c r="A33" s="272" t="s">
        <v>130</v>
      </c>
      <c r="B33" s="273">
        <v>2087</v>
      </c>
      <c r="C33" s="273">
        <v>0</v>
      </c>
      <c r="D33" s="273">
        <v>2087</v>
      </c>
      <c r="E33" s="293">
        <f>'- 7 -'!F33</f>
        <v>1977.5</v>
      </c>
      <c r="F33" s="293">
        <v>1981.2</v>
      </c>
      <c r="G33" s="293">
        <v>1970.8</v>
      </c>
    </row>
    <row r="34" spans="1:7" ht="14.1" customHeight="1">
      <c r="A34" s="16" t="s">
        <v>131</v>
      </c>
      <c r="B34" s="17">
        <v>2069</v>
      </c>
      <c r="C34" s="17">
        <v>0</v>
      </c>
      <c r="D34" s="17">
        <v>2069</v>
      </c>
      <c r="E34" s="48">
        <f>'- 7 -'!F34</f>
        <v>1974.8</v>
      </c>
      <c r="F34" s="48">
        <v>1994.4</v>
      </c>
      <c r="G34" s="48">
        <v>1972.8</v>
      </c>
    </row>
    <row r="35" spans="1:7" ht="14.1" customHeight="1">
      <c r="A35" s="272" t="s">
        <v>132</v>
      </c>
      <c r="B35" s="273">
        <v>16099</v>
      </c>
      <c r="C35" s="273">
        <v>0</v>
      </c>
      <c r="D35" s="273">
        <v>16099</v>
      </c>
      <c r="E35" s="293">
        <f>'- 7 -'!F35</f>
        <v>15621</v>
      </c>
      <c r="F35" s="293">
        <v>15349.6</v>
      </c>
      <c r="G35" s="293">
        <v>15406.800000000001</v>
      </c>
    </row>
    <row r="36" spans="1:7" ht="14.1" customHeight="1">
      <c r="A36" s="16" t="s">
        <v>133</v>
      </c>
      <c r="B36" s="17">
        <v>1728</v>
      </c>
      <c r="C36" s="17">
        <v>0</v>
      </c>
      <c r="D36" s="17">
        <v>1728</v>
      </c>
      <c r="E36" s="48">
        <f>'- 7 -'!F36</f>
        <v>1677.5</v>
      </c>
      <c r="F36" s="48">
        <v>1523.2</v>
      </c>
      <c r="G36" s="48">
        <v>1516.8</v>
      </c>
    </row>
    <row r="37" spans="1:7" ht="14.1" customHeight="1">
      <c r="A37" s="272" t="s">
        <v>134</v>
      </c>
      <c r="B37" s="273">
        <v>4110</v>
      </c>
      <c r="C37" s="273">
        <v>0</v>
      </c>
      <c r="D37" s="273">
        <v>4110</v>
      </c>
      <c r="E37" s="293">
        <f>'- 7 -'!F37</f>
        <v>3948.5</v>
      </c>
      <c r="F37" s="293">
        <v>3948.5</v>
      </c>
      <c r="G37" s="293">
        <v>3904.3</v>
      </c>
    </row>
    <row r="38" spans="1:7" ht="14.1" customHeight="1">
      <c r="A38" s="16" t="s">
        <v>135</v>
      </c>
      <c r="B38" s="17">
        <v>10969</v>
      </c>
      <c r="C38" s="17">
        <v>0</v>
      </c>
      <c r="D38" s="17">
        <v>10969</v>
      </c>
      <c r="E38" s="48">
        <f>'- 7 -'!F38</f>
        <v>10755</v>
      </c>
      <c r="F38" s="48">
        <v>10444.200000000001</v>
      </c>
      <c r="G38" s="48">
        <v>10360.9</v>
      </c>
    </row>
    <row r="39" spans="1:7" ht="14.1" customHeight="1">
      <c r="A39" s="272" t="s">
        <v>136</v>
      </c>
      <c r="B39" s="273">
        <v>1616</v>
      </c>
      <c r="C39" s="273">
        <v>0</v>
      </c>
      <c r="D39" s="273">
        <v>1616</v>
      </c>
      <c r="E39" s="293">
        <f>'- 7 -'!F39</f>
        <v>1554</v>
      </c>
      <c r="F39" s="293">
        <v>1541.2</v>
      </c>
      <c r="G39" s="293">
        <v>1553.5</v>
      </c>
    </row>
    <row r="40" spans="1:7" ht="14.1" customHeight="1">
      <c r="A40" s="16" t="s">
        <v>137</v>
      </c>
      <c r="B40" s="17">
        <v>8197</v>
      </c>
      <c r="C40" s="17">
        <v>0</v>
      </c>
      <c r="D40" s="17">
        <v>8197</v>
      </c>
      <c r="E40" s="48">
        <f>'- 7 -'!F40</f>
        <v>7844.36</v>
      </c>
      <c r="F40" s="48">
        <v>7794.3</v>
      </c>
      <c r="G40" s="48">
        <v>7865.9</v>
      </c>
    </row>
    <row r="41" spans="1:7" ht="14.1" customHeight="1">
      <c r="A41" s="272" t="s">
        <v>138</v>
      </c>
      <c r="B41" s="273">
        <v>4516</v>
      </c>
      <c r="C41" s="273">
        <v>0</v>
      </c>
      <c r="D41" s="273">
        <v>4516</v>
      </c>
      <c r="E41" s="293">
        <f>'- 7 -'!F41</f>
        <v>4355.5</v>
      </c>
      <c r="F41" s="293">
        <v>4302.3999999999996</v>
      </c>
      <c r="G41" s="293">
        <v>4335.8</v>
      </c>
    </row>
    <row r="42" spans="1:7" ht="14.1" customHeight="1">
      <c r="A42" s="16" t="s">
        <v>139</v>
      </c>
      <c r="B42" s="17">
        <v>1519</v>
      </c>
      <c r="C42" s="17">
        <v>54</v>
      </c>
      <c r="D42" s="17">
        <v>1465</v>
      </c>
      <c r="E42" s="48">
        <f>'- 7 -'!F42</f>
        <v>1373</v>
      </c>
      <c r="F42" s="48">
        <v>1371.6000000000001</v>
      </c>
      <c r="G42" s="48">
        <v>1407.3</v>
      </c>
    </row>
    <row r="43" spans="1:7" ht="14.1" customHeight="1">
      <c r="A43" s="272" t="s">
        <v>140</v>
      </c>
      <c r="B43" s="273">
        <v>1002</v>
      </c>
      <c r="C43" s="273">
        <v>0</v>
      </c>
      <c r="D43" s="273">
        <v>1002</v>
      </c>
      <c r="E43" s="293">
        <f>'- 7 -'!F43</f>
        <v>937</v>
      </c>
      <c r="F43" s="293">
        <v>961.2</v>
      </c>
      <c r="G43" s="293">
        <v>978.8</v>
      </c>
    </row>
    <row r="44" spans="1:7" ht="14.1" customHeight="1">
      <c r="A44" s="16" t="s">
        <v>141</v>
      </c>
      <c r="B44" s="17">
        <v>726</v>
      </c>
      <c r="C44" s="17">
        <v>0</v>
      </c>
      <c r="D44" s="17">
        <v>726</v>
      </c>
      <c r="E44" s="48">
        <f>'- 7 -'!F44</f>
        <v>710</v>
      </c>
      <c r="F44" s="48">
        <v>697.7</v>
      </c>
      <c r="G44" s="48">
        <v>702.5</v>
      </c>
    </row>
    <row r="45" spans="1:7" ht="14.1" customHeight="1">
      <c r="A45" s="272" t="s">
        <v>142</v>
      </c>
      <c r="B45" s="273">
        <v>1677</v>
      </c>
      <c r="C45" s="273">
        <v>0</v>
      </c>
      <c r="D45" s="273">
        <v>1677</v>
      </c>
      <c r="E45" s="293">
        <f>'- 7 -'!F45</f>
        <v>1685</v>
      </c>
      <c r="F45" s="293">
        <v>1594</v>
      </c>
      <c r="G45" s="293">
        <v>1610.3</v>
      </c>
    </row>
    <row r="46" spans="1:7" ht="14.1" customHeight="1">
      <c r="A46" s="16" t="s">
        <v>143</v>
      </c>
      <c r="B46" s="17">
        <v>33193</v>
      </c>
      <c r="C46" s="17">
        <v>1793</v>
      </c>
      <c r="D46" s="17">
        <v>31400</v>
      </c>
      <c r="E46" s="48">
        <f>'- 7 -'!F46</f>
        <v>30216</v>
      </c>
      <c r="F46" s="48">
        <v>29583.4</v>
      </c>
      <c r="G46" s="48">
        <v>29512.5</v>
      </c>
    </row>
    <row r="47" spans="1:7" ht="5.0999999999999996" customHeight="1">
      <c r="A47"/>
      <c r="B47"/>
      <c r="C47"/>
      <c r="D47"/>
      <c r="E47"/>
      <c r="F47"/>
      <c r="G47"/>
    </row>
    <row r="48" spans="1:7" ht="14.1" customHeight="1">
      <c r="A48" s="275" t="s">
        <v>144</v>
      </c>
      <c r="B48" s="276">
        <f t="shared" ref="B48:G48" si="0">SUM(B11:B46)</f>
        <v>181901</v>
      </c>
      <c r="C48" s="276">
        <f t="shared" si="0"/>
        <v>2339</v>
      </c>
      <c r="D48" s="276">
        <f t="shared" si="0"/>
        <v>179562</v>
      </c>
      <c r="E48" s="294">
        <f t="shared" si="0"/>
        <v>173548.76714285713</v>
      </c>
      <c r="F48" s="294">
        <f t="shared" si="0"/>
        <v>165772.80000000002</v>
      </c>
      <c r="G48" s="294">
        <f t="shared" si="0"/>
        <v>165406.39999999997</v>
      </c>
    </row>
    <row r="49" spans="1:7" ht="5.0999999999999996" customHeight="1">
      <c r="A49" s="18" t="s">
        <v>1</v>
      </c>
      <c r="B49" s="19"/>
      <c r="C49" s="19"/>
      <c r="D49" s="19"/>
      <c r="E49" s="51"/>
      <c r="F49" s="51"/>
      <c r="G49" s="51"/>
    </row>
    <row r="50" spans="1:7" ht="14.1" customHeight="1">
      <c r="A50" s="16" t="s">
        <v>145</v>
      </c>
      <c r="B50" s="17">
        <v>172</v>
      </c>
      <c r="C50" s="17">
        <v>0</v>
      </c>
      <c r="D50" s="17">
        <v>172</v>
      </c>
      <c r="E50" s="48">
        <f>'- 7 -'!F50</f>
        <v>162</v>
      </c>
      <c r="F50" s="48">
        <v>164.4</v>
      </c>
      <c r="G50" s="48">
        <v>174.5</v>
      </c>
    </row>
    <row r="51" spans="1:7" ht="14.1" customHeight="1">
      <c r="A51" s="364" t="s">
        <v>540</v>
      </c>
      <c r="B51" s="273">
        <v>0</v>
      </c>
      <c r="C51" s="273">
        <v>0</v>
      </c>
      <c r="D51" s="273">
        <f>B51-C51</f>
        <v>0</v>
      </c>
      <c r="E51" s="293">
        <f>'- 7 -'!F51</f>
        <v>700.9</v>
      </c>
      <c r="F51" s="293"/>
      <c r="G51" s="293"/>
    </row>
    <row r="52" spans="1:7" ht="50.1" customHeight="1">
      <c r="A52" s="20"/>
      <c r="B52" s="20"/>
      <c r="C52" s="20"/>
      <c r="D52" s="20"/>
      <c r="E52" s="20"/>
      <c r="F52" s="100"/>
      <c r="G52" s="100"/>
    </row>
    <row r="53" spans="1:7" ht="15" customHeight="1">
      <c r="A53" s="21" t="s">
        <v>345</v>
      </c>
      <c r="C53" s="91"/>
      <c r="D53" s="91"/>
      <c r="E53" s="91"/>
      <c r="F53" s="91"/>
    </row>
    <row r="54" spans="1:7" ht="12" customHeight="1">
      <c r="A54" s="554" t="s">
        <v>391</v>
      </c>
      <c r="B54" s="574"/>
      <c r="C54" s="574"/>
      <c r="D54" s="574"/>
      <c r="E54" s="574"/>
      <c r="F54" s="574"/>
      <c r="G54" s="574"/>
    </row>
    <row r="55" spans="1:7" ht="12" customHeight="1">
      <c r="A55" s="574"/>
      <c r="B55" s="574"/>
      <c r="C55" s="574"/>
      <c r="D55" s="574"/>
      <c r="E55" s="574"/>
      <c r="F55" s="574"/>
      <c r="G55" s="574"/>
    </row>
    <row r="56" spans="1:7" ht="12" customHeight="1">
      <c r="A56" s="132" t="s">
        <v>534</v>
      </c>
      <c r="C56" s="91"/>
      <c r="D56" s="91"/>
      <c r="E56" s="91"/>
      <c r="F56" s="92"/>
    </row>
    <row r="57" spans="1:7" ht="14.45" customHeight="1">
      <c r="A57" s="21"/>
      <c r="B57" s="91"/>
      <c r="C57" s="91"/>
      <c r="D57" s="91"/>
      <c r="E57" s="91"/>
      <c r="F57" s="91"/>
    </row>
    <row r="58" spans="1:7" ht="14.45" customHeight="1">
      <c r="F58" s="434"/>
      <c r="G58" s="434"/>
    </row>
    <row r="59" spans="1:7" ht="14.45" customHeight="1">
      <c r="F59" s="434"/>
      <c r="G59" s="434"/>
    </row>
    <row r="60" spans="1:7">
      <c r="F60" s="434"/>
      <c r="G60" s="434"/>
    </row>
    <row r="61" spans="1:7">
      <c r="F61" s="434"/>
      <c r="G61" s="434"/>
    </row>
    <row r="62" spans="1:7">
      <c r="F62" s="434"/>
      <c r="G62" s="434"/>
    </row>
    <row r="63" spans="1:7">
      <c r="F63" s="434"/>
      <c r="G63" s="434"/>
    </row>
  </sheetData>
  <mergeCells count="11">
    <mergeCell ref="B6:D7"/>
    <mergeCell ref="E6:E7"/>
    <mergeCell ref="F6:F7"/>
    <mergeCell ref="G6:G7"/>
    <mergeCell ref="A54:G55"/>
    <mergeCell ref="B8:B9"/>
    <mergeCell ref="C8:C9"/>
    <mergeCell ref="D8:D9"/>
    <mergeCell ref="E8:E9"/>
    <mergeCell ref="F8:F9"/>
    <mergeCell ref="G8:G9"/>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BB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54" ht="6.95" customHeight="1">
      <c r="A1" s="3"/>
      <c r="B1" s="4"/>
      <c r="C1" s="4"/>
      <c r="D1" s="4"/>
    </row>
    <row r="2" spans="1:54" ht="15.95" customHeight="1">
      <c r="A2" s="34"/>
      <c r="B2" s="35" t="str">
        <f>IF(Lang=1,BA2,BB2)</f>
        <v>PUPIL / TEACHER RATIOS</v>
      </c>
      <c r="C2" s="6"/>
      <c r="D2" s="81"/>
      <c r="BA2" s="464" t="s">
        <v>81</v>
      </c>
      <c r="BB2" s="464" t="s">
        <v>397</v>
      </c>
    </row>
    <row r="3" spans="1:54" ht="15.95" customHeight="1">
      <c r="A3" s="38"/>
      <c r="B3" s="7" t="str">
        <f>STATDATE</f>
        <v>ESTIMATE SEPTEMBER 30, 2015</v>
      </c>
      <c r="C3" s="8"/>
      <c r="D3" s="82"/>
    </row>
    <row r="4" spans="1:54" ht="15.95" customHeight="1">
      <c r="B4" s="4"/>
      <c r="C4" s="4"/>
      <c r="D4" s="4"/>
    </row>
    <row r="5" spans="1:54" ht="15.95" customHeight="1">
      <c r="B5" s="4"/>
      <c r="C5" s="4"/>
      <c r="D5" s="4"/>
    </row>
    <row r="6" spans="1:54" ht="15.95" customHeight="1">
      <c r="B6" s="4"/>
      <c r="C6" s="4"/>
      <c r="D6" s="4"/>
    </row>
    <row r="7" spans="1:54" ht="15.95" customHeight="1">
      <c r="B7" s="582" t="s">
        <v>80</v>
      </c>
      <c r="C7" s="583"/>
      <c r="D7" s="4"/>
    </row>
    <row r="8" spans="1:54" ht="15.95" customHeight="1">
      <c r="A8" s="83"/>
      <c r="B8" s="579" t="s">
        <v>398</v>
      </c>
      <c r="C8" s="581" t="s">
        <v>399</v>
      </c>
      <c r="D8" s="85"/>
    </row>
    <row r="9" spans="1:54" ht="15.95" customHeight="1">
      <c r="A9" s="28" t="s">
        <v>37</v>
      </c>
      <c r="B9" s="580"/>
      <c r="C9" s="563"/>
    </row>
    <row r="10" spans="1:54" ht="5.0999999999999996" customHeight="1">
      <c r="A10" s="30"/>
    </row>
    <row r="11" spans="1:54" ht="14.1" customHeight="1">
      <c r="A11" s="272" t="s">
        <v>109</v>
      </c>
      <c r="B11" s="293">
        <v>16.068292682926828</v>
      </c>
      <c r="C11" s="293">
        <v>13.759398496240602</v>
      </c>
    </row>
    <row r="12" spans="1:54" ht="14.1" customHeight="1">
      <c r="A12" s="16" t="s">
        <v>110</v>
      </c>
      <c r="B12" s="48">
        <v>14.195026178010471</v>
      </c>
      <c r="C12" s="48">
        <v>11.193683232698559</v>
      </c>
    </row>
    <row r="13" spans="1:54" ht="14.1" customHeight="1">
      <c r="A13" s="272" t="s">
        <v>111</v>
      </c>
      <c r="B13" s="293">
        <v>17.218661719441752</v>
      </c>
      <c r="C13" s="293">
        <v>12.79490553623461</v>
      </c>
    </row>
    <row r="14" spans="1:54" ht="14.1" customHeight="1">
      <c r="A14" s="16" t="s">
        <v>324</v>
      </c>
      <c r="B14" s="48">
        <v>14.82688504498482</v>
      </c>
      <c r="C14" s="48">
        <v>11.830992176386914</v>
      </c>
    </row>
    <row r="15" spans="1:54" ht="14.1" customHeight="1">
      <c r="A15" s="272" t="s">
        <v>112</v>
      </c>
      <c r="B15" s="293">
        <v>16.808059384941675</v>
      </c>
      <c r="C15" s="293">
        <v>12.882687618531563</v>
      </c>
    </row>
    <row r="16" spans="1:54" ht="14.1" customHeight="1">
      <c r="A16" s="16" t="s">
        <v>113</v>
      </c>
      <c r="B16" s="48">
        <v>14.96414342629482</v>
      </c>
      <c r="C16" s="48">
        <v>11.730168644597127</v>
      </c>
    </row>
    <row r="17" spans="1:3" ht="14.1" customHeight="1">
      <c r="A17" s="272" t="s">
        <v>114</v>
      </c>
      <c r="B17" s="293">
        <v>15.896325766440441</v>
      </c>
      <c r="C17" s="293">
        <v>13.28996282527881</v>
      </c>
    </row>
    <row r="18" spans="1:3" ht="14.1" customHeight="1">
      <c r="A18" s="16" t="s">
        <v>115</v>
      </c>
      <c r="B18" s="48">
        <v>14.993175777602184</v>
      </c>
      <c r="C18" s="48">
        <v>11.994253424001535</v>
      </c>
    </row>
    <row r="19" spans="1:3" ht="14.1" customHeight="1">
      <c r="A19" s="272" t="s">
        <v>116</v>
      </c>
      <c r="B19" s="293">
        <v>18.233939973070406</v>
      </c>
      <c r="C19" s="293">
        <v>14.731892195395844</v>
      </c>
    </row>
    <row r="20" spans="1:3" ht="14.1" customHeight="1">
      <c r="A20" s="16" t="s">
        <v>117</v>
      </c>
      <c r="B20" s="48">
        <v>17.699136009248754</v>
      </c>
      <c r="C20" s="48">
        <v>14.384901533413943</v>
      </c>
    </row>
    <row r="21" spans="1:3" ht="14.1" customHeight="1">
      <c r="A21" s="272" t="s">
        <v>118</v>
      </c>
      <c r="B21" s="293">
        <v>15.864705882352942</v>
      </c>
      <c r="C21" s="293">
        <v>11.847133757961783</v>
      </c>
    </row>
    <row r="22" spans="1:3" ht="14.1" customHeight="1">
      <c r="A22" s="16" t="s">
        <v>119</v>
      </c>
      <c r="B22" s="48">
        <v>16.267634854771785</v>
      </c>
      <c r="C22" s="48">
        <v>12.026073619631902</v>
      </c>
    </row>
    <row r="23" spans="1:3" ht="14.1" customHeight="1">
      <c r="A23" s="272" t="s">
        <v>120</v>
      </c>
      <c r="B23" s="293">
        <v>14.402068519715579</v>
      </c>
      <c r="C23" s="293">
        <v>11.195979899497488</v>
      </c>
    </row>
    <row r="24" spans="1:3" ht="14.1" customHeight="1">
      <c r="A24" s="16" t="s">
        <v>121</v>
      </c>
      <c r="B24" s="48">
        <v>14.953921384239232</v>
      </c>
      <c r="C24" s="48">
        <v>11.872480215021652</v>
      </c>
    </row>
    <row r="25" spans="1:3" ht="14.1" customHeight="1">
      <c r="A25" s="272" t="s">
        <v>122</v>
      </c>
      <c r="B25" s="293">
        <v>17.975296899902318</v>
      </c>
      <c r="C25" s="293">
        <v>13.827588934369501</v>
      </c>
    </row>
    <row r="26" spans="1:3" ht="14.1" customHeight="1">
      <c r="A26" s="16" t="s">
        <v>123</v>
      </c>
      <c r="B26" s="48">
        <v>16.09103148301574</v>
      </c>
      <c r="C26" s="48">
        <v>13.167372881355931</v>
      </c>
    </row>
    <row r="27" spans="1:3" ht="14.1" customHeight="1">
      <c r="A27" s="272" t="s">
        <v>124</v>
      </c>
      <c r="B27" s="293">
        <v>15.174308450170518</v>
      </c>
      <c r="C27" s="293">
        <v>11.399932815978408</v>
      </c>
    </row>
    <row r="28" spans="1:3" ht="14.1" customHeight="1">
      <c r="A28" s="16" t="s">
        <v>125</v>
      </c>
      <c r="B28" s="48">
        <v>13.789363191042687</v>
      </c>
      <c r="C28" s="48">
        <v>11.363898500576701</v>
      </c>
    </row>
    <row r="29" spans="1:3" ht="14.1" customHeight="1">
      <c r="A29" s="272" t="s">
        <v>126</v>
      </c>
      <c r="B29" s="293">
        <v>17.164947020051727</v>
      </c>
      <c r="C29" s="293">
        <v>13.730353825790017</v>
      </c>
    </row>
    <row r="30" spans="1:3" ht="14.1" customHeight="1">
      <c r="A30" s="16" t="s">
        <v>127</v>
      </c>
      <c r="B30" s="48">
        <v>14.982476635514018</v>
      </c>
      <c r="C30" s="48">
        <v>12.312492499699989</v>
      </c>
    </row>
    <row r="31" spans="1:3" ht="14.1" customHeight="1">
      <c r="A31" s="272" t="s">
        <v>128</v>
      </c>
      <c r="B31" s="293">
        <v>16.47994217564149</v>
      </c>
      <c r="C31" s="293">
        <v>12.855416834474426</v>
      </c>
    </row>
    <row r="32" spans="1:3" ht="14.1" customHeight="1">
      <c r="A32" s="16" t="s">
        <v>129</v>
      </c>
      <c r="B32" s="48">
        <v>14.503526672601518</v>
      </c>
      <c r="C32" s="48">
        <v>12.10741439432916</v>
      </c>
    </row>
    <row r="33" spans="1:4" ht="14.1" customHeight="1">
      <c r="A33" s="272" t="s">
        <v>130</v>
      </c>
      <c r="B33" s="293">
        <v>15.1428133854047</v>
      </c>
      <c r="C33" s="293">
        <v>12.466902030008825</v>
      </c>
    </row>
    <row r="34" spans="1:4" ht="14.1" customHeight="1">
      <c r="A34" s="16" t="s">
        <v>131</v>
      </c>
      <c r="B34" s="48">
        <v>15.570448632027123</v>
      </c>
      <c r="C34" s="48">
        <v>12.344043005375672</v>
      </c>
    </row>
    <row r="35" spans="1:4" ht="14.1" customHeight="1">
      <c r="A35" s="272" t="s">
        <v>132</v>
      </c>
      <c r="B35" s="293">
        <v>17.724951775785772</v>
      </c>
      <c r="C35" s="293">
        <v>13.83393258824988</v>
      </c>
    </row>
    <row r="36" spans="1:4" ht="14.1" customHeight="1">
      <c r="A36" s="16" t="s">
        <v>133</v>
      </c>
      <c r="B36" s="48">
        <v>15.043493857053178</v>
      </c>
      <c r="C36" s="48">
        <v>12.188033567043265</v>
      </c>
    </row>
    <row r="37" spans="1:4" ht="14.1" customHeight="1">
      <c r="A37" s="272" t="s">
        <v>134</v>
      </c>
      <c r="B37" s="293">
        <v>17.764430647410805</v>
      </c>
      <c r="C37" s="293">
        <v>13.486696041261059</v>
      </c>
    </row>
    <row r="38" spans="1:4" ht="14.1" customHeight="1">
      <c r="A38" s="16" t="s">
        <v>135</v>
      </c>
      <c r="B38" s="48">
        <v>17.082545783764036</v>
      </c>
      <c r="C38" s="48">
        <v>13.908466641664619</v>
      </c>
    </row>
    <row r="39" spans="1:4" ht="14.1" customHeight="1">
      <c r="A39" s="272" t="s">
        <v>136</v>
      </c>
      <c r="B39" s="293">
        <v>13.807196801421592</v>
      </c>
      <c r="C39" s="293">
        <v>11.813896913486392</v>
      </c>
    </row>
    <row r="40" spans="1:4" ht="14.1" customHeight="1">
      <c r="A40" s="16" t="s">
        <v>137</v>
      </c>
      <c r="B40" s="48">
        <v>16.721792330157108</v>
      </c>
      <c r="C40" s="48">
        <v>13.089640902416232</v>
      </c>
    </row>
    <row r="41" spans="1:4" ht="14.1" customHeight="1">
      <c r="A41" s="272" t="s">
        <v>138</v>
      </c>
      <c r="B41" s="293">
        <v>15.91922514619883</v>
      </c>
      <c r="C41" s="293">
        <v>12.264868213561613</v>
      </c>
    </row>
    <row r="42" spans="1:4" ht="14.1" customHeight="1">
      <c r="A42" s="16" t="s">
        <v>139</v>
      </c>
      <c r="B42" s="48">
        <v>14.730179165325611</v>
      </c>
      <c r="C42" s="48">
        <v>12.180624556422995</v>
      </c>
    </row>
    <row r="43" spans="1:4" ht="14.1" customHeight="1">
      <c r="A43" s="272" t="s">
        <v>140</v>
      </c>
      <c r="B43" s="293">
        <v>15.263072161589838</v>
      </c>
      <c r="C43" s="293">
        <v>12.153047989623868</v>
      </c>
    </row>
    <row r="44" spans="1:4" ht="14.1" customHeight="1">
      <c r="A44" s="16" t="s">
        <v>141</v>
      </c>
      <c r="B44" s="48">
        <v>13.436790310370931</v>
      </c>
      <c r="C44" s="48">
        <v>11.30753304666348</v>
      </c>
    </row>
    <row r="45" spans="1:4" ht="14.1" customHeight="1">
      <c r="A45" s="272" t="s">
        <v>142</v>
      </c>
      <c r="B45" s="293">
        <v>17.31935450714359</v>
      </c>
      <c r="C45" s="293">
        <v>14.311194156616272</v>
      </c>
    </row>
    <row r="46" spans="1:4" ht="14.1" customHeight="1">
      <c r="A46" s="16" t="s">
        <v>143</v>
      </c>
      <c r="B46" s="48">
        <v>18.083559258128805</v>
      </c>
      <c r="C46" s="48">
        <v>13.424381228258017</v>
      </c>
    </row>
    <row r="47" spans="1:4" ht="5.0999999999999996" customHeight="1">
      <c r="A47"/>
      <c r="B47"/>
      <c r="C47"/>
      <c r="D47"/>
    </row>
    <row r="48" spans="1:4" ht="14.1" customHeight="1">
      <c r="A48" s="351" t="s">
        <v>144</v>
      </c>
      <c r="B48" s="352">
        <v>16.745037518399375</v>
      </c>
      <c r="C48" s="353">
        <v>13.098614295097995</v>
      </c>
      <c r="D48" s="30"/>
    </row>
    <row r="49" spans="1:4" ht="5.0999999999999996" customHeight="1">
      <c r="A49" s="18" t="s">
        <v>1</v>
      </c>
      <c r="B49" s="51"/>
      <c r="C49" s="51"/>
    </row>
    <row r="50" spans="1:4" ht="14.1" customHeight="1">
      <c r="A50" s="16" t="s">
        <v>145</v>
      </c>
      <c r="B50" s="48">
        <v>10.05586592178771</v>
      </c>
      <c r="C50" s="48">
        <v>8.2108464267612771</v>
      </c>
    </row>
    <row r="51" spans="1:4" ht="14.1" customHeight="1">
      <c r="A51" s="364" t="s">
        <v>540</v>
      </c>
      <c r="B51" s="293">
        <v>19.415512465373961</v>
      </c>
      <c r="C51" s="293">
        <v>14.481404958677686</v>
      </c>
    </row>
    <row r="52" spans="1:4" ht="50.1" customHeight="1">
      <c r="A52" s="20"/>
      <c r="B52" s="20"/>
      <c r="C52" s="20"/>
      <c r="D52" s="20"/>
    </row>
    <row r="53" spans="1:4" ht="15" customHeight="1">
      <c r="A53" s="553" t="s">
        <v>400</v>
      </c>
      <c r="B53" s="584"/>
      <c r="C53" s="584"/>
      <c r="D53" s="584"/>
    </row>
    <row r="54" spans="1:4" ht="12" customHeight="1">
      <c r="A54" s="574"/>
      <c r="B54" s="574"/>
      <c r="C54" s="574"/>
      <c r="D54" s="574"/>
    </row>
    <row r="55" spans="1:4" ht="9.75" customHeight="1">
      <c r="A55" s="574"/>
      <c r="B55" s="574"/>
      <c r="C55" s="574"/>
      <c r="D55" s="574"/>
    </row>
    <row r="56" spans="1:4" ht="12" customHeight="1">
      <c r="A56" s="554" t="s">
        <v>560</v>
      </c>
      <c r="B56" s="554"/>
      <c r="C56" s="554"/>
      <c r="D56" s="554"/>
    </row>
    <row r="57" spans="1:4" ht="12" customHeight="1">
      <c r="A57" s="554"/>
      <c r="B57" s="554"/>
      <c r="C57" s="554"/>
      <c r="D57" s="554"/>
    </row>
    <row r="58" spans="1:4" ht="12" customHeight="1">
      <c r="A58" s="554"/>
      <c r="B58" s="554"/>
      <c r="C58" s="554"/>
      <c r="D58" s="554"/>
    </row>
  </sheetData>
  <mergeCells count="5">
    <mergeCell ref="B8:B9"/>
    <mergeCell ref="C8:C9"/>
    <mergeCell ref="B7:C7"/>
    <mergeCell ref="A53:D55"/>
    <mergeCell ref="A56:D58"/>
  </mergeCells>
  <phoneticPr fontId="0" type="noConversion"/>
  <printOptions horizontalCentered="1"/>
  <pageMargins left="0.5" right="0.5" top="0.6" bottom="0" header="0.3" footer="0"/>
  <pageSetup scale="88" orientation="portrait"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BB50"/>
  <sheetViews>
    <sheetView showGridLines="0" showZeros="0" workbookViewId="0"/>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9" width="14.83203125" style="1" customWidth="1"/>
    <col min="10" max="10" width="2.83203125" style="1" customWidth="1"/>
    <col min="11" max="11" width="17.83203125" style="1" customWidth="1"/>
    <col min="12" max="12" width="12.83203125" style="1" bestFit="1" customWidth="1"/>
    <col min="13" max="16384" width="15.83203125" style="1"/>
  </cols>
  <sheetData>
    <row r="2" spans="1:54">
      <c r="A2" s="53"/>
      <c r="B2" s="53"/>
      <c r="C2" s="54" t="str">
        <f>OPYEAR</f>
        <v>OPERATING FUND 2015/2016 BUDGET</v>
      </c>
      <c r="D2" s="54"/>
      <c r="E2" s="54"/>
      <c r="F2" s="54"/>
      <c r="G2" s="54"/>
      <c r="H2" s="54"/>
      <c r="I2" s="54"/>
      <c r="J2" s="54"/>
      <c r="K2" s="53"/>
    </row>
    <row r="5" spans="1:54" ht="15.75">
      <c r="C5" s="256" t="str">
        <f>IF(Lang=1,BA5,BB5)</f>
        <v>EXPENSE BY FUNCTION AND OBJECT</v>
      </c>
      <c r="D5" s="56"/>
      <c r="E5" s="56"/>
      <c r="F5" s="56"/>
      <c r="G5" s="56"/>
      <c r="H5" s="56"/>
      <c r="I5" s="56"/>
      <c r="J5" s="56"/>
      <c r="K5" s="4"/>
      <c r="BA5" s="462" t="s">
        <v>259</v>
      </c>
      <c r="BB5" s="462" t="s">
        <v>401</v>
      </c>
    </row>
    <row r="6" spans="1:54">
      <c r="C6" s="55"/>
      <c r="D6" s="56"/>
      <c r="E6" s="56"/>
      <c r="F6" s="56"/>
      <c r="G6" s="56"/>
      <c r="H6" s="56"/>
      <c r="I6" s="56"/>
      <c r="J6" s="56"/>
      <c r="K6" s="4"/>
    </row>
    <row r="7" spans="1:54">
      <c r="C7" s="55"/>
      <c r="D7" s="56"/>
      <c r="E7" s="56"/>
      <c r="F7" s="56"/>
      <c r="G7" s="56"/>
      <c r="H7" s="56"/>
      <c r="I7" s="56"/>
      <c r="J7" s="4"/>
      <c r="K7" s="4"/>
    </row>
    <row r="8" spans="1:54">
      <c r="C8" s="4"/>
      <c r="D8" s="4"/>
      <c r="E8" s="4"/>
      <c r="F8" s="4"/>
      <c r="G8" s="4"/>
      <c r="H8" s="4"/>
      <c r="I8" s="4"/>
      <c r="J8" s="4"/>
      <c r="K8" s="4"/>
    </row>
    <row r="9" spans="1:54">
      <c r="C9" s="4"/>
      <c r="D9" s="4"/>
      <c r="E9" s="4"/>
      <c r="F9" s="4"/>
      <c r="G9" s="4"/>
      <c r="H9" s="4"/>
      <c r="I9" s="4"/>
      <c r="J9" s="4"/>
      <c r="K9" s="4"/>
    </row>
    <row r="10" spans="1:54">
      <c r="C10" s="588" t="s">
        <v>64</v>
      </c>
      <c r="D10" s="589"/>
      <c r="E10" s="589"/>
      <c r="F10" s="589"/>
      <c r="G10" s="589"/>
      <c r="H10" s="589"/>
      <c r="I10" s="589"/>
      <c r="J10" s="590"/>
      <c r="K10" s="4"/>
    </row>
    <row r="11" spans="1:54">
      <c r="C11" s="4"/>
      <c r="D11" s="4"/>
      <c r="E11" s="4"/>
      <c r="F11" s="4"/>
      <c r="G11" s="4"/>
      <c r="H11" s="4"/>
      <c r="I11" s="4"/>
      <c r="J11" s="4"/>
      <c r="K11" s="4"/>
    </row>
    <row r="12" spans="1:54">
      <c r="A12" s="57"/>
      <c r="B12" s="58"/>
      <c r="C12" s="591" t="s">
        <v>65</v>
      </c>
      <c r="D12" s="593" t="s">
        <v>83</v>
      </c>
      <c r="E12" s="591" t="s">
        <v>59</v>
      </c>
      <c r="F12" s="593" t="s">
        <v>402</v>
      </c>
      <c r="G12" s="595" t="s">
        <v>32</v>
      </c>
      <c r="H12" s="597" t="s">
        <v>403</v>
      </c>
      <c r="I12" s="599" t="s">
        <v>42</v>
      </c>
      <c r="J12" s="600"/>
      <c r="K12" s="591" t="s">
        <v>66</v>
      </c>
    </row>
    <row r="13" spans="1:54">
      <c r="A13" s="586" t="s">
        <v>71</v>
      </c>
      <c r="B13" s="587"/>
      <c r="C13" s="592"/>
      <c r="D13" s="594"/>
      <c r="E13" s="592"/>
      <c r="F13" s="594"/>
      <c r="G13" s="596"/>
      <c r="H13" s="598"/>
      <c r="I13" s="601"/>
      <c r="J13" s="602"/>
      <c r="K13" s="592"/>
      <c r="N13" s="129" t="str">
        <f>IF($N$27=0,"","Variance")</f>
        <v/>
      </c>
    </row>
    <row r="15" spans="1:54">
      <c r="A15" s="59">
        <v>100</v>
      </c>
      <c r="B15" s="30" t="s">
        <v>21</v>
      </c>
      <c r="C15" s="60">
        <f>'- 12 -'!B22</f>
        <v>1063234465</v>
      </c>
      <c r="D15" s="61">
        <f>'- 12 -'!B23</f>
        <v>67386070</v>
      </c>
      <c r="E15" s="61">
        <f>'- 12 -'!B40</f>
        <v>32824505</v>
      </c>
      <c r="F15" s="61">
        <f>'- 12 -'!B46</f>
        <v>76158233</v>
      </c>
      <c r="G15" s="62"/>
      <c r="H15" s="165"/>
      <c r="I15" s="63"/>
      <c r="K15" s="60">
        <f>SUM(C15:F15)</f>
        <v>1239603273</v>
      </c>
      <c r="N15" s="1" t="str">
        <f>IF($N$27=0,"",K15-'- 12 -'!$B$51)</f>
        <v/>
      </c>
    </row>
    <row r="16" spans="1:54" ht="24" customHeight="1">
      <c r="A16" s="59">
        <v>200</v>
      </c>
      <c r="B16" s="30" t="s">
        <v>247</v>
      </c>
      <c r="C16" s="60">
        <f>'- 12 -'!D22</f>
        <v>357640032</v>
      </c>
      <c r="D16" s="61">
        <f>'- 12 -'!D23</f>
        <v>37170099</v>
      </c>
      <c r="E16" s="61">
        <f>'- 12 -'!D40</f>
        <v>10253732</v>
      </c>
      <c r="F16" s="61">
        <f>'- 12 -'!D46</f>
        <v>5384804</v>
      </c>
      <c r="G16" s="62"/>
      <c r="H16" s="165"/>
      <c r="I16" s="63"/>
      <c r="K16" s="60">
        <f>SUM(C16:F16)</f>
        <v>410448667</v>
      </c>
      <c r="N16" s="1" t="str">
        <f>IF($N$27=0,"",K16-'- 12 -'!$D$51)</f>
        <v/>
      </c>
    </row>
    <row r="17" spans="1:14" ht="24" customHeight="1">
      <c r="A17" s="59">
        <v>300</v>
      </c>
      <c r="B17" s="30" t="s">
        <v>102</v>
      </c>
      <c r="C17" s="60">
        <f>'- 12 -'!F22</f>
        <v>6230258</v>
      </c>
      <c r="D17" s="61">
        <f>'- 12 -'!F23</f>
        <v>428171</v>
      </c>
      <c r="E17" s="61">
        <f>'- 12 -'!F40</f>
        <v>818762</v>
      </c>
      <c r="F17" s="61">
        <f>'- 12 -'!F46</f>
        <v>272546</v>
      </c>
      <c r="G17" s="62"/>
      <c r="H17" s="165"/>
      <c r="I17" s="64">
        <f>'- 12 -'!F48</f>
        <v>37000</v>
      </c>
      <c r="J17" s="65" t="s">
        <v>90</v>
      </c>
      <c r="K17" s="60">
        <f>SUM(C17:F17,I17)</f>
        <v>7786737</v>
      </c>
      <c r="N17" s="1" t="str">
        <f>IF($N$27=0,"",K17-'- 12 -'!$F$51)</f>
        <v/>
      </c>
    </row>
    <row r="18" spans="1:14" ht="24" customHeight="1">
      <c r="A18" s="59">
        <v>400</v>
      </c>
      <c r="B18" s="30" t="s">
        <v>67</v>
      </c>
      <c r="C18" s="60">
        <f>'- 12 -'!H22</f>
        <v>16294227</v>
      </c>
      <c r="D18" s="61">
        <f>'- 12 -'!H23</f>
        <v>1477032</v>
      </c>
      <c r="E18" s="61">
        <f>'- 12 -'!H40</f>
        <v>2443406</v>
      </c>
      <c r="F18" s="61">
        <f>'- 12 -'!H46</f>
        <v>2305095</v>
      </c>
      <c r="G18" s="62"/>
      <c r="H18" s="165"/>
      <c r="I18" s="63"/>
      <c r="K18" s="60">
        <f>SUM(C18:F18)</f>
        <v>22519760</v>
      </c>
      <c r="N18" s="1" t="str">
        <f>IF($N$27=0,"",K18-'- 12 -'!$H$51)</f>
        <v/>
      </c>
    </row>
    <row r="19" spans="1:14" ht="24" customHeight="1">
      <c r="A19" s="59">
        <v>500</v>
      </c>
      <c r="B19" s="30" t="s">
        <v>87</v>
      </c>
      <c r="C19" s="60">
        <f>'- 12 -'!J22</f>
        <v>49359624</v>
      </c>
      <c r="D19" s="61">
        <f>'- 12 -'!J23</f>
        <v>7252935</v>
      </c>
      <c r="E19" s="61">
        <f>'- 12 -'!J40</f>
        <v>17948924</v>
      </c>
      <c r="F19" s="61">
        <f>'- 12 -'!J46</f>
        <v>2606515</v>
      </c>
      <c r="G19" s="62"/>
      <c r="H19" s="165"/>
      <c r="I19" s="64">
        <f>'- 12 -'!J48</f>
        <v>-37000</v>
      </c>
      <c r="J19" s="65" t="s">
        <v>90</v>
      </c>
      <c r="K19" s="60">
        <f>SUM(C19:F19,I19)</f>
        <v>77130998</v>
      </c>
      <c r="N19" s="1" t="str">
        <f>IF($N$27=0,"",K19-'- 12 -'!$J$51)</f>
        <v/>
      </c>
    </row>
    <row r="20" spans="1:14" ht="12" customHeight="1">
      <c r="A20" s="59"/>
      <c r="B20" s="30"/>
      <c r="C20" s="66"/>
      <c r="D20" s="67"/>
      <c r="E20" s="67"/>
      <c r="F20" s="67"/>
      <c r="G20" s="62"/>
      <c r="H20" s="165"/>
      <c r="I20" s="63"/>
      <c r="K20" s="60"/>
      <c r="L20" s="585" t="s">
        <v>91</v>
      </c>
    </row>
    <row r="21" spans="1:14" ht="24" customHeight="1">
      <c r="A21" s="68">
        <v>600</v>
      </c>
      <c r="B21" s="370" t="s">
        <v>253</v>
      </c>
      <c r="C21" s="60">
        <f>'- 13 -'!B22</f>
        <v>51017881</v>
      </c>
      <c r="D21" s="61">
        <f>'- 13 -'!B23</f>
        <v>4927798</v>
      </c>
      <c r="E21" s="61">
        <f>'- 13 -'!B40</f>
        <v>14526012</v>
      </c>
      <c r="F21" s="61">
        <f>'- 13 -'!B46</f>
        <v>7701810</v>
      </c>
      <c r="G21" s="62"/>
      <c r="H21" s="165"/>
      <c r="I21" s="63"/>
      <c r="K21" s="60">
        <f>SUM(C21:F21)</f>
        <v>78173501</v>
      </c>
      <c r="L21" s="585"/>
      <c r="N21" s="1" t="str">
        <f>IF($N$27=0,"",K21-'- 13 -'!$B$54)</f>
        <v/>
      </c>
    </row>
    <row r="22" spans="1:14" ht="24" customHeight="1">
      <c r="A22" s="59">
        <v>700</v>
      </c>
      <c r="B22" s="30" t="s">
        <v>68</v>
      </c>
      <c r="C22" s="60">
        <f>'- 13 -'!D22</f>
        <v>44745113</v>
      </c>
      <c r="D22" s="61">
        <f>'- 13 -'!D23</f>
        <v>6946727</v>
      </c>
      <c r="E22" s="61">
        <f>'- 13 -'!D40</f>
        <v>26599694</v>
      </c>
      <c r="F22" s="61">
        <f>'- 13 -'!D46</f>
        <v>18864644</v>
      </c>
      <c r="G22" s="62"/>
      <c r="H22" s="165"/>
      <c r="I22" s="63"/>
      <c r="K22" s="60">
        <f>SUM(C22:F22)</f>
        <v>97156178</v>
      </c>
      <c r="L22" s="69"/>
      <c r="N22" s="1" t="str">
        <f>IF($N$27=0,"",K22-'- 13 -'!$D$54)</f>
        <v/>
      </c>
    </row>
    <row r="23" spans="1:14" ht="24" customHeight="1">
      <c r="A23" s="59">
        <v>800</v>
      </c>
      <c r="B23" s="30" t="s">
        <v>69</v>
      </c>
      <c r="C23" s="60">
        <f>'- 13 -'!F22</f>
        <v>112391804</v>
      </c>
      <c r="D23" s="61">
        <f>'- 13 -'!F23</f>
        <v>18927978</v>
      </c>
      <c r="E23" s="61">
        <f>'- 13 -'!F40</f>
        <v>102612748</v>
      </c>
      <c r="F23" s="61">
        <f>'- 13 -'!F46</f>
        <v>26432454</v>
      </c>
      <c r="G23" s="62"/>
      <c r="H23" s="165"/>
      <c r="I23" s="64">
        <f>'- 13 -'!F52</f>
        <v>0</v>
      </c>
      <c r="J23" s="71"/>
      <c r="K23" s="60">
        <f>SUM(C23:F23,I23)</f>
        <v>260364984</v>
      </c>
      <c r="N23" s="1" t="str">
        <f>IF($N$27=0,"",K23-'- 13 -'!$F$54)</f>
        <v/>
      </c>
    </row>
    <row r="24" spans="1:14" ht="24" customHeight="1">
      <c r="A24" s="59">
        <v>900</v>
      </c>
      <c r="B24" s="30" t="s">
        <v>24</v>
      </c>
      <c r="C24" s="66"/>
      <c r="D24" s="67"/>
      <c r="E24" s="67"/>
      <c r="F24" s="67"/>
      <c r="G24" s="61">
        <v>2767118</v>
      </c>
      <c r="H24" s="61">
        <v>8000</v>
      </c>
      <c r="I24" s="70">
        <v>36136320</v>
      </c>
      <c r="J24" s="71" t="s">
        <v>231</v>
      </c>
      <c r="K24" s="60">
        <f>SUM(G24:I24)</f>
        <v>38911438</v>
      </c>
      <c r="N24" s="1" t="str">
        <f>IF($N$27=0,"",K24-'- 13 -'!$H$54)</f>
        <v/>
      </c>
    </row>
    <row r="25" spans="1:14">
      <c r="A25" s="59"/>
      <c r="B25" s="30"/>
      <c r="C25" s="66"/>
      <c r="D25" s="67"/>
      <c r="E25" s="67"/>
      <c r="F25" s="67"/>
      <c r="G25" s="67"/>
      <c r="H25" s="24"/>
      <c r="I25" s="72"/>
      <c r="K25" s="66"/>
    </row>
    <row r="26" spans="1:14">
      <c r="B26" s="30"/>
      <c r="C26" s="73"/>
      <c r="D26" s="73"/>
      <c r="E26" s="73"/>
      <c r="F26" s="73"/>
      <c r="G26" s="73"/>
      <c r="H26" s="73"/>
      <c r="I26" s="73"/>
      <c r="K26" s="73"/>
    </row>
    <row r="27" spans="1:14">
      <c r="A27" s="74"/>
      <c r="B27" s="75" t="s">
        <v>66</v>
      </c>
      <c r="C27" s="76">
        <f>SUM(C15:C24)</f>
        <v>1700913404</v>
      </c>
      <c r="D27" s="77">
        <f>SUM(D15:D24)</f>
        <v>144516810</v>
      </c>
      <c r="E27" s="77">
        <f>SUM(E15:E24)</f>
        <v>208027783</v>
      </c>
      <c r="F27" s="77">
        <f>SUM(F15:F24)</f>
        <v>139726101</v>
      </c>
      <c r="G27" s="77">
        <f>G24</f>
        <v>2767118</v>
      </c>
      <c r="H27" s="77">
        <f>H24</f>
        <v>8000</v>
      </c>
      <c r="I27" s="78">
        <f>SUM(I15:I24)</f>
        <v>36136320</v>
      </c>
      <c r="J27" s="79"/>
      <c r="K27" s="76">
        <f>SUM(K15:K24)</f>
        <v>2232095536</v>
      </c>
      <c r="N27" s="1">
        <f>K27-'- 3 -'!D48</f>
        <v>0</v>
      </c>
    </row>
    <row r="28" spans="1:14">
      <c r="C28" s="73"/>
      <c r="D28" s="73"/>
      <c r="E28" s="73"/>
      <c r="F28" s="73"/>
      <c r="G28" s="73"/>
      <c r="H28" s="73"/>
      <c r="I28" s="73"/>
    </row>
    <row r="29" spans="1:14" ht="60" customHeight="1"/>
    <row r="30" spans="1:14">
      <c r="A30" s="257" t="s">
        <v>90</v>
      </c>
      <c r="B30" s="132" t="s">
        <v>372</v>
      </c>
      <c r="C30" s="30"/>
    </row>
    <row r="31" spans="1:14" hidden="1">
      <c r="A31" s="257" t="s">
        <v>231</v>
      </c>
      <c r="B31" s="128" t="s">
        <v>250</v>
      </c>
      <c r="C31" s="30"/>
    </row>
    <row r="32" spans="1:14">
      <c r="A32" s="257" t="s">
        <v>231</v>
      </c>
      <c r="B32" s="1" t="s">
        <v>232</v>
      </c>
      <c r="C32" s="73"/>
      <c r="K32" s="73"/>
    </row>
    <row r="33" spans="3:3">
      <c r="C33" s="73"/>
    </row>
    <row r="34" spans="3:3" ht="12.75" customHeight="1"/>
    <row r="35" spans="3:3" ht="12.75" customHeight="1"/>
    <row r="36" spans="3:3" ht="12.75" customHeight="1"/>
    <row r="37" spans="3:3" ht="12.75" customHeight="1"/>
    <row r="38" spans="3:3" ht="12.75" customHeight="1"/>
    <row r="39" spans="3:3" ht="12.75" customHeight="1"/>
    <row r="40" spans="3:3" ht="12.75" customHeight="1"/>
    <row r="41" spans="3:3" ht="12.75" customHeight="1"/>
    <row r="42" spans="3:3" ht="12.75" customHeight="1"/>
    <row r="43" spans="3:3" ht="12.75" customHeight="1"/>
    <row r="44" spans="3:3" ht="12.75" customHeight="1"/>
    <row r="45" spans="3:3" ht="12.75" customHeight="1"/>
    <row r="46" spans="3:3" ht="12.75" customHeight="1"/>
    <row r="47" spans="3:3" ht="12.75" customHeight="1"/>
    <row r="48" spans="3:3" ht="12.75" customHeight="1"/>
    <row r="49" ht="12.75" customHeight="1"/>
    <row r="50" ht="12.75" customHeight="1"/>
  </sheetData>
  <mergeCells count="11">
    <mergeCell ref="L20:L21"/>
    <mergeCell ref="A13:B13"/>
    <mergeCell ref="C10:J10"/>
    <mergeCell ref="C12:C13"/>
    <mergeCell ref="D12:D13"/>
    <mergeCell ref="E12:E13"/>
    <mergeCell ref="F12:F13"/>
    <mergeCell ref="G12:G13"/>
    <mergeCell ref="H12:H13"/>
    <mergeCell ref="I12:J13"/>
    <mergeCell ref="K12:K13"/>
  </mergeCells>
  <phoneticPr fontId="0" type="noConversion"/>
  <pageMargins left="0.39370078740157483" right="0" top="0.70866141732283472" bottom="0.31496062992125984" header="0" footer="0"/>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fitToPage="1"/>
  </sheetPr>
  <dimension ref="A2:BB52"/>
  <sheetViews>
    <sheetView showGridLines="0" showZeros="0" workbookViewId="0"/>
  </sheetViews>
  <sheetFormatPr defaultColWidth="15.83203125" defaultRowHeight="12"/>
  <cols>
    <col min="1" max="1" width="49"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ols>
  <sheetData>
    <row r="2" spans="1:54">
      <c r="A2" s="53"/>
      <c r="B2" s="53"/>
      <c r="C2" s="53"/>
      <c r="D2" s="101" t="str">
        <f>OPYEAR</f>
        <v>OPERATING FUND 2015/2016 BUDGET</v>
      </c>
      <c r="E2" s="101"/>
      <c r="F2" s="101"/>
      <c r="G2" s="101"/>
      <c r="H2" s="102"/>
      <c r="I2" s="102"/>
      <c r="J2" s="103"/>
      <c r="K2" s="104" t="s">
        <v>4</v>
      </c>
    </row>
    <row r="3" spans="1:54" ht="9.9499999999999993" customHeight="1">
      <c r="J3" s="91"/>
      <c r="K3" s="91"/>
    </row>
    <row r="4" spans="1:54" ht="15.75">
      <c r="B4" s="258" t="str">
        <f>IF(Lang=1,BA4,BB4)</f>
        <v>EXPENSE BY 2ND LEVEL OBJECT</v>
      </c>
      <c r="C4" s="91"/>
      <c r="D4" s="91"/>
      <c r="E4" s="91"/>
      <c r="F4" s="91"/>
      <c r="G4" s="91"/>
      <c r="H4" s="91"/>
      <c r="I4" s="91"/>
      <c r="J4" s="91"/>
      <c r="K4" s="91"/>
      <c r="BA4" s="462" t="s">
        <v>267</v>
      </c>
      <c r="BB4" s="471" t="s">
        <v>404</v>
      </c>
    </row>
    <row r="5" spans="1:54" ht="15.75">
      <c r="B5" s="258" t="str">
        <f>IF(Lang=1,BA5,BB5)</f>
        <v>AS A PERCENTAGE OF TOTAL OPERATING FUND EXPENSES</v>
      </c>
      <c r="C5" s="91"/>
      <c r="D5" s="91"/>
      <c r="E5" s="91"/>
      <c r="F5" s="91"/>
      <c r="G5" s="91"/>
      <c r="H5" s="91"/>
      <c r="I5" s="91"/>
      <c r="J5" s="91"/>
      <c r="K5" s="91"/>
      <c r="BA5" s="462" t="s">
        <v>268</v>
      </c>
      <c r="BB5" s="471" t="s">
        <v>405</v>
      </c>
    </row>
    <row r="6" spans="1:54" ht="9.9499999999999993" customHeight="1"/>
    <row r="7" spans="1:54">
      <c r="B7" s="603" t="s">
        <v>71</v>
      </c>
      <c r="C7" s="604"/>
      <c r="D7" s="604"/>
      <c r="E7" s="604"/>
      <c r="F7" s="604"/>
      <c r="G7" s="604"/>
      <c r="H7" s="604"/>
      <c r="I7" s="604"/>
      <c r="J7" s="604"/>
      <c r="K7" s="605"/>
    </row>
    <row r="8" spans="1:54" ht="6" customHeight="1"/>
    <row r="9" spans="1:54">
      <c r="A9" s="4"/>
      <c r="B9" s="607" t="s">
        <v>406</v>
      </c>
      <c r="C9" s="608"/>
      <c r="D9" s="611" t="s">
        <v>407</v>
      </c>
      <c r="E9" s="608"/>
      <c r="F9" s="611" t="s">
        <v>102</v>
      </c>
      <c r="G9" s="608"/>
      <c r="H9" s="607" t="s">
        <v>408</v>
      </c>
      <c r="I9" s="608"/>
      <c r="J9" s="611" t="s">
        <v>87</v>
      </c>
      <c r="K9" s="608"/>
    </row>
    <row r="10" spans="1:54">
      <c r="A10" s="4"/>
      <c r="B10" s="609"/>
      <c r="C10" s="610"/>
      <c r="D10" s="609"/>
      <c r="E10" s="610"/>
      <c r="F10" s="609"/>
      <c r="G10" s="610"/>
      <c r="H10" s="609"/>
      <c r="I10" s="610"/>
      <c r="J10" s="609"/>
      <c r="K10" s="610"/>
    </row>
    <row r="11" spans="1:54">
      <c r="A11" s="108" t="s">
        <v>64</v>
      </c>
      <c r="B11" s="109" t="s">
        <v>38</v>
      </c>
      <c r="C11" s="109" t="s">
        <v>39</v>
      </c>
      <c r="D11" s="109" t="s">
        <v>38</v>
      </c>
      <c r="E11" s="109" t="s">
        <v>39</v>
      </c>
      <c r="F11" s="109" t="s">
        <v>38</v>
      </c>
      <c r="G11" s="109" t="s">
        <v>39</v>
      </c>
      <c r="H11" s="109" t="s">
        <v>38</v>
      </c>
      <c r="I11" s="109" t="s">
        <v>39</v>
      </c>
      <c r="J11" s="109" t="s">
        <v>38</v>
      </c>
      <c r="K11" s="110" t="s">
        <v>39</v>
      </c>
    </row>
    <row r="12" spans="1:54" ht="5.0999999999999996" customHeight="1">
      <c r="A12" s="111"/>
      <c r="B12" s="4"/>
      <c r="C12" s="4"/>
      <c r="D12" s="4"/>
      <c r="E12" s="4"/>
      <c r="F12" s="4"/>
      <c r="G12" s="4"/>
      <c r="H12" s="4"/>
      <c r="I12" s="4"/>
      <c r="J12" s="4"/>
      <c r="K12" s="4"/>
    </row>
    <row r="13" spans="1:54">
      <c r="A13" s="282" t="s">
        <v>65</v>
      </c>
      <c r="B13" s="112"/>
      <c r="C13" s="263"/>
      <c r="D13" s="112"/>
      <c r="E13" s="263"/>
      <c r="F13" s="112"/>
      <c r="G13" s="263"/>
      <c r="H13" s="112"/>
      <c r="I13" s="263"/>
      <c r="J13" s="112"/>
      <c r="K13" s="263"/>
    </row>
    <row r="14" spans="1:54">
      <c r="A14" s="113" t="s">
        <v>193</v>
      </c>
      <c r="B14" s="114"/>
      <c r="C14" s="260"/>
      <c r="D14" s="114"/>
      <c r="E14" s="260"/>
      <c r="F14" s="114"/>
      <c r="G14" s="260"/>
      <c r="H14" s="114"/>
      <c r="I14" s="260"/>
      <c r="J14" s="114">
        <v>4085182</v>
      </c>
      <c r="K14" s="260"/>
    </row>
    <row r="15" spans="1:54">
      <c r="A15" s="113" t="s">
        <v>194</v>
      </c>
      <c r="B15" s="114">
        <v>88889520</v>
      </c>
      <c r="C15" s="260">
        <f>B15/'- 13 -'!$J$54*100</f>
        <v>3.9823349209905863</v>
      </c>
      <c r="D15" s="114">
        <v>6992672</v>
      </c>
      <c r="E15" s="260">
        <f>D15/'- 13 -'!$J$54*100</f>
        <v>0.31327834706085805</v>
      </c>
      <c r="F15" s="114">
        <v>738261</v>
      </c>
      <c r="G15" s="260">
        <f>F15/'- 13 -'!$J$54*100</f>
        <v>3.3074793981398835E-2</v>
      </c>
      <c r="H15" s="114">
        <v>1031786</v>
      </c>
      <c r="I15" s="260">
        <f>H15/'- 13 -'!$J$54*100</f>
        <v>4.6224992763929801E-2</v>
      </c>
      <c r="J15" s="114">
        <v>21545823</v>
      </c>
      <c r="K15" s="260">
        <f>J15/'- 13 -'!$J$54*100</f>
        <v>0.96527333407112736</v>
      </c>
    </row>
    <row r="16" spans="1:54">
      <c r="A16" s="113" t="s">
        <v>195</v>
      </c>
      <c r="B16" s="114">
        <v>893912270</v>
      </c>
      <c r="C16" s="260">
        <f>B16/'- 13 -'!$J$54*100</f>
        <v>40.048118710990515</v>
      </c>
      <c r="D16" s="114">
        <v>154235397</v>
      </c>
      <c r="E16" s="260">
        <f>D16/'- 13 -'!$J$54*100</f>
        <v>6.9098922744317521</v>
      </c>
      <c r="F16" s="114">
        <v>4729761</v>
      </c>
      <c r="G16" s="260">
        <f>F16/'- 13 -'!$J$54*100</f>
        <v>0.21189778500591921</v>
      </c>
      <c r="H16" s="114">
        <v>8837951</v>
      </c>
      <c r="I16" s="260">
        <f>H16/'- 13 -'!$J$54*100</f>
        <v>0.39594859885961436</v>
      </c>
      <c r="J16" s="114"/>
      <c r="K16" s="260">
        <f>J16/'- 13 -'!$J$54*100</f>
        <v>0</v>
      </c>
    </row>
    <row r="17" spans="1:12">
      <c r="A17" s="113" t="s">
        <v>196</v>
      </c>
      <c r="B17" s="114">
        <v>23747927</v>
      </c>
      <c r="C17" s="260">
        <f>B17/'- 13 -'!$J$54*100</f>
        <v>1.0639296847731341</v>
      </c>
      <c r="D17" s="114">
        <v>157854247</v>
      </c>
      <c r="E17" s="260">
        <f>D17/'- 13 -'!$J$54*100</f>
        <v>7.0720201915228413</v>
      </c>
      <c r="F17" s="114">
        <v>267772</v>
      </c>
      <c r="G17" s="260">
        <f>F17/'- 13 -'!$J$54*100</f>
        <v>1.1996439922990822E-2</v>
      </c>
      <c r="H17" s="114">
        <v>3876878</v>
      </c>
      <c r="I17" s="260">
        <f>H17/'- 13 -'!$J$54*100</f>
        <v>0.17368781655947901</v>
      </c>
      <c r="J17" s="114"/>
      <c r="K17" s="260">
        <f>J17/'- 13 -'!$J$54*100</f>
        <v>0</v>
      </c>
    </row>
    <row r="18" spans="1:12">
      <c r="A18" s="113" t="s">
        <v>197</v>
      </c>
      <c r="B18" s="114">
        <v>5495156</v>
      </c>
      <c r="C18" s="260">
        <f>B18/'- 13 -'!$J$54*100</f>
        <v>0.24618820795849661</v>
      </c>
      <c r="D18" s="114">
        <v>1611232</v>
      </c>
      <c r="E18" s="260">
        <f>D18/'- 13 -'!$J$54*100</f>
        <v>7.2184723906907181E-2</v>
      </c>
      <c r="F18" s="114">
        <v>196151</v>
      </c>
      <c r="G18" s="260">
        <f>F18/'- 13 -'!$J$54*100</f>
        <v>8.7877510991984722E-3</v>
      </c>
      <c r="H18" s="114">
        <v>1377248</v>
      </c>
      <c r="I18" s="260">
        <f>H18/'- 13 -'!$J$54*100</f>
        <v>6.1702018474893809E-2</v>
      </c>
      <c r="J18" s="114">
        <v>5419512</v>
      </c>
      <c r="K18" s="260">
        <f>J18/'- 13 -'!$J$54*100</f>
        <v>0.24279928491376188</v>
      </c>
    </row>
    <row r="19" spans="1:12">
      <c r="A19" s="115" t="s">
        <v>198</v>
      </c>
      <c r="B19" s="116">
        <v>39232440</v>
      </c>
      <c r="C19" s="261">
        <f>B19/'- 13 -'!$J$54*100</f>
        <v>1.7576505739671888</v>
      </c>
      <c r="D19" s="116">
        <v>2807878</v>
      </c>
      <c r="E19" s="261">
        <f>D19/'- 13 -'!$J$54*100</f>
        <v>0.12579560125064468</v>
      </c>
      <c r="F19" s="116">
        <v>298313</v>
      </c>
      <c r="G19" s="261">
        <f>F19/'- 13 -'!$J$54*100</f>
        <v>1.3364705730050795E-2</v>
      </c>
      <c r="H19" s="116">
        <v>481740</v>
      </c>
      <c r="I19" s="261">
        <f>H19/'- 13 -'!$J$54*100</f>
        <v>2.1582409544319791E-2</v>
      </c>
      <c r="J19" s="116">
        <v>15848547</v>
      </c>
      <c r="K19" s="261">
        <f>J19/'- 13 -'!$J$54*100</f>
        <v>0.71002995814422887</v>
      </c>
    </row>
    <row r="20" spans="1:12">
      <c r="A20" s="115" t="s">
        <v>199</v>
      </c>
      <c r="B20" s="117"/>
      <c r="C20" s="261"/>
      <c r="D20" s="117">
        <v>33966986</v>
      </c>
      <c r="E20" s="261">
        <f>D20/'- 13 -'!$J$54*100</f>
        <v>1.5217532337737716</v>
      </c>
      <c r="F20" s="117"/>
      <c r="G20" s="261"/>
      <c r="H20" s="117">
        <v>688624</v>
      </c>
      <c r="I20" s="261"/>
      <c r="J20" s="117"/>
      <c r="K20" s="261"/>
    </row>
    <row r="21" spans="1:12">
      <c r="A21" s="118" t="s">
        <v>200</v>
      </c>
      <c r="B21" s="119">
        <v>11957152</v>
      </c>
      <c r="C21" s="262">
        <f>B21/'- 13 -'!$J$54*100</f>
        <v>0.53569176619687486</v>
      </c>
      <c r="D21" s="119">
        <v>171620</v>
      </c>
      <c r="E21" s="262">
        <f>D21/'- 13 -'!$J$54*100</f>
        <v>7.6887390002826472E-3</v>
      </c>
      <c r="F21" s="119">
        <v>0</v>
      </c>
      <c r="G21" s="262">
        <f>F21/'- 13 -'!$J$54*100</f>
        <v>0</v>
      </c>
      <c r="H21" s="119">
        <v>0</v>
      </c>
      <c r="I21" s="262">
        <f>H21/'- 13 -'!$J$54*100</f>
        <v>0</v>
      </c>
      <c r="J21" s="119">
        <v>2460560</v>
      </c>
      <c r="K21" s="262">
        <f>J21/'- 13 -'!$J$54*100</f>
        <v>0.11023542497689938</v>
      </c>
    </row>
    <row r="22" spans="1:12" ht="12.75" customHeight="1">
      <c r="A22" s="120" t="s">
        <v>201</v>
      </c>
      <c r="B22" s="126">
        <f>SUM(B14:B21)</f>
        <v>1063234465</v>
      </c>
      <c r="C22" s="264">
        <f>B22/'- 13 -'!$J$54*100</f>
        <v>47.633913864876796</v>
      </c>
      <c r="D22" s="126">
        <f>SUM(D14:D21)</f>
        <v>357640032</v>
      </c>
      <c r="E22" s="264">
        <f>D22/'- 13 -'!$J$54*100</f>
        <v>16.022613110947056</v>
      </c>
      <c r="F22" s="126">
        <f>SUM(F14:F21)</f>
        <v>6230258</v>
      </c>
      <c r="G22" s="264">
        <f>F22/'- 13 -'!$J$54*100</f>
        <v>0.27912147573955814</v>
      </c>
      <c r="H22" s="126">
        <f>SUM(H14:H21)</f>
        <v>16294227</v>
      </c>
      <c r="I22" s="264">
        <f>H22/'- 13 -'!$J$54*100</f>
        <v>0.72999684543968379</v>
      </c>
      <c r="J22" s="126">
        <f>SUM(J14:J21)</f>
        <v>49359624</v>
      </c>
      <c r="K22" s="264">
        <f>J22/'- 13 -'!$J$54*100</f>
        <v>2.211358035707303</v>
      </c>
    </row>
    <row r="23" spans="1:12">
      <c r="A23" s="282" t="s">
        <v>73</v>
      </c>
      <c r="B23" s="126">
        <v>67386070</v>
      </c>
      <c r="C23" s="264">
        <f>B23/'- 13 -'!$J$54*100</f>
        <v>3.0189599375642495</v>
      </c>
      <c r="D23" s="126">
        <v>37170099</v>
      </c>
      <c r="E23" s="264">
        <f>D23/'- 13 -'!$J$54*100</f>
        <v>1.6652557384085016</v>
      </c>
      <c r="F23" s="126">
        <v>428171</v>
      </c>
      <c r="G23" s="264">
        <f>F23/'- 13 -'!$J$54*100</f>
        <v>1.9182467465854922E-2</v>
      </c>
      <c r="H23" s="126">
        <v>1477032</v>
      </c>
      <c r="I23" s="264">
        <f>H23/'- 13 -'!$J$54*100</f>
        <v>6.6172436447182612E-2</v>
      </c>
      <c r="J23" s="126">
        <v>7252935</v>
      </c>
      <c r="K23" s="264">
        <f>J23/'- 13 -'!$J$54*100</f>
        <v>0.32493837665199288</v>
      </c>
    </row>
    <row r="24" spans="1:12">
      <c r="A24" s="282" t="s">
        <v>59</v>
      </c>
      <c r="B24" s="114"/>
      <c r="C24" s="260"/>
      <c r="D24" s="114"/>
      <c r="E24" s="260"/>
      <c r="F24" s="114"/>
      <c r="G24" s="260"/>
      <c r="H24" s="114"/>
      <c r="I24" s="260"/>
      <c r="J24" s="114"/>
      <c r="K24" s="260"/>
    </row>
    <row r="25" spans="1:12">
      <c r="A25" s="115" t="s">
        <v>202</v>
      </c>
      <c r="B25" s="116">
        <v>7261961</v>
      </c>
      <c r="C25" s="261">
        <f>B25/'- 13 -'!$J$54*100</f>
        <v>0.32534275002465668</v>
      </c>
      <c r="D25" s="116">
        <v>6577226</v>
      </c>
      <c r="E25" s="261">
        <f>D25/'- 13 -'!$J$54*100</f>
        <v>0.29466597168088238</v>
      </c>
      <c r="F25" s="116">
        <v>50800</v>
      </c>
      <c r="G25" s="261">
        <f>F25/'- 13 -'!$J$54*100</f>
        <v>2.2758882485395555E-3</v>
      </c>
      <c r="H25" s="116">
        <v>1682483</v>
      </c>
      <c r="I25" s="261">
        <f>H25/'- 13 -'!$J$54*100</f>
        <v>7.537683637928301E-2</v>
      </c>
      <c r="J25" s="116">
        <v>3865344</v>
      </c>
      <c r="K25" s="261">
        <f>J25/'- 13 -'!$J$54*100</f>
        <v>0.1731710824047811</v>
      </c>
    </row>
    <row r="26" spans="1:12" ht="12" customHeight="1">
      <c r="A26" s="115" t="s">
        <v>203</v>
      </c>
      <c r="B26" s="116">
        <v>4045252</v>
      </c>
      <c r="C26" s="261">
        <f>B26/'- 13 -'!$J$54*100</f>
        <v>0.18123113167679397</v>
      </c>
      <c r="D26" s="116">
        <v>327167</v>
      </c>
      <c r="E26" s="261">
        <f>D26/'- 13 -'!$J$54*100</f>
        <v>1.4657392334841354E-2</v>
      </c>
      <c r="F26" s="116">
        <v>48800</v>
      </c>
      <c r="G26" s="261">
        <f>F26/'- 13 -'!$J$54*100</f>
        <v>2.1862863489907538E-3</v>
      </c>
      <c r="H26" s="116">
        <v>33468</v>
      </c>
      <c r="I26" s="261">
        <f>H26/'- 13 -'!$J$54*100</f>
        <v>1.4993981870496424E-3</v>
      </c>
      <c r="J26" s="116">
        <v>1221051</v>
      </c>
      <c r="K26" s="261">
        <f>J26/'- 13 -'!$J$54*100</f>
        <v>5.470424452298174E-2</v>
      </c>
      <c r="L26" s="606" t="s">
        <v>104</v>
      </c>
    </row>
    <row r="27" spans="1:12" ht="12.75" customHeight="1">
      <c r="A27" s="115" t="s">
        <v>204</v>
      </c>
      <c r="B27" s="116"/>
      <c r="C27" s="261">
        <f>B27/'- 13 -'!$J$54*100</f>
        <v>0</v>
      </c>
      <c r="D27" s="116"/>
      <c r="E27" s="261">
        <f>D27/'- 13 -'!$J$54*100</f>
        <v>0</v>
      </c>
      <c r="F27" s="116">
        <v>42485</v>
      </c>
      <c r="G27" s="261">
        <f>F27/'- 13 -'!$J$54*100</f>
        <v>1.9033683511654135E-3</v>
      </c>
      <c r="H27" s="116"/>
      <c r="I27" s="261">
        <f>H27/'- 13 -'!$J$54*100</f>
        <v>0</v>
      </c>
      <c r="J27" s="116"/>
      <c r="K27" s="261">
        <f>J27/'- 13 -'!$J$54*100</f>
        <v>0</v>
      </c>
      <c r="L27" s="606"/>
    </row>
    <row r="28" spans="1:12" ht="12.75" customHeight="1">
      <c r="A28" s="115" t="s">
        <v>244</v>
      </c>
      <c r="B28" s="116">
        <v>2893519</v>
      </c>
      <c r="C28" s="261">
        <f>B28/'- 13 -'!$J$54*100</f>
        <v>0.12963239939027413</v>
      </c>
      <c r="D28" s="116">
        <v>2342236</v>
      </c>
      <c r="E28" s="261">
        <f>D28/'- 13 -'!$J$54*100</f>
        <v>0.10493439739579317</v>
      </c>
      <c r="F28" s="116">
        <v>90851</v>
      </c>
      <c r="G28" s="261">
        <f>F28/'- 13 -'!$J$54*100</f>
        <v>4.0702110879540778E-3</v>
      </c>
      <c r="H28" s="116">
        <v>124490</v>
      </c>
      <c r="I28" s="261">
        <f>H28/'- 13 -'!$J$54*100</f>
        <v>5.5772702374151427E-3</v>
      </c>
      <c r="J28" s="116">
        <v>2842435</v>
      </c>
      <c r="K28" s="261">
        <f>J28/'- 13 -'!$J$54*100</f>
        <v>0.12734378767199864</v>
      </c>
      <c r="L28" s="606"/>
    </row>
    <row r="29" spans="1:12" ht="12.75" customHeight="1">
      <c r="A29" s="115" t="s">
        <v>205</v>
      </c>
      <c r="B29" s="116"/>
      <c r="C29" s="261">
        <f>B29/'- 13 -'!$J$54*100</f>
        <v>0</v>
      </c>
      <c r="D29" s="116"/>
      <c r="E29" s="261">
        <f>D29/'- 13 -'!$J$54*100</f>
        <v>0</v>
      </c>
      <c r="F29" s="116"/>
      <c r="G29" s="261">
        <f>F29/'- 13 -'!$J$54*100</f>
        <v>0</v>
      </c>
      <c r="H29" s="116"/>
      <c r="I29" s="261">
        <f>H29/'- 13 -'!$J$54*100</f>
        <v>0</v>
      </c>
      <c r="J29" s="116"/>
      <c r="K29" s="261">
        <f>J29/'- 13 -'!$J$54*100</f>
        <v>0</v>
      </c>
      <c r="L29" s="606"/>
    </row>
    <row r="30" spans="1:12" ht="12.75" customHeight="1">
      <c r="A30" s="115" t="s">
        <v>206</v>
      </c>
      <c r="B30" s="116">
        <v>1163880</v>
      </c>
      <c r="C30" s="261">
        <f>B30/'- 13 -'!$J$54*100</f>
        <v>5.2142929423429484E-2</v>
      </c>
      <c r="D30" s="116">
        <v>305135</v>
      </c>
      <c r="E30" s="261">
        <f>D30/'- 13 -'!$J$54*100</f>
        <v>1.3670337809411758E-2</v>
      </c>
      <c r="F30" s="116">
        <v>0</v>
      </c>
      <c r="G30" s="261">
        <f>F30/'- 13 -'!$J$54*100</f>
        <v>0</v>
      </c>
      <c r="H30" s="116"/>
      <c r="I30" s="261">
        <f>H30/'- 13 -'!$J$54*100</f>
        <v>0</v>
      </c>
      <c r="J30" s="116"/>
      <c r="K30" s="261">
        <f>J30/'- 13 -'!$J$54*100</f>
        <v>0</v>
      </c>
      <c r="L30" s="259"/>
    </row>
    <row r="31" spans="1:12" ht="12.75" customHeight="1">
      <c r="A31" s="115" t="s">
        <v>207</v>
      </c>
      <c r="B31" s="116">
        <v>609510</v>
      </c>
      <c r="C31" s="261">
        <f>B31/'- 13 -'!$J$54*100</f>
        <v>2.7306626896994968E-2</v>
      </c>
      <c r="D31" s="116">
        <v>19900</v>
      </c>
      <c r="E31" s="261">
        <f>D31/'- 13 -'!$J$54*100</f>
        <v>8.9153890051057376E-4</v>
      </c>
      <c r="F31" s="116">
        <v>3000</v>
      </c>
      <c r="G31" s="261">
        <f>F31/'- 13 -'!$J$54*100</f>
        <v>1.3440284932320209E-4</v>
      </c>
      <c r="H31" s="116">
        <v>110900</v>
      </c>
      <c r="I31" s="261">
        <f>H31/'- 13 -'!$J$54*100</f>
        <v>4.9684253299810376E-3</v>
      </c>
      <c r="J31" s="116">
        <v>274270</v>
      </c>
      <c r="K31" s="261">
        <f>J31/'- 13 -'!$J$54*100</f>
        <v>1.2287556494624879E-2</v>
      </c>
    </row>
    <row r="32" spans="1:12">
      <c r="A32" s="115" t="s">
        <v>208</v>
      </c>
      <c r="B32" s="116">
        <v>112884</v>
      </c>
      <c r="C32" s="261">
        <f>B32/'- 13 -'!$J$54*100</f>
        <v>5.0573104143334484E-3</v>
      </c>
      <c r="D32" s="116">
        <v>17850</v>
      </c>
      <c r="E32" s="261">
        <f>D32/'- 13 -'!$J$54*100</f>
        <v>7.9969695347305238E-4</v>
      </c>
      <c r="F32" s="116">
        <v>1787</v>
      </c>
      <c r="G32" s="261">
        <f>F32/'- 13 -'!$J$54*100</f>
        <v>8.0059297246854044E-5</v>
      </c>
      <c r="H32" s="116"/>
      <c r="I32" s="261">
        <f>H32/'- 13 -'!$J$54*100</f>
        <v>0</v>
      </c>
      <c r="J32" s="116">
        <v>1404421</v>
      </c>
      <c r="K32" s="261">
        <f>J32/'- 13 -'!$J$54*100</f>
        <v>6.2919394683113597E-2</v>
      </c>
    </row>
    <row r="33" spans="1:13">
      <c r="A33" s="115" t="s">
        <v>209</v>
      </c>
      <c r="B33" s="116">
        <v>3174101</v>
      </c>
      <c r="C33" s="261">
        <f>B33/'- 13 -'!$J$54*100</f>
        <v>0.14220273947987502</v>
      </c>
      <c r="D33" s="116">
        <v>73680</v>
      </c>
      <c r="E33" s="261">
        <f>D33/'- 13 -'!$J$54*100</f>
        <v>3.300933979377843E-3</v>
      </c>
      <c r="F33" s="116">
        <v>51394</v>
      </c>
      <c r="G33" s="261">
        <f>F33/'- 13 -'!$J$54*100</f>
        <v>2.3025000127055496E-3</v>
      </c>
      <c r="H33" s="116">
        <v>15650</v>
      </c>
      <c r="I33" s="261">
        <f>H33/'- 13 -'!$J$54*100</f>
        <v>7.0113486396937094E-4</v>
      </c>
      <c r="J33" s="116">
        <v>166420</v>
      </c>
      <c r="K33" s="261">
        <f>J33/'- 13 -'!$J$54*100</f>
        <v>7.4557740614557633E-3</v>
      </c>
    </row>
    <row r="34" spans="1:13">
      <c r="A34" s="115" t="s">
        <v>210</v>
      </c>
      <c r="B34" s="116">
        <v>3147894</v>
      </c>
      <c r="C34" s="261">
        <f>B34/'- 13 -'!$J$54*100</f>
        <v>0.14102864098913731</v>
      </c>
      <c r="D34" s="116">
        <v>155409</v>
      </c>
      <c r="E34" s="261">
        <f>D34/'- 13 -'!$J$54*100</f>
        <v>6.9624708034898381E-3</v>
      </c>
      <c r="F34" s="116">
        <v>459349</v>
      </c>
      <c r="G34" s="261">
        <f>F34/'- 13 -'!$J$54*100</f>
        <v>2.0579271477921185E-2</v>
      </c>
      <c r="H34" s="116">
        <v>260032</v>
      </c>
      <c r="I34" s="261">
        <f>H34/'- 13 -'!$J$54*100</f>
        <v>1.1649680571736962E-2</v>
      </c>
      <c r="J34" s="116">
        <v>411499</v>
      </c>
      <c r="K34" s="261">
        <f>J34/'- 13 -'!$J$54*100</f>
        <v>1.843554603121611E-2</v>
      </c>
    </row>
    <row r="35" spans="1:13">
      <c r="A35" s="366" t="s">
        <v>252</v>
      </c>
      <c r="B35" s="116"/>
      <c r="C35" s="261">
        <f>B35/'- 13 -'!$J$54*100</f>
        <v>0</v>
      </c>
      <c r="D35" s="116"/>
      <c r="E35" s="261">
        <f>D35/'- 13 -'!$J$54*100</f>
        <v>0</v>
      </c>
      <c r="F35" s="116">
        <v>2665</v>
      </c>
      <c r="G35" s="261">
        <f>F35/'- 13 -'!$J$54*100</f>
        <v>1.1939453114877786E-4</v>
      </c>
      <c r="H35" s="116"/>
      <c r="I35" s="261">
        <f>H35/'- 13 -'!$J$54*100</f>
        <v>0</v>
      </c>
      <c r="J35" s="116"/>
      <c r="K35" s="261">
        <f>J35/'- 13 -'!$J$54*100</f>
        <v>0</v>
      </c>
    </row>
    <row r="36" spans="1:13">
      <c r="A36" s="115" t="s">
        <v>211</v>
      </c>
      <c r="B36" s="116">
        <v>333799</v>
      </c>
      <c r="C36" s="261">
        <f>B36/'- 13 -'!$J$54*100</f>
        <v>1.4954512233745177E-2</v>
      </c>
      <c r="D36" s="116">
        <v>36330</v>
      </c>
      <c r="E36" s="261">
        <f>D36/'- 13 -'!$J$54*100</f>
        <v>1.6276185053039774E-3</v>
      </c>
      <c r="F36" s="116">
        <v>11000</v>
      </c>
      <c r="G36" s="261">
        <f>F36/'- 13 -'!$J$54*100</f>
        <v>4.9281044751840774E-4</v>
      </c>
      <c r="H36" s="116">
        <v>131800</v>
      </c>
      <c r="I36" s="261">
        <f>H36/'- 13 -'!$J$54*100</f>
        <v>5.9047651802660115E-3</v>
      </c>
      <c r="J36" s="116">
        <v>809925</v>
      </c>
      <c r="K36" s="261">
        <f>J36/'- 13 -'!$J$54*100</f>
        <v>3.6285409246031484E-2</v>
      </c>
    </row>
    <row r="37" spans="1:13">
      <c r="A37" s="115" t="s">
        <v>212</v>
      </c>
      <c r="B37" s="116">
        <v>1064510</v>
      </c>
      <c r="C37" s="261">
        <f>B37/'- 13 -'!$J$54*100</f>
        <v>4.7691059044347284E-2</v>
      </c>
      <c r="D37" s="116">
        <v>106714</v>
      </c>
      <c r="E37" s="261">
        <f>D37/'- 13 -'!$J$54*100</f>
        <v>4.7808885542253961E-3</v>
      </c>
      <c r="F37" s="116">
        <v>4095</v>
      </c>
      <c r="G37" s="261">
        <f>F37/'- 13 -'!$J$54*100</f>
        <v>1.8345988932617086E-4</v>
      </c>
      <c r="H37" s="116">
        <v>3585</v>
      </c>
      <c r="I37" s="261">
        <f>H37/'- 13 -'!$J$54*100</f>
        <v>1.606114049412265E-4</v>
      </c>
      <c r="J37" s="116">
        <v>2595055</v>
      </c>
      <c r="K37" s="261">
        <f>J37/'- 13 -'!$J$54*100</f>
        <v>0.1162609287168074</v>
      </c>
    </row>
    <row r="38" spans="1:13">
      <c r="A38" s="122" t="s">
        <v>213</v>
      </c>
      <c r="B38" s="116">
        <v>510856</v>
      </c>
      <c r="C38" s="261">
        <f>B38/'- 13 -'!$J$54*100</f>
        <v>2.2886833997951241E-2</v>
      </c>
      <c r="D38" s="116">
        <v>239585</v>
      </c>
      <c r="E38" s="261">
        <f>D38/'- 13 -'!$J$54*100</f>
        <v>1.0733635551699792E-2</v>
      </c>
      <c r="F38" s="116">
        <v>39350</v>
      </c>
      <c r="G38" s="261">
        <f>F38/'- 13 -'!$J$54*100</f>
        <v>1.7629173736226672E-3</v>
      </c>
      <c r="H38" s="116">
        <v>45825</v>
      </c>
      <c r="I38" s="261">
        <f>H38/'- 13 -'!$J$54*100</f>
        <v>2.0530035234119118E-3</v>
      </c>
      <c r="J38" s="116">
        <v>1595857</v>
      </c>
      <c r="K38" s="261">
        <f>J38/'- 13 -'!$J$54*100</f>
        <v>7.1495909304125763E-2</v>
      </c>
    </row>
    <row r="39" spans="1:13">
      <c r="A39" s="123" t="s">
        <v>214</v>
      </c>
      <c r="B39" s="119">
        <v>8506339</v>
      </c>
      <c r="C39" s="262">
        <f>B39/'- 13 -'!$J$54*100</f>
        <v>0.38109206630302583</v>
      </c>
      <c r="D39" s="119">
        <v>52500</v>
      </c>
      <c r="E39" s="262">
        <f>D39/'- 13 -'!$J$54*100</f>
        <v>2.3520498631560368E-3</v>
      </c>
      <c r="F39" s="119">
        <v>13186</v>
      </c>
      <c r="G39" s="262">
        <f>F39/'- 13 -'!$J$54*100</f>
        <v>5.9074532372524751E-4</v>
      </c>
      <c r="H39" s="119">
        <v>35173</v>
      </c>
      <c r="I39" s="262">
        <f>H39/'- 13 -'!$J$54*100</f>
        <v>1.5757838064149956E-3</v>
      </c>
      <c r="J39" s="119">
        <v>2762647</v>
      </c>
      <c r="K39" s="262">
        <f>J39/'- 13 -'!$J$54*100</f>
        <v>0.12376920949139876</v>
      </c>
    </row>
    <row r="40" spans="1:13">
      <c r="A40" s="120" t="s">
        <v>215</v>
      </c>
      <c r="B40" s="126">
        <f>SUM(B25:B39)</f>
        <v>32824505</v>
      </c>
      <c r="C40" s="264">
        <f>B40/'- 13 -'!$J$54*100</f>
        <v>1.4705689998745644</v>
      </c>
      <c r="D40" s="126">
        <f>SUM(D25:D39)</f>
        <v>10253732</v>
      </c>
      <c r="E40" s="264">
        <f>D40/'- 13 -'!$J$54*100</f>
        <v>0.45937693233216514</v>
      </c>
      <c r="F40" s="126">
        <f>SUM(F25:F39)</f>
        <v>818762</v>
      </c>
      <c r="G40" s="264">
        <f>F40/'- 13 -'!$J$54*100</f>
        <v>3.6681315239187863E-2</v>
      </c>
      <c r="H40" s="126">
        <f>SUM(H25:H39)</f>
        <v>2443406</v>
      </c>
      <c r="I40" s="264">
        <f>H40/'- 13 -'!$J$54*100</f>
        <v>0.1094669094844693</v>
      </c>
      <c r="J40" s="126">
        <f>SUM(J25:J39)</f>
        <v>17948924</v>
      </c>
      <c r="K40" s="264">
        <f>J40/'- 13 -'!$J$54*100</f>
        <v>0.80412884262853535</v>
      </c>
    </row>
    <row r="41" spans="1:13">
      <c r="A41" s="282" t="s">
        <v>216</v>
      </c>
      <c r="B41" s="124"/>
      <c r="C41" s="265"/>
      <c r="D41" s="124"/>
      <c r="E41" s="265"/>
      <c r="F41" s="124"/>
      <c r="G41" s="265"/>
      <c r="H41" s="124"/>
      <c r="I41" s="265"/>
      <c r="J41" s="124"/>
      <c r="K41" s="265"/>
    </row>
    <row r="42" spans="1:13">
      <c r="A42" s="115" t="s">
        <v>217</v>
      </c>
      <c r="B42" s="116">
        <v>34440945</v>
      </c>
      <c r="C42" s="261">
        <f>B42/'- 13 -'!$J$54*100</f>
        <v>1.5429870471278968</v>
      </c>
      <c r="D42" s="116">
        <v>3284752</v>
      </c>
      <c r="E42" s="261">
        <f>D42/'- 13 -'!$J$54*100</f>
        <v>0.14716000937336224</v>
      </c>
      <c r="F42" s="116">
        <v>113125</v>
      </c>
      <c r="G42" s="261">
        <f>F42/'- 13 -'!$J$54*100</f>
        <v>5.068107443229079E-3</v>
      </c>
      <c r="H42" s="116">
        <v>2177569</v>
      </c>
      <c r="I42" s="261">
        <f>H42/'- 13 -'!$J$54*100</f>
        <v>9.7557159399291951E-2</v>
      </c>
      <c r="J42" s="116">
        <v>1400336</v>
      </c>
      <c r="K42" s="261">
        <f>J42/'- 13 -'!$J$54*100</f>
        <v>6.2736382803285168E-2</v>
      </c>
    </row>
    <row r="43" spans="1:13">
      <c r="A43" s="115" t="s">
        <v>218</v>
      </c>
      <c r="B43" s="116">
        <v>12148947</v>
      </c>
      <c r="C43" s="261">
        <f>B43/'- 13 -'!$J$54*100</f>
        <v>0.54428436435885597</v>
      </c>
      <c r="D43" s="116">
        <v>854820</v>
      </c>
      <c r="E43" s="261">
        <f>D43/'- 13 -'!$J$54*100</f>
        <v>3.8296747886153205E-2</v>
      </c>
      <c r="F43" s="116">
        <v>82550</v>
      </c>
      <c r="G43" s="261">
        <f>F43/'- 13 -'!$J$54*100</f>
        <v>3.6983184038767774E-3</v>
      </c>
      <c r="H43" s="116">
        <v>72441</v>
      </c>
      <c r="I43" s="261">
        <f>H43/'- 13 -'!$J$54*100</f>
        <v>3.2454256026073608E-3</v>
      </c>
      <c r="J43" s="116">
        <v>114550</v>
      </c>
      <c r="K43" s="261">
        <f>J43/'- 13 -'!$J$54*100</f>
        <v>5.1319487966575992E-3</v>
      </c>
    </row>
    <row r="44" spans="1:13">
      <c r="A44" s="115" t="s">
        <v>219</v>
      </c>
      <c r="B44" s="116">
        <v>10325011</v>
      </c>
      <c r="C44" s="261">
        <f>B44/'- 13 -'!$J$54*100</f>
        <v>0.46257029923113474</v>
      </c>
      <c r="D44" s="116">
        <v>524475</v>
      </c>
      <c r="E44" s="261">
        <f>D44/'- 13 -'!$J$54*100</f>
        <v>2.3496978132928805E-2</v>
      </c>
      <c r="F44" s="116">
        <v>17336</v>
      </c>
      <c r="G44" s="261">
        <f>F44/'- 13 -'!$J$54*100</f>
        <v>7.766692652890105E-4</v>
      </c>
      <c r="H44" s="116">
        <v>47050</v>
      </c>
      <c r="I44" s="261">
        <f>H44/'- 13 -'!$J$54*100</f>
        <v>2.1078846868855527E-3</v>
      </c>
      <c r="J44" s="116">
        <v>322450</v>
      </c>
      <c r="K44" s="261">
        <f>J44/'- 13 -'!$J$54*100</f>
        <v>1.4446066254755505E-2</v>
      </c>
    </row>
    <row r="45" spans="1:13">
      <c r="A45" s="123" t="s">
        <v>220</v>
      </c>
      <c r="B45" s="119">
        <v>19243330</v>
      </c>
      <c r="C45" s="262">
        <f>B45/'- 13 -'!$J$54*100</f>
        <v>0.86211946082221813</v>
      </c>
      <c r="D45" s="119">
        <v>720757</v>
      </c>
      <c r="E45" s="262">
        <f>D45/'- 13 -'!$J$54*100</f>
        <v>3.2290598156547723E-2</v>
      </c>
      <c r="F45" s="119">
        <v>59535</v>
      </c>
      <c r="G45" s="262">
        <f>F45/'- 13 -'!$J$54*100</f>
        <v>2.6672245448189453E-3</v>
      </c>
      <c r="H45" s="119">
        <v>8035</v>
      </c>
      <c r="I45" s="262">
        <f>H45/'- 13 -'!$J$54*100</f>
        <v>3.5997563143730962E-4</v>
      </c>
      <c r="J45" s="119">
        <v>769179</v>
      </c>
      <c r="K45" s="262">
        <f>J45/'- 13 -'!$J$54*100</f>
        <v>3.4459949746523749E-2</v>
      </c>
    </row>
    <row r="46" spans="1:13">
      <c r="A46" s="120" t="s">
        <v>221</v>
      </c>
      <c r="B46" s="126">
        <f>SUM(B42:B45)</f>
        <v>76158233</v>
      </c>
      <c r="C46" s="264">
        <f>B46/'- 13 -'!$J$54*100</f>
        <v>3.4119611715401059</v>
      </c>
      <c r="D46" s="126">
        <f>SUM(D42:D45)</f>
        <v>5384804</v>
      </c>
      <c r="E46" s="264">
        <f>D46/'- 13 -'!$J$54*100</f>
        <v>0.24124433354899194</v>
      </c>
      <c r="F46" s="126">
        <f>SUM(F42:F45)</f>
        <v>272546</v>
      </c>
      <c r="G46" s="264">
        <f>F46/'- 13 -'!$J$54*100</f>
        <v>1.2210319657213814E-2</v>
      </c>
      <c r="H46" s="126">
        <f>SUM(H42:H45)</f>
        <v>2305095</v>
      </c>
      <c r="I46" s="264">
        <f>H46/'- 13 -'!$J$54*100</f>
        <v>0.10327044532022218</v>
      </c>
      <c r="J46" s="126">
        <f>SUM(J42:J45)</f>
        <v>2606515</v>
      </c>
      <c r="K46" s="264">
        <f>J46/'- 13 -'!$J$54*100</f>
        <v>0.11677434760122203</v>
      </c>
    </row>
    <row r="47" spans="1:13">
      <c r="A47" s="282" t="s">
        <v>42</v>
      </c>
      <c r="B47" s="124"/>
      <c r="C47" s="265"/>
      <c r="D47" s="124"/>
      <c r="E47" s="265"/>
      <c r="F47" s="124"/>
      <c r="G47" s="265"/>
      <c r="H47" s="124"/>
      <c r="I47" s="265"/>
      <c r="J47" s="124"/>
      <c r="K47" s="265"/>
    </row>
    <row r="48" spans="1:13" ht="15" customHeight="1">
      <c r="A48" s="123" t="s">
        <v>249</v>
      </c>
      <c r="B48" s="125"/>
      <c r="C48" s="262"/>
      <c r="D48" s="125"/>
      <c r="E48" s="262"/>
      <c r="F48" s="119">
        <v>37000</v>
      </c>
      <c r="G48" s="262"/>
      <c r="H48" s="125"/>
      <c r="I48" s="262"/>
      <c r="J48" s="119">
        <v>-37000</v>
      </c>
      <c r="K48" s="262"/>
      <c r="M48" s="1">
        <f>F48+J48+'- 13 -'!F48</f>
        <v>0</v>
      </c>
    </row>
    <row r="49" spans="1:11">
      <c r="A49" s="120" t="s">
        <v>224</v>
      </c>
      <c r="B49" s="120"/>
      <c r="C49" s="264"/>
      <c r="D49" s="120"/>
      <c r="E49" s="264"/>
      <c r="F49" s="126">
        <f>F48</f>
        <v>37000</v>
      </c>
      <c r="G49" s="264"/>
      <c r="H49" s="120"/>
      <c r="I49" s="264"/>
      <c r="J49" s="126">
        <f>J48</f>
        <v>-37000</v>
      </c>
      <c r="K49" s="264"/>
    </row>
    <row r="50" spans="1:11" ht="5.0999999999999996" customHeight="1">
      <c r="A50" s="20"/>
      <c r="B50" s="24"/>
      <c r="C50" s="266"/>
      <c r="D50" s="73"/>
      <c r="E50" s="266"/>
      <c r="F50" s="73"/>
      <c r="G50" s="266"/>
      <c r="H50" s="73"/>
      <c r="I50" s="266"/>
      <c r="J50" s="73"/>
      <c r="K50" s="266"/>
    </row>
    <row r="51" spans="1:11">
      <c r="A51" s="283" t="s">
        <v>225</v>
      </c>
      <c r="B51" s="345">
        <f>SUM(B47,B46,B40,B23,B22)</f>
        <v>1239603273</v>
      </c>
      <c r="C51" s="346">
        <f>B51/'- 13 -'!$J$54*100</f>
        <v>55.535403973855715</v>
      </c>
      <c r="D51" s="345">
        <f>SUM(D47,D46,D40,D23,D22)</f>
        <v>410448667</v>
      </c>
      <c r="E51" s="346">
        <f>D51/'- 13 -'!$J$54*100</f>
        <v>18.388490115236717</v>
      </c>
      <c r="F51" s="345">
        <f>SUM(F49,F46,F40,F23,F22)</f>
        <v>7786737</v>
      </c>
      <c r="G51" s="346">
        <f>F51/'- 13 -'!$J$54*100</f>
        <v>0.34885321324346757</v>
      </c>
      <c r="H51" s="345">
        <f>SUM(H47,H46,H40,H23,H22)</f>
        <v>22519760</v>
      </c>
      <c r="I51" s="346">
        <f>H51/'- 13 -'!$J$54*100</f>
        <v>1.0089066366915578</v>
      </c>
      <c r="J51" s="345">
        <f>SUM(J49,J46,J40,J23,J22)</f>
        <v>77130998</v>
      </c>
      <c r="K51" s="346">
        <f>J51/'- 13 -'!$J$54*100</f>
        <v>3.4555419674474006</v>
      </c>
    </row>
    <row r="52" spans="1:11" ht="20.100000000000001" customHeight="1">
      <c r="A52" s="455" t="s">
        <v>373</v>
      </c>
    </row>
  </sheetData>
  <mergeCells count="7">
    <mergeCell ref="B7:K7"/>
    <mergeCell ref="L26:L29"/>
    <mergeCell ref="B9:C10"/>
    <mergeCell ref="D9:E10"/>
    <mergeCell ref="F9:G10"/>
    <mergeCell ref="H9:I10"/>
    <mergeCell ref="J9:K10"/>
  </mergeCells>
  <phoneticPr fontId="0" type="noConversion"/>
  <printOptions verticalCentered="1"/>
  <pageMargins left="0.74803149606299213" right="0" top="0.31496062992125984" bottom="0.31496062992125984" header="0" footer="0"/>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65</vt:i4>
      </vt:variant>
    </vt:vector>
  </HeadingPairs>
  <TitlesOfParts>
    <vt:vector size="119"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- 47 -</vt:lpstr>
      <vt:lpstr>- 48 - </vt:lpstr>
      <vt:lpstr>- 50 -</vt:lpstr>
      <vt:lpstr>- 51 -</vt:lpstr>
      <vt:lpstr>- 52 -</vt:lpstr>
      <vt:lpstr>- 53 -</vt:lpstr>
      <vt:lpstr>- 54 -</vt:lpstr>
      <vt:lpstr>- 55 -</vt:lpstr>
      <vt:lpstr>- 56 -</vt:lpstr>
      <vt:lpstr>- 57 -</vt:lpstr>
      <vt:lpstr>- 58 -</vt:lpstr>
      <vt:lpstr>- 59 -</vt:lpstr>
      <vt:lpstr>- 60 -</vt:lpstr>
      <vt:lpstr>Data</vt:lpstr>
      <vt:lpstr>README!AEXP_BF</vt:lpstr>
      <vt:lpstr>AEXP_BF</vt:lpstr>
      <vt:lpstr>README!AEXP_BP</vt:lpstr>
      <vt:lpstr>AEXP_BP</vt:lpstr>
      <vt:lpstr>README!Lang</vt:lpstr>
      <vt:lpstr>Lang</vt:lpstr>
      <vt:lpstr>OPYEAR</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'- 47 -'!Print_Area</vt:lpstr>
      <vt:lpstr>'- 48 -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'- 6 -'!Print_Area</vt:lpstr>
      <vt:lpstr>'- 60 -'!Print_Area</vt:lpstr>
      <vt:lpstr>'- 7 -'!Print_Area</vt:lpstr>
      <vt:lpstr>'- 8 -'!Print_Area</vt:lpstr>
      <vt:lpstr>'- 9 -'!Print_Area</vt:lpstr>
      <vt:lpstr>Data!Print_Area</vt:lpstr>
      <vt:lpstr>README!Print_Area</vt:lpstr>
      <vt:lpstr>REVYEAR</vt:lpstr>
      <vt:lpstr>STATDATE</vt:lpstr>
      <vt:lpstr>TAXYEAR</vt:lpstr>
      <vt:lpstr>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Pizarro, Gonzalo (EDU)</dc:creator>
  <cp:lastModifiedBy>GPizarro</cp:lastModifiedBy>
  <cp:lastPrinted>2015-09-25T13:44:48Z</cp:lastPrinted>
  <dcterms:created xsi:type="dcterms:W3CDTF">1999-01-19T20:49:35Z</dcterms:created>
  <dcterms:modified xsi:type="dcterms:W3CDTF">2015-10-02T18:52:01Z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2037384301</vt:i4>
  </property>
  <property fmtid="{D5CDD505-2E9C-101B-9397-08002B2CF9AE}" pid="3" name="_NewReviewCycle">
    <vt:lpwstr/>
  </property>
  <property fmtid="{D5CDD505-2E9C-101B-9397-08002B2CF9AE}" pid="4" name="_EmailSubject">
    <vt:lpwstr>2015-16 FRAME Budget Report to be posted.</vt:lpwstr>
  </property>
  <property fmtid="{D5CDD505-2E9C-101B-9397-08002B2CF9AE}" pid="5" name="_AuthorEmail">
    <vt:lpwstr>Gonzalo.Pizarro@gov.mb.ca</vt:lpwstr>
  </property>
  <property fmtid="{D5CDD505-2E9C-101B-9397-08002B2CF9AE}" pid="6" name="_AuthorEmailDisplayName">
    <vt:lpwstr>Pizarro, Gonzalo (EAL)</vt:lpwstr>
  </property>
</Properties>
</file>